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D:\MGARCESC\Desktop\"/>
    </mc:Choice>
  </mc:AlternateContent>
  <xr:revisionPtr revIDLastSave="0" documentId="13_ncr:1_{99EB2ECA-83D5-4A3A-B7A6-D419C2FD3B47}" xr6:coauthVersionLast="47" xr6:coauthVersionMax="47" xr10:uidLastSave="{00000000-0000-0000-0000-000000000000}"/>
  <bookViews>
    <workbookView minimized="1" xWindow="14535" yWindow="345" windowWidth="14610" windowHeight="15480" activeTab="3" xr2:uid="{00000000-000D-0000-FFFF-FFFF00000000}"/>
  </bookViews>
  <sheets>
    <sheet name="1.RADICADOS" sheetId="4" r:id="rId1"/>
    <sheet name="2.BDN" sheetId="6" r:id="rId2"/>
    <sheet name="2.BDN (backup)" sheetId="35" state="hidden" r:id="rId3"/>
    <sheet name="MUNICIPIOS" sheetId="7" r:id="rId4"/>
    <sheet name="4.CAP_ENDMNT" sheetId="23" state="hidden" r:id="rId5"/>
    <sheet name="EJERCICIO IDEA (X PROYECTO)" sheetId="33" state="hidden" r:id="rId6"/>
    <sheet name="Desplegables" sheetId="2"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1_200_CTCONTROL_PROY">'[1]202 TCONTROL_TOTAL_PROY'!#REF!</definedName>
    <definedName name="_xlnm._FilterDatabase" localSheetId="1" hidden="1">'2.BDN'!$B$1:$O$702</definedName>
    <definedName name="_xlnm._FilterDatabase" localSheetId="2" hidden="1">'2.BDN (backup)'!$B$1:$T$478</definedName>
    <definedName name="_xlnm._FilterDatabase" localSheetId="4" hidden="1">'4.CAP_ENDMNT'!$A$1:$AA$126</definedName>
    <definedName name="_xlnm._FilterDatabase" localSheetId="5" hidden="1">'EJERCICIO IDEA (X PROYECTO)'!$A$6:$F$58</definedName>
    <definedName name="_xlnm._FilterDatabase" localSheetId="3" hidden="1">MUNICIPIOS!$A$1:$E$1</definedName>
    <definedName name="_xlcn.WorksheetConnection_1.BASEDEDATOSGRALBACKUP20250331.xlsmPROYECTOS21" hidden="1">PROYECTOS2[]</definedName>
    <definedName name="_xlcn.WorksheetConnection_1.BASEDEDATOSGRALBACKUP20250331.xlsmTable81" hidden="1">Table8[]</definedName>
    <definedName name="codestado">[2]!Tabla6[Código]</definedName>
    <definedName name="codmes">[2]!Tabla7[Código]</definedName>
    <definedName name="codrec">[2]!Tabla5[Código]</definedName>
    <definedName name="codselec">[2]!Modalidades[Código]</definedName>
    <definedName name="codvigencias">[2]!Tabla8[¿Se requieren vigencias futuras?]</definedName>
    <definedName name="DEPENDENCIA">'[3]Anexo 2.'!$B$416:$B$441</definedName>
    <definedName name="estado">[2]!Tabla6[Estado de solicitud de vigencias futuras]</definedName>
    <definedName name="EstadoContrato">'[3]Anexo 2.'!$B$446:$B$452</definedName>
    <definedName name="FUENTE">'[3]Anexo 2.'!$D$449:$D$453</definedName>
    <definedName name="gobernacion">'[4]Anexo 2.'!$D$391:$D$394</definedName>
    <definedName name="intervalos">[2]!Tabla4[Duración estimada del contrato (intervalo: días, meses, años)]</definedName>
    <definedName name="l">'[5]Anexo 2.'!$D$357:$D$387</definedName>
    <definedName name="ll">'[5]Anexo 2.'!$D$357:$D$387</definedName>
    <definedName name="meses">[2]!Tabla7[Mes]</definedName>
    <definedName name="MODALIDAD">'[6]Anexo 2.'!$D$322:$D$349</definedName>
    <definedName name="modselec">[2]!Modalidades[[Modalidad de selección ]]</definedName>
    <definedName name="MODSELECCION">'[3]Anexo 2.'!$D$416:$D$446</definedName>
    <definedName name="MUJERES">'[7]Anexo 2.'!$B$319:$B$344</definedName>
    <definedName name="Municipios" localSheetId="2">Table1[]</definedName>
    <definedName name="Municipios" localSheetId="4">Table1[#Data]</definedName>
    <definedName name="Municipios" localSheetId="5">Table1[]</definedName>
    <definedName name="Municipios">Table1[]</definedName>
    <definedName name="NECESIDAD" localSheetId="2">'2.BDN (backup)'!$B$2:$U$330</definedName>
    <definedName name="NECESIDAD" localSheetId="4">#REF!</definedName>
    <definedName name="NECESIDAD">'2.BDN'!$B$2:$P$327</definedName>
    <definedName name="Nombproducto">[8]!Articulacion[NOMBRE PRODUCTO]</definedName>
    <definedName name="NombPrograma">[8]!Articulacion[NOMBRE PROGRAMA]</definedName>
    <definedName name="Nombproyecto">[8]!Articulacion[NOMBRE PROYECTO]</definedName>
    <definedName name="PEP">[8]!Articulacion[ELEMENTO PEP]</definedName>
    <definedName name="PROGRAMAS">'[3]Anexo 2.'!$F$423:$F$551</definedName>
    <definedName name="recursos">[2]!Tabla5[Fuente de los recursos]</definedName>
    <definedName name="secretaira">'[4]Anexo 2.'!$B$351:$B$376</definedName>
    <definedName name="TIPOSUPER">'[9]Anexo 2.'!$F$579:$F$583</definedName>
    <definedName name="VIGENCIAS">'[10]Anexo 2.'!$E$404:$E$407</definedName>
  </definedNames>
  <calcPr calcId="191029"/>
  <pivotCaches>
    <pivotCache cacheId="0"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8" name="Table8" connection="WorksheetConnection_1.BASE DE DATOS GRAL (BACKUP 20250331).xlsm!Table8"/>
          <x15:modelTable id="PROYECTOS2" name="PROYECTOS2" connection="WorksheetConnection_1.BASE DE DATOS GRAL (BACKUP 20250331).xlsm!PROYECTOS2"/>
        </x15:modelTables>
        <x15:modelRelationships>
          <x15:modelRelationship fromTable="PROYECTOS2" fromColumn="MUNICIPIO" toTable="Table8" toColumn="MUNICIPIO"/>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98" i="6" l="1"/>
  <c r="E698" i="6" s="1"/>
  <c r="B698" i="6"/>
  <c r="C698" i="6"/>
  <c r="F698" i="6" a="1"/>
  <c r="F698" i="6" s="1"/>
  <c r="G698" i="6"/>
  <c r="J698" i="6" a="1"/>
  <c r="J698" i="6" s="1"/>
  <c r="T698" i="6"/>
  <c r="U698" i="6"/>
  <c r="V698" i="6"/>
  <c r="X698" i="6"/>
  <c r="Y698" i="6"/>
  <c r="AF698" i="6"/>
  <c r="E699" i="6"/>
  <c r="F699" i="6" a="1"/>
  <c r="F699" i="6" s="1"/>
  <c r="G699" i="6"/>
  <c r="H699" i="6"/>
  <c r="I699" i="6"/>
  <c r="J699" i="6" a="1"/>
  <c r="J699" i="6" s="1"/>
  <c r="T699" i="6"/>
  <c r="U699" i="6"/>
  <c r="V699" i="6"/>
  <c r="X699" i="6"/>
  <c r="Y699" i="6"/>
  <c r="AF699" i="6"/>
  <c r="L688" i="6"/>
  <c r="L674" i="6"/>
  <c r="L662" i="6"/>
  <c r="L663" i="6"/>
  <c r="L664" i="6"/>
  <c r="L667" i="6"/>
  <c r="L668" i="6"/>
  <c r="L670" i="6"/>
  <c r="L671" i="6"/>
  <c r="L672" i="6"/>
  <c r="L673" i="6"/>
  <c r="L676" i="6"/>
  <c r="L677" i="6"/>
  <c r="L678" i="6"/>
  <c r="L679" i="6"/>
  <c r="L680" i="6"/>
  <c r="L681" i="6"/>
  <c r="L682" i="6"/>
  <c r="L687" i="6"/>
  <c r="L689" i="6"/>
  <c r="L691" i="6"/>
  <c r="L692" i="6"/>
  <c r="L693" i="6"/>
  <c r="L694" i="6"/>
  <c r="L695" i="6"/>
  <c r="L696" i="6"/>
  <c r="D662" i="6"/>
  <c r="D663" i="6"/>
  <c r="I663" i="6" s="1"/>
  <c r="D664" i="6"/>
  <c r="I664" i="6" s="1"/>
  <c r="D665" i="6"/>
  <c r="U665" i="6" s="1"/>
  <c r="D666" i="6"/>
  <c r="U666" i="6" s="1"/>
  <c r="D667" i="6"/>
  <c r="I667" i="6" s="1"/>
  <c r="D668" i="6"/>
  <c r="Y668" i="6" s="1"/>
  <c r="D669" i="6"/>
  <c r="T669" i="6" s="1"/>
  <c r="D670" i="6"/>
  <c r="G670" i="6" s="1"/>
  <c r="D671" i="6"/>
  <c r="F671" i="6" s="1" a="1"/>
  <c r="F671" i="6" s="1"/>
  <c r="D672" i="6"/>
  <c r="F672" i="6" s="1" a="1"/>
  <c r="F672" i="6" s="1"/>
  <c r="D673" i="6"/>
  <c r="X673" i="6" s="1"/>
  <c r="D674" i="6"/>
  <c r="D675" i="6"/>
  <c r="I675" i="6" s="1"/>
  <c r="D676" i="6"/>
  <c r="D677" i="6"/>
  <c r="V677" i="6" s="1"/>
  <c r="D678" i="6"/>
  <c r="F678" i="6" s="1" a="1"/>
  <c r="F678" i="6" s="1"/>
  <c r="D679" i="6"/>
  <c r="T679" i="6" s="1"/>
  <c r="D680" i="6"/>
  <c r="T680" i="6" s="1"/>
  <c r="D681" i="6"/>
  <c r="X681" i="6" s="1"/>
  <c r="D682" i="6"/>
  <c r="U682" i="6" s="1"/>
  <c r="D683" i="6"/>
  <c r="E683" i="6" s="1"/>
  <c r="D684" i="6"/>
  <c r="E684" i="6" s="1"/>
  <c r="D685" i="6"/>
  <c r="E685" i="6" s="1"/>
  <c r="D686" i="6"/>
  <c r="I686" i="6" s="1"/>
  <c r="D687" i="6"/>
  <c r="U687" i="6" s="1"/>
  <c r="D688" i="6"/>
  <c r="D689" i="6"/>
  <c r="AF689" i="6" s="1"/>
  <c r="D690" i="6"/>
  <c r="F690" i="6" s="1" a="1"/>
  <c r="F690" i="6" s="1"/>
  <c r="D691" i="6"/>
  <c r="E691" i="6" s="1"/>
  <c r="D692" i="6"/>
  <c r="I692" i="6" s="1"/>
  <c r="D693" i="6"/>
  <c r="I693" i="6" s="1"/>
  <c r="D694" i="6"/>
  <c r="G694" i="6" s="1"/>
  <c r="D695" i="6"/>
  <c r="D696" i="6"/>
  <c r="D697"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C682" i="6"/>
  <c r="C683" i="6"/>
  <c r="C684" i="6"/>
  <c r="C685" i="6"/>
  <c r="J682" i="6" a="1"/>
  <c r="J682" i="6" s="1"/>
  <c r="J683" i="6" a="1"/>
  <c r="J683" i="6" s="1"/>
  <c r="J684" i="6" a="1"/>
  <c r="J684" i="6" s="1"/>
  <c r="J685" i="6" a="1"/>
  <c r="J685" i="6" s="1"/>
  <c r="C686" i="6"/>
  <c r="C687" i="6"/>
  <c r="C688" i="6"/>
  <c r="J686" i="6" a="1"/>
  <c r="J686" i="6" s="1"/>
  <c r="J687" i="6" a="1"/>
  <c r="J687" i="6" s="1"/>
  <c r="J688" i="6" a="1"/>
  <c r="J688" i="6" s="1"/>
  <c r="C689" i="6"/>
  <c r="C690" i="6"/>
  <c r="C691" i="6"/>
  <c r="J689" i="6" a="1"/>
  <c r="J689" i="6" s="1"/>
  <c r="J690" i="6" a="1"/>
  <c r="J690" i="6" s="1"/>
  <c r="J691" i="6" a="1"/>
  <c r="J691" i="6" s="1"/>
  <c r="C692" i="6"/>
  <c r="C693" i="6"/>
  <c r="J692" i="6" a="1"/>
  <c r="J692" i="6" s="1"/>
  <c r="J693" i="6" a="1"/>
  <c r="J693" i="6" s="1"/>
  <c r="C694" i="6"/>
  <c r="J694" i="6" a="1"/>
  <c r="J694" i="6" s="1"/>
  <c r="C695" i="6"/>
  <c r="J695" i="6" a="1"/>
  <c r="J695" i="6" s="1"/>
  <c r="C696" i="6"/>
  <c r="J696" i="6" a="1"/>
  <c r="J696" i="6" s="1"/>
  <c r="C697" i="6"/>
  <c r="J697" i="6" a="1"/>
  <c r="J697" i="6" s="1"/>
  <c r="C662" i="6"/>
  <c r="C663" i="6"/>
  <c r="C664" i="6"/>
  <c r="C665" i="6"/>
  <c r="C666" i="6"/>
  <c r="C667" i="6"/>
  <c r="J662" i="6" a="1"/>
  <c r="J662" i="6" s="1"/>
  <c r="J663" i="6" a="1"/>
  <c r="J663" i="6" s="1"/>
  <c r="J664" i="6" a="1"/>
  <c r="J664" i="6" s="1"/>
  <c r="J665" i="6" a="1"/>
  <c r="J665" i="6" s="1"/>
  <c r="J666" i="6" a="1"/>
  <c r="J666" i="6" s="1"/>
  <c r="J667" i="6" a="1"/>
  <c r="J667" i="6" s="1"/>
  <c r="X666" i="6"/>
  <c r="Y666" i="6"/>
  <c r="C668" i="6"/>
  <c r="C669" i="6"/>
  <c r="C670" i="6"/>
  <c r="C671" i="6"/>
  <c r="C672" i="6"/>
  <c r="C673" i="6"/>
  <c r="J668" i="6" a="1"/>
  <c r="J668" i="6" s="1"/>
  <c r="J669" i="6" a="1"/>
  <c r="J669" i="6" s="1"/>
  <c r="J670" i="6" a="1"/>
  <c r="J670" i="6" s="1"/>
  <c r="J671" i="6" a="1"/>
  <c r="J671" i="6" s="1"/>
  <c r="J672" i="6" a="1"/>
  <c r="J672" i="6" s="1"/>
  <c r="J673" i="6" a="1"/>
  <c r="J673" i="6" s="1"/>
  <c r="C674" i="6"/>
  <c r="C675" i="6"/>
  <c r="J674" i="6" a="1"/>
  <c r="J674" i="6" s="1"/>
  <c r="J675" i="6" a="1"/>
  <c r="J675" i="6" s="1"/>
  <c r="C676" i="6"/>
  <c r="C677" i="6"/>
  <c r="J676" i="6" a="1"/>
  <c r="J676" i="6" s="1"/>
  <c r="J677" i="6" a="1"/>
  <c r="J677" i="6" s="1"/>
  <c r="C678" i="6"/>
  <c r="C679" i="6"/>
  <c r="J678" i="6" a="1"/>
  <c r="J678" i="6" s="1"/>
  <c r="J679" i="6" a="1"/>
  <c r="J679" i="6" s="1"/>
  <c r="C680" i="6"/>
  <c r="J680" i="6" a="1"/>
  <c r="J680" i="6" s="1"/>
  <c r="C681" i="6"/>
  <c r="J681" i="6" a="1"/>
  <c r="J681" i="6" s="1"/>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L651" i="6"/>
  <c r="L652" i="6"/>
  <c r="L653" i="6"/>
  <c r="L654" i="6"/>
  <c r="L655" i="6"/>
  <c r="L656" i="6"/>
  <c r="L658" i="6"/>
  <c r="L661" i="6"/>
  <c r="D651" i="6"/>
  <c r="T651" i="6" s="1"/>
  <c r="D652" i="6"/>
  <c r="T652" i="6" s="1"/>
  <c r="D653" i="6"/>
  <c r="V653" i="6" s="1"/>
  <c r="D654" i="6"/>
  <c r="Y654" i="6" s="1"/>
  <c r="D655" i="6"/>
  <c r="T655" i="6" s="1"/>
  <c r="D656" i="6"/>
  <c r="H656" i="6" s="1"/>
  <c r="D657" i="6"/>
  <c r="I657" i="6" s="1"/>
  <c r="D658" i="6"/>
  <c r="U658" i="6" s="1"/>
  <c r="D659" i="6"/>
  <c r="H659" i="6" s="1"/>
  <c r="D660" i="6"/>
  <c r="U660" i="6" s="1"/>
  <c r="D661" i="6"/>
  <c r="G661" i="6" s="1"/>
  <c r="B651" i="6"/>
  <c r="B652" i="6"/>
  <c r="B653" i="6"/>
  <c r="B654" i="6"/>
  <c r="B655" i="6"/>
  <c r="B656" i="6"/>
  <c r="B657" i="6"/>
  <c r="B658" i="6"/>
  <c r="B659" i="6"/>
  <c r="B660" i="6"/>
  <c r="B661" i="6"/>
  <c r="C651" i="6"/>
  <c r="C652" i="6"/>
  <c r="C653" i="6"/>
  <c r="J651" i="6" a="1"/>
  <c r="J651" i="6" s="1"/>
  <c r="J652" i="6" a="1"/>
  <c r="J652" i="6" s="1"/>
  <c r="J653" i="6" a="1"/>
  <c r="J653" i="6" s="1"/>
  <c r="C654" i="6"/>
  <c r="C655" i="6"/>
  <c r="C656" i="6"/>
  <c r="J654" i="6" a="1"/>
  <c r="J654" i="6" s="1"/>
  <c r="J655" i="6" a="1"/>
  <c r="J655" i="6" s="1"/>
  <c r="J656" i="6" a="1"/>
  <c r="J656" i="6" s="1"/>
  <c r="C657" i="6"/>
  <c r="C658" i="6"/>
  <c r="C659" i="6"/>
  <c r="J657" i="6" a="1"/>
  <c r="J657" i="6" s="1"/>
  <c r="J658" i="6" a="1"/>
  <c r="J658" i="6" s="1"/>
  <c r="J659" i="6" a="1"/>
  <c r="J659" i="6" s="1"/>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D443" i="4"/>
  <c r="D444" i="4"/>
  <c r="D445" i="4"/>
  <c r="D446" i="4"/>
  <c r="D447" i="4"/>
  <c r="D448" i="4"/>
  <c r="D449" i="4"/>
  <c r="D450" i="4"/>
  <c r="D451" i="4"/>
  <c r="D452" i="4"/>
  <c r="D453" i="4"/>
  <c r="D454" i="4"/>
  <c r="D455" i="4"/>
  <c r="D456" i="4"/>
  <c r="D457" i="4"/>
  <c r="D458" i="4"/>
  <c r="L634" i="6"/>
  <c r="L636" i="6"/>
  <c r="L637" i="6"/>
  <c r="L638" i="6"/>
  <c r="L639" i="6"/>
  <c r="L640" i="6"/>
  <c r="L644" i="6"/>
  <c r="L645" i="6"/>
  <c r="L646" i="6"/>
  <c r="L648" i="6"/>
  <c r="L649" i="6"/>
  <c r="L650" i="6"/>
  <c r="B631" i="6"/>
  <c r="B632" i="6"/>
  <c r="B633" i="6"/>
  <c r="B634" i="6"/>
  <c r="B635" i="6"/>
  <c r="B636" i="6"/>
  <c r="B637" i="6"/>
  <c r="B638" i="6"/>
  <c r="B639" i="6"/>
  <c r="B640" i="6"/>
  <c r="B641" i="6"/>
  <c r="B642" i="6"/>
  <c r="B643" i="6"/>
  <c r="B644" i="6"/>
  <c r="B645" i="6"/>
  <c r="B646" i="6"/>
  <c r="B647" i="6"/>
  <c r="B648" i="6"/>
  <c r="B649" i="6"/>
  <c r="B650" i="6"/>
  <c r="B630" i="6"/>
  <c r="C630" i="6"/>
  <c r="D630" i="6"/>
  <c r="U630" i="6" s="1"/>
  <c r="C631" i="6"/>
  <c r="D631" i="6"/>
  <c r="T631" i="6" s="1"/>
  <c r="C632" i="6"/>
  <c r="D632" i="6"/>
  <c r="I632" i="6" s="1"/>
  <c r="C633" i="6"/>
  <c r="D633" i="6"/>
  <c r="T633" i="6" s="1"/>
  <c r="C634" i="6"/>
  <c r="D634" i="6"/>
  <c r="X634" i="6" s="1"/>
  <c r="C635" i="6"/>
  <c r="D635" i="6"/>
  <c r="F635" i="6" s="1" a="1"/>
  <c r="F635" i="6" s="1"/>
  <c r="C636" i="6"/>
  <c r="D636" i="6"/>
  <c r="T636" i="6" s="1"/>
  <c r="C637" i="6"/>
  <c r="D637" i="6"/>
  <c r="X637" i="6" s="1"/>
  <c r="C638" i="6"/>
  <c r="D638" i="6"/>
  <c r="E638" i="6" s="1"/>
  <c r="C639" i="6"/>
  <c r="D639" i="6"/>
  <c r="Y639" i="6" s="1"/>
  <c r="C640" i="6"/>
  <c r="D640" i="6"/>
  <c r="F640" i="6" s="1" a="1"/>
  <c r="F640" i="6" s="1"/>
  <c r="C641" i="6"/>
  <c r="D641" i="6"/>
  <c r="E641" i="6" s="1"/>
  <c r="C642" i="6"/>
  <c r="D642" i="6"/>
  <c r="T642" i="6" s="1"/>
  <c r="C643" i="6"/>
  <c r="D643" i="6"/>
  <c r="C644" i="6"/>
  <c r="D644" i="6"/>
  <c r="U644" i="6" s="1"/>
  <c r="C645" i="6"/>
  <c r="D645" i="6"/>
  <c r="X645" i="6" s="1"/>
  <c r="C646" i="6"/>
  <c r="D646" i="6"/>
  <c r="X646" i="6" s="1"/>
  <c r="C647" i="6"/>
  <c r="D647" i="6"/>
  <c r="T647" i="6" s="1"/>
  <c r="C648" i="6"/>
  <c r="D648" i="6"/>
  <c r="I648" i="6" s="1"/>
  <c r="C649" i="6"/>
  <c r="D649" i="6"/>
  <c r="H649" i="6" s="1"/>
  <c r="C650" i="6"/>
  <c r="D650" i="6"/>
  <c r="V650" i="6" s="1"/>
  <c r="J630" i="6" a="1"/>
  <c r="J630" i="6" s="1"/>
  <c r="J631" i="6" a="1"/>
  <c r="J631" i="6" s="1"/>
  <c r="J632" i="6" a="1"/>
  <c r="J632" i="6" s="1"/>
  <c r="J633" i="6" a="1"/>
  <c r="J633" i="6" s="1"/>
  <c r="J634" i="6" a="1"/>
  <c r="J634" i="6" s="1"/>
  <c r="J635" i="6" a="1"/>
  <c r="J635" i="6" s="1"/>
  <c r="J636" i="6" a="1"/>
  <c r="J636" i="6" s="1"/>
  <c r="J637" i="6" a="1"/>
  <c r="J637" i="6" s="1"/>
  <c r="J638" i="6" a="1"/>
  <c r="J638" i="6" s="1"/>
  <c r="J639" i="6" a="1"/>
  <c r="J639" i="6" s="1"/>
  <c r="J640" i="6" a="1"/>
  <c r="J640" i="6" s="1"/>
  <c r="J641" i="6" a="1"/>
  <c r="J641" i="6" s="1"/>
  <c r="J642" i="6" a="1"/>
  <c r="J642" i="6" s="1"/>
  <c r="J643" i="6" a="1"/>
  <c r="J643" i="6" s="1"/>
  <c r="J644" i="6" a="1"/>
  <c r="J644" i="6" s="1"/>
  <c r="J645" i="6" a="1"/>
  <c r="J645" i="6" s="1"/>
  <c r="J646" i="6" a="1"/>
  <c r="J646" i="6" s="1"/>
  <c r="J647" i="6" a="1"/>
  <c r="J647" i="6" s="1"/>
  <c r="J648" i="6" a="1"/>
  <c r="J648" i="6" s="1"/>
  <c r="J649" i="6" a="1"/>
  <c r="J649" i="6" s="1"/>
  <c r="C660" i="6"/>
  <c r="J650" i="6" a="1"/>
  <c r="J650" i="6" s="1"/>
  <c r="J660" i="6" a="1"/>
  <c r="J660" i="6" s="1"/>
  <c r="C661" i="6"/>
  <c r="J661" i="6" a="1"/>
  <c r="J661" i="6" s="1"/>
  <c r="D418" i="4"/>
  <c r="D419" i="4"/>
  <c r="D420" i="4"/>
  <c r="D421" i="4"/>
  <c r="D422" i="4"/>
  <c r="D423" i="4"/>
  <c r="D424" i="4"/>
  <c r="D425" i="4"/>
  <c r="D426" i="4"/>
  <c r="D427" i="4"/>
  <c r="D428" i="4"/>
  <c r="D429" i="4"/>
  <c r="D430" i="4"/>
  <c r="D431" i="4"/>
  <c r="D432" i="4"/>
  <c r="D433" i="4"/>
  <c r="D434" i="4"/>
  <c r="D435" i="4"/>
  <c r="D436" i="4"/>
  <c r="D437" i="4"/>
  <c r="D438" i="4"/>
  <c r="D439" i="4"/>
  <c r="D440" i="4"/>
  <c r="D441" i="4"/>
  <c r="D44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L629" i="6"/>
  <c r="C629" i="6"/>
  <c r="D629" i="6"/>
  <c r="F629" i="6" s="1" a="1"/>
  <c r="F629" i="6" s="1"/>
  <c r="J629" i="6" a="1"/>
  <c r="J629" i="6" s="1"/>
  <c r="I698" i="6" l="1"/>
  <c r="H698" i="6"/>
  <c r="I669" i="6"/>
  <c r="U681" i="6"/>
  <c r="AF666" i="6"/>
  <c r="E665" i="6"/>
  <c r="E664" i="6"/>
  <c r="G664" i="6"/>
  <c r="F664" i="6" a="1"/>
  <c r="F664" i="6" s="1"/>
  <c r="U664" i="6"/>
  <c r="AF664" i="6"/>
  <c r="Y664" i="6"/>
  <c r="X665" i="6"/>
  <c r="V664" i="6"/>
  <c r="H664" i="6"/>
  <c r="F681" i="6" a="1"/>
  <c r="F681" i="6" s="1"/>
  <c r="T667" i="6"/>
  <c r="H667" i="6"/>
  <c r="T665" i="6"/>
  <c r="X693" i="6"/>
  <c r="G665" i="6"/>
  <c r="F665" i="6" a="1"/>
  <c r="F665" i="6" s="1"/>
  <c r="X664" i="6"/>
  <c r="H694" i="6"/>
  <c r="I668" i="6"/>
  <c r="H668" i="6"/>
  <c r="V681" i="6"/>
  <c r="H670" i="6"/>
  <c r="T681" i="6"/>
  <c r="G672" i="6"/>
  <c r="V667" i="6"/>
  <c r="U667" i="6"/>
  <c r="V668" i="6"/>
  <c r="G673" i="6"/>
  <c r="F668" i="6" a="1"/>
  <c r="F668" i="6" s="1"/>
  <c r="E667" i="6"/>
  <c r="E666" i="6"/>
  <c r="I694" i="6"/>
  <c r="Y663" i="6"/>
  <c r="V691" i="6"/>
  <c r="T691" i="6"/>
  <c r="AF681" i="6"/>
  <c r="E673" i="6"/>
  <c r="E680" i="6"/>
  <c r="F680" i="6" a="1"/>
  <c r="F680" i="6" s="1"/>
  <c r="X671" i="6"/>
  <c r="X670" i="6"/>
  <c r="V672" i="6"/>
  <c r="E668" i="6"/>
  <c r="G693" i="6"/>
  <c r="X672" i="6"/>
  <c r="G692" i="6"/>
  <c r="H666" i="6"/>
  <c r="F670" i="6" a="1"/>
  <c r="F670" i="6" s="1"/>
  <c r="H665" i="6"/>
  <c r="Y674" i="6"/>
  <c r="X669" i="6"/>
  <c r="V666" i="6"/>
  <c r="I673" i="6"/>
  <c r="G679" i="6"/>
  <c r="F679" i="6" a="1"/>
  <c r="F679" i="6" s="1"/>
  <c r="Y675" i="6"/>
  <c r="H672" i="6"/>
  <c r="H671" i="6"/>
  <c r="AF673" i="6"/>
  <c r="U668" i="6"/>
  <c r="T671" i="6"/>
  <c r="U673" i="6"/>
  <c r="U671" i="6"/>
  <c r="T668" i="6"/>
  <c r="F692" i="6" a="1"/>
  <c r="F692" i="6" s="1"/>
  <c r="Y667" i="6"/>
  <c r="E697" i="6"/>
  <c r="G691" i="6"/>
  <c r="F691" i="6" a="1"/>
  <c r="F691" i="6" s="1"/>
  <c r="H691" i="6"/>
  <c r="Y696" i="6"/>
  <c r="X696" i="6"/>
  <c r="V695" i="6"/>
  <c r="T695" i="6"/>
  <c r="U693" i="6"/>
  <c r="X695" i="6"/>
  <c r="U692" i="6"/>
  <c r="X691" i="6"/>
  <c r="Y695" i="6"/>
  <c r="H695" i="6"/>
  <c r="H681" i="6"/>
  <c r="H673" i="6"/>
  <c r="V665" i="6"/>
  <c r="F689" i="6" a="1"/>
  <c r="F689" i="6" s="1"/>
  <c r="V697" i="6"/>
  <c r="X668" i="6"/>
  <c r="F669" i="6" a="1"/>
  <c r="F669" i="6" s="1"/>
  <c r="T664" i="6"/>
  <c r="U697" i="6"/>
  <c r="T697" i="6"/>
  <c r="AF671" i="6"/>
  <c r="V670" i="6"/>
  <c r="E672" i="6"/>
  <c r="I697" i="6"/>
  <c r="H679" i="6"/>
  <c r="AF669" i="6"/>
  <c r="V669" i="6"/>
  <c r="E669" i="6"/>
  <c r="F697" i="6" a="1"/>
  <c r="F697" i="6" s="1"/>
  <c r="I674" i="6"/>
  <c r="G674" i="6"/>
  <c r="F674" i="6" a="1"/>
  <c r="F674" i="6" s="1"/>
  <c r="Y665" i="6"/>
  <c r="G667" i="6"/>
  <c r="G666" i="6"/>
  <c r="V676" i="6"/>
  <c r="T676" i="6"/>
  <c r="H687" i="6"/>
  <c r="Y682" i="6"/>
  <c r="U676" i="6"/>
  <c r="I695" i="6"/>
  <c r="E692" i="6"/>
  <c r="AF677" i="6"/>
  <c r="G681" i="6"/>
  <c r="V671" i="6"/>
  <c r="E695" i="6"/>
  <c r="AF674" i="6"/>
  <c r="E670" i="6"/>
  <c r="X692" i="6"/>
  <c r="I682" i="6"/>
  <c r="X663" i="6"/>
  <c r="H663" i="6"/>
  <c r="U695" i="6"/>
  <c r="V690" i="6"/>
  <c r="U690" i="6"/>
  <c r="G663" i="6"/>
  <c r="T690" i="6"/>
  <c r="E679" i="6"/>
  <c r="F666" i="6" a="1"/>
  <c r="F666" i="6" s="1"/>
  <c r="H697" i="6"/>
  <c r="E693" i="6"/>
  <c r="T689" i="6"/>
  <c r="H688" i="6"/>
  <c r="E689" i="6"/>
  <c r="H686" i="6"/>
  <c r="U663" i="6"/>
  <c r="I690" i="6"/>
  <c r="I689" i="6"/>
  <c r="V663" i="6"/>
  <c r="E663" i="6"/>
  <c r="F663" i="6" a="1"/>
  <c r="F663" i="6" s="1"/>
  <c r="AF680" i="6"/>
  <c r="H690" i="6"/>
  <c r="Y680" i="6"/>
  <c r="Y690" i="6"/>
  <c r="X684" i="6"/>
  <c r="V689" i="6"/>
  <c r="G690" i="6"/>
  <c r="X683" i="6"/>
  <c r="E690" i="6"/>
  <c r="X680" i="6"/>
  <c r="G689" i="6"/>
  <c r="X682" i="6"/>
  <c r="T663" i="6"/>
  <c r="X690" i="6"/>
  <c r="I680" i="6"/>
  <c r="AF695" i="6"/>
  <c r="X689" i="6"/>
  <c r="H680" i="6"/>
  <c r="G671" i="6"/>
  <c r="AF663" i="6"/>
  <c r="AF690" i="6"/>
  <c r="G680" i="6"/>
  <c r="V673" i="6"/>
  <c r="AF697" i="6"/>
  <c r="I679" i="6"/>
  <c r="E677" i="6"/>
  <c r="T684" i="6"/>
  <c r="T683" i="6"/>
  <c r="I681" i="6"/>
  <c r="AF679" i="6"/>
  <c r="AF668" i="6"/>
  <c r="Y671" i="6"/>
  <c r="I671" i="6"/>
  <c r="V692" i="6"/>
  <c r="U689" i="6"/>
  <c r="T682" i="6"/>
  <c r="H674" i="6"/>
  <c r="H669" i="6"/>
  <c r="T666" i="6"/>
  <c r="F695" i="6" a="1"/>
  <c r="F695" i="6" s="1"/>
  <c r="T692" i="6"/>
  <c r="H683" i="6"/>
  <c r="AF682" i="6"/>
  <c r="H682" i="6"/>
  <c r="G686" i="6"/>
  <c r="F686" i="6" a="1"/>
  <c r="F686" i="6" s="1"/>
  <c r="Y678" i="6"/>
  <c r="U677" i="6"/>
  <c r="F675" i="6" a="1"/>
  <c r="F675" i="6" s="1"/>
  <c r="G682" i="6"/>
  <c r="H675" i="6"/>
  <c r="X688" i="6"/>
  <c r="E682" i="6"/>
  <c r="X687" i="6"/>
  <c r="X686" i="6"/>
  <c r="H684" i="6"/>
  <c r="V679" i="6"/>
  <c r="I696" i="6"/>
  <c r="T685" i="6"/>
  <c r="Y679" i="6"/>
  <c r="U679" i="6"/>
  <c r="H696" i="6"/>
  <c r="Y689" i="6"/>
  <c r="U686" i="6"/>
  <c r="X679" i="6"/>
  <c r="I677" i="6"/>
  <c r="G696" i="6"/>
  <c r="V694" i="6"/>
  <c r="H689" i="6"/>
  <c r="G677" i="6"/>
  <c r="F696" i="6" a="1"/>
  <c r="F696" i="6" s="1"/>
  <c r="U694" i="6"/>
  <c r="H693" i="6"/>
  <c r="E686" i="6"/>
  <c r="X678" i="6"/>
  <c r="T677" i="6"/>
  <c r="F677" i="6" a="1"/>
  <c r="F677" i="6" s="1"/>
  <c r="U670" i="6"/>
  <c r="E671" i="6"/>
  <c r="X667" i="6"/>
  <c r="I666" i="6"/>
  <c r="E696" i="6"/>
  <c r="T694" i="6"/>
  <c r="H692" i="6"/>
  <c r="G675" i="6"/>
  <c r="E675" i="6"/>
  <c r="F694" i="6" a="1"/>
  <c r="F694" i="6" s="1"/>
  <c r="G687" i="6"/>
  <c r="V678" i="6"/>
  <c r="AF676" i="6"/>
  <c r="I676" i="6"/>
  <c r="E674" i="6"/>
  <c r="AF672" i="6"/>
  <c r="I672" i="6"/>
  <c r="AF667" i="6"/>
  <c r="V696" i="6"/>
  <c r="E694" i="6"/>
  <c r="V688" i="6"/>
  <c r="AF685" i="6"/>
  <c r="Y685" i="6"/>
  <c r="I685" i="6"/>
  <c r="E681" i="6"/>
  <c r="H677" i="6"/>
  <c r="Y697" i="6"/>
  <c r="U696" i="6"/>
  <c r="V687" i="6"/>
  <c r="F688" i="6" a="1"/>
  <c r="F688" i="6" s="1"/>
  <c r="AF684" i="6"/>
  <c r="Y684" i="6"/>
  <c r="I684" i="6"/>
  <c r="U678" i="6"/>
  <c r="H676" i="6"/>
  <c r="AF670" i="6"/>
  <c r="I670" i="6"/>
  <c r="AF665" i="6"/>
  <c r="F667" i="6" a="1"/>
  <c r="F667" i="6" s="1"/>
  <c r="X697" i="6"/>
  <c r="T696" i="6"/>
  <c r="G695" i="6"/>
  <c r="V693" i="6"/>
  <c r="F693" i="6" a="1"/>
  <c r="F693" i="6" s="1"/>
  <c r="AF691" i="6"/>
  <c r="Y691" i="6"/>
  <c r="I691" i="6"/>
  <c r="V686" i="6"/>
  <c r="F687" i="6" a="1"/>
  <c r="F687" i="6" s="1"/>
  <c r="AF683" i="6"/>
  <c r="Y683" i="6"/>
  <c r="I683" i="6"/>
  <c r="T678" i="6"/>
  <c r="G676" i="6"/>
  <c r="U688" i="6"/>
  <c r="X685" i="6"/>
  <c r="H685" i="6"/>
  <c r="T688" i="6"/>
  <c r="G685" i="6"/>
  <c r="G688" i="6"/>
  <c r="E687" i="6"/>
  <c r="I678" i="6"/>
  <c r="E676" i="6"/>
  <c r="X674" i="6"/>
  <c r="T687" i="6"/>
  <c r="G684" i="6"/>
  <c r="H678" i="6"/>
  <c r="U672" i="6"/>
  <c r="G697" i="6"/>
  <c r="AF694" i="6"/>
  <c r="T693" i="6"/>
  <c r="T686" i="6"/>
  <c r="G683" i="6"/>
  <c r="AF678" i="6"/>
  <c r="V684" i="6"/>
  <c r="E688" i="6"/>
  <c r="V685" i="6"/>
  <c r="Y676" i="6"/>
  <c r="F684" i="6" a="1"/>
  <c r="F684" i="6" s="1"/>
  <c r="V682" i="6"/>
  <c r="F683" i="6" a="1"/>
  <c r="F683" i="6" s="1"/>
  <c r="F676" i="6" a="1"/>
  <c r="F676" i="6" s="1"/>
  <c r="V675" i="6"/>
  <c r="G678" i="6"/>
  <c r="F685" i="6" a="1"/>
  <c r="F685" i="6" s="1"/>
  <c r="U674" i="6"/>
  <c r="E678" i="6"/>
  <c r="X676" i="6"/>
  <c r="T674" i="6"/>
  <c r="Y670" i="6"/>
  <c r="T672" i="6"/>
  <c r="G668" i="6"/>
  <c r="AF688" i="6"/>
  <c r="Y688" i="6"/>
  <c r="I688" i="6"/>
  <c r="U685" i="6"/>
  <c r="F682" i="6" a="1"/>
  <c r="F682" i="6" s="1"/>
  <c r="Y669" i="6"/>
  <c r="Y694" i="6"/>
  <c r="AF687" i="6"/>
  <c r="Y687" i="6"/>
  <c r="I687" i="6"/>
  <c r="U684" i="6"/>
  <c r="X675" i="6"/>
  <c r="V674" i="6"/>
  <c r="Y672" i="6"/>
  <c r="V683" i="6"/>
  <c r="T673" i="6"/>
  <c r="G669" i="6"/>
  <c r="V680" i="6"/>
  <c r="F673" i="6" a="1"/>
  <c r="F673" i="6" s="1"/>
  <c r="I665" i="6"/>
  <c r="Y681" i="6"/>
  <c r="U680" i="6"/>
  <c r="T670" i="6"/>
  <c r="AF696" i="6"/>
  <c r="X694" i="6"/>
  <c r="AF693" i="6"/>
  <c r="Y693" i="6"/>
  <c r="U691" i="6"/>
  <c r="AF686" i="6"/>
  <c r="Y686" i="6"/>
  <c r="U683" i="6"/>
  <c r="Y677" i="6"/>
  <c r="U675" i="6"/>
  <c r="Y673" i="6"/>
  <c r="U669" i="6"/>
  <c r="X677" i="6"/>
  <c r="T675" i="6"/>
  <c r="AF675" i="6"/>
  <c r="AF692" i="6"/>
  <c r="Y692" i="6"/>
  <c r="AF662" i="6"/>
  <c r="I662" i="6"/>
  <c r="H662" i="6"/>
  <c r="Y662" i="6"/>
  <c r="T662" i="6"/>
  <c r="E662" i="6"/>
  <c r="U662" i="6"/>
  <c r="F662" i="6" a="1"/>
  <c r="F662" i="6" s="1"/>
  <c r="V662" i="6"/>
  <c r="G662" i="6"/>
  <c r="X662" i="6"/>
  <c r="X657" i="6"/>
  <c r="G657" i="6"/>
  <c r="Y655" i="6"/>
  <c r="X655" i="6"/>
  <c r="V656" i="6"/>
  <c r="V654" i="6"/>
  <c r="X654" i="6"/>
  <c r="H655" i="6"/>
  <c r="Y658" i="6"/>
  <c r="G654" i="6"/>
  <c r="F654" i="6" a="1"/>
  <c r="F654" i="6" s="1"/>
  <c r="Y653" i="6"/>
  <c r="X653" i="6"/>
  <c r="T653" i="6"/>
  <c r="Y656" i="6"/>
  <c r="X656" i="6"/>
  <c r="H658" i="6"/>
  <c r="G658" i="6"/>
  <c r="H654" i="6"/>
  <c r="H653" i="6"/>
  <c r="E657" i="6"/>
  <c r="G656" i="6"/>
  <c r="G653" i="6"/>
  <c r="E656" i="6"/>
  <c r="G655" i="6"/>
  <c r="F653" i="6" a="1"/>
  <c r="F653" i="6" s="1"/>
  <c r="E655" i="6"/>
  <c r="E654" i="6"/>
  <c r="E653" i="6"/>
  <c r="Y657" i="6"/>
  <c r="I658" i="6"/>
  <c r="I652" i="6"/>
  <c r="I651" i="6"/>
  <c r="Y660" i="6"/>
  <c r="F659" i="6" a="1"/>
  <c r="F659" i="6" s="1"/>
  <c r="X660" i="6"/>
  <c r="F658" i="6" a="1"/>
  <c r="F658" i="6" s="1"/>
  <c r="F656" i="6" a="1"/>
  <c r="F656" i="6" s="1"/>
  <c r="H652" i="6"/>
  <c r="F657" i="6" a="1"/>
  <c r="F657" i="6" s="1"/>
  <c r="H651" i="6"/>
  <c r="V660" i="6"/>
  <c r="F655" i="6" a="1"/>
  <c r="F655" i="6" s="1"/>
  <c r="E659" i="6"/>
  <c r="G651" i="6"/>
  <c r="E658" i="6"/>
  <c r="Y652" i="6"/>
  <c r="G652" i="6"/>
  <c r="X658" i="6"/>
  <c r="E660" i="6"/>
  <c r="U657" i="6"/>
  <c r="T659" i="6"/>
  <c r="T658" i="6"/>
  <c r="AF656" i="6"/>
  <c r="U656" i="6"/>
  <c r="V652" i="6"/>
  <c r="E652" i="6"/>
  <c r="T657" i="6"/>
  <c r="AF655" i="6"/>
  <c r="U655" i="6"/>
  <c r="AF652" i="6"/>
  <c r="V651" i="6"/>
  <c r="E651" i="6"/>
  <c r="E661" i="6"/>
  <c r="Y659" i="6"/>
  <c r="X659" i="6"/>
  <c r="Y651" i="6"/>
  <c r="AF654" i="6"/>
  <c r="U654" i="6"/>
  <c r="AF651" i="6"/>
  <c r="U653" i="6"/>
  <c r="E650" i="6"/>
  <c r="X651" i="6"/>
  <c r="T656" i="6"/>
  <c r="U652" i="6"/>
  <c r="E649" i="6"/>
  <c r="AF660" i="6"/>
  <c r="U651" i="6"/>
  <c r="E648" i="6"/>
  <c r="F651" i="6" a="1"/>
  <c r="F651" i="6" s="1"/>
  <c r="F661" i="6" a="1"/>
  <c r="F661" i="6" s="1"/>
  <c r="I659" i="6"/>
  <c r="T654" i="6"/>
  <c r="E647" i="6"/>
  <c r="AF661" i="6"/>
  <c r="H657" i="6"/>
  <c r="G659" i="6"/>
  <c r="V655" i="6"/>
  <c r="I653" i="6"/>
  <c r="X661" i="6"/>
  <c r="T660" i="6"/>
  <c r="V661" i="6"/>
  <c r="AF659" i="6"/>
  <c r="I660" i="6"/>
  <c r="H660" i="6"/>
  <c r="AF657" i="6"/>
  <c r="V659" i="6"/>
  <c r="U661" i="6"/>
  <c r="AF658" i="6"/>
  <c r="T661" i="6"/>
  <c r="Y661" i="6"/>
  <c r="G660" i="6"/>
  <c r="V658" i="6"/>
  <c r="I656" i="6"/>
  <c r="X652" i="6"/>
  <c r="F652" i="6" a="1"/>
  <c r="F652" i="6" s="1"/>
  <c r="I661" i="6"/>
  <c r="F660" i="6" a="1"/>
  <c r="F660" i="6" s="1"/>
  <c r="V657" i="6"/>
  <c r="I655" i="6"/>
  <c r="H661" i="6"/>
  <c r="U659" i="6"/>
  <c r="I654" i="6"/>
  <c r="AF653" i="6"/>
  <c r="G644" i="6"/>
  <c r="I646" i="6"/>
  <c r="U650" i="6"/>
  <c r="H646" i="6"/>
  <c r="H644" i="6"/>
  <c r="H641" i="6"/>
  <c r="T650" i="6"/>
  <c r="X642" i="6"/>
  <c r="H647" i="6"/>
  <c r="H645" i="6"/>
  <c r="F642" i="6" a="1"/>
  <c r="F642" i="6" s="1"/>
  <c r="G646" i="6"/>
  <c r="Y647" i="6"/>
  <c r="H633" i="6"/>
  <c r="H632" i="6"/>
  <c r="F631" i="6" a="1"/>
  <c r="F631" i="6" s="1"/>
  <c r="E645" i="6"/>
  <c r="V648" i="6"/>
  <c r="Y636" i="6"/>
  <c r="U649" i="6"/>
  <c r="T648" i="6"/>
  <c r="H636" i="6"/>
  <c r="V645" i="6"/>
  <c r="G636" i="6"/>
  <c r="Y644" i="6"/>
  <c r="AF644" i="6"/>
  <c r="V644" i="6"/>
  <c r="F636" i="6" a="1"/>
  <c r="F636" i="6" s="1"/>
  <c r="T645" i="6"/>
  <c r="AF630" i="6"/>
  <c r="I639" i="6"/>
  <c r="T646" i="6"/>
  <c r="Y632" i="6"/>
  <c r="Y631" i="6"/>
  <c r="Y630" i="6"/>
  <c r="X632" i="6"/>
  <c r="X631" i="6"/>
  <c r="V631" i="6"/>
  <c r="I640" i="6"/>
  <c r="V649" i="6"/>
  <c r="I647" i="6"/>
  <c r="G633" i="6"/>
  <c r="G648" i="6"/>
  <c r="G640" i="6"/>
  <c r="G630" i="6"/>
  <c r="F649" i="6" a="1"/>
  <c r="F649" i="6" s="1"/>
  <c r="G645" i="6"/>
  <c r="G639" i="6"/>
  <c r="F633" i="6" a="1"/>
  <c r="F633" i="6" s="1"/>
  <c r="F648" i="6" a="1"/>
  <c r="F648" i="6" s="1"/>
  <c r="F647" i="6" a="1"/>
  <c r="F647" i="6" s="1"/>
  <c r="F639" i="6" a="1"/>
  <c r="F639" i="6" s="1"/>
  <c r="X650" i="6"/>
  <c r="AF646" i="6"/>
  <c r="F646" i="6" a="1"/>
  <c r="F646" i="6" s="1"/>
  <c r="F638" i="6" a="1"/>
  <c r="F638" i="6" s="1"/>
  <c r="U647" i="6"/>
  <c r="U640" i="6"/>
  <c r="V633" i="6"/>
  <c r="E640" i="6"/>
  <c r="X647" i="6"/>
  <c r="U639" i="6"/>
  <c r="U633" i="6"/>
  <c r="X638" i="6"/>
  <c r="T644" i="6"/>
  <c r="T639" i="6"/>
  <c r="U634" i="6"/>
  <c r="U632" i="6"/>
  <c r="AF640" i="6"/>
  <c r="U635" i="6"/>
  <c r="X639" i="6"/>
  <c r="Y648" i="6"/>
  <c r="H640" i="6"/>
  <c r="T640" i="6"/>
  <c r="X648" i="6"/>
  <c r="H648" i="6"/>
  <c r="I644" i="6"/>
  <c r="Y633" i="6"/>
  <c r="H630" i="6"/>
  <c r="T638" i="6"/>
  <c r="F634" i="6" a="1"/>
  <c r="F634" i="6" s="1"/>
  <c r="X630" i="6"/>
  <c r="F630" i="6" a="1"/>
  <c r="F630" i="6" s="1"/>
  <c r="V634" i="6"/>
  <c r="E630" i="6"/>
  <c r="X644" i="6"/>
  <c r="F644" i="6" a="1"/>
  <c r="F644" i="6" s="1"/>
  <c r="V630" i="6"/>
  <c r="I638" i="6"/>
  <c r="G650" i="6"/>
  <c r="E644" i="6"/>
  <c r="H639" i="6"/>
  <c r="U645" i="6"/>
  <c r="H638" i="6"/>
  <c r="F650" i="6" a="1"/>
  <c r="F650" i="6" s="1"/>
  <c r="AF639" i="6"/>
  <c r="T630" i="6"/>
  <c r="AF638" i="6"/>
  <c r="Y638" i="6"/>
  <c r="V639" i="6"/>
  <c r="V638" i="6"/>
  <c r="I630" i="6"/>
  <c r="V636" i="6"/>
  <c r="E639" i="6"/>
  <c r="H634" i="6"/>
  <c r="AF635" i="6"/>
  <c r="T635" i="6"/>
  <c r="E632" i="6"/>
  <c r="E631" i="6"/>
  <c r="Y649" i="6"/>
  <c r="X649" i="6"/>
  <c r="AF647" i="6"/>
  <c r="G647" i="6"/>
  <c r="X636" i="6"/>
  <c r="X633" i="6"/>
  <c r="I631" i="6"/>
  <c r="G638" i="6"/>
  <c r="H631" i="6"/>
  <c r="G632" i="6"/>
  <c r="U646" i="6"/>
  <c r="E646" i="6"/>
  <c r="U638" i="6"/>
  <c r="V632" i="6"/>
  <c r="G631" i="6"/>
  <c r="G649" i="6"/>
  <c r="F637" i="6" a="1"/>
  <c r="F637" i="6" s="1"/>
  <c r="F632" i="6" a="1"/>
  <c r="F632" i="6" s="1"/>
  <c r="AF641" i="6"/>
  <c r="I641" i="6"/>
  <c r="AF650" i="6"/>
  <c r="I650" i="6"/>
  <c r="AF645" i="6"/>
  <c r="I645" i="6"/>
  <c r="E643" i="6"/>
  <c r="AF634" i="6"/>
  <c r="E642" i="6"/>
  <c r="E637" i="6"/>
  <c r="AF633" i="6"/>
  <c r="I635" i="6"/>
  <c r="E635" i="6"/>
  <c r="H650" i="6"/>
  <c r="AF643" i="6"/>
  <c r="V647" i="6"/>
  <c r="I643" i="6"/>
  <c r="AF637" i="6"/>
  <c r="V641" i="6"/>
  <c r="I637" i="6"/>
  <c r="E636" i="6"/>
  <c r="AF632" i="6"/>
  <c r="I634" i="6"/>
  <c r="E634" i="6"/>
  <c r="AF642" i="6"/>
  <c r="V646" i="6"/>
  <c r="I642" i="6"/>
  <c r="AF636" i="6"/>
  <c r="V640" i="6"/>
  <c r="I636" i="6"/>
  <c r="AF631" i="6"/>
  <c r="V635" i="6"/>
  <c r="I633" i="6"/>
  <c r="E633" i="6"/>
  <c r="V642" i="6"/>
  <c r="H635" i="6"/>
  <c r="H642" i="6"/>
  <c r="G641" i="6"/>
  <c r="X643" i="6"/>
  <c r="G635" i="6"/>
  <c r="V643" i="6"/>
  <c r="V637" i="6"/>
  <c r="U643" i="6"/>
  <c r="Y641" i="6"/>
  <c r="U637" i="6"/>
  <c r="U648" i="6"/>
  <c r="Y646" i="6"/>
  <c r="U642" i="6"/>
  <c r="Y640" i="6"/>
  <c r="U636" i="6"/>
  <c r="Y635" i="6"/>
  <c r="U631" i="6"/>
  <c r="Y650" i="6"/>
  <c r="T649" i="6"/>
  <c r="Y645" i="6"/>
  <c r="G643" i="6"/>
  <c r="T641" i="6"/>
  <c r="G637" i="6"/>
  <c r="Y634" i="6"/>
  <c r="G634" i="6"/>
  <c r="G642" i="6"/>
  <c r="U641" i="6"/>
  <c r="Y637" i="6"/>
  <c r="T634" i="6"/>
  <c r="H643" i="6"/>
  <c r="H637" i="6"/>
  <c r="Y642" i="6"/>
  <c r="F641" i="6" a="1"/>
  <c r="F641" i="6" s="1"/>
  <c r="AF649" i="6"/>
  <c r="I649" i="6"/>
  <c r="T643" i="6"/>
  <c r="T637" i="6"/>
  <c r="T632" i="6"/>
  <c r="AF648" i="6"/>
  <c r="F645" i="6" a="1"/>
  <c r="F645" i="6" s="1"/>
  <c r="X640" i="6"/>
  <c r="X635" i="6"/>
  <c r="F643" i="6" a="1"/>
  <c r="F643" i="6" s="1"/>
  <c r="Y643" i="6"/>
  <c r="X641" i="6"/>
  <c r="E629" i="6"/>
  <c r="I629" i="6"/>
  <c r="H629" i="6"/>
  <c r="G629" i="6"/>
  <c r="D417" i="4" l="1"/>
  <c r="T629" i="6"/>
  <c r="U629" i="6"/>
  <c r="V629" i="6"/>
  <c r="X629" i="6"/>
  <c r="Y629" i="6"/>
  <c r="AF629" i="6"/>
  <c r="B628" i="6"/>
  <c r="C628" i="6"/>
  <c r="D628" i="6"/>
  <c r="X628" i="6" s="1"/>
  <c r="J628" i="6" a="1"/>
  <c r="J628" i="6" s="1"/>
  <c r="L628" i="6"/>
  <c r="D416" i="4"/>
  <c r="L627" i="6"/>
  <c r="L626" i="6"/>
  <c r="L625" i="6"/>
  <c r="L624" i="6"/>
  <c r="B624" i="6"/>
  <c r="C624" i="6"/>
  <c r="D624" i="6"/>
  <c r="E624" i="6" s="1"/>
  <c r="J624" i="6" a="1"/>
  <c r="J624" i="6" s="1"/>
  <c r="B625" i="6"/>
  <c r="C625" i="6"/>
  <c r="D625" i="6"/>
  <c r="G625" i="6" s="1"/>
  <c r="J625" i="6" a="1"/>
  <c r="J625" i="6" s="1"/>
  <c r="B626" i="6"/>
  <c r="C626" i="6"/>
  <c r="D626" i="6"/>
  <c r="J626" i="6" a="1"/>
  <c r="J626" i="6" s="1"/>
  <c r="B627" i="6"/>
  <c r="C627" i="6"/>
  <c r="D627" i="6"/>
  <c r="F627" i="6" s="1" a="1"/>
  <c r="F627" i="6" s="1"/>
  <c r="J627" i="6" a="1"/>
  <c r="J627" i="6" s="1"/>
  <c r="D412" i="4"/>
  <c r="D413" i="4"/>
  <c r="D414" i="4"/>
  <c r="D415" i="4"/>
  <c r="D411" i="4"/>
  <c r="L623" i="6"/>
  <c r="B623" i="6"/>
  <c r="C623" i="6"/>
  <c r="D623" i="6"/>
  <c r="E623" i="6" s="1"/>
  <c r="J623" i="6" a="1"/>
  <c r="J623" i="6" s="1"/>
  <c r="D410" i="4"/>
  <c r="L622" i="6"/>
  <c r="B622" i="6"/>
  <c r="C622" i="6"/>
  <c r="D622" i="6"/>
  <c r="E622" i="6" s="1"/>
  <c r="J622" i="6" a="1"/>
  <c r="J622" i="6" s="1"/>
  <c r="D409" i="4"/>
  <c r="D621" i="6"/>
  <c r="Y621" i="6" s="1"/>
  <c r="B621" i="6"/>
  <c r="D408" i="4"/>
  <c r="C621" i="6"/>
  <c r="J621" i="6" a="1"/>
  <c r="J621" i="6" s="1"/>
  <c r="B620" i="6"/>
  <c r="C620" i="6"/>
  <c r="D620" i="6"/>
  <c r="E620" i="6" s="1"/>
  <c r="J620" i="6" a="1"/>
  <c r="J620" i="6" s="1"/>
  <c r="D407" i="4"/>
  <c r="L619" i="6"/>
  <c r="D406" i="4"/>
  <c r="D405" i="4"/>
  <c r="L618" i="6"/>
  <c r="J619" i="6" a="1"/>
  <c r="J619" i="6" s="1"/>
  <c r="D619" i="6"/>
  <c r="Y619" i="6" s="1"/>
  <c r="C619" i="6"/>
  <c r="B619" i="6"/>
  <c r="D404" i="4"/>
  <c r="B616" i="6"/>
  <c r="C616" i="6"/>
  <c r="D616" i="6"/>
  <c r="E616" i="6" s="1"/>
  <c r="J616" i="6" a="1"/>
  <c r="J616" i="6" s="1"/>
  <c r="B617" i="6"/>
  <c r="C617" i="6"/>
  <c r="D617" i="6"/>
  <c r="I617" i="6" s="1"/>
  <c r="J617" i="6" a="1"/>
  <c r="J617" i="6" s="1"/>
  <c r="B618" i="6"/>
  <c r="C618" i="6"/>
  <c r="D618" i="6"/>
  <c r="T618" i="6" s="1"/>
  <c r="J618" i="6" a="1"/>
  <c r="J618" i="6" s="1"/>
  <c r="D403" i="4"/>
  <c r="D402" i="4"/>
  <c r="B614" i="6"/>
  <c r="C614" i="6"/>
  <c r="D614" i="6"/>
  <c r="E614" i="6" s="1"/>
  <c r="J614" i="6" a="1"/>
  <c r="J614" i="6" s="1"/>
  <c r="B615" i="6"/>
  <c r="C615" i="6"/>
  <c r="D615" i="6"/>
  <c r="I615" i="6" s="1"/>
  <c r="J615" i="6" a="1"/>
  <c r="J615" i="6" s="1"/>
  <c r="D401" i="4"/>
  <c r="D400" i="4"/>
  <c r="L613" i="6"/>
  <c r="B613" i="6"/>
  <c r="C613" i="6"/>
  <c r="D613" i="6"/>
  <c r="E613" i="6" s="1"/>
  <c r="D399" i="4"/>
  <c r="J613" i="6" a="1"/>
  <c r="J613" i="6" s="1"/>
  <c r="B611" i="6"/>
  <c r="C611" i="6"/>
  <c r="D611" i="6"/>
  <c r="E611" i="6" s="1"/>
  <c r="J611" i="6" a="1"/>
  <c r="J611" i="6" s="1"/>
  <c r="B612" i="6"/>
  <c r="C612" i="6"/>
  <c r="D612" i="6"/>
  <c r="I612" i="6" s="1"/>
  <c r="J612" i="6" a="1"/>
  <c r="J612" i="6" s="1"/>
  <c r="D398" i="4"/>
  <c r="D397" i="4"/>
  <c r="D396" i="4"/>
  <c r="B610" i="6"/>
  <c r="C610" i="6"/>
  <c r="D610" i="6"/>
  <c r="E610" i="6" s="1"/>
  <c r="D395" i="4"/>
  <c r="L609" i="6"/>
  <c r="B609" i="6"/>
  <c r="C609" i="6"/>
  <c r="D609" i="6"/>
  <c r="E609" i="6" s="1"/>
  <c r="J609" i="6" a="1"/>
  <c r="J609" i="6" s="1"/>
  <c r="D394" i="4"/>
  <c r="J610" i="6" a="1"/>
  <c r="J610" i="6" s="1"/>
  <c r="L608" i="6"/>
  <c r="B608" i="6"/>
  <c r="C608" i="6"/>
  <c r="D608" i="6"/>
  <c r="E608" i="6" s="1"/>
  <c r="J608" i="6" a="1"/>
  <c r="J608" i="6" s="1"/>
  <c r="D393" i="4"/>
  <c r="L607" i="6"/>
  <c r="B607" i="6"/>
  <c r="C607" i="6"/>
  <c r="D607" i="6"/>
  <c r="E607" i="6" s="1"/>
  <c r="J607" i="6" a="1"/>
  <c r="J607" i="6" s="1"/>
  <c r="D392" i="4"/>
  <c r="L606" i="6"/>
  <c r="D606" i="6"/>
  <c r="E606" i="6" s="1"/>
  <c r="B606" i="6"/>
  <c r="C606" i="6"/>
  <c r="J606" i="6" a="1"/>
  <c r="J606" i="6" s="1"/>
  <c r="D391" i="4"/>
  <c r="L604" i="6"/>
  <c r="L605" i="6"/>
  <c r="D604" i="6"/>
  <c r="D605" i="6"/>
  <c r="F605" i="6" s="1" a="1"/>
  <c r="F605" i="6" s="1"/>
  <c r="B604" i="6"/>
  <c r="B605" i="6"/>
  <c r="C604" i="6"/>
  <c r="J604" i="6" a="1"/>
  <c r="J604" i="6" s="1"/>
  <c r="C605" i="6"/>
  <c r="J605" i="6" a="1"/>
  <c r="J605" i="6" s="1"/>
  <c r="D390" i="4"/>
  <c r="D389" i="4"/>
  <c r="D388" i="4"/>
  <c r="L603" i="6"/>
  <c r="L602" i="6"/>
  <c r="D602" i="6"/>
  <c r="D603" i="6"/>
  <c r="B603" i="6"/>
  <c r="B602" i="6"/>
  <c r="C602" i="6"/>
  <c r="J602" i="6" a="1"/>
  <c r="J602" i="6" s="1"/>
  <c r="C603" i="6"/>
  <c r="J603" i="6" a="1"/>
  <c r="J603" i="6" s="1"/>
  <c r="D387" i="4"/>
  <c r="D386" i="4"/>
  <c r="L601" i="6"/>
  <c r="D601" i="6"/>
  <c r="C601" i="6"/>
  <c r="B601" i="6"/>
  <c r="J601" i="6" a="1"/>
  <c r="J601" i="6" s="1"/>
  <c r="D385" i="4"/>
  <c r="L600" i="6"/>
  <c r="B600" i="6"/>
  <c r="C600" i="6"/>
  <c r="D600" i="6"/>
  <c r="E600" i="6" s="1"/>
  <c r="B599" i="6"/>
  <c r="L599" i="6"/>
  <c r="J600" i="6" a="1"/>
  <c r="J600" i="6" s="1"/>
  <c r="D384" i="4"/>
  <c r="C599" i="6"/>
  <c r="D599" i="6"/>
  <c r="E599" i="6" s="1"/>
  <c r="J599" i="6" a="1"/>
  <c r="J599" i="6" s="1"/>
  <c r="D383" i="4"/>
  <c r="D598" i="6"/>
  <c r="B598" i="6"/>
  <c r="C598" i="6"/>
  <c r="J598" i="6" a="1"/>
  <c r="J598" i="6" s="1"/>
  <c r="D382" i="4"/>
  <c r="C405" i="6"/>
  <c r="C565" i="6"/>
  <c r="D597" i="6"/>
  <c r="I597" i="6" s="1"/>
  <c r="B597" i="6"/>
  <c r="D596" i="6"/>
  <c r="B596" i="6"/>
  <c r="C596" i="6"/>
  <c r="J596" i="6" a="1"/>
  <c r="J596" i="6" s="1"/>
  <c r="L595" i="6"/>
  <c r="D595" i="6"/>
  <c r="B595" i="6"/>
  <c r="C595" i="6"/>
  <c r="J595" i="6" a="1"/>
  <c r="J595" i="6" s="1"/>
  <c r="V628" i="6" l="1"/>
  <c r="U628" i="6"/>
  <c r="T628" i="6"/>
  <c r="AF628" i="6"/>
  <c r="I628" i="6"/>
  <c r="H628" i="6"/>
  <c r="G628" i="6"/>
  <c r="F628" i="6" a="1"/>
  <c r="F628" i="6" s="1"/>
  <c r="E628" i="6"/>
  <c r="Y628" i="6"/>
  <c r="X627" i="6"/>
  <c r="X625" i="6"/>
  <c r="T624" i="6"/>
  <c r="AF627" i="6"/>
  <c r="X624" i="6"/>
  <c r="Y625" i="6"/>
  <c r="U624" i="6"/>
  <c r="F625" i="6" a="1"/>
  <c r="F625" i="6" s="1"/>
  <c r="Y626" i="6"/>
  <c r="V625" i="6"/>
  <c r="I627" i="6"/>
  <c r="Y627" i="6"/>
  <c r="X626" i="6"/>
  <c r="T625" i="6"/>
  <c r="E627" i="6"/>
  <c r="V626" i="6"/>
  <c r="V627" i="6"/>
  <c r="U626" i="6"/>
  <c r="U627" i="6"/>
  <c r="AF624" i="6"/>
  <c r="T627" i="6"/>
  <c r="H626" i="6"/>
  <c r="G626" i="6"/>
  <c r="AF625" i="6"/>
  <c r="E626" i="6"/>
  <c r="AF626" i="6"/>
  <c r="Y624" i="6"/>
  <c r="T626" i="6"/>
  <c r="U625" i="6"/>
  <c r="V624" i="6"/>
  <c r="I626" i="6"/>
  <c r="E625" i="6"/>
  <c r="F626" i="6" a="1"/>
  <c r="F626" i="6" s="1"/>
  <c r="H627" i="6"/>
  <c r="I624" i="6"/>
  <c r="G627" i="6"/>
  <c r="H624" i="6"/>
  <c r="G624" i="6"/>
  <c r="F624" i="6" a="1"/>
  <c r="F624" i="6" s="1"/>
  <c r="I625" i="6"/>
  <c r="H625" i="6"/>
  <c r="AF623" i="6"/>
  <c r="I623" i="6"/>
  <c r="H623" i="6"/>
  <c r="U623" i="6"/>
  <c r="G623" i="6"/>
  <c r="T623" i="6"/>
  <c r="Y623" i="6"/>
  <c r="V623" i="6"/>
  <c r="X623" i="6"/>
  <c r="F623" i="6" a="1"/>
  <c r="F623" i="6" s="1"/>
  <c r="V622" i="6"/>
  <c r="X622" i="6"/>
  <c r="Y622" i="6"/>
  <c r="I622" i="6"/>
  <c r="U622" i="6"/>
  <c r="H622" i="6"/>
  <c r="AF622" i="6"/>
  <c r="G622" i="6"/>
  <c r="F622" i="6" a="1"/>
  <c r="F622" i="6" s="1"/>
  <c r="T622" i="6"/>
  <c r="V621" i="6"/>
  <c r="I621" i="6"/>
  <c r="H621" i="6"/>
  <c r="F621" i="6" a="1"/>
  <c r="F621" i="6" s="1"/>
  <c r="E621" i="6"/>
  <c r="X621" i="6"/>
  <c r="U621" i="6"/>
  <c r="T621" i="6"/>
  <c r="G621" i="6"/>
  <c r="AF621" i="6"/>
  <c r="Y620" i="6"/>
  <c r="X620" i="6"/>
  <c r="V620" i="6"/>
  <c r="U620" i="6"/>
  <c r="T620" i="6"/>
  <c r="I620" i="6"/>
  <c r="AF620" i="6"/>
  <c r="H620" i="6"/>
  <c r="G620" i="6"/>
  <c r="F620" i="6" a="1"/>
  <c r="F620" i="6" s="1"/>
  <c r="V619" i="6"/>
  <c r="U619" i="6"/>
  <c r="X619" i="6"/>
  <c r="T619" i="6"/>
  <c r="E619" i="6"/>
  <c r="AF619" i="6"/>
  <c r="F619" i="6" a="1"/>
  <c r="F619" i="6" s="1"/>
  <c r="G619" i="6"/>
  <c r="H619" i="6"/>
  <c r="I619" i="6"/>
  <c r="AF618" i="6"/>
  <c r="E618" i="6"/>
  <c r="H617" i="6"/>
  <c r="T617" i="6"/>
  <c r="G617" i="6"/>
  <c r="F617" i="6" a="1"/>
  <c r="F617" i="6" s="1"/>
  <c r="AF617" i="6"/>
  <c r="I618" i="6"/>
  <c r="E617" i="6"/>
  <c r="T616" i="6"/>
  <c r="U616" i="6"/>
  <c r="AF616" i="6"/>
  <c r="H618" i="6"/>
  <c r="G618" i="6"/>
  <c r="F618" i="6" a="1"/>
  <c r="F618" i="6" s="1"/>
  <c r="I616" i="6"/>
  <c r="H616" i="6"/>
  <c r="G616" i="6"/>
  <c r="Y618" i="6"/>
  <c r="X618" i="6"/>
  <c r="Y617" i="6"/>
  <c r="X617" i="6"/>
  <c r="Y616" i="6"/>
  <c r="V618" i="6"/>
  <c r="X616" i="6"/>
  <c r="F616" i="6" a="1"/>
  <c r="F616" i="6" s="1"/>
  <c r="U618" i="6"/>
  <c r="V617" i="6"/>
  <c r="U617" i="6"/>
  <c r="V616" i="6"/>
  <c r="AF614" i="6"/>
  <c r="G615" i="6"/>
  <c r="Y615" i="6"/>
  <c r="X615" i="6"/>
  <c r="F615" i="6" a="1"/>
  <c r="F615" i="6" s="1"/>
  <c r="E615" i="6"/>
  <c r="T615" i="6"/>
  <c r="Y614" i="6"/>
  <c r="X614" i="6"/>
  <c r="V614" i="6"/>
  <c r="I614" i="6"/>
  <c r="H615" i="6"/>
  <c r="V615" i="6"/>
  <c r="U615" i="6"/>
  <c r="AF615" i="6"/>
  <c r="U614" i="6"/>
  <c r="H614" i="6"/>
  <c r="T614" i="6"/>
  <c r="G614" i="6"/>
  <c r="F614" i="6" a="1"/>
  <c r="F614" i="6" s="1"/>
  <c r="X613" i="6"/>
  <c r="V613" i="6"/>
  <c r="I613" i="6"/>
  <c r="H613" i="6"/>
  <c r="G613" i="6"/>
  <c r="T613" i="6"/>
  <c r="AF613" i="6"/>
  <c r="F613" i="6" a="1"/>
  <c r="F613" i="6" s="1"/>
  <c r="Y613" i="6"/>
  <c r="U613" i="6"/>
  <c r="AF611" i="6"/>
  <c r="X612" i="6"/>
  <c r="G612" i="6"/>
  <c r="V612" i="6"/>
  <c r="F612" i="6" a="1"/>
  <c r="F612" i="6" s="1"/>
  <c r="Y612" i="6"/>
  <c r="E612" i="6"/>
  <c r="Y611" i="6"/>
  <c r="V611" i="6"/>
  <c r="I611" i="6"/>
  <c r="H611" i="6"/>
  <c r="T612" i="6"/>
  <c r="X611" i="6"/>
  <c r="AF612" i="6"/>
  <c r="T611" i="6"/>
  <c r="G611" i="6"/>
  <c r="H612" i="6"/>
  <c r="U611" i="6"/>
  <c r="F611" i="6" a="1"/>
  <c r="F611" i="6" s="1"/>
  <c r="U612" i="6"/>
  <c r="F610" i="6" a="1"/>
  <c r="F610" i="6" s="1"/>
  <c r="I610" i="6"/>
  <c r="T610" i="6"/>
  <c r="Y610" i="6"/>
  <c r="H610" i="6"/>
  <c r="X610" i="6"/>
  <c r="G610" i="6"/>
  <c r="V610" i="6"/>
  <c r="AF610" i="6"/>
  <c r="U610" i="6"/>
  <c r="X609" i="6"/>
  <c r="U609" i="6"/>
  <c r="V609" i="6"/>
  <c r="T609" i="6"/>
  <c r="AF609" i="6"/>
  <c r="H609" i="6"/>
  <c r="Y609" i="6"/>
  <c r="I609" i="6"/>
  <c r="G609" i="6"/>
  <c r="F609" i="6" a="1"/>
  <c r="F609" i="6" s="1"/>
  <c r="V608" i="6"/>
  <c r="U608" i="6"/>
  <c r="T608" i="6"/>
  <c r="I608" i="6"/>
  <c r="AF608" i="6"/>
  <c r="H608" i="6"/>
  <c r="G608" i="6"/>
  <c r="X608" i="6"/>
  <c r="F608" i="6" a="1"/>
  <c r="F608" i="6" s="1"/>
  <c r="Y608" i="6"/>
  <c r="X607" i="6"/>
  <c r="V607" i="6"/>
  <c r="U607" i="6"/>
  <c r="T607" i="6"/>
  <c r="Y607" i="6"/>
  <c r="I607" i="6"/>
  <c r="H607" i="6"/>
  <c r="G607" i="6"/>
  <c r="F607" i="6" a="1"/>
  <c r="F607" i="6" s="1"/>
  <c r="AF607" i="6"/>
  <c r="V606" i="6"/>
  <c r="U606" i="6"/>
  <c r="T606" i="6"/>
  <c r="I606" i="6"/>
  <c r="H606" i="6"/>
  <c r="AF606" i="6"/>
  <c r="G606" i="6"/>
  <c r="F606" i="6" a="1"/>
  <c r="F606" i="6" s="1"/>
  <c r="Y606" i="6"/>
  <c r="X606" i="6"/>
  <c r="I605" i="6"/>
  <c r="H605" i="6"/>
  <c r="AF605" i="6"/>
  <c r="U605" i="6"/>
  <c r="V605" i="6"/>
  <c r="G605" i="6"/>
  <c r="E605" i="6"/>
  <c r="AF604" i="6"/>
  <c r="Y605" i="6"/>
  <c r="X605" i="6"/>
  <c r="Y604" i="6"/>
  <c r="T605" i="6"/>
  <c r="X604" i="6"/>
  <c r="V604" i="6"/>
  <c r="U604" i="6"/>
  <c r="T604" i="6"/>
  <c r="I604" i="6"/>
  <c r="H604" i="6"/>
  <c r="G604" i="6"/>
  <c r="F604" i="6" a="1"/>
  <c r="F604" i="6" s="1"/>
  <c r="E604" i="6"/>
  <c r="Y602" i="6"/>
  <c r="I603" i="6"/>
  <c r="F603" i="6" a="1"/>
  <c r="F603" i="6" s="1"/>
  <c r="I602" i="6"/>
  <c r="X602" i="6"/>
  <c r="Y603" i="6"/>
  <c r="H602" i="6"/>
  <c r="G603" i="6"/>
  <c r="X603" i="6"/>
  <c r="AF602" i="6"/>
  <c r="G602" i="6"/>
  <c r="H603" i="6"/>
  <c r="E603" i="6"/>
  <c r="V602" i="6"/>
  <c r="F602" i="6" a="1"/>
  <c r="F602" i="6" s="1"/>
  <c r="AF603" i="6"/>
  <c r="U602" i="6"/>
  <c r="T602" i="6"/>
  <c r="V603" i="6"/>
  <c r="E602" i="6"/>
  <c r="U603" i="6"/>
  <c r="T603" i="6"/>
  <c r="V601" i="6"/>
  <c r="X601" i="6"/>
  <c r="I601" i="6"/>
  <c r="U601" i="6"/>
  <c r="H601" i="6"/>
  <c r="T601" i="6"/>
  <c r="AF601" i="6"/>
  <c r="G601" i="6"/>
  <c r="Y601" i="6"/>
  <c r="F601" i="6" a="1"/>
  <c r="F601" i="6" s="1"/>
  <c r="E601" i="6"/>
  <c r="AF600" i="6"/>
  <c r="Y600" i="6"/>
  <c r="X600" i="6"/>
  <c r="V600" i="6"/>
  <c r="U600" i="6"/>
  <c r="T600" i="6"/>
  <c r="I600" i="6"/>
  <c r="H600" i="6"/>
  <c r="G600" i="6"/>
  <c r="F600" i="6" a="1"/>
  <c r="F600" i="6" s="1"/>
  <c r="I599" i="6"/>
  <c r="H599" i="6"/>
  <c r="X599" i="6"/>
  <c r="V599" i="6"/>
  <c r="T599" i="6"/>
  <c r="AF599" i="6"/>
  <c r="G599" i="6"/>
  <c r="Y599" i="6"/>
  <c r="U599" i="6"/>
  <c r="F599" i="6" a="1"/>
  <c r="F599" i="6" s="1"/>
  <c r="I598" i="6"/>
  <c r="H598" i="6"/>
  <c r="G598" i="6"/>
  <c r="F598" i="6"/>
  <c r="E598" i="6"/>
  <c r="X598" i="6"/>
  <c r="U598" i="6"/>
  <c r="T598" i="6"/>
  <c r="AF598" i="6"/>
  <c r="Y598" i="6"/>
  <c r="V598" i="6"/>
  <c r="F597" i="6"/>
  <c r="G597" i="6"/>
  <c r="H597" i="6"/>
  <c r="G596" i="6"/>
  <c r="I596" i="6"/>
  <c r="F596" i="6"/>
  <c r="H596" i="6"/>
  <c r="AF596" i="6"/>
  <c r="Y596" i="6"/>
  <c r="U596" i="6"/>
  <c r="X596" i="6"/>
  <c r="V596" i="6"/>
  <c r="T596" i="6"/>
  <c r="E596" i="6"/>
  <c r="F595" i="6"/>
  <c r="G595" i="6"/>
  <c r="H595" i="6"/>
  <c r="I595" i="6"/>
  <c r="U595" i="6"/>
  <c r="X595" i="6"/>
  <c r="T595" i="6"/>
  <c r="Y595" i="6"/>
  <c r="AF595" i="6"/>
  <c r="V595" i="6"/>
  <c r="E595" i="6"/>
  <c r="D594" i="6"/>
  <c r="B594" i="6"/>
  <c r="C594" i="6"/>
  <c r="J594" i="6" a="1"/>
  <c r="J594" i="6" s="1"/>
  <c r="D381" i="4"/>
  <c r="D380" i="4"/>
  <c r="D379" i="4"/>
  <c r="D378" i="4"/>
  <c r="L592" i="6"/>
  <c r="L593" i="6"/>
  <c r="D590" i="6"/>
  <c r="I590" i="6" s="1"/>
  <c r="D591" i="6"/>
  <c r="Y591" i="6" s="1"/>
  <c r="D592" i="6"/>
  <c r="H592" i="6" s="1"/>
  <c r="D593" i="6"/>
  <c r="Y593" i="6" s="1"/>
  <c r="B591" i="6"/>
  <c r="B592" i="6"/>
  <c r="B593" i="6"/>
  <c r="C591" i="6"/>
  <c r="J591" i="6" a="1"/>
  <c r="J591" i="6" s="1"/>
  <c r="C592" i="6"/>
  <c r="J592" i="6" a="1"/>
  <c r="J592" i="6" s="1"/>
  <c r="C593" i="6"/>
  <c r="J593" i="6" a="1"/>
  <c r="J593" i="6" s="1"/>
  <c r="D377" i="4"/>
  <c r="D376" i="4"/>
  <c r="L509" i="6"/>
  <c r="D374" i="4"/>
  <c r="D375" i="4"/>
  <c r="D373" i="4"/>
  <c r="D372" i="4"/>
  <c r="L590" i="6"/>
  <c r="B590" i="6"/>
  <c r="C590" i="6"/>
  <c r="J590" i="6" a="1"/>
  <c r="J590" i="6" s="1"/>
  <c r="D371" i="4"/>
  <c r="D589" i="6"/>
  <c r="B589" i="6"/>
  <c r="D370" i="4"/>
  <c r="C589" i="6"/>
  <c r="J589" i="6" a="1"/>
  <c r="J589" i="6" s="1"/>
  <c r="L588" i="6"/>
  <c r="D588" i="6"/>
  <c r="B588" i="6"/>
  <c r="D369" i="4"/>
  <c r="L587" i="6"/>
  <c r="D587" i="6"/>
  <c r="B587" i="6"/>
  <c r="C587" i="6"/>
  <c r="J587" i="6" a="1"/>
  <c r="J587" i="6" s="1"/>
  <c r="D368" i="4"/>
  <c r="L586" i="6"/>
  <c r="D586" i="6"/>
  <c r="B586" i="6"/>
  <c r="D367" i="4"/>
  <c r="C586" i="6"/>
  <c r="J586" i="6" a="1"/>
  <c r="J586" i="6" s="1"/>
  <c r="C588" i="6"/>
  <c r="J588" i="6" a="1"/>
  <c r="J588" i="6" s="1"/>
  <c r="D584" i="6"/>
  <c r="E584" i="6" s="1"/>
  <c r="D585" i="6"/>
  <c r="U585" i="6" s="1"/>
  <c r="B584" i="6"/>
  <c r="B585" i="6"/>
  <c r="C585" i="6"/>
  <c r="J585" i="6" a="1"/>
  <c r="J585" i="6" s="1"/>
  <c r="D366" i="4"/>
  <c r="D365" i="4"/>
  <c r="L583" i="6"/>
  <c r="D583" i="6"/>
  <c r="Y583" i="6" s="1"/>
  <c r="C583" i="6"/>
  <c r="B583" i="6"/>
  <c r="D364" i="4"/>
  <c r="J583" i="6" a="1"/>
  <c r="J583" i="6" s="1"/>
  <c r="D582" i="6"/>
  <c r="C582" i="6"/>
  <c r="B582" i="6"/>
  <c r="J582" i="6" a="1"/>
  <c r="J582" i="6" s="1"/>
  <c r="D363" i="4"/>
  <c r="L581" i="6"/>
  <c r="J581" i="6" a="1"/>
  <c r="J581" i="6" s="1"/>
  <c r="D581" i="6"/>
  <c r="C581" i="6"/>
  <c r="B581" i="6"/>
  <c r="C584" i="6"/>
  <c r="J584" i="6" a="1"/>
  <c r="J584" i="6" s="1"/>
  <c r="D362" i="4"/>
  <c r="L576" i="6"/>
  <c r="B576" i="6"/>
  <c r="B577" i="6"/>
  <c r="B578" i="6"/>
  <c r="B579" i="6"/>
  <c r="B580" i="6"/>
  <c r="D580" i="6"/>
  <c r="E580" i="6" s="1"/>
  <c r="D579" i="6"/>
  <c r="T579" i="6" s="1"/>
  <c r="D578" i="6"/>
  <c r="F578" i="6" s="1"/>
  <c r="D577" i="6"/>
  <c r="D576" i="6"/>
  <c r="C576" i="6"/>
  <c r="J576" i="6" a="1"/>
  <c r="J576" i="6" s="1"/>
  <c r="C577" i="6"/>
  <c r="J577" i="6" a="1"/>
  <c r="J577" i="6" s="1"/>
  <c r="C578" i="6"/>
  <c r="J578" i="6" a="1"/>
  <c r="J578" i="6" s="1"/>
  <c r="C579" i="6"/>
  <c r="J579" i="6" a="1"/>
  <c r="J579" i="6" s="1"/>
  <c r="C580" i="6"/>
  <c r="J580" i="6" a="1"/>
  <c r="J580" i="6" s="1"/>
  <c r="F594" i="6" l="1"/>
  <c r="G594" i="6"/>
  <c r="H594" i="6"/>
  <c r="I594" i="6"/>
  <c r="Y594" i="6"/>
  <c r="U594" i="6"/>
  <c r="T594" i="6"/>
  <c r="X594" i="6"/>
  <c r="V594" i="6"/>
  <c r="AF594" i="6"/>
  <c r="E594" i="6"/>
  <c r="F593" i="6"/>
  <c r="G593" i="6"/>
  <c r="G592" i="6"/>
  <c r="F592" i="6"/>
  <c r="G591" i="6"/>
  <c r="F591" i="6"/>
  <c r="G590" i="6"/>
  <c r="H590" i="6"/>
  <c r="F590" i="6"/>
  <c r="I592" i="6"/>
  <c r="I591" i="6"/>
  <c r="H591" i="6"/>
  <c r="T593" i="6"/>
  <c r="T591" i="6"/>
  <c r="I593" i="6"/>
  <c r="Y590" i="6"/>
  <c r="H593" i="6"/>
  <c r="Y592" i="6"/>
  <c r="X590" i="6"/>
  <c r="AF593" i="6"/>
  <c r="X592" i="6"/>
  <c r="AF591" i="6"/>
  <c r="E593" i="6"/>
  <c r="U590" i="6"/>
  <c r="U592" i="6"/>
  <c r="E591" i="6"/>
  <c r="X593" i="6"/>
  <c r="X591" i="6"/>
  <c r="V593" i="6"/>
  <c r="V591" i="6"/>
  <c r="U593" i="6"/>
  <c r="T590" i="6"/>
  <c r="T592" i="6"/>
  <c r="AF590" i="6"/>
  <c r="AF592" i="6"/>
  <c r="E590" i="6"/>
  <c r="E592" i="6"/>
  <c r="U591" i="6"/>
  <c r="V590" i="6"/>
  <c r="V592" i="6"/>
  <c r="F589" i="6"/>
  <c r="G589" i="6"/>
  <c r="H589" i="6"/>
  <c r="I589" i="6"/>
  <c r="X589" i="6"/>
  <c r="V589" i="6"/>
  <c r="U589" i="6"/>
  <c r="T589" i="6"/>
  <c r="Y589" i="6"/>
  <c r="AF589" i="6"/>
  <c r="E589" i="6"/>
  <c r="F588" i="6"/>
  <c r="G588" i="6"/>
  <c r="H588" i="6"/>
  <c r="I588" i="6"/>
  <c r="X588" i="6"/>
  <c r="U588" i="6"/>
  <c r="V588" i="6"/>
  <c r="Y588" i="6"/>
  <c r="T588" i="6"/>
  <c r="AF588" i="6"/>
  <c r="E588" i="6"/>
  <c r="F587" i="6"/>
  <c r="G587" i="6"/>
  <c r="H587" i="6"/>
  <c r="I587" i="6"/>
  <c r="X587" i="6"/>
  <c r="U587" i="6"/>
  <c r="T587" i="6"/>
  <c r="Y587" i="6"/>
  <c r="V587" i="6"/>
  <c r="AF587" i="6"/>
  <c r="E587" i="6"/>
  <c r="F586" i="6"/>
  <c r="G586" i="6"/>
  <c r="V586" i="6"/>
  <c r="X586" i="6"/>
  <c r="Y586" i="6"/>
  <c r="I586" i="6"/>
  <c r="H586" i="6"/>
  <c r="U586" i="6"/>
  <c r="AF586" i="6"/>
  <c r="T586" i="6"/>
  <c r="E586" i="6"/>
  <c r="AF585" i="6"/>
  <c r="I585" i="6"/>
  <c r="X584" i="6"/>
  <c r="V584" i="6"/>
  <c r="U584" i="6"/>
  <c r="H585" i="6"/>
  <c r="T584" i="6"/>
  <c r="G585" i="6"/>
  <c r="F585" i="6"/>
  <c r="E585" i="6"/>
  <c r="T585" i="6"/>
  <c r="Y584" i="6"/>
  <c r="AF584" i="6"/>
  <c r="Y585" i="6"/>
  <c r="I584" i="6"/>
  <c r="X585" i="6"/>
  <c r="H584" i="6"/>
  <c r="G584" i="6"/>
  <c r="V585" i="6"/>
  <c r="F584" i="6"/>
  <c r="F583" i="6"/>
  <c r="G583" i="6"/>
  <c r="H583" i="6"/>
  <c r="I583" i="6"/>
  <c r="V583" i="6"/>
  <c r="U583" i="6"/>
  <c r="X583" i="6"/>
  <c r="T583" i="6"/>
  <c r="AF583" i="6"/>
  <c r="E583" i="6"/>
  <c r="I582" i="6"/>
  <c r="G582" i="6"/>
  <c r="I581" i="6"/>
  <c r="H581" i="6"/>
  <c r="F582" i="6"/>
  <c r="G581" i="6"/>
  <c r="F581" i="6"/>
  <c r="H582" i="6"/>
  <c r="Y582" i="6"/>
  <c r="V582" i="6"/>
  <c r="U582" i="6"/>
  <c r="T582" i="6"/>
  <c r="AF582" i="6"/>
  <c r="E582" i="6"/>
  <c r="X582" i="6"/>
  <c r="E581" i="6"/>
  <c r="Y581" i="6"/>
  <c r="V581" i="6"/>
  <c r="U581" i="6"/>
  <c r="X581" i="6"/>
  <c r="T581" i="6"/>
  <c r="AF581" i="6"/>
  <c r="G580" i="6"/>
  <c r="F580" i="6"/>
  <c r="G579" i="6"/>
  <c r="F579" i="6"/>
  <c r="G578" i="6"/>
  <c r="G577" i="6"/>
  <c r="E579" i="6"/>
  <c r="F577" i="6"/>
  <c r="E578" i="6"/>
  <c r="G576" i="6"/>
  <c r="E577" i="6"/>
  <c r="F576" i="6"/>
  <c r="E576" i="6"/>
  <c r="X580" i="6"/>
  <c r="V580" i="6"/>
  <c r="H580" i="6"/>
  <c r="AF580" i="6"/>
  <c r="Y580" i="6"/>
  <c r="T580" i="6"/>
  <c r="I580" i="6"/>
  <c r="U580" i="6"/>
  <c r="I579" i="6"/>
  <c r="H579" i="6"/>
  <c r="AF579" i="6"/>
  <c r="Y579" i="6"/>
  <c r="X579" i="6"/>
  <c r="V579" i="6"/>
  <c r="U579" i="6"/>
  <c r="U578" i="6"/>
  <c r="I578" i="6"/>
  <c r="H578" i="6"/>
  <c r="T578" i="6"/>
  <c r="V578" i="6"/>
  <c r="AF578" i="6"/>
  <c r="Y578" i="6"/>
  <c r="X578" i="6"/>
  <c r="X577" i="6"/>
  <c r="Y577" i="6"/>
  <c r="V577" i="6"/>
  <c r="U577" i="6"/>
  <c r="T577" i="6"/>
  <c r="I577" i="6"/>
  <c r="AF577" i="6"/>
  <c r="H577" i="6"/>
  <c r="V576" i="6"/>
  <c r="U576" i="6"/>
  <c r="T576" i="6"/>
  <c r="X576" i="6"/>
  <c r="I576" i="6"/>
  <c r="H576" i="6"/>
  <c r="Y576" i="6"/>
  <c r="AF576" i="6"/>
  <c r="D359" i="4" l="1"/>
  <c r="D360" i="4"/>
  <c r="D361" i="4"/>
  <c r="D358" i="4"/>
  <c r="D357" i="4"/>
  <c r="L575" i="6"/>
  <c r="D575" i="6"/>
  <c r="B575" i="6"/>
  <c r="D356" i="4"/>
  <c r="D355" i="4"/>
  <c r="C575" i="6"/>
  <c r="J575" i="6" a="1"/>
  <c r="J575" i="6" s="1"/>
  <c r="L574" i="6"/>
  <c r="D574" i="6"/>
  <c r="B574" i="6"/>
  <c r="C574" i="6"/>
  <c r="J574" i="6" a="1"/>
  <c r="J574" i="6" s="1"/>
  <c r="D354" i="4"/>
  <c r="L573" i="6"/>
  <c r="D573" i="6"/>
  <c r="B573" i="6"/>
  <c r="C573" i="6"/>
  <c r="J573" i="6" a="1"/>
  <c r="J573" i="6" s="1"/>
  <c r="D353" i="4"/>
  <c r="D352" i="4"/>
  <c r="F562" i="6"/>
  <c r="G562" i="6"/>
  <c r="H562" i="6"/>
  <c r="I562" i="6"/>
  <c r="F563" i="6"/>
  <c r="G563" i="6"/>
  <c r="H563" i="6"/>
  <c r="I563" i="6"/>
  <c r="F564" i="6"/>
  <c r="G564" i="6"/>
  <c r="H564" i="6"/>
  <c r="I564" i="6"/>
  <c r="F565" i="6"/>
  <c r="G565" i="6"/>
  <c r="H565" i="6"/>
  <c r="I565" i="6"/>
  <c r="F566" i="6"/>
  <c r="G566" i="6"/>
  <c r="H566" i="6"/>
  <c r="I566" i="6"/>
  <c r="F567" i="6"/>
  <c r="G567" i="6"/>
  <c r="H567" i="6"/>
  <c r="I567" i="6"/>
  <c r="F568" i="6"/>
  <c r="G568" i="6"/>
  <c r="H568" i="6"/>
  <c r="I568" i="6"/>
  <c r="F569" i="6"/>
  <c r="G569" i="6"/>
  <c r="H569" i="6"/>
  <c r="I569" i="6"/>
  <c r="F570" i="6"/>
  <c r="G570" i="6"/>
  <c r="H570" i="6"/>
  <c r="I570" i="6"/>
  <c r="F571" i="6"/>
  <c r="G571" i="6"/>
  <c r="H571" i="6"/>
  <c r="I571" i="6"/>
  <c r="F572" i="6"/>
  <c r="G572" i="6"/>
  <c r="H572" i="6"/>
  <c r="I572" i="6"/>
  <c r="E563" i="6"/>
  <c r="E564" i="6"/>
  <c r="E565" i="6"/>
  <c r="E566" i="6"/>
  <c r="E567" i="6"/>
  <c r="E568" i="6"/>
  <c r="E569" i="6"/>
  <c r="E570" i="6"/>
  <c r="E571" i="6"/>
  <c r="E572" i="6"/>
  <c r="C564" i="6"/>
  <c r="C566" i="6"/>
  <c r="J564" i="6" a="1"/>
  <c r="J564" i="6" s="1"/>
  <c r="J565" i="6" a="1"/>
  <c r="J565" i="6" s="1"/>
  <c r="J566" i="6" a="1"/>
  <c r="J566" i="6" s="1"/>
  <c r="T564" i="6"/>
  <c r="T565" i="6"/>
  <c r="T566" i="6"/>
  <c r="U564" i="6"/>
  <c r="U565" i="6"/>
  <c r="U566" i="6"/>
  <c r="V564" i="6"/>
  <c r="V565" i="6"/>
  <c r="V566" i="6"/>
  <c r="X564" i="6"/>
  <c r="X565" i="6"/>
  <c r="X566" i="6"/>
  <c r="Y564" i="6"/>
  <c r="Y565" i="6"/>
  <c r="Y566" i="6"/>
  <c r="AF564" i="6"/>
  <c r="AF565" i="6"/>
  <c r="AF566" i="6"/>
  <c r="C567" i="6"/>
  <c r="C568" i="6"/>
  <c r="C569" i="6"/>
  <c r="J567" i="6" a="1"/>
  <c r="J567" i="6" s="1"/>
  <c r="J568" i="6" a="1"/>
  <c r="J568" i="6" s="1"/>
  <c r="J569" i="6" a="1"/>
  <c r="J569" i="6" s="1"/>
  <c r="T567" i="6"/>
  <c r="T568" i="6"/>
  <c r="T569" i="6"/>
  <c r="U567" i="6"/>
  <c r="U568" i="6"/>
  <c r="U569" i="6"/>
  <c r="V567" i="6"/>
  <c r="V568" i="6"/>
  <c r="V569" i="6"/>
  <c r="X567" i="6"/>
  <c r="X568" i="6"/>
  <c r="X569" i="6"/>
  <c r="Y567" i="6"/>
  <c r="Y568" i="6"/>
  <c r="Y569" i="6"/>
  <c r="AF567" i="6"/>
  <c r="AF568" i="6"/>
  <c r="AF569" i="6"/>
  <c r="C570" i="6"/>
  <c r="J570" i="6" a="1"/>
  <c r="J570" i="6" s="1"/>
  <c r="T570" i="6"/>
  <c r="U570" i="6"/>
  <c r="V570" i="6"/>
  <c r="X570" i="6"/>
  <c r="Y570" i="6"/>
  <c r="AF570" i="6"/>
  <c r="C571" i="6"/>
  <c r="J571" i="6" a="1"/>
  <c r="J571" i="6" s="1"/>
  <c r="T571" i="6"/>
  <c r="U571" i="6"/>
  <c r="V571" i="6"/>
  <c r="X571" i="6"/>
  <c r="Y571" i="6"/>
  <c r="AF571" i="6"/>
  <c r="C572" i="6"/>
  <c r="J572" i="6" a="1"/>
  <c r="J572" i="6" s="1"/>
  <c r="T572" i="6"/>
  <c r="U572" i="6"/>
  <c r="V572" i="6"/>
  <c r="X572" i="6"/>
  <c r="Y572" i="6"/>
  <c r="AF572" i="6"/>
  <c r="D343" i="4"/>
  <c r="D344" i="4"/>
  <c r="D345" i="4"/>
  <c r="D346" i="4"/>
  <c r="D347" i="4"/>
  <c r="D348" i="4"/>
  <c r="D349" i="4"/>
  <c r="D350" i="4"/>
  <c r="D351" i="4"/>
  <c r="F700" i="6"/>
  <c r="G700" i="6"/>
  <c r="H700" i="6"/>
  <c r="I700" i="6"/>
  <c r="F701" i="6"/>
  <c r="G701" i="6"/>
  <c r="H701" i="6"/>
  <c r="I701" i="6"/>
  <c r="F702" i="6"/>
  <c r="G702" i="6"/>
  <c r="H702" i="6"/>
  <c r="I702" i="6"/>
  <c r="E502" i="6"/>
  <c r="E490" i="6"/>
  <c r="E489" i="6"/>
  <c r="E472" i="6"/>
  <c r="F3" i="6"/>
  <c r="G3" i="6"/>
  <c r="F4" i="6"/>
  <c r="G4" i="6"/>
  <c r="F5" i="6"/>
  <c r="G5" i="6"/>
  <c r="F6" i="6"/>
  <c r="G6" i="6"/>
  <c r="F7" i="6"/>
  <c r="G7" i="6"/>
  <c r="F8" i="6"/>
  <c r="G8" i="6"/>
  <c r="F9" i="6"/>
  <c r="G9" i="6"/>
  <c r="F10" i="6"/>
  <c r="G10" i="6"/>
  <c r="F11" i="6"/>
  <c r="G11" i="6"/>
  <c r="F12" i="6"/>
  <c r="G12" i="6"/>
  <c r="F13" i="6"/>
  <c r="G13" i="6"/>
  <c r="F14" i="6"/>
  <c r="G14" i="6"/>
  <c r="F15" i="6"/>
  <c r="G15" i="6"/>
  <c r="F16" i="6"/>
  <c r="G16" i="6"/>
  <c r="F17" i="6"/>
  <c r="G17" i="6"/>
  <c r="F18" i="6"/>
  <c r="G18" i="6"/>
  <c r="F19" i="6"/>
  <c r="G19" i="6"/>
  <c r="F20" i="6"/>
  <c r="G20" i="6"/>
  <c r="F21" i="6"/>
  <c r="G21" i="6"/>
  <c r="F22" i="6"/>
  <c r="G22" i="6"/>
  <c r="F23" i="6"/>
  <c r="G23" i="6"/>
  <c r="F24" i="6"/>
  <c r="G24" i="6"/>
  <c r="F25" i="6"/>
  <c r="G25" i="6"/>
  <c r="F26" i="6"/>
  <c r="G26" i="6"/>
  <c r="F27" i="6"/>
  <c r="G27" i="6"/>
  <c r="F28" i="6"/>
  <c r="G28" i="6"/>
  <c r="F29" i="6"/>
  <c r="G29" i="6"/>
  <c r="F30" i="6"/>
  <c r="G30" i="6"/>
  <c r="F31" i="6"/>
  <c r="G31" i="6"/>
  <c r="F32" i="6"/>
  <c r="G32" i="6"/>
  <c r="F33" i="6"/>
  <c r="G33" i="6"/>
  <c r="F34" i="6"/>
  <c r="G34" i="6"/>
  <c r="F35" i="6"/>
  <c r="G35" i="6"/>
  <c r="F36" i="6"/>
  <c r="G36" i="6"/>
  <c r="F37" i="6"/>
  <c r="G37" i="6"/>
  <c r="F38" i="6"/>
  <c r="G38" i="6"/>
  <c r="F39" i="6"/>
  <c r="G39" i="6"/>
  <c r="F40" i="6"/>
  <c r="G40" i="6"/>
  <c r="F41" i="6"/>
  <c r="G41" i="6"/>
  <c r="F42" i="6"/>
  <c r="G42" i="6"/>
  <c r="F43" i="6"/>
  <c r="G43" i="6"/>
  <c r="F44" i="6"/>
  <c r="G44" i="6"/>
  <c r="F45" i="6"/>
  <c r="G45" i="6"/>
  <c r="F46" i="6"/>
  <c r="G46" i="6"/>
  <c r="F47" i="6"/>
  <c r="G47" i="6"/>
  <c r="F48" i="6"/>
  <c r="G48" i="6"/>
  <c r="F49" i="6"/>
  <c r="G49" i="6"/>
  <c r="F50" i="6"/>
  <c r="G50" i="6"/>
  <c r="F51" i="6"/>
  <c r="G51" i="6"/>
  <c r="F52" i="6"/>
  <c r="G52" i="6"/>
  <c r="F53" i="6"/>
  <c r="G53" i="6"/>
  <c r="F54" i="6"/>
  <c r="G54" i="6"/>
  <c r="F55" i="6"/>
  <c r="G55" i="6"/>
  <c r="F56" i="6"/>
  <c r="G56" i="6"/>
  <c r="F57" i="6"/>
  <c r="G57" i="6"/>
  <c r="F58" i="6"/>
  <c r="G58" i="6"/>
  <c r="F59" i="6"/>
  <c r="G59" i="6"/>
  <c r="F60" i="6"/>
  <c r="G60" i="6"/>
  <c r="F61" i="6"/>
  <c r="G61" i="6"/>
  <c r="F62" i="6"/>
  <c r="G62" i="6"/>
  <c r="F63" i="6"/>
  <c r="G63" i="6"/>
  <c r="F64" i="6"/>
  <c r="G64" i="6"/>
  <c r="F65" i="6"/>
  <c r="G65" i="6"/>
  <c r="F66" i="6"/>
  <c r="G66" i="6"/>
  <c r="F67" i="6"/>
  <c r="G67" i="6"/>
  <c r="F68" i="6"/>
  <c r="G68" i="6"/>
  <c r="F69" i="6"/>
  <c r="G69" i="6"/>
  <c r="F70" i="6"/>
  <c r="G70" i="6"/>
  <c r="F71" i="6"/>
  <c r="G71" i="6"/>
  <c r="F72" i="6"/>
  <c r="G72" i="6"/>
  <c r="F73" i="6"/>
  <c r="G73" i="6"/>
  <c r="F74" i="6"/>
  <c r="G74" i="6"/>
  <c r="F75" i="6"/>
  <c r="G75" i="6"/>
  <c r="F76" i="6"/>
  <c r="G76" i="6"/>
  <c r="F77" i="6"/>
  <c r="G77" i="6"/>
  <c r="F78" i="6"/>
  <c r="G78" i="6"/>
  <c r="F79" i="6"/>
  <c r="G79" i="6"/>
  <c r="F80" i="6"/>
  <c r="G80" i="6"/>
  <c r="F81" i="6"/>
  <c r="G81" i="6"/>
  <c r="F82" i="6"/>
  <c r="G82" i="6"/>
  <c r="F83" i="6"/>
  <c r="G83" i="6"/>
  <c r="F84" i="6"/>
  <c r="G84" i="6"/>
  <c r="F85" i="6"/>
  <c r="G85" i="6"/>
  <c r="F86" i="6"/>
  <c r="G86" i="6"/>
  <c r="F87" i="6"/>
  <c r="G87" i="6"/>
  <c r="F88" i="6"/>
  <c r="G88" i="6"/>
  <c r="F89" i="6"/>
  <c r="G89" i="6"/>
  <c r="F90" i="6"/>
  <c r="G90" i="6"/>
  <c r="F91" i="6"/>
  <c r="G91" i="6"/>
  <c r="F92" i="6"/>
  <c r="G92" i="6"/>
  <c r="F93" i="6"/>
  <c r="G93" i="6"/>
  <c r="F94" i="6"/>
  <c r="G94" i="6"/>
  <c r="F95" i="6"/>
  <c r="G95" i="6"/>
  <c r="F96" i="6"/>
  <c r="G96" i="6"/>
  <c r="F97" i="6"/>
  <c r="G97" i="6"/>
  <c r="F98" i="6"/>
  <c r="G98" i="6"/>
  <c r="F99" i="6"/>
  <c r="G99" i="6"/>
  <c r="F100" i="6"/>
  <c r="G100" i="6"/>
  <c r="F101" i="6"/>
  <c r="G101" i="6"/>
  <c r="F102" i="6"/>
  <c r="G102" i="6"/>
  <c r="F103" i="6"/>
  <c r="G103" i="6"/>
  <c r="F104" i="6"/>
  <c r="G104" i="6"/>
  <c r="F105" i="6"/>
  <c r="G105" i="6"/>
  <c r="F106" i="6"/>
  <c r="G106" i="6"/>
  <c r="F107" i="6"/>
  <c r="G107" i="6"/>
  <c r="F108" i="6"/>
  <c r="G108" i="6"/>
  <c r="F109" i="6"/>
  <c r="G109" i="6"/>
  <c r="F110" i="6"/>
  <c r="G110" i="6"/>
  <c r="F111" i="6"/>
  <c r="G111" i="6"/>
  <c r="F112" i="6"/>
  <c r="G112" i="6"/>
  <c r="F113" i="6"/>
  <c r="G113" i="6"/>
  <c r="F114" i="6"/>
  <c r="G114" i="6"/>
  <c r="F115" i="6"/>
  <c r="G115" i="6"/>
  <c r="F116" i="6"/>
  <c r="G116" i="6"/>
  <c r="F117" i="6"/>
  <c r="G117" i="6"/>
  <c r="F118" i="6"/>
  <c r="G118" i="6"/>
  <c r="F119" i="6"/>
  <c r="G119" i="6"/>
  <c r="F120" i="6"/>
  <c r="G120" i="6"/>
  <c r="F121" i="6"/>
  <c r="G121" i="6"/>
  <c r="F122" i="6"/>
  <c r="G122" i="6"/>
  <c r="F123" i="6"/>
  <c r="G123" i="6"/>
  <c r="F124" i="6"/>
  <c r="G124" i="6"/>
  <c r="F125" i="6"/>
  <c r="G125" i="6"/>
  <c r="F126" i="6"/>
  <c r="G126" i="6"/>
  <c r="F127" i="6"/>
  <c r="G127" i="6"/>
  <c r="F128" i="6"/>
  <c r="G128" i="6"/>
  <c r="F129" i="6"/>
  <c r="G129" i="6"/>
  <c r="F130" i="6"/>
  <c r="G130" i="6"/>
  <c r="F131" i="6"/>
  <c r="G131" i="6"/>
  <c r="F132" i="6"/>
  <c r="G132" i="6"/>
  <c r="F133" i="6"/>
  <c r="G133" i="6"/>
  <c r="F134" i="6"/>
  <c r="G134" i="6"/>
  <c r="F135" i="6"/>
  <c r="G135" i="6"/>
  <c r="F136" i="6"/>
  <c r="G136" i="6"/>
  <c r="F137" i="6"/>
  <c r="G137" i="6"/>
  <c r="F138" i="6"/>
  <c r="G138" i="6"/>
  <c r="F139" i="6"/>
  <c r="G139" i="6"/>
  <c r="F140" i="6"/>
  <c r="G140" i="6"/>
  <c r="F141" i="6"/>
  <c r="G141" i="6"/>
  <c r="F142" i="6"/>
  <c r="G142" i="6"/>
  <c r="F143" i="6"/>
  <c r="G143" i="6"/>
  <c r="F144" i="6"/>
  <c r="G144" i="6"/>
  <c r="F145" i="6"/>
  <c r="G145" i="6"/>
  <c r="F146" i="6"/>
  <c r="G146" i="6"/>
  <c r="F147" i="6"/>
  <c r="G147" i="6"/>
  <c r="F148" i="6"/>
  <c r="G148" i="6"/>
  <c r="F149" i="6"/>
  <c r="G149" i="6"/>
  <c r="F150" i="6"/>
  <c r="G150" i="6"/>
  <c r="F151" i="6"/>
  <c r="G151" i="6"/>
  <c r="F152" i="6"/>
  <c r="G152" i="6"/>
  <c r="F153" i="6"/>
  <c r="G153" i="6"/>
  <c r="F154" i="6"/>
  <c r="G154" i="6"/>
  <c r="F155" i="6"/>
  <c r="G155" i="6"/>
  <c r="F156" i="6"/>
  <c r="G156" i="6"/>
  <c r="F157" i="6"/>
  <c r="G157" i="6"/>
  <c r="F158" i="6"/>
  <c r="G158" i="6"/>
  <c r="F159" i="6"/>
  <c r="G159" i="6"/>
  <c r="F160" i="6"/>
  <c r="G160" i="6"/>
  <c r="F161" i="6"/>
  <c r="G161" i="6"/>
  <c r="F162" i="6"/>
  <c r="G162" i="6"/>
  <c r="F163" i="6"/>
  <c r="G163" i="6"/>
  <c r="F164" i="6"/>
  <c r="G164" i="6"/>
  <c r="F165" i="6"/>
  <c r="G165" i="6"/>
  <c r="F166" i="6"/>
  <c r="G166" i="6"/>
  <c r="F167" i="6"/>
  <c r="G167" i="6"/>
  <c r="F168" i="6"/>
  <c r="G168" i="6"/>
  <c r="F169" i="6"/>
  <c r="G169" i="6"/>
  <c r="F170" i="6"/>
  <c r="G170" i="6"/>
  <c r="F171" i="6"/>
  <c r="G171" i="6"/>
  <c r="F172" i="6"/>
  <c r="G172" i="6"/>
  <c r="F173" i="6"/>
  <c r="G173" i="6"/>
  <c r="F174" i="6"/>
  <c r="G174" i="6"/>
  <c r="F175" i="6"/>
  <c r="G175" i="6"/>
  <c r="F176" i="6"/>
  <c r="G176" i="6"/>
  <c r="F177" i="6"/>
  <c r="G177" i="6"/>
  <c r="F178" i="6"/>
  <c r="G178" i="6"/>
  <c r="F179" i="6"/>
  <c r="G179" i="6"/>
  <c r="F180" i="6"/>
  <c r="G180" i="6"/>
  <c r="F181" i="6"/>
  <c r="G181" i="6"/>
  <c r="F182" i="6"/>
  <c r="G182" i="6"/>
  <c r="F183" i="6"/>
  <c r="G183" i="6"/>
  <c r="F184" i="6"/>
  <c r="G184" i="6"/>
  <c r="F185" i="6"/>
  <c r="G185" i="6"/>
  <c r="F186" i="6"/>
  <c r="G186" i="6"/>
  <c r="F187" i="6"/>
  <c r="G187" i="6"/>
  <c r="F188" i="6"/>
  <c r="G188" i="6"/>
  <c r="F189" i="6"/>
  <c r="G189" i="6"/>
  <c r="F190" i="6"/>
  <c r="G190" i="6"/>
  <c r="F191" i="6"/>
  <c r="G191" i="6"/>
  <c r="F192" i="6"/>
  <c r="G192" i="6"/>
  <c r="F193" i="6"/>
  <c r="G193" i="6"/>
  <c r="F194" i="6"/>
  <c r="G194" i="6"/>
  <c r="F195" i="6"/>
  <c r="G195" i="6"/>
  <c r="F196" i="6"/>
  <c r="G196" i="6"/>
  <c r="F197" i="6"/>
  <c r="G197" i="6"/>
  <c r="F198" i="6"/>
  <c r="G198" i="6"/>
  <c r="F199" i="6"/>
  <c r="G199" i="6"/>
  <c r="F200" i="6"/>
  <c r="G200" i="6"/>
  <c r="F201" i="6"/>
  <c r="G201" i="6"/>
  <c r="F202" i="6"/>
  <c r="G202" i="6"/>
  <c r="F203" i="6"/>
  <c r="G203" i="6"/>
  <c r="F204" i="6"/>
  <c r="G204" i="6"/>
  <c r="F205" i="6"/>
  <c r="G205" i="6"/>
  <c r="F206" i="6"/>
  <c r="G206" i="6"/>
  <c r="F207" i="6"/>
  <c r="G207" i="6"/>
  <c r="F208" i="6"/>
  <c r="G208" i="6"/>
  <c r="F209" i="6"/>
  <c r="G209" i="6"/>
  <c r="F210" i="6"/>
  <c r="G210" i="6"/>
  <c r="F211" i="6"/>
  <c r="G211" i="6"/>
  <c r="F212" i="6"/>
  <c r="G212" i="6"/>
  <c r="F213" i="6"/>
  <c r="G213" i="6"/>
  <c r="F214" i="6"/>
  <c r="G214" i="6"/>
  <c r="F215" i="6"/>
  <c r="G215" i="6"/>
  <c r="F216" i="6"/>
  <c r="G216" i="6"/>
  <c r="F217" i="6"/>
  <c r="G217" i="6"/>
  <c r="F218" i="6"/>
  <c r="G218" i="6"/>
  <c r="F219" i="6"/>
  <c r="G219" i="6"/>
  <c r="F220" i="6"/>
  <c r="G220" i="6"/>
  <c r="F221" i="6"/>
  <c r="G221" i="6"/>
  <c r="F222" i="6"/>
  <c r="G222" i="6"/>
  <c r="F223" i="6"/>
  <c r="G223" i="6"/>
  <c r="F224" i="6"/>
  <c r="G224" i="6"/>
  <c r="F225" i="6"/>
  <c r="G225" i="6"/>
  <c r="F226" i="6"/>
  <c r="G226" i="6"/>
  <c r="F227" i="6"/>
  <c r="G227" i="6"/>
  <c r="F228" i="6"/>
  <c r="G228" i="6"/>
  <c r="F229" i="6"/>
  <c r="G229" i="6"/>
  <c r="F230" i="6"/>
  <c r="G230" i="6"/>
  <c r="F231" i="6"/>
  <c r="G231" i="6"/>
  <c r="F232" i="6"/>
  <c r="G232" i="6"/>
  <c r="F233" i="6"/>
  <c r="G233" i="6"/>
  <c r="F234" i="6"/>
  <c r="G234" i="6"/>
  <c r="F235" i="6"/>
  <c r="G235" i="6"/>
  <c r="F236" i="6"/>
  <c r="G236" i="6"/>
  <c r="F237" i="6"/>
  <c r="G237" i="6"/>
  <c r="F238" i="6"/>
  <c r="G238" i="6"/>
  <c r="F239" i="6"/>
  <c r="G239" i="6"/>
  <c r="F240" i="6"/>
  <c r="G240" i="6"/>
  <c r="F241" i="6"/>
  <c r="G241" i="6"/>
  <c r="F242" i="6"/>
  <c r="G242" i="6"/>
  <c r="F243" i="6"/>
  <c r="G243" i="6"/>
  <c r="F244" i="6"/>
  <c r="G244" i="6"/>
  <c r="F245" i="6"/>
  <c r="G245" i="6"/>
  <c r="F246" i="6"/>
  <c r="G246" i="6"/>
  <c r="F247" i="6"/>
  <c r="G247" i="6"/>
  <c r="F248" i="6"/>
  <c r="G248" i="6"/>
  <c r="F249" i="6"/>
  <c r="G249" i="6"/>
  <c r="F250" i="6"/>
  <c r="G250" i="6"/>
  <c r="F251" i="6"/>
  <c r="G251" i="6"/>
  <c r="F252" i="6"/>
  <c r="G252" i="6"/>
  <c r="F253" i="6"/>
  <c r="G253" i="6"/>
  <c r="F254" i="6"/>
  <c r="G254" i="6"/>
  <c r="F255" i="6"/>
  <c r="G255" i="6"/>
  <c r="F256" i="6"/>
  <c r="G256" i="6"/>
  <c r="F257" i="6"/>
  <c r="G257" i="6"/>
  <c r="F258" i="6"/>
  <c r="G258" i="6"/>
  <c r="F259" i="6"/>
  <c r="G259" i="6"/>
  <c r="F260" i="6"/>
  <c r="G260" i="6"/>
  <c r="F261" i="6"/>
  <c r="G261" i="6"/>
  <c r="F262" i="6"/>
  <c r="G262" i="6"/>
  <c r="F263" i="6"/>
  <c r="G263" i="6"/>
  <c r="F264" i="6"/>
  <c r="G264" i="6"/>
  <c r="F265" i="6"/>
  <c r="G265" i="6"/>
  <c r="F266" i="6"/>
  <c r="G266" i="6"/>
  <c r="F267" i="6"/>
  <c r="G267" i="6"/>
  <c r="F268" i="6"/>
  <c r="G268" i="6"/>
  <c r="F269" i="6"/>
  <c r="G269" i="6"/>
  <c r="F270" i="6"/>
  <c r="G270" i="6"/>
  <c r="F271" i="6"/>
  <c r="G271" i="6"/>
  <c r="F272" i="6"/>
  <c r="G272" i="6"/>
  <c r="F273" i="6"/>
  <c r="G273" i="6"/>
  <c r="F274" i="6"/>
  <c r="G274" i="6"/>
  <c r="F275" i="6"/>
  <c r="G275" i="6"/>
  <c r="F276" i="6"/>
  <c r="G276" i="6"/>
  <c r="F277" i="6"/>
  <c r="G277" i="6"/>
  <c r="F278" i="6"/>
  <c r="G278" i="6"/>
  <c r="F279" i="6"/>
  <c r="G279" i="6"/>
  <c r="F280" i="6"/>
  <c r="G280" i="6"/>
  <c r="F281" i="6"/>
  <c r="G281" i="6"/>
  <c r="F282" i="6"/>
  <c r="G282" i="6"/>
  <c r="F283" i="6"/>
  <c r="G283" i="6"/>
  <c r="F284" i="6"/>
  <c r="G284" i="6"/>
  <c r="F285" i="6"/>
  <c r="G285" i="6"/>
  <c r="F286" i="6"/>
  <c r="G286" i="6"/>
  <c r="F287" i="6"/>
  <c r="G287" i="6"/>
  <c r="F288" i="6"/>
  <c r="G288" i="6"/>
  <c r="F289" i="6"/>
  <c r="G289" i="6"/>
  <c r="F290" i="6"/>
  <c r="G290" i="6"/>
  <c r="F291" i="6"/>
  <c r="G291" i="6"/>
  <c r="F292" i="6"/>
  <c r="G292" i="6"/>
  <c r="F293" i="6"/>
  <c r="G293" i="6"/>
  <c r="F294" i="6"/>
  <c r="G294" i="6"/>
  <c r="F295" i="6"/>
  <c r="G295" i="6"/>
  <c r="F296" i="6"/>
  <c r="G296" i="6"/>
  <c r="F297" i="6"/>
  <c r="G297" i="6"/>
  <c r="F298" i="6"/>
  <c r="G298" i="6"/>
  <c r="F299" i="6"/>
  <c r="G299" i="6"/>
  <c r="F300" i="6"/>
  <c r="G300" i="6"/>
  <c r="F301" i="6"/>
  <c r="G301" i="6"/>
  <c r="F302" i="6"/>
  <c r="G302" i="6"/>
  <c r="F303" i="6"/>
  <c r="G303" i="6"/>
  <c r="F304" i="6"/>
  <c r="G304" i="6"/>
  <c r="F305" i="6"/>
  <c r="G305" i="6"/>
  <c r="F306" i="6"/>
  <c r="G306" i="6"/>
  <c r="F307" i="6"/>
  <c r="G307" i="6"/>
  <c r="F308" i="6"/>
  <c r="G308" i="6"/>
  <c r="F309" i="6"/>
  <c r="G309" i="6"/>
  <c r="F310" i="6"/>
  <c r="G310" i="6"/>
  <c r="F311" i="6"/>
  <c r="G311" i="6"/>
  <c r="F312" i="6"/>
  <c r="G312" i="6"/>
  <c r="F313" i="6"/>
  <c r="G313" i="6"/>
  <c r="F314" i="6"/>
  <c r="G314" i="6"/>
  <c r="F315" i="6"/>
  <c r="G315" i="6"/>
  <c r="F316" i="6"/>
  <c r="G316" i="6"/>
  <c r="F317" i="6"/>
  <c r="G317" i="6"/>
  <c r="F318" i="6"/>
  <c r="G318" i="6"/>
  <c r="F319" i="6"/>
  <c r="G319" i="6"/>
  <c r="F320" i="6"/>
  <c r="G320" i="6"/>
  <c r="F321" i="6"/>
  <c r="G321" i="6"/>
  <c r="F322" i="6"/>
  <c r="G322" i="6"/>
  <c r="F323" i="6"/>
  <c r="G323" i="6"/>
  <c r="F324" i="6"/>
  <c r="G324" i="6"/>
  <c r="F325" i="6"/>
  <c r="G325" i="6"/>
  <c r="F326" i="6"/>
  <c r="G326" i="6"/>
  <c r="F327" i="6"/>
  <c r="G327" i="6"/>
  <c r="F328" i="6"/>
  <c r="G328" i="6"/>
  <c r="F329" i="6"/>
  <c r="G329" i="6"/>
  <c r="F330" i="6"/>
  <c r="G330" i="6"/>
  <c r="F331" i="6"/>
  <c r="G331" i="6"/>
  <c r="F332" i="6"/>
  <c r="G332" i="6"/>
  <c r="F333" i="6"/>
  <c r="G333" i="6"/>
  <c r="F334" i="6"/>
  <c r="G334" i="6"/>
  <c r="F335" i="6"/>
  <c r="G335" i="6"/>
  <c r="F336" i="6"/>
  <c r="G336" i="6"/>
  <c r="F337" i="6"/>
  <c r="G337" i="6"/>
  <c r="F338" i="6"/>
  <c r="G338" i="6"/>
  <c r="F339" i="6"/>
  <c r="G339" i="6"/>
  <c r="F340" i="6"/>
  <c r="G340" i="6"/>
  <c r="F341" i="6"/>
  <c r="G341" i="6"/>
  <c r="F342" i="6"/>
  <c r="G342" i="6"/>
  <c r="F343" i="6"/>
  <c r="G343" i="6"/>
  <c r="F344" i="6"/>
  <c r="G344" i="6"/>
  <c r="F345" i="6"/>
  <c r="G345" i="6"/>
  <c r="F346" i="6"/>
  <c r="G346" i="6"/>
  <c r="F347" i="6"/>
  <c r="G347" i="6"/>
  <c r="F348" i="6"/>
  <c r="G348" i="6"/>
  <c r="F349" i="6"/>
  <c r="G349" i="6"/>
  <c r="F350" i="6"/>
  <c r="G350" i="6"/>
  <c r="F351" i="6"/>
  <c r="G351" i="6"/>
  <c r="F352" i="6"/>
  <c r="G352" i="6"/>
  <c r="F353" i="6"/>
  <c r="G353" i="6"/>
  <c r="F354" i="6"/>
  <c r="G354" i="6"/>
  <c r="F355" i="6"/>
  <c r="G355" i="6"/>
  <c r="F356" i="6"/>
  <c r="G356" i="6"/>
  <c r="F357" i="6"/>
  <c r="G357" i="6"/>
  <c r="F358" i="6"/>
  <c r="G358" i="6"/>
  <c r="F359" i="6"/>
  <c r="G359" i="6"/>
  <c r="F360" i="6"/>
  <c r="G360" i="6"/>
  <c r="F361" i="6"/>
  <c r="G361" i="6"/>
  <c r="F362" i="6"/>
  <c r="G362" i="6"/>
  <c r="F363" i="6"/>
  <c r="G363" i="6"/>
  <c r="F364" i="6"/>
  <c r="G364" i="6"/>
  <c r="F365" i="6"/>
  <c r="G365" i="6"/>
  <c r="F366" i="6"/>
  <c r="G366" i="6"/>
  <c r="F367" i="6"/>
  <c r="G367" i="6"/>
  <c r="F368" i="6"/>
  <c r="G368" i="6"/>
  <c r="F369" i="6"/>
  <c r="G369" i="6"/>
  <c r="F370" i="6"/>
  <c r="G370" i="6"/>
  <c r="F371" i="6"/>
  <c r="G371" i="6"/>
  <c r="F372" i="6"/>
  <c r="G372" i="6"/>
  <c r="F373" i="6"/>
  <c r="G373" i="6"/>
  <c r="F374" i="6"/>
  <c r="G374" i="6"/>
  <c r="F375" i="6"/>
  <c r="G375" i="6"/>
  <c r="F376" i="6"/>
  <c r="G376" i="6"/>
  <c r="F377" i="6"/>
  <c r="G377" i="6"/>
  <c r="F378" i="6"/>
  <c r="G378" i="6"/>
  <c r="F379" i="6"/>
  <c r="G379" i="6"/>
  <c r="F380" i="6"/>
  <c r="G380" i="6"/>
  <c r="F381" i="6"/>
  <c r="G381" i="6"/>
  <c r="F382" i="6"/>
  <c r="G382" i="6"/>
  <c r="F383" i="6"/>
  <c r="G383" i="6"/>
  <c r="F384" i="6"/>
  <c r="G384" i="6"/>
  <c r="F385" i="6"/>
  <c r="G385" i="6"/>
  <c r="F386" i="6"/>
  <c r="G386" i="6"/>
  <c r="F387" i="6"/>
  <c r="G387" i="6"/>
  <c r="F388" i="6"/>
  <c r="G388" i="6"/>
  <c r="F389" i="6"/>
  <c r="G389" i="6"/>
  <c r="F390" i="6"/>
  <c r="G390" i="6"/>
  <c r="F391" i="6"/>
  <c r="G391" i="6"/>
  <c r="F392" i="6"/>
  <c r="G392" i="6"/>
  <c r="F393" i="6"/>
  <c r="G393" i="6"/>
  <c r="F394" i="6"/>
  <c r="G394" i="6"/>
  <c r="F395" i="6"/>
  <c r="G395" i="6"/>
  <c r="F396" i="6"/>
  <c r="G396" i="6"/>
  <c r="F397" i="6"/>
  <c r="G397" i="6"/>
  <c r="F398" i="6"/>
  <c r="G398" i="6"/>
  <c r="F399" i="6"/>
  <c r="G399" i="6"/>
  <c r="F400" i="6"/>
  <c r="G400" i="6"/>
  <c r="F401" i="6"/>
  <c r="G401" i="6"/>
  <c r="F402" i="6"/>
  <c r="G402" i="6"/>
  <c r="F403" i="6"/>
  <c r="G403" i="6"/>
  <c r="F404" i="6"/>
  <c r="G404" i="6"/>
  <c r="F405" i="6"/>
  <c r="G405" i="6"/>
  <c r="F406" i="6"/>
  <c r="G406" i="6"/>
  <c r="F407" i="6"/>
  <c r="G407" i="6"/>
  <c r="F408" i="6"/>
  <c r="G408" i="6"/>
  <c r="F409" i="6"/>
  <c r="G409" i="6"/>
  <c r="F410" i="6"/>
  <c r="G410" i="6"/>
  <c r="F411" i="6"/>
  <c r="G411" i="6"/>
  <c r="F412" i="6"/>
  <c r="G412" i="6"/>
  <c r="F413" i="6"/>
  <c r="G413" i="6"/>
  <c r="F414" i="6"/>
  <c r="G414" i="6"/>
  <c r="F415" i="6"/>
  <c r="G415" i="6"/>
  <c r="F416" i="6"/>
  <c r="G416" i="6"/>
  <c r="F417" i="6"/>
  <c r="G417" i="6"/>
  <c r="F418" i="6"/>
  <c r="G418" i="6"/>
  <c r="F419" i="6"/>
  <c r="G419" i="6"/>
  <c r="F420" i="6"/>
  <c r="G420" i="6"/>
  <c r="F421" i="6"/>
  <c r="G421" i="6"/>
  <c r="F422" i="6"/>
  <c r="G422" i="6"/>
  <c r="F423" i="6"/>
  <c r="G423" i="6"/>
  <c r="F424" i="6"/>
  <c r="G424" i="6"/>
  <c r="F425" i="6"/>
  <c r="G425" i="6"/>
  <c r="F426" i="6"/>
  <c r="G426" i="6"/>
  <c r="F427" i="6"/>
  <c r="G427" i="6"/>
  <c r="F428" i="6"/>
  <c r="G428" i="6"/>
  <c r="F429" i="6"/>
  <c r="G429" i="6"/>
  <c r="F430" i="6"/>
  <c r="G430" i="6"/>
  <c r="F431" i="6"/>
  <c r="G431" i="6"/>
  <c r="F432" i="6"/>
  <c r="G432" i="6"/>
  <c r="F433" i="6"/>
  <c r="G433" i="6"/>
  <c r="F434" i="6"/>
  <c r="G434" i="6"/>
  <c r="F435" i="6"/>
  <c r="G435" i="6"/>
  <c r="F436" i="6"/>
  <c r="G436" i="6"/>
  <c r="F437" i="6"/>
  <c r="G437" i="6"/>
  <c r="F438" i="6"/>
  <c r="G438" i="6"/>
  <c r="F439" i="6"/>
  <c r="G439" i="6"/>
  <c r="F440" i="6"/>
  <c r="G440" i="6"/>
  <c r="F441" i="6"/>
  <c r="G441" i="6"/>
  <c r="F442" i="6"/>
  <c r="G442" i="6"/>
  <c r="F443" i="6"/>
  <c r="G443" i="6"/>
  <c r="F444" i="6"/>
  <c r="G444" i="6"/>
  <c r="F445" i="6"/>
  <c r="G445" i="6"/>
  <c r="F446" i="6"/>
  <c r="G446" i="6"/>
  <c r="F447" i="6"/>
  <c r="G447" i="6"/>
  <c r="F448" i="6"/>
  <c r="G448" i="6"/>
  <c r="F449" i="6"/>
  <c r="G449" i="6"/>
  <c r="F450" i="6"/>
  <c r="G450" i="6"/>
  <c r="F451" i="6"/>
  <c r="G451" i="6"/>
  <c r="F452" i="6"/>
  <c r="G452" i="6"/>
  <c r="F453" i="6"/>
  <c r="G453" i="6"/>
  <c r="F454" i="6"/>
  <c r="G454" i="6"/>
  <c r="F455" i="6"/>
  <c r="G455" i="6"/>
  <c r="F456" i="6"/>
  <c r="G456" i="6"/>
  <c r="F457" i="6"/>
  <c r="G457" i="6"/>
  <c r="F458" i="6"/>
  <c r="G458" i="6"/>
  <c r="F459" i="6"/>
  <c r="G459" i="6"/>
  <c r="F460" i="6"/>
  <c r="G460" i="6"/>
  <c r="F461" i="6"/>
  <c r="G461" i="6"/>
  <c r="F462" i="6"/>
  <c r="G462" i="6"/>
  <c r="F463" i="6"/>
  <c r="G463" i="6"/>
  <c r="F464" i="6"/>
  <c r="G464" i="6"/>
  <c r="F465" i="6"/>
  <c r="G465" i="6"/>
  <c r="F466" i="6"/>
  <c r="G466" i="6"/>
  <c r="F467" i="6"/>
  <c r="G467" i="6"/>
  <c r="F468" i="6"/>
  <c r="G468" i="6"/>
  <c r="F469" i="6"/>
  <c r="G469" i="6"/>
  <c r="F470" i="6"/>
  <c r="G470" i="6"/>
  <c r="F471" i="6"/>
  <c r="G471" i="6"/>
  <c r="F472" i="6"/>
  <c r="G472" i="6"/>
  <c r="F473" i="6"/>
  <c r="G473" i="6"/>
  <c r="F474" i="6"/>
  <c r="G474" i="6"/>
  <c r="F475" i="6"/>
  <c r="G475" i="6"/>
  <c r="F476" i="6"/>
  <c r="G476" i="6"/>
  <c r="F477" i="6"/>
  <c r="G477" i="6"/>
  <c r="F478" i="6"/>
  <c r="G478" i="6"/>
  <c r="F479" i="6"/>
  <c r="G479" i="6"/>
  <c r="F480" i="6"/>
  <c r="G480" i="6"/>
  <c r="F481" i="6"/>
  <c r="G481" i="6"/>
  <c r="F482" i="6"/>
  <c r="G482" i="6"/>
  <c r="F483" i="6"/>
  <c r="G483" i="6"/>
  <c r="F484" i="6"/>
  <c r="G484" i="6"/>
  <c r="F485" i="6"/>
  <c r="G485" i="6"/>
  <c r="F486" i="6"/>
  <c r="G486" i="6"/>
  <c r="F487" i="6"/>
  <c r="G487" i="6"/>
  <c r="F488" i="6"/>
  <c r="G488" i="6"/>
  <c r="F489" i="6"/>
  <c r="G489" i="6"/>
  <c r="F490" i="6"/>
  <c r="G490" i="6"/>
  <c r="F491" i="6"/>
  <c r="G491" i="6"/>
  <c r="F492" i="6"/>
  <c r="G492" i="6"/>
  <c r="F493" i="6"/>
  <c r="G493" i="6"/>
  <c r="F494" i="6"/>
  <c r="G494" i="6"/>
  <c r="F495" i="6"/>
  <c r="G495" i="6"/>
  <c r="F496" i="6"/>
  <c r="G496" i="6"/>
  <c r="F497" i="6"/>
  <c r="G497" i="6"/>
  <c r="F498" i="6"/>
  <c r="G498" i="6"/>
  <c r="F499" i="6"/>
  <c r="G499" i="6"/>
  <c r="F500" i="6"/>
  <c r="G500" i="6"/>
  <c r="F501" i="6"/>
  <c r="G501" i="6"/>
  <c r="F502" i="6"/>
  <c r="G502" i="6"/>
  <c r="F503" i="6"/>
  <c r="G503" i="6"/>
  <c r="F504" i="6"/>
  <c r="G504" i="6"/>
  <c r="F505" i="6"/>
  <c r="G505" i="6"/>
  <c r="F506" i="6"/>
  <c r="G506" i="6"/>
  <c r="F507" i="6"/>
  <c r="G507" i="6"/>
  <c r="F508" i="6"/>
  <c r="G508" i="6"/>
  <c r="F509" i="6"/>
  <c r="G509" i="6"/>
  <c r="F510" i="6"/>
  <c r="G510" i="6"/>
  <c r="F511" i="6"/>
  <c r="G511" i="6"/>
  <c r="F512" i="6"/>
  <c r="G512" i="6"/>
  <c r="F513" i="6"/>
  <c r="G513" i="6"/>
  <c r="F514" i="6"/>
  <c r="G514" i="6"/>
  <c r="F515" i="6"/>
  <c r="G515" i="6"/>
  <c r="F516" i="6"/>
  <c r="G516" i="6"/>
  <c r="F517" i="6"/>
  <c r="G517" i="6"/>
  <c r="F518" i="6"/>
  <c r="G518" i="6"/>
  <c r="F519" i="6"/>
  <c r="G519" i="6"/>
  <c r="F520" i="6"/>
  <c r="G520" i="6"/>
  <c r="F521" i="6"/>
  <c r="G521" i="6"/>
  <c r="F522" i="6"/>
  <c r="G522" i="6"/>
  <c r="F523" i="6"/>
  <c r="G523" i="6"/>
  <c r="F524" i="6"/>
  <c r="G524" i="6"/>
  <c r="F525" i="6"/>
  <c r="G525" i="6"/>
  <c r="F526" i="6"/>
  <c r="G526" i="6"/>
  <c r="F527" i="6"/>
  <c r="G527" i="6"/>
  <c r="F528" i="6"/>
  <c r="G528" i="6"/>
  <c r="F529" i="6"/>
  <c r="G529" i="6"/>
  <c r="F530" i="6"/>
  <c r="G530" i="6"/>
  <c r="F531" i="6"/>
  <c r="G531" i="6"/>
  <c r="F532" i="6"/>
  <c r="G532" i="6"/>
  <c r="F533" i="6"/>
  <c r="G533" i="6"/>
  <c r="F534" i="6"/>
  <c r="G534" i="6"/>
  <c r="F535" i="6"/>
  <c r="G535" i="6"/>
  <c r="F536" i="6"/>
  <c r="G536" i="6"/>
  <c r="F537" i="6"/>
  <c r="G537" i="6"/>
  <c r="F538" i="6"/>
  <c r="G538" i="6"/>
  <c r="F539" i="6"/>
  <c r="G539" i="6"/>
  <c r="F540" i="6"/>
  <c r="G540" i="6"/>
  <c r="F541" i="6"/>
  <c r="G541" i="6"/>
  <c r="F542" i="6"/>
  <c r="G542" i="6"/>
  <c r="F543" i="6"/>
  <c r="G543" i="6"/>
  <c r="F544" i="6"/>
  <c r="G544" i="6"/>
  <c r="F545" i="6"/>
  <c r="G545" i="6"/>
  <c r="F546" i="6"/>
  <c r="G546" i="6"/>
  <c r="F547" i="6"/>
  <c r="G547" i="6"/>
  <c r="F548" i="6"/>
  <c r="G548" i="6"/>
  <c r="F549" i="6"/>
  <c r="G549" i="6"/>
  <c r="F550" i="6"/>
  <c r="G550" i="6"/>
  <c r="F551" i="6"/>
  <c r="G551" i="6"/>
  <c r="F552" i="6"/>
  <c r="G552" i="6"/>
  <c r="F553" i="6"/>
  <c r="G553" i="6"/>
  <c r="F554" i="6"/>
  <c r="G554" i="6"/>
  <c r="F555" i="6"/>
  <c r="G555" i="6"/>
  <c r="F556" i="6"/>
  <c r="G556" i="6"/>
  <c r="F557" i="6"/>
  <c r="G557" i="6"/>
  <c r="F558" i="6"/>
  <c r="G558" i="6"/>
  <c r="F559" i="6"/>
  <c r="G559" i="6"/>
  <c r="F560" i="6"/>
  <c r="G560" i="6"/>
  <c r="F561" i="6"/>
  <c r="G561" i="6"/>
  <c r="H81" i="6"/>
  <c r="I81" i="6"/>
  <c r="H82" i="6"/>
  <c r="I82" i="6"/>
  <c r="H83" i="6"/>
  <c r="I83" i="6"/>
  <c r="H84" i="6"/>
  <c r="I84" i="6"/>
  <c r="H85" i="6"/>
  <c r="I85" i="6"/>
  <c r="H86" i="6"/>
  <c r="I86" i="6"/>
  <c r="H87" i="6"/>
  <c r="I87" i="6"/>
  <c r="H88" i="6"/>
  <c r="I88" i="6"/>
  <c r="H89" i="6"/>
  <c r="I89" i="6"/>
  <c r="H90" i="6"/>
  <c r="I90" i="6"/>
  <c r="H91" i="6"/>
  <c r="I91" i="6"/>
  <c r="H92" i="6"/>
  <c r="I92" i="6"/>
  <c r="H93" i="6"/>
  <c r="I93" i="6"/>
  <c r="H94" i="6"/>
  <c r="I94" i="6"/>
  <c r="H95" i="6"/>
  <c r="I95" i="6"/>
  <c r="H96" i="6"/>
  <c r="I96" i="6"/>
  <c r="H97" i="6"/>
  <c r="I97" i="6"/>
  <c r="H98" i="6"/>
  <c r="I98" i="6"/>
  <c r="H99" i="6"/>
  <c r="I99" i="6"/>
  <c r="H100" i="6"/>
  <c r="I100" i="6"/>
  <c r="H101" i="6"/>
  <c r="I101" i="6"/>
  <c r="H102" i="6"/>
  <c r="I102" i="6"/>
  <c r="H103" i="6"/>
  <c r="I103" i="6"/>
  <c r="H104" i="6"/>
  <c r="I104" i="6"/>
  <c r="H105" i="6"/>
  <c r="I105" i="6"/>
  <c r="H106" i="6"/>
  <c r="I106" i="6"/>
  <c r="H107" i="6"/>
  <c r="I107" i="6"/>
  <c r="H108" i="6"/>
  <c r="I108" i="6"/>
  <c r="H109" i="6"/>
  <c r="I109" i="6"/>
  <c r="H110" i="6"/>
  <c r="I110" i="6"/>
  <c r="H111" i="6"/>
  <c r="I111" i="6"/>
  <c r="H112" i="6"/>
  <c r="I112" i="6"/>
  <c r="H113" i="6"/>
  <c r="I113" i="6"/>
  <c r="H114" i="6"/>
  <c r="I114" i="6"/>
  <c r="H115" i="6"/>
  <c r="I115" i="6"/>
  <c r="H116" i="6"/>
  <c r="I116" i="6"/>
  <c r="H117" i="6"/>
  <c r="I117" i="6"/>
  <c r="H118" i="6"/>
  <c r="I118" i="6"/>
  <c r="H119" i="6"/>
  <c r="I119" i="6"/>
  <c r="H120" i="6"/>
  <c r="I120" i="6"/>
  <c r="H121" i="6"/>
  <c r="I121" i="6"/>
  <c r="H122" i="6"/>
  <c r="I122" i="6"/>
  <c r="H123" i="6"/>
  <c r="I123" i="6"/>
  <c r="H124" i="6"/>
  <c r="I124" i="6"/>
  <c r="H125" i="6"/>
  <c r="I125" i="6"/>
  <c r="H126" i="6"/>
  <c r="I126" i="6"/>
  <c r="H127" i="6"/>
  <c r="I127" i="6"/>
  <c r="H128" i="6"/>
  <c r="I128" i="6"/>
  <c r="H129" i="6"/>
  <c r="I129" i="6"/>
  <c r="H130" i="6"/>
  <c r="I130" i="6"/>
  <c r="H131" i="6"/>
  <c r="I131" i="6"/>
  <c r="H132" i="6"/>
  <c r="I132" i="6"/>
  <c r="H133" i="6"/>
  <c r="I133" i="6"/>
  <c r="H134" i="6"/>
  <c r="I134" i="6"/>
  <c r="H135" i="6"/>
  <c r="I135" i="6"/>
  <c r="H136" i="6"/>
  <c r="I136" i="6"/>
  <c r="H137" i="6"/>
  <c r="I137" i="6"/>
  <c r="H138" i="6"/>
  <c r="I138" i="6"/>
  <c r="H139" i="6"/>
  <c r="I139" i="6"/>
  <c r="H140" i="6"/>
  <c r="I140" i="6"/>
  <c r="H141" i="6"/>
  <c r="I141" i="6"/>
  <c r="H142" i="6"/>
  <c r="I142" i="6"/>
  <c r="H143" i="6"/>
  <c r="I143" i="6"/>
  <c r="H144" i="6"/>
  <c r="I144" i="6"/>
  <c r="H145" i="6"/>
  <c r="I145" i="6"/>
  <c r="H146" i="6"/>
  <c r="I146" i="6"/>
  <c r="H147" i="6"/>
  <c r="I147" i="6"/>
  <c r="H148" i="6"/>
  <c r="I148" i="6"/>
  <c r="H149" i="6"/>
  <c r="I149" i="6"/>
  <c r="H150" i="6"/>
  <c r="I150" i="6"/>
  <c r="H151" i="6"/>
  <c r="I151" i="6"/>
  <c r="H152" i="6"/>
  <c r="I152" i="6"/>
  <c r="H153" i="6"/>
  <c r="I153" i="6"/>
  <c r="H154" i="6"/>
  <c r="I154" i="6"/>
  <c r="H155" i="6"/>
  <c r="I155" i="6"/>
  <c r="H156" i="6"/>
  <c r="I156" i="6"/>
  <c r="H157" i="6"/>
  <c r="I157" i="6"/>
  <c r="H158" i="6"/>
  <c r="I158" i="6"/>
  <c r="H159" i="6"/>
  <c r="I159" i="6"/>
  <c r="H160" i="6"/>
  <c r="I160" i="6"/>
  <c r="H161" i="6"/>
  <c r="I161" i="6"/>
  <c r="H162" i="6"/>
  <c r="I162" i="6"/>
  <c r="H163" i="6"/>
  <c r="I163" i="6"/>
  <c r="H164" i="6"/>
  <c r="I164" i="6"/>
  <c r="H165" i="6"/>
  <c r="I165" i="6"/>
  <c r="H166" i="6"/>
  <c r="I166" i="6"/>
  <c r="H167" i="6"/>
  <c r="I167" i="6"/>
  <c r="H168" i="6"/>
  <c r="I168" i="6"/>
  <c r="H169" i="6"/>
  <c r="I169" i="6"/>
  <c r="H170" i="6"/>
  <c r="I170" i="6"/>
  <c r="H171" i="6"/>
  <c r="I171" i="6"/>
  <c r="H172" i="6"/>
  <c r="I172" i="6"/>
  <c r="H173" i="6"/>
  <c r="I173" i="6"/>
  <c r="H174" i="6"/>
  <c r="I174" i="6"/>
  <c r="H175" i="6"/>
  <c r="I175" i="6"/>
  <c r="H176" i="6"/>
  <c r="I176" i="6"/>
  <c r="H177" i="6"/>
  <c r="I177" i="6"/>
  <c r="H178" i="6"/>
  <c r="I178" i="6"/>
  <c r="H179" i="6"/>
  <c r="I179" i="6"/>
  <c r="H180" i="6"/>
  <c r="I180" i="6"/>
  <c r="H181" i="6"/>
  <c r="I181" i="6"/>
  <c r="H182" i="6"/>
  <c r="I182" i="6"/>
  <c r="H183" i="6"/>
  <c r="I183" i="6"/>
  <c r="H184" i="6"/>
  <c r="I184" i="6"/>
  <c r="H185" i="6"/>
  <c r="I185" i="6"/>
  <c r="H186" i="6"/>
  <c r="I186" i="6"/>
  <c r="H187" i="6"/>
  <c r="I187" i="6"/>
  <c r="H188" i="6"/>
  <c r="I188" i="6"/>
  <c r="H189" i="6"/>
  <c r="I189" i="6"/>
  <c r="H190" i="6"/>
  <c r="I190" i="6"/>
  <c r="H191" i="6"/>
  <c r="I191" i="6"/>
  <c r="H192" i="6"/>
  <c r="I192" i="6"/>
  <c r="H193" i="6"/>
  <c r="I193" i="6"/>
  <c r="H194" i="6"/>
  <c r="I194" i="6"/>
  <c r="H195" i="6"/>
  <c r="I195" i="6"/>
  <c r="H196" i="6"/>
  <c r="I196" i="6"/>
  <c r="H197" i="6"/>
  <c r="I197" i="6"/>
  <c r="H198" i="6"/>
  <c r="I198" i="6"/>
  <c r="H199" i="6"/>
  <c r="I199" i="6"/>
  <c r="H200" i="6"/>
  <c r="I200" i="6"/>
  <c r="H201" i="6"/>
  <c r="I201" i="6"/>
  <c r="H202" i="6"/>
  <c r="I202" i="6"/>
  <c r="H203" i="6"/>
  <c r="I203" i="6"/>
  <c r="H204" i="6"/>
  <c r="I204" i="6"/>
  <c r="H205" i="6"/>
  <c r="I205" i="6"/>
  <c r="H206" i="6"/>
  <c r="I206" i="6"/>
  <c r="H207" i="6"/>
  <c r="I207" i="6"/>
  <c r="H208" i="6"/>
  <c r="I208" i="6"/>
  <c r="H209" i="6"/>
  <c r="I209" i="6"/>
  <c r="H210" i="6"/>
  <c r="I210" i="6"/>
  <c r="H211" i="6"/>
  <c r="I211" i="6"/>
  <c r="H212" i="6"/>
  <c r="I212" i="6"/>
  <c r="H213" i="6"/>
  <c r="I213" i="6"/>
  <c r="H214" i="6"/>
  <c r="I214" i="6"/>
  <c r="H215" i="6"/>
  <c r="I215" i="6"/>
  <c r="H216" i="6"/>
  <c r="I216" i="6"/>
  <c r="H217" i="6"/>
  <c r="I217" i="6"/>
  <c r="H218" i="6"/>
  <c r="I218" i="6"/>
  <c r="H219" i="6"/>
  <c r="I219" i="6"/>
  <c r="H220" i="6"/>
  <c r="I220" i="6"/>
  <c r="H221" i="6"/>
  <c r="I221" i="6"/>
  <c r="H222" i="6"/>
  <c r="I222" i="6"/>
  <c r="H223" i="6"/>
  <c r="I223" i="6"/>
  <c r="H224" i="6"/>
  <c r="I224" i="6"/>
  <c r="H225" i="6"/>
  <c r="I225" i="6"/>
  <c r="H226" i="6"/>
  <c r="I226" i="6"/>
  <c r="H227" i="6"/>
  <c r="I227" i="6"/>
  <c r="H228" i="6"/>
  <c r="I228" i="6"/>
  <c r="H229" i="6"/>
  <c r="I229" i="6"/>
  <c r="H230" i="6"/>
  <c r="I230" i="6"/>
  <c r="H231" i="6"/>
  <c r="I231" i="6"/>
  <c r="H232" i="6"/>
  <c r="I232" i="6"/>
  <c r="H233" i="6"/>
  <c r="I233" i="6"/>
  <c r="H234" i="6"/>
  <c r="I234" i="6"/>
  <c r="H235" i="6"/>
  <c r="I235" i="6"/>
  <c r="H236" i="6"/>
  <c r="I236" i="6"/>
  <c r="H237" i="6"/>
  <c r="I237" i="6"/>
  <c r="H238" i="6"/>
  <c r="I238" i="6"/>
  <c r="H239" i="6"/>
  <c r="I239" i="6"/>
  <c r="H240" i="6"/>
  <c r="I240" i="6"/>
  <c r="H241" i="6"/>
  <c r="I241" i="6"/>
  <c r="H242" i="6"/>
  <c r="I242" i="6"/>
  <c r="H243" i="6"/>
  <c r="I243" i="6"/>
  <c r="H244" i="6"/>
  <c r="I244" i="6"/>
  <c r="H245" i="6"/>
  <c r="I245" i="6"/>
  <c r="H246" i="6"/>
  <c r="I246" i="6"/>
  <c r="H247" i="6"/>
  <c r="I247" i="6"/>
  <c r="H248" i="6"/>
  <c r="I248" i="6"/>
  <c r="H249" i="6"/>
  <c r="I249" i="6"/>
  <c r="H250" i="6"/>
  <c r="I250" i="6"/>
  <c r="H251" i="6"/>
  <c r="I251" i="6"/>
  <c r="H252" i="6"/>
  <c r="I252" i="6"/>
  <c r="H253" i="6"/>
  <c r="I253" i="6"/>
  <c r="H254" i="6"/>
  <c r="I254" i="6"/>
  <c r="H255" i="6"/>
  <c r="I255" i="6"/>
  <c r="H256" i="6"/>
  <c r="I256" i="6"/>
  <c r="H257" i="6"/>
  <c r="I257" i="6"/>
  <c r="H258" i="6"/>
  <c r="I258" i="6"/>
  <c r="H259" i="6"/>
  <c r="I259" i="6"/>
  <c r="H260" i="6"/>
  <c r="I260" i="6"/>
  <c r="H261" i="6"/>
  <c r="I261" i="6"/>
  <c r="H262" i="6"/>
  <c r="I262" i="6"/>
  <c r="H263" i="6"/>
  <c r="I263" i="6"/>
  <c r="H264" i="6"/>
  <c r="I264" i="6"/>
  <c r="H265" i="6"/>
  <c r="I265" i="6"/>
  <c r="H266" i="6"/>
  <c r="I266" i="6"/>
  <c r="H267" i="6"/>
  <c r="I267" i="6"/>
  <c r="H268" i="6"/>
  <c r="I268" i="6"/>
  <c r="H269" i="6"/>
  <c r="I269" i="6"/>
  <c r="H270" i="6"/>
  <c r="I270" i="6"/>
  <c r="H271" i="6"/>
  <c r="I271" i="6"/>
  <c r="H272" i="6"/>
  <c r="I272" i="6"/>
  <c r="H273" i="6"/>
  <c r="I273" i="6"/>
  <c r="H274" i="6"/>
  <c r="I274" i="6"/>
  <c r="H275" i="6"/>
  <c r="I275" i="6"/>
  <c r="H276" i="6"/>
  <c r="I276" i="6"/>
  <c r="H277" i="6"/>
  <c r="I277" i="6"/>
  <c r="H278" i="6"/>
  <c r="I278" i="6"/>
  <c r="H279" i="6"/>
  <c r="I279" i="6"/>
  <c r="H280" i="6"/>
  <c r="I280" i="6"/>
  <c r="H281" i="6"/>
  <c r="I281" i="6"/>
  <c r="H282" i="6"/>
  <c r="I282" i="6"/>
  <c r="H283" i="6"/>
  <c r="I283" i="6"/>
  <c r="H284" i="6"/>
  <c r="I284" i="6"/>
  <c r="H285" i="6"/>
  <c r="I285" i="6"/>
  <c r="H286" i="6"/>
  <c r="I286" i="6"/>
  <c r="H287" i="6"/>
  <c r="I287" i="6"/>
  <c r="H288" i="6"/>
  <c r="I288" i="6"/>
  <c r="H289" i="6"/>
  <c r="I289" i="6"/>
  <c r="H290" i="6"/>
  <c r="I290" i="6"/>
  <c r="H291" i="6"/>
  <c r="I291" i="6"/>
  <c r="H292" i="6"/>
  <c r="I292" i="6"/>
  <c r="H293" i="6"/>
  <c r="I293" i="6"/>
  <c r="H294" i="6"/>
  <c r="I294" i="6"/>
  <c r="H295" i="6"/>
  <c r="I295" i="6"/>
  <c r="H296" i="6"/>
  <c r="I296" i="6"/>
  <c r="H297" i="6"/>
  <c r="I297" i="6"/>
  <c r="H298" i="6"/>
  <c r="I298" i="6"/>
  <c r="H299" i="6"/>
  <c r="I299" i="6"/>
  <c r="H300" i="6"/>
  <c r="I300" i="6"/>
  <c r="H301" i="6"/>
  <c r="I301" i="6"/>
  <c r="H302" i="6"/>
  <c r="I302" i="6"/>
  <c r="H303" i="6"/>
  <c r="I303" i="6"/>
  <c r="H304" i="6"/>
  <c r="I304" i="6"/>
  <c r="H305" i="6"/>
  <c r="I305" i="6"/>
  <c r="H306" i="6"/>
  <c r="I306" i="6"/>
  <c r="H307" i="6"/>
  <c r="I307" i="6"/>
  <c r="H308" i="6"/>
  <c r="I308" i="6"/>
  <c r="H309" i="6"/>
  <c r="I309" i="6"/>
  <c r="H310" i="6"/>
  <c r="I310" i="6"/>
  <c r="H311" i="6"/>
  <c r="I311" i="6"/>
  <c r="H312" i="6"/>
  <c r="I312" i="6"/>
  <c r="H313" i="6"/>
  <c r="I313" i="6"/>
  <c r="H314" i="6"/>
  <c r="I314" i="6"/>
  <c r="H315" i="6"/>
  <c r="I315" i="6"/>
  <c r="H316" i="6"/>
  <c r="I316" i="6"/>
  <c r="H317" i="6"/>
  <c r="I317" i="6"/>
  <c r="H318" i="6"/>
  <c r="I318" i="6"/>
  <c r="H319" i="6"/>
  <c r="I319" i="6"/>
  <c r="H320" i="6"/>
  <c r="I320" i="6"/>
  <c r="H321" i="6"/>
  <c r="I321" i="6"/>
  <c r="H322" i="6"/>
  <c r="I322" i="6"/>
  <c r="H323" i="6"/>
  <c r="I323" i="6"/>
  <c r="H324" i="6"/>
  <c r="I324" i="6"/>
  <c r="H325" i="6"/>
  <c r="I325" i="6"/>
  <c r="H326" i="6"/>
  <c r="I326" i="6"/>
  <c r="H327" i="6"/>
  <c r="I327" i="6"/>
  <c r="H328" i="6"/>
  <c r="I328" i="6"/>
  <c r="H329" i="6"/>
  <c r="I329" i="6"/>
  <c r="H330" i="6"/>
  <c r="I330" i="6"/>
  <c r="H331" i="6"/>
  <c r="I331" i="6"/>
  <c r="H332" i="6"/>
  <c r="I332" i="6"/>
  <c r="H333" i="6"/>
  <c r="I333" i="6"/>
  <c r="H334" i="6"/>
  <c r="I334" i="6"/>
  <c r="H335" i="6"/>
  <c r="I335" i="6"/>
  <c r="H336" i="6"/>
  <c r="I336" i="6"/>
  <c r="H337" i="6"/>
  <c r="I337" i="6"/>
  <c r="H338" i="6"/>
  <c r="I338" i="6"/>
  <c r="H339" i="6"/>
  <c r="I339" i="6"/>
  <c r="H340" i="6"/>
  <c r="I340" i="6"/>
  <c r="H341" i="6"/>
  <c r="I341" i="6"/>
  <c r="H342" i="6"/>
  <c r="I342" i="6"/>
  <c r="H343" i="6"/>
  <c r="I343" i="6"/>
  <c r="H344" i="6"/>
  <c r="I344" i="6"/>
  <c r="H345" i="6"/>
  <c r="I345" i="6"/>
  <c r="H346" i="6"/>
  <c r="I346" i="6"/>
  <c r="H347" i="6"/>
  <c r="I347" i="6"/>
  <c r="H348" i="6"/>
  <c r="I348" i="6"/>
  <c r="H349" i="6"/>
  <c r="I349" i="6"/>
  <c r="H350" i="6"/>
  <c r="I350" i="6"/>
  <c r="H351" i="6"/>
  <c r="I351" i="6"/>
  <c r="H352" i="6"/>
  <c r="I352" i="6"/>
  <c r="H353" i="6"/>
  <c r="I353" i="6"/>
  <c r="H354" i="6"/>
  <c r="I354" i="6"/>
  <c r="H355" i="6"/>
  <c r="I355" i="6"/>
  <c r="H356" i="6"/>
  <c r="I356" i="6"/>
  <c r="H357" i="6"/>
  <c r="I357" i="6"/>
  <c r="H358" i="6"/>
  <c r="I358" i="6"/>
  <c r="H359" i="6"/>
  <c r="I359" i="6"/>
  <c r="H360" i="6"/>
  <c r="I360" i="6"/>
  <c r="H361" i="6"/>
  <c r="I361" i="6"/>
  <c r="H362" i="6"/>
  <c r="I362" i="6"/>
  <c r="H363" i="6"/>
  <c r="I363" i="6"/>
  <c r="H364" i="6"/>
  <c r="I364" i="6"/>
  <c r="H365" i="6"/>
  <c r="I365" i="6"/>
  <c r="H366" i="6"/>
  <c r="I366" i="6"/>
  <c r="H367" i="6"/>
  <c r="I367" i="6"/>
  <c r="H368" i="6"/>
  <c r="I368" i="6"/>
  <c r="H369" i="6"/>
  <c r="I369" i="6"/>
  <c r="H370" i="6"/>
  <c r="I370" i="6"/>
  <c r="H371" i="6"/>
  <c r="I371" i="6"/>
  <c r="H372" i="6"/>
  <c r="I372" i="6"/>
  <c r="H373" i="6"/>
  <c r="I373" i="6"/>
  <c r="H374" i="6"/>
  <c r="I374" i="6"/>
  <c r="H375" i="6"/>
  <c r="I375" i="6"/>
  <c r="H376" i="6"/>
  <c r="I376" i="6"/>
  <c r="H377" i="6"/>
  <c r="I377" i="6"/>
  <c r="H378" i="6"/>
  <c r="I378" i="6"/>
  <c r="H379" i="6"/>
  <c r="I379" i="6"/>
  <c r="H380" i="6"/>
  <c r="I380" i="6"/>
  <c r="H381" i="6"/>
  <c r="I381" i="6"/>
  <c r="H382" i="6"/>
  <c r="I382" i="6"/>
  <c r="H383" i="6"/>
  <c r="I383" i="6"/>
  <c r="H384" i="6"/>
  <c r="I384" i="6"/>
  <c r="H385" i="6"/>
  <c r="I385" i="6"/>
  <c r="H386" i="6"/>
  <c r="I386" i="6"/>
  <c r="H387" i="6"/>
  <c r="I387" i="6"/>
  <c r="H388" i="6"/>
  <c r="I388" i="6"/>
  <c r="H389" i="6"/>
  <c r="I389" i="6"/>
  <c r="H390" i="6"/>
  <c r="I390" i="6"/>
  <c r="H391" i="6"/>
  <c r="I391" i="6"/>
  <c r="H392" i="6"/>
  <c r="I392" i="6"/>
  <c r="H393" i="6"/>
  <c r="I393" i="6"/>
  <c r="H394" i="6"/>
  <c r="I394" i="6"/>
  <c r="H395" i="6"/>
  <c r="I395" i="6"/>
  <c r="H396" i="6"/>
  <c r="I396" i="6"/>
  <c r="H397" i="6"/>
  <c r="I397" i="6"/>
  <c r="H398" i="6"/>
  <c r="I398" i="6"/>
  <c r="H399" i="6"/>
  <c r="I399" i="6"/>
  <c r="H400" i="6"/>
  <c r="I400" i="6"/>
  <c r="H401" i="6"/>
  <c r="I401" i="6"/>
  <c r="H402" i="6"/>
  <c r="I402" i="6"/>
  <c r="H403" i="6"/>
  <c r="I403" i="6"/>
  <c r="H404" i="6"/>
  <c r="I404" i="6"/>
  <c r="H405" i="6"/>
  <c r="I405" i="6"/>
  <c r="H406" i="6"/>
  <c r="I406" i="6"/>
  <c r="H407" i="6"/>
  <c r="I407" i="6"/>
  <c r="H408" i="6"/>
  <c r="I408" i="6"/>
  <c r="H409" i="6"/>
  <c r="I409" i="6"/>
  <c r="H410" i="6"/>
  <c r="I410" i="6"/>
  <c r="H411" i="6"/>
  <c r="I411" i="6"/>
  <c r="H412" i="6"/>
  <c r="I412" i="6"/>
  <c r="H413" i="6"/>
  <c r="I413" i="6"/>
  <c r="H414" i="6"/>
  <c r="I414" i="6"/>
  <c r="H415" i="6"/>
  <c r="I415" i="6"/>
  <c r="H416" i="6"/>
  <c r="I416" i="6"/>
  <c r="H417" i="6"/>
  <c r="I417" i="6"/>
  <c r="H418" i="6"/>
  <c r="I418" i="6"/>
  <c r="H419" i="6"/>
  <c r="I419" i="6"/>
  <c r="H420" i="6"/>
  <c r="I420" i="6"/>
  <c r="H421" i="6"/>
  <c r="I421" i="6"/>
  <c r="H422" i="6"/>
  <c r="I422" i="6"/>
  <c r="H423" i="6"/>
  <c r="I423" i="6"/>
  <c r="H424" i="6"/>
  <c r="I424" i="6"/>
  <c r="H425" i="6"/>
  <c r="I425" i="6"/>
  <c r="H426" i="6"/>
  <c r="I426" i="6"/>
  <c r="H427" i="6"/>
  <c r="I427" i="6"/>
  <c r="H428" i="6"/>
  <c r="I428" i="6"/>
  <c r="H429" i="6"/>
  <c r="I429" i="6"/>
  <c r="H430" i="6"/>
  <c r="I430" i="6"/>
  <c r="H431" i="6"/>
  <c r="I431" i="6"/>
  <c r="H432" i="6"/>
  <c r="I432" i="6"/>
  <c r="H433" i="6"/>
  <c r="I433" i="6"/>
  <c r="H434" i="6"/>
  <c r="I434" i="6"/>
  <c r="H435" i="6"/>
  <c r="I435" i="6"/>
  <c r="H436" i="6"/>
  <c r="I436" i="6"/>
  <c r="H437" i="6"/>
  <c r="I437" i="6"/>
  <c r="H438" i="6"/>
  <c r="I438" i="6"/>
  <c r="H439" i="6"/>
  <c r="I439" i="6"/>
  <c r="H440" i="6"/>
  <c r="I440" i="6"/>
  <c r="H441" i="6"/>
  <c r="I441" i="6"/>
  <c r="H442" i="6"/>
  <c r="I442" i="6"/>
  <c r="H443" i="6"/>
  <c r="I443" i="6"/>
  <c r="H444" i="6"/>
  <c r="I444" i="6"/>
  <c r="H445" i="6"/>
  <c r="I445" i="6"/>
  <c r="H446" i="6"/>
  <c r="I446" i="6"/>
  <c r="H447" i="6"/>
  <c r="I447" i="6"/>
  <c r="H448" i="6"/>
  <c r="I448" i="6"/>
  <c r="H449" i="6"/>
  <c r="I449" i="6"/>
  <c r="H450" i="6"/>
  <c r="I450" i="6"/>
  <c r="H451" i="6"/>
  <c r="I451" i="6"/>
  <c r="H452" i="6"/>
  <c r="I452" i="6"/>
  <c r="H453" i="6"/>
  <c r="I453" i="6"/>
  <c r="H454" i="6"/>
  <c r="I454" i="6"/>
  <c r="H455" i="6"/>
  <c r="I455" i="6"/>
  <c r="H456" i="6"/>
  <c r="I456" i="6"/>
  <c r="H457" i="6"/>
  <c r="I457" i="6"/>
  <c r="H458" i="6"/>
  <c r="I458" i="6"/>
  <c r="H459" i="6"/>
  <c r="I459" i="6"/>
  <c r="H460" i="6"/>
  <c r="I460" i="6"/>
  <c r="H461" i="6"/>
  <c r="I461" i="6"/>
  <c r="H462" i="6"/>
  <c r="I462" i="6"/>
  <c r="H463" i="6"/>
  <c r="I463" i="6"/>
  <c r="H464" i="6"/>
  <c r="I464" i="6"/>
  <c r="H465" i="6"/>
  <c r="I465" i="6"/>
  <c r="H466" i="6"/>
  <c r="I466" i="6"/>
  <c r="H467" i="6"/>
  <c r="I467" i="6"/>
  <c r="H468" i="6"/>
  <c r="I468" i="6"/>
  <c r="H469" i="6"/>
  <c r="I469" i="6"/>
  <c r="H470" i="6"/>
  <c r="I470" i="6"/>
  <c r="H471" i="6"/>
  <c r="I471" i="6"/>
  <c r="H472" i="6"/>
  <c r="I472" i="6"/>
  <c r="H473" i="6"/>
  <c r="I473" i="6"/>
  <c r="H474" i="6"/>
  <c r="I474" i="6"/>
  <c r="H475" i="6"/>
  <c r="I475" i="6"/>
  <c r="H476" i="6"/>
  <c r="I476" i="6"/>
  <c r="H477" i="6"/>
  <c r="I477" i="6"/>
  <c r="H478" i="6"/>
  <c r="I478" i="6"/>
  <c r="H479" i="6"/>
  <c r="I479" i="6"/>
  <c r="H480" i="6"/>
  <c r="I480" i="6"/>
  <c r="H481" i="6"/>
  <c r="I481" i="6"/>
  <c r="H482" i="6"/>
  <c r="I482" i="6"/>
  <c r="H483" i="6"/>
  <c r="I483" i="6"/>
  <c r="H484" i="6"/>
  <c r="I484" i="6"/>
  <c r="H485" i="6"/>
  <c r="I485" i="6"/>
  <c r="H486" i="6"/>
  <c r="I486" i="6"/>
  <c r="H487" i="6"/>
  <c r="I487" i="6"/>
  <c r="H488" i="6"/>
  <c r="I488" i="6"/>
  <c r="H489" i="6"/>
  <c r="I489" i="6"/>
  <c r="H490" i="6"/>
  <c r="I490" i="6"/>
  <c r="H491" i="6"/>
  <c r="I491" i="6"/>
  <c r="H492" i="6"/>
  <c r="I492" i="6"/>
  <c r="H493" i="6"/>
  <c r="I493" i="6"/>
  <c r="H494" i="6"/>
  <c r="I494" i="6"/>
  <c r="H495" i="6"/>
  <c r="I495" i="6"/>
  <c r="H496" i="6"/>
  <c r="I496" i="6"/>
  <c r="H497" i="6"/>
  <c r="I497" i="6"/>
  <c r="H498" i="6"/>
  <c r="I498" i="6"/>
  <c r="H499" i="6"/>
  <c r="I499" i="6"/>
  <c r="H500" i="6"/>
  <c r="I500" i="6"/>
  <c r="H501" i="6"/>
  <c r="I501" i="6"/>
  <c r="H502" i="6"/>
  <c r="I502" i="6"/>
  <c r="H503" i="6"/>
  <c r="I503" i="6"/>
  <c r="H504" i="6"/>
  <c r="I504" i="6"/>
  <c r="H505" i="6"/>
  <c r="I505" i="6"/>
  <c r="H506" i="6"/>
  <c r="I506" i="6"/>
  <c r="H507" i="6"/>
  <c r="I507" i="6"/>
  <c r="H508" i="6"/>
  <c r="I508" i="6"/>
  <c r="H509" i="6"/>
  <c r="I509" i="6"/>
  <c r="H510" i="6"/>
  <c r="I510" i="6"/>
  <c r="H511" i="6"/>
  <c r="I511" i="6"/>
  <c r="H512" i="6"/>
  <c r="I512" i="6"/>
  <c r="H513" i="6"/>
  <c r="I513" i="6"/>
  <c r="H514" i="6"/>
  <c r="I514" i="6"/>
  <c r="H515" i="6"/>
  <c r="I515" i="6"/>
  <c r="H516" i="6"/>
  <c r="I516" i="6"/>
  <c r="H517" i="6"/>
  <c r="I517" i="6"/>
  <c r="H518" i="6"/>
  <c r="I518" i="6"/>
  <c r="H519" i="6"/>
  <c r="I519" i="6"/>
  <c r="H520" i="6"/>
  <c r="I520" i="6"/>
  <c r="H521" i="6"/>
  <c r="I521" i="6"/>
  <c r="H522" i="6"/>
  <c r="I522" i="6"/>
  <c r="H523" i="6"/>
  <c r="I523" i="6"/>
  <c r="H524" i="6"/>
  <c r="I524" i="6"/>
  <c r="H525" i="6"/>
  <c r="I525" i="6"/>
  <c r="H526" i="6"/>
  <c r="I526" i="6"/>
  <c r="H527" i="6"/>
  <c r="I527" i="6"/>
  <c r="H528" i="6"/>
  <c r="I528" i="6"/>
  <c r="H529" i="6"/>
  <c r="I529" i="6"/>
  <c r="H530" i="6"/>
  <c r="I530" i="6"/>
  <c r="H531" i="6"/>
  <c r="I531" i="6"/>
  <c r="H532" i="6"/>
  <c r="I532" i="6"/>
  <c r="H533" i="6"/>
  <c r="I533" i="6"/>
  <c r="H534" i="6"/>
  <c r="I534" i="6"/>
  <c r="H535" i="6"/>
  <c r="I535" i="6"/>
  <c r="H536" i="6"/>
  <c r="I536" i="6"/>
  <c r="H537" i="6"/>
  <c r="I537" i="6"/>
  <c r="H538" i="6"/>
  <c r="I538" i="6"/>
  <c r="H539" i="6"/>
  <c r="I539" i="6"/>
  <c r="H540" i="6"/>
  <c r="I540" i="6"/>
  <c r="H541" i="6"/>
  <c r="I541" i="6"/>
  <c r="H542" i="6"/>
  <c r="I542" i="6"/>
  <c r="H543" i="6"/>
  <c r="I543" i="6"/>
  <c r="H544" i="6"/>
  <c r="I544" i="6"/>
  <c r="H545" i="6"/>
  <c r="I545" i="6"/>
  <c r="H546" i="6"/>
  <c r="I546" i="6"/>
  <c r="H547" i="6"/>
  <c r="I547" i="6"/>
  <c r="H548" i="6"/>
  <c r="I548" i="6"/>
  <c r="H549" i="6"/>
  <c r="I549" i="6"/>
  <c r="H550" i="6"/>
  <c r="I550" i="6"/>
  <c r="H551" i="6"/>
  <c r="I551" i="6"/>
  <c r="H552" i="6"/>
  <c r="I552" i="6"/>
  <c r="H553" i="6"/>
  <c r="I553" i="6"/>
  <c r="H554" i="6"/>
  <c r="I554" i="6"/>
  <c r="H555" i="6"/>
  <c r="I555" i="6"/>
  <c r="H556" i="6"/>
  <c r="I556" i="6"/>
  <c r="H557" i="6"/>
  <c r="I557" i="6"/>
  <c r="H558" i="6"/>
  <c r="I558" i="6"/>
  <c r="H559" i="6"/>
  <c r="I559" i="6"/>
  <c r="H560" i="6"/>
  <c r="I560" i="6"/>
  <c r="H561" i="6"/>
  <c r="I561" i="6"/>
  <c r="E555" i="6"/>
  <c r="E556" i="6"/>
  <c r="E557" i="6"/>
  <c r="C555" i="6"/>
  <c r="C556" i="6"/>
  <c r="C557" i="6"/>
  <c r="J555" i="6" a="1"/>
  <c r="J555" i="6" s="1"/>
  <c r="T555" i="6"/>
  <c r="U555" i="6"/>
  <c r="V555" i="6"/>
  <c r="X555" i="6"/>
  <c r="Y555" i="6"/>
  <c r="AF555" i="6"/>
  <c r="J556" i="6" a="1"/>
  <c r="J556" i="6" s="1"/>
  <c r="T556" i="6"/>
  <c r="U556" i="6"/>
  <c r="V556" i="6"/>
  <c r="X556" i="6"/>
  <c r="Y556" i="6"/>
  <c r="AF556" i="6"/>
  <c r="J557" i="6" a="1"/>
  <c r="J557" i="6" s="1"/>
  <c r="T557" i="6"/>
  <c r="U557" i="6"/>
  <c r="V557" i="6"/>
  <c r="X557" i="6"/>
  <c r="Y557" i="6"/>
  <c r="AF557" i="6"/>
  <c r="C558" i="6"/>
  <c r="E558" i="6"/>
  <c r="J558" i="6" a="1"/>
  <c r="J558" i="6" s="1"/>
  <c r="T558" i="6"/>
  <c r="U558" i="6"/>
  <c r="V558" i="6"/>
  <c r="X558" i="6"/>
  <c r="Y558" i="6"/>
  <c r="AF558" i="6"/>
  <c r="C559" i="6"/>
  <c r="E559" i="6"/>
  <c r="J559" i="6" a="1"/>
  <c r="J559" i="6" s="1"/>
  <c r="T559" i="6"/>
  <c r="U559" i="6"/>
  <c r="V559" i="6"/>
  <c r="X559" i="6"/>
  <c r="Y559" i="6"/>
  <c r="AF559" i="6"/>
  <c r="C560" i="6"/>
  <c r="E560" i="6"/>
  <c r="J560" i="6" a="1"/>
  <c r="J560" i="6" s="1"/>
  <c r="T560" i="6"/>
  <c r="U560" i="6"/>
  <c r="V560" i="6"/>
  <c r="X560" i="6"/>
  <c r="Y560" i="6"/>
  <c r="AF560" i="6"/>
  <c r="C561" i="6"/>
  <c r="E561" i="6"/>
  <c r="J561" i="6" a="1"/>
  <c r="J561" i="6" s="1"/>
  <c r="T561" i="6"/>
  <c r="U561" i="6"/>
  <c r="V561" i="6"/>
  <c r="X561" i="6"/>
  <c r="Y561" i="6"/>
  <c r="AF561" i="6"/>
  <c r="C562" i="6"/>
  <c r="E562" i="6"/>
  <c r="J562" i="6" a="1"/>
  <c r="J562" i="6" s="1"/>
  <c r="T562" i="6"/>
  <c r="U562" i="6"/>
  <c r="V562" i="6"/>
  <c r="X562" i="6"/>
  <c r="Y562" i="6"/>
  <c r="AF562" i="6"/>
  <c r="C563" i="6"/>
  <c r="J563" i="6" a="1"/>
  <c r="J563" i="6" s="1"/>
  <c r="T563" i="6"/>
  <c r="U563" i="6"/>
  <c r="V563" i="6"/>
  <c r="X563" i="6"/>
  <c r="Y563" i="6"/>
  <c r="AF563" i="6"/>
  <c r="A333" i="4"/>
  <c r="D342" i="4"/>
  <c r="D341" i="4"/>
  <c r="D340" i="4"/>
  <c r="D339" i="4"/>
  <c r="D338" i="4"/>
  <c r="D337" i="4"/>
  <c r="D336" i="4"/>
  <c r="D335" i="4"/>
  <c r="D334" i="4"/>
  <c r="C553" i="6"/>
  <c r="E553" i="6"/>
  <c r="J553" i="6" a="1"/>
  <c r="J553" i="6" s="1"/>
  <c r="T553" i="6"/>
  <c r="U553" i="6"/>
  <c r="V553" i="6"/>
  <c r="X553" i="6"/>
  <c r="Y553" i="6"/>
  <c r="AF553" i="6"/>
  <c r="D333" i="4"/>
  <c r="C554" i="6"/>
  <c r="E554" i="6"/>
  <c r="J554" i="6" a="1"/>
  <c r="J554" i="6" s="1"/>
  <c r="T554" i="6"/>
  <c r="U554" i="6"/>
  <c r="V554" i="6"/>
  <c r="X554" i="6"/>
  <c r="Y554" i="6"/>
  <c r="AF554" i="6"/>
  <c r="D332" i="4"/>
  <c r="X575" i="6" l="1"/>
  <c r="E575" i="6"/>
  <c r="G575" i="6"/>
  <c r="F575" i="6"/>
  <c r="U575" i="6"/>
  <c r="I575" i="6"/>
  <c r="AF575" i="6"/>
  <c r="V575" i="6"/>
  <c r="T575" i="6"/>
  <c r="H575" i="6"/>
  <c r="Y575" i="6"/>
  <c r="F574" i="6"/>
  <c r="G574" i="6"/>
  <c r="Y574" i="6"/>
  <c r="X574" i="6"/>
  <c r="V574" i="6"/>
  <c r="U574" i="6"/>
  <c r="T574" i="6"/>
  <c r="I574" i="6"/>
  <c r="H574" i="6"/>
  <c r="AF574" i="6"/>
  <c r="E574" i="6"/>
  <c r="G573" i="6"/>
  <c r="F573" i="6"/>
  <c r="Y573" i="6"/>
  <c r="X573" i="6"/>
  <c r="V573" i="6"/>
  <c r="U573" i="6"/>
  <c r="T573" i="6"/>
  <c r="I573" i="6"/>
  <c r="H573" i="6"/>
  <c r="AF573" i="6"/>
  <c r="E573" i="6"/>
  <c r="E550" i="6"/>
  <c r="E551" i="6"/>
  <c r="E552" i="6"/>
  <c r="J550" i="6" a="1"/>
  <c r="J550" i="6" s="1"/>
  <c r="T550" i="6"/>
  <c r="U550" i="6"/>
  <c r="V550" i="6"/>
  <c r="X550" i="6"/>
  <c r="Y550" i="6"/>
  <c r="AF550" i="6"/>
  <c r="J551" i="6" a="1"/>
  <c r="J551" i="6" s="1"/>
  <c r="T551" i="6"/>
  <c r="U551" i="6"/>
  <c r="V551" i="6"/>
  <c r="X551" i="6"/>
  <c r="Y551" i="6"/>
  <c r="AF551" i="6"/>
  <c r="J552" i="6" a="1"/>
  <c r="J552" i="6" s="1"/>
  <c r="T552" i="6"/>
  <c r="U552" i="6"/>
  <c r="V552" i="6"/>
  <c r="X552" i="6"/>
  <c r="Y552" i="6"/>
  <c r="AF552" i="6"/>
  <c r="J597" i="6" l="1" a="1"/>
  <c r="J597" i="6" s="1"/>
  <c r="C544" i="6"/>
  <c r="E544" i="6"/>
  <c r="J544" i="6" a="1"/>
  <c r="J544" i="6" s="1"/>
  <c r="T544" i="6"/>
  <c r="U544" i="6"/>
  <c r="V544" i="6"/>
  <c r="X544" i="6"/>
  <c r="Y544" i="6"/>
  <c r="AF544" i="6"/>
  <c r="C545" i="6"/>
  <c r="E545" i="6"/>
  <c r="J545" i="6" a="1"/>
  <c r="J545" i="6" s="1"/>
  <c r="T545" i="6"/>
  <c r="U545" i="6"/>
  <c r="V545" i="6"/>
  <c r="X545" i="6"/>
  <c r="Y545" i="6"/>
  <c r="AF545" i="6"/>
  <c r="C546" i="6"/>
  <c r="E546" i="6"/>
  <c r="J546" i="6" a="1"/>
  <c r="J546" i="6" s="1"/>
  <c r="T546" i="6"/>
  <c r="U546" i="6"/>
  <c r="V546" i="6"/>
  <c r="X546" i="6"/>
  <c r="Y546" i="6"/>
  <c r="AF546" i="6"/>
  <c r="C547" i="6"/>
  <c r="E547" i="6"/>
  <c r="J547" i="6" a="1"/>
  <c r="J547" i="6" s="1"/>
  <c r="T547" i="6"/>
  <c r="U547" i="6"/>
  <c r="V547" i="6"/>
  <c r="X547" i="6"/>
  <c r="Y547" i="6"/>
  <c r="AF547" i="6"/>
  <c r="E548" i="6"/>
  <c r="T548" i="6"/>
  <c r="U548" i="6"/>
  <c r="V548" i="6"/>
  <c r="X548" i="6"/>
  <c r="Y548" i="6"/>
  <c r="AF548" i="6"/>
  <c r="E549" i="6"/>
  <c r="T549" i="6"/>
  <c r="U549" i="6"/>
  <c r="V549" i="6"/>
  <c r="X549" i="6"/>
  <c r="Y549" i="6"/>
  <c r="AF549" i="6"/>
  <c r="A329" i="4"/>
  <c r="A330" i="4"/>
  <c r="A331" i="4"/>
  <c r="D329" i="4"/>
  <c r="D330" i="4"/>
  <c r="D331" i="4"/>
  <c r="C543" i="6"/>
  <c r="E543" i="6"/>
  <c r="J543" i="6" a="1"/>
  <c r="J543" i="6" s="1"/>
  <c r="T543" i="6"/>
  <c r="U543" i="6"/>
  <c r="V543" i="6"/>
  <c r="X543" i="6"/>
  <c r="Y543" i="6"/>
  <c r="AF543" i="6"/>
  <c r="C542" i="6"/>
  <c r="E542" i="6"/>
  <c r="J542" i="6" a="1"/>
  <c r="J542" i="6" s="1"/>
  <c r="T542" i="6"/>
  <c r="U542" i="6"/>
  <c r="V542" i="6"/>
  <c r="X542" i="6"/>
  <c r="Y542" i="6"/>
  <c r="AF542" i="6"/>
  <c r="D327" i="4"/>
  <c r="D328" i="4"/>
  <c r="D326" i="4"/>
  <c r="J541" i="6" a="1"/>
  <c r="J541" i="6" s="1"/>
  <c r="D325" i="4" l="1"/>
  <c r="D324" i="4"/>
  <c r="D323" i="4"/>
  <c r="D322" i="4"/>
  <c r="C539" i="6"/>
  <c r="E539" i="6"/>
  <c r="J539" i="6" a="1"/>
  <c r="J539" i="6" s="1"/>
  <c r="T539" i="6"/>
  <c r="U539" i="6"/>
  <c r="V539" i="6"/>
  <c r="X539" i="6"/>
  <c r="Y539" i="6"/>
  <c r="AF539" i="6"/>
  <c r="C540" i="6"/>
  <c r="E540" i="6"/>
  <c r="J540" i="6" a="1"/>
  <c r="J540" i="6" s="1"/>
  <c r="T540" i="6"/>
  <c r="U540" i="6"/>
  <c r="V540" i="6"/>
  <c r="X540" i="6"/>
  <c r="Y540" i="6"/>
  <c r="AF540" i="6"/>
  <c r="C538" i="6"/>
  <c r="E538" i="6"/>
  <c r="J538" i="6" a="1"/>
  <c r="J538" i="6" s="1"/>
  <c r="T538" i="6"/>
  <c r="U538" i="6"/>
  <c r="V538" i="6"/>
  <c r="X538" i="6"/>
  <c r="Y538" i="6"/>
  <c r="AF538" i="6"/>
  <c r="D321" i="4"/>
  <c r="C536" i="6"/>
  <c r="E536" i="6"/>
  <c r="J536" i="6" a="1"/>
  <c r="J536" i="6" s="1"/>
  <c r="T536" i="6"/>
  <c r="U536" i="6"/>
  <c r="V536" i="6"/>
  <c r="X536" i="6"/>
  <c r="Y536" i="6"/>
  <c r="AF536" i="6"/>
  <c r="C537" i="6"/>
  <c r="E537" i="6"/>
  <c r="J537" i="6" a="1"/>
  <c r="J537" i="6" s="1"/>
  <c r="T537" i="6"/>
  <c r="U537" i="6"/>
  <c r="V537" i="6"/>
  <c r="X537" i="6"/>
  <c r="Y537" i="6"/>
  <c r="AF537" i="6"/>
  <c r="D320" i="4"/>
  <c r="D319" i="4"/>
  <c r="D318" i="4"/>
  <c r="H3" i="6"/>
  <c r="I3" i="6"/>
  <c r="H4" i="6"/>
  <c r="I4" i="6"/>
  <c r="H5" i="6"/>
  <c r="I5" i="6"/>
  <c r="H6" i="6"/>
  <c r="I6" i="6"/>
  <c r="H7" i="6"/>
  <c r="I7" i="6"/>
  <c r="H8" i="6"/>
  <c r="I8" i="6"/>
  <c r="H9" i="6"/>
  <c r="I9" i="6"/>
  <c r="H10" i="6"/>
  <c r="I10" i="6"/>
  <c r="H11" i="6"/>
  <c r="I11" i="6"/>
  <c r="H12" i="6"/>
  <c r="I12" i="6"/>
  <c r="H13" i="6"/>
  <c r="I13" i="6"/>
  <c r="H14" i="6"/>
  <c r="I14" i="6"/>
  <c r="H15" i="6"/>
  <c r="I15" i="6"/>
  <c r="H16" i="6"/>
  <c r="I16" i="6"/>
  <c r="H17" i="6"/>
  <c r="I17" i="6"/>
  <c r="H19" i="6"/>
  <c r="I19" i="6"/>
  <c r="H20" i="6"/>
  <c r="I20" i="6"/>
  <c r="H21" i="6"/>
  <c r="I21" i="6"/>
  <c r="H22" i="6"/>
  <c r="I22" i="6"/>
  <c r="H23" i="6"/>
  <c r="I23" i="6"/>
  <c r="H24" i="6"/>
  <c r="I24" i="6"/>
  <c r="H25" i="6"/>
  <c r="I25" i="6"/>
  <c r="H26" i="6"/>
  <c r="I26" i="6"/>
  <c r="H27" i="6"/>
  <c r="I27" i="6"/>
  <c r="H28" i="6"/>
  <c r="I28" i="6"/>
  <c r="H29" i="6"/>
  <c r="I29" i="6"/>
  <c r="H30" i="6"/>
  <c r="I30" i="6"/>
  <c r="H31" i="6"/>
  <c r="I31" i="6"/>
  <c r="H32" i="6"/>
  <c r="I32" i="6"/>
  <c r="H33" i="6"/>
  <c r="I33" i="6"/>
  <c r="H34" i="6"/>
  <c r="I34" i="6"/>
  <c r="H35" i="6"/>
  <c r="I35" i="6"/>
  <c r="H36" i="6"/>
  <c r="I36" i="6"/>
  <c r="H37" i="6"/>
  <c r="I37" i="6"/>
  <c r="H38" i="6"/>
  <c r="I38" i="6"/>
  <c r="H39" i="6"/>
  <c r="I39" i="6"/>
  <c r="H40" i="6"/>
  <c r="I40" i="6"/>
  <c r="H41" i="6"/>
  <c r="I41" i="6"/>
  <c r="H42" i="6"/>
  <c r="I42" i="6"/>
  <c r="H43" i="6"/>
  <c r="I43" i="6"/>
  <c r="H44" i="6"/>
  <c r="I44" i="6"/>
  <c r="H45" i="6"/>
  <c r="I45" i="6"/>
  <c r="H46" i="6"/>
  <c r="I46" i="6"/>
  <c r="H47" i="6"/>
  <c r="I47" i="6"/>
  <c r="H48" i="6"/>
  <c r="I48" i="6"/>
  <c r="H49" i="6"/>
  <c r="I49" i="6"/>
  <c r="H50" i="6"/>
  <c r="I50" i="6"/>
  <c r="H51" i="6"/>
  <c r="I51" i="6"/>
  <c r="H52" i="6"/>
  <c r="I52" i="6"/>
  <c r="H53" i="6"/>
  <c r="I53" i="6"/>
  <c r="H54" i="6"/>
  <c r="I54" i="6"/>
  <c r="H55" i="6"/>
  <c r="I55" i="6"/>
  <c r="H56" i="6"/>
  <c r="I56" i="6"/>
  <c r="H57" i="6"/>
  <c r="I57" i="6"/>
  <c r="H58" i="6"/>
  <c r="I58" i="6"/>
  <c r="H59" i="6"/>
  <c r="I59" i="6"/>
  <c r="H60" i="6"/>
  <c r="I60" i="6"/>
  <c r="H61" i="6"/>
  <c r="I61" i="6"/>
  <c r="H62" i="6"/>
  <c r="I62" i="6"/>
  <c r="H63" i="6"/>
  <c r="I63" i="6"/>
  <c r="H64" i="6"/>
  <c r="I64" i="6"/>
  <c r="H65" i="6"/>
  <c r="I65" i="6"/>
  <c r="H66" i="6"/>
  <c r="I66" i="6"/>
  <c r="H67" i="6"/>
  <c r="I67" i="6"/>
  <c r="H68" i="6"/>
  <c r="I68" i="6"/>
  <c r="H69" i="6"/>
  <c r="I69" i="6"/>
  <c r="H70" i="6"/>
  <c r="I70" i="6"/>
  <c r="H71" i="6"/>
  <c r="I71" i="6"/>
  <c r="H72" i="6"/>
  <c r="I72" i="6"/>
  <c r="H73" i="6"/>
  <c r="I73" i="6"/>
  <c r="H74" i="6"/>
  <c r="I74" i="6"/>
  <c r="H75" i="6"/>
  <c r="I75" i="6"/>
  <c r="H76" i="6"/>
  <c r="I76" i="6"/>
  <c r="H77" i="6"/>
  <c r="I77" i="6"/>
  <c r="H79" i="6"/>
  <c r="I79" i="6"/>
  <c r="H80" i="6"/>
  <c r="I80" i="6"/>
  <c r="H18" i="6"/>
  <c r="I18" i="6"/>
  <c r="H78" i="6"/>
  <c r="I78" i="6"/>
  <c r="J531" i="6" a="1"/>
  <c r="J531" i="6" s="1"/>
  <c r="D317" i="4"/>
  <c r="D316" i="4"/>
  <c r="E530" i="6"/>
  <c r="E531" i="6"/>
  <c r="E532" i="6"/>
  <c r="E533" i="6"/>
  <c r="E534" i="6"/>
  <c r="C531" i="6"/>
  <c r="T531" i="6"/>
  <c r="U531" i="6"/>
  <c r="V531" i="6"/>
  <c r="X531" i="6"/>
  <c r="Y531" i="6"/>
  <c r="AF531" i="6"/>
  <c r="C532" i="6"/>
  <c r="C533" i="6"/>
  <c r="J532" i="6" a="1"/>
  <c r="J532" i="6" s="1"/>
  <c r="J533" i="6" a="1"/>
  <c r="J533" i="6" s="1"/>
  <c r="T532" i="6"/>
  <c r="T533" i="6"/>
  <c r="U532" i="6"/>
  <c r="U533" i="6"/>
  <c r="V532" i="6"/>
  <c r="V533" i="6"/>
  <c r="X532" i="6"/>
  <c r="X533" i="6"/>
  <c r="Y532" i="6"/>
  <c r="Y533" i="6"/>
  <c r="AF532" i="6"/>
  <c r="AF533" i="6"/>
  <c r="C534" i="6"/>
  <c r="J534" i="6" a="1"/>
  <c r="J534" i="6" s="1"/>
  <c r="T534" i="6"/>
  <c r="U534" i="6"/>
  <c r="V534" i="6"/>
  <c r="X534" i="6"/>
  <c r="Y534" i="6"/>
  <c r="AF534" i="6"/>
  <c r="C535" i="6"/>
  <c r="E535" i="6"/>
  <c r="J535" i="6" a="1"/>
  <c r="J535" i="6" s="1"/>
  <c r="T535" i="6"/>
  <c r="U535" i="6"/>
  <c r="V535" i="6"/>
  <c r="X535" i="6"/>
  <c r="Y535" i="6"/>
  <c r="AF535" i="6"/>
  <c r="A315" i="4"/>
  <c r="D315" i="4"/>
  <c r="A311" i="4"/>
  <c r="A312" i="4"/>
  <c r="A313" i="4"/>
  <c r="A314" i="4"/>
  <c r="D311" i="4"/>
  <c r="D312" i="4"/>
  <c r="D313" i="4"/>
  <c r="D314" i="4"/>
  <c r="C529" i="6"/>
  <c r="E529" i="6"/>
  <c r="J529" i="6" a="1"/>
  <c r="J529" i="6" s="1"/>
  <c r="T529" i="6"/>
  <c r="U529" i="6"/>
  <c r="V529" i="6"/>
  <c r="X529" i="6"/>
  <c r="Y529" i="6"/>
  <c r="AF529" i="6"/>
  <c r="C530" i="6"/>
  <c r="J530" i="6" a="1"/>
  <c r="J530" i="6" s="1"/>
  <c r="T530" i="6"/>
  <c r="U530" i="6"/>
  <c r="V530" i="6"/>
  <c r="X530" i="6"/>
  <c r="Y530" i="6"/>
  <c r="AF530" i="6"/>
  <c r="D310" i="4"/>
  <c r="D309" i="4"/>
  <c r="D308" i="4"/>
  <c r="D307" i="4"/>
  <c r="C528" i="6"/>
  <c r="E528" i="6"/>
  <c r="J528" i="6" a="1"/>
  <c r="J528" i="6" s="1"/>
  <c r="T528" i="6"/>
  <c r="U528" i="6"/>
  <c r="V528" i="6"/>
  <c r="X528" i="6"/>
  <c r="Y528" i="6"/>
  <c r="AF528" i="6"/>
  <c r="D306" i="4"/>
  <c r="C527" i="6"/>
  <c r="E527" i="6"/>
  <c r="J527" i="6" a="1"/>
  <c r="J527" i="6" s="1"/>
  <c r="T527" i="6"/>
  <c r="U527" i="6"/>
  <c r="V527" i="6"/>
  <c r="X527" i="6"/>
  <c r="Y527" i="6"/>
  <c r="AF527" i="6"/>
  <c r="D305" i="4"/>
  <c r="E526" i="6"/>
  <c r="J526" i="6" a="1"/>
  <c r="J526" i="6" s="1"/>
  <c r="T526" i="6"/>
  <c r="U526" i="6"/>
  <c r="V526" i="6"/>
  <c r="X526" i="6"/>
  <c r="Y526" i="6"/>
  <c r="AF526" i="6"/>
  <c r="D304" i="4"/>
  <c r="C525" i="6"/>
  <c r="E525" i="6"/>
  <c r="J525" i="6" a="1"/>
  <c r="J525" i="6" s="1"/>
  <c r="T525" i="6"/>
  <c r="U525" i="6"/>
  <c r="V525" i="6"/>
  <c r="X525" i="6"/>
  <c r="Y525" i="6"/>
  <c r="AF525" i="6"/>
  <c r="C524" i="6"/>
  <c r="D303" i="4"/>
  <c r="D302" i="4"/>
  <c r="E524" i="6"/>
  <c r="J524" i="6" a="1"/>
  <c r="J524" i="6" s="1"/>
  <c r="T524" i="6"/>
  <c r="U524" i="6"/>
  <c r="V524" i="6"/>
  <c r="X524" i="6"/>
  <c r="Y524" i="6"/>
  <c r="AF524" i="6"/>
  <c r="D301" i="4"/>
  <c r="D300" i="4"/>
  <c r="D299" i="4"/>
  <c r="C523" i="6"/>
  <c r="E523" i="6"/>
  <c r="J523" i="6" a="1"/>
  <c r="J523" i="6" s="1"/>
  <c r="T523" i="6"/>
  <c r="U523" i="6"/>
  <c r="V523" i="6"/>
  <c r="X523" i="6"/>
  <c r="Y523" i="6"/>
  <c r="AF523" i="6"/>
  <c r="D298" i="4"/>
  <c r="D297" i="4"/>
  <c r="C522" i="6"/>
  <c r="E522" i="6"/>
  <c r="J522" i="6" a="1"/>
  <c r="J522" i="6" s="1"/>
  <c r="T522" i="6"/>
  <c r="U522" i="6"/>
  <c r="V522" i="6"/>
  <c r="X522" i="6"/>
  <c r="Y522" i="6"/>
  <c r="AF522" i="6"/>
  <c r="C521" i="6"/>
  <c r="E521" i="6"/>
  <c r="J521" i="6" a="1"/>
  <c r="J521" i="6" s="1"/>
  <c r="T521" i="6"/>
  <c r="U521" i="6"/>
  <c r="V521" i="6"/>
  <c r="X521" i="6"/>
  <c r="Y521" i="6"/>
  <c r="AF521" i="6"/>
  <c r="A296" i="4"/>
  <c r="D296" i="4"/>
  <c r="C520" i="6"/>
  <c r="E520" i="6"/>
  <c r="J520" i="6" a="1"/>
  <c r="J520" i="6" s="1"/>
  <c r="T520" i="6"/>
  <c r="U520" i="6"/>
  <c r="V520" i="6"/>
  <c r="X520" i="6"/>
  <c r="Y520" i="6"/>
  <c r="AF520" i="6"/>
  <c r="A295" i="4"/>
  <c r="D295" i="4"/>
  <c r="D294" i="4"/>
  <c r="J484" i="6" a="1"/>
  <c r="J484" i="6" s="1"/>
  <c r="J485" i="6" a="1"/>
  <c r="J485" i="6" s="1"/>
  <c r="J486" i="6" a="1"/>
  <c r="J486" i="6" s="1"/>
  <c r="A293" i="4"/>
  <c r="D293" i="4"/>
  <c r="A292" i="4"/>
  <c r="D292" i="4"/>
  <c r="A291" i="4"/>
  <c r="D291" i="4"/>
  <c r="J519" i="6" a="1"/>
  <c r="J519" i="6" s="1"/>
  <c r="J518" i="6" a="1"/>
  <c r="J518" i="6" s="1"/>
  <c r="J517" i="6" a="1"/>
  <c r="J517" i="6" s="1"/>
  <c r="J516" i="6" a="1"/>
  <c r="J516" i="6" s="1"/>
  <c r="J515" i="6" a="1"/>
  <c r="J515" i="6" s="1"/>
  <c r="J514" i="6" a="1"/>
  <c r="J514" i="6" s="1"/>
  <c r="J513" i="6" a="1"/>
  <c r="J513" i="6" s="1"/>
  <c r="J512" i="6" a="1"/>
  <c r="J512" i="6" s="1"/>
  <c r="J511" i="6" a="1"/>
  <c r="J511" i="6" s="1"/>
  <c r="J510" i="6" a="1"/>
  <c r="J510" i="6" s="1"/>
  <c r="J509" i="6" a="1"/>
  <c r="J509" i="6" s="1"/>
  <c r="J508" i="6" a="1"/>
  <c r="J508" i="6" s="1"/>
  <c r="J507" i="6" a="1"/>
  <c r="J507" i="6" s="1"/>
  <c r="J506" i="6" a="1"/>
  <c r="J506" i="6" s="1"/>
  <c r="J505" i="6" a="1"/>
  <c r="J505" i="6" s="1"/>
  <c r="J504" i="6" a="1"/>
  <c r="J504" i="6" s="1"/>
  <c r="J503" i="6" a="1"/>
  <c r="J503" i="6" s="1"/>
  <c r="J502" i="6" a="1"/>
  <c r="J502" i="6" s="1"/>
  <c r="J501" i="6" a="1"/>
  <c r="J501" i="6" s="1"/>
  <c r="J500" i="6" a="1"/>
  <c r="J500" i="6" s="1"/>
  <c r="J499" i="6" a="1"/>
  <c r="J499" i="6" s="1"/>
  <c r="J498" i="6" a="1"/>
  <c r="J498" i="6" s="1"/>
  <c r="J497" i="6" a="1"/>
  <c r="J497" i="6" s="1"/>
  <c r="J496" i="6" a="1"/>
  <c r="J496" i="6" s="1"/>
  <c r="J495" i="6" a="1"/>
  <c r="J495" i="6" s="1"/>
  <c r="J494" i="6" a="1"/>
  <c r="J494" i="6" s="1"/>
  <c r="J493" i="6" a="1"/>
  <c r="J493" i="6" s="1"/>
  <c r="J492" i="6" a="1"/>
  <c r="J492" i="6" s="1"/>
  <c r="J491" i="6" a="1"/>
  <c r="J491" i="6" s="1"/>
  <c r="J490" i="6" a="1"/>
  <c r="J490" i="6" s="1"/>
  <c r="J489" i="6" a="1"/>
  <c r="J489" i="6" s="1"/>
  <c r="J488" i="6" a="1"/>
  <c r="J488" i="6" s="1"/>
  <c r="J487" i="6" a="1"/>
  <c r="J487" i="6" s="1"/>
  <c r="J483" i="6" a="1"/>
  <c r="J483" i="6" s="1"/>
  <c r="J482" i="6" a="1"/>
  <c r="J482" i="6" s="1"/>
  <c r="J481" i="6" a="1"/>
  <c r="J481" i="6" s="1"/>
  <c r="J480" i="6" a="1"/>
  <c r="J480" i="6" s="1"/>
  <c r="J479" i="6" a="1"/>
  <c r="J479" i="6" s="1"/>
  <c r="J478" i="6" a="1"/>
  <c r="J478" i="6" s="1"/>
  <c r="J477" i="6" a="1"/>
  <c r="J477" i="6" s="1"/>
  <c r="J476" i="6" a="1"/>
  <c r="J476" i="6" s="1"/>
  <c r="J475" i="6" a="1"/>
  <c r="J475" i="6" s="1"/>
  <c r="J474" i="6" a="1"/>
  <c r="J474" i="6" s="1"/>
  <c r="J473" i="6" a="1"/>
  <c r="J473" i="6" s="1"/>
  <c r="J472" i="6" a="1"/>
  <c r="J472" i="6" s="1"/>
  <c r="J471" i="6" a="1"/>
  <c r="J471" i="6" s="1"/>
  <c r="J470" i="6" a="1"/>
  <c r="J470" i="6" s="1"/>
  <c r="J469" i="6" a="1"/>
  <c r="J469" i="6" s="1"/>
  <c r="J468" i="6" a="1"/>
  <c r="J468" i="6" s="1"/>
  <c r="J467" i="6" a="1"/>
  <c r="J467" i="6" s="1"/>
  <c r="J466" i="6" a="1"/>
  <c r="J466" i="6" s="1"/>
  <c r="J465" i="6" a="1"/>
  <c r="J465" i="6" s="1"/>
  <c r="J464" i="6" a="1"/>
  <c r="J464" i="6" s="1"/>
  <c r="J463" i="6" a="1"/>
  <c r="J463" i="6" s="1"/>
  <c r="J462" i="6" a="1"/>
  <c r="J462" i="6" s="1"/>
  <c r="J461" i="6" a="1"/>
  <c r="J461" i="6" s="1"/>
  <c r="J460" i="6" a="1"/>
  <c r="J460" i="6" s="1"/>
  <c r="J459" i="6" a="1"/>
  <c r="J459" i="6" s="1"/>
  <c r="J458" i="6" a="1"/>
  <c r="J458" i="6" s="1"/>
  <c r="J457" i="6" a="1"/>
  <c r="J457" i="6" s="1"/>
  <c r="J456" i="6" a="1"/>
  <c r="J456" i="6" s="1"/>
  <c r="J455" i="6" a="1"/>
  <c r="J455" i="6" s="1"/>
  <c r="J454" i="6" a="1"/>
  <c r="J454" i="6" s="1"/>
  <c r="J453" i="6" a="1"/>
  <c r="J453" i="6" s="1"/>
  <c r="J452" i="6" a="1"/>
  <c r="J452" i="6" s="1"/>
  <c r="J451" i="6" a="1"/>
  <c r="J451" i="6" s="1"/>
  <c r="J450" i="6" a="1"/>
  <c r="J450" i="6" s="1"/>
  <c r="J449" i="6" a="1"/>
  <c r="J449" i="6" s="1"/>
  <c r="J448" i="6" a="1"/>
  <c r="J448" i="6" s="1"/>
  <c r="J447" i="6" a="1"/>
  <c r="J447" i="6" s="1"/>
  <c r="J446" i="6" a="1"/>
  <c r="J446" i="6" s="1"/>
  <c r="J445" i="6" a="1"/>
  <c r="J445" i="6" s="1"/>
  <c r="J444" i="6" a="1"/>
  <c r="J444" i="6" s="1"/>
  <c r="J189" i="6" a="1"/>
  <c r="J189" i="6" s="1"/>
  <c r="J188" i="6" a="1"/>
  <c r="J188" i="6" s="1"/>
  <c r="J187" i="6" a="1"/>
  <c r="J187" i="6" s="1"/>
  <c r="J114" i="6" a="1"/>
  <c r="J114" i="6" s="1"/>
  <c r="J105" i="6" a="1"/>
  <c r="J105" i="6" s="1"/>
  <c r="J103" i="6" a="1"/>
  <c r="J103" i="6" s="1"/>
  <c r="J78" i="6" a="1"/>
  <c r="J78" i="6" s="1"/>
  <c r="J18" i="6" a="1"/>
  <c r="J18" i="6" s="1"/>
  <c r="J442" i="6" a="1"/>
  <c r="J442" i="6" s="1"/>
  <c r="J441" i="6" a="1"/>
  <c r="J441" i="6" s="1"/>
  <c r="J440" i="6" a="1"/>
  <c r="J440" i="6" s="1"/>
  <c r="J439" i="6" a="1"/>
  <c r="J439" i="6" s="1"/>
  <c r="J438" i="6" a="1"/>
  <c r="J438" i="6" s="1"/>
  <c r="J437" i="6" a="1"/>
  <c r="J437" i="6" s="1"/>
  <c r="J436" i="6" a="1"/>
  <c r="J436" i="6" s="1"/>
  <c r="J435" i="6" a="1"/>
  <c r="J435" i="6" s="1"/>
  <c r="J434" i="6" a="1"/>
  <c r="J434" i="6" s="1"/>
  <c r="J433" i="6" a="1"/>
  <c r="J433" i="6" s="1"/>
  <c r="J432" i="6" a="1"/>
  <c r="J432" i="6" s="1"/>
  <c r="J431" i="6" a="1"/>
  <c r="J431" i="6" s="1"/>
  <c r="J430" i="6" a="1"/>
  <c r="J430" i="6" s="1"/>
  <c r="J429" i="6" a="1"/>
  <c r="J429" i="6" s="1"/>
  <c r="J428" i="6" a="1"/>
  <c r="J428" i="6" s="1"/>
  <c r="J427" i="6" a="1"/>
  <c r="J427" i="6" s="1"/>
  <c r="J426" i="6" a="1"/>
  <c r="J426" i="6" s="1"/>
  <c r="J425" i="6" a="1"/>
  <c r="J425" i="6" s="1"/>
  <c r="J424" i="6" a="1"/>
  <c r="J424" i="6" s="1"/>
  <c r="J423" i="6" a="1"/>
  <c r="J423" i="6" s="1"/>
  <c r="J422" i="6" a="1"/>
  <c r="J422" i="6" s="1"/>
  <c r="J421" i="6" a="1"/>
  <c r="J421" i="6" s="1"/>
  <c r="J420" i="6" a="1"/>
  <c r="J420" i="6" s="1"/>
  <c r="J419" i="6" a="1"/>
  <c r="J419" i="6" s="1"/>
  <c r="J418" i="6" a="1"/>
  <c r="J418" i="6" s="1"/>
  <c r="J416" i="6" a="1"/>
  <c r="J416" i="6" s="1"/>
  <c r="J415" i="6" a="1"/>
  <c r="J415" i="6" s="1"/>
  <c r="J414" i="6" a="1"/>
  <c r="J414" i="6" s="1"/>
  <c r="J413" i="6" a="1"/>
  <c r="J413" i="6" s="1"/>
  <c r="J412" i="6" a="1"/>
  <c r="J412" i="6" s="1"/>
  <c r="J411" i="6" a="1"/>
  <c r="J411" i="6" s="1"/>
  <c r="J410" i="6" a="1"/>
  <c r="J410" i="6" s="1"/>
  <c r="J409" i="6" a="1"/>
  <c r="J409" i="6" s="1"/>
  <c r="J408" i="6" a="1"/>
  <c r="J408" i="6" s="1"/>
  <c r="J407" i="6" a="1"/>
  <c r="J407" i="6" s="1"/>
  <c r="J406" i="6" a="1"/>
  <c r="J406" i="6" s="1"/>
  <c r="J405" i="6" a="1"/>
  <c r="J405" i="6" s="1"/>
  <c r="J404" i="6" a="1"/>
  <c r="J404" i="6" s="1"/>
  <c r="J403" i="6" a="1"/>
  <c r="J403" i="6" s="1"/>
  <c r="J402" i="6" a="1"/>
  <c r="J402" i="6" s="1"/>
  <c r="J401" i="6" a="1"/>
  <c r="J401" i="6" s="1"/>
  <c r="J400" i="6" a="1"/>
  <c r="J400" i="6" s="1"/>
  <c r="J399" i="6" a="1"/>
  <c r="J399" i="6" s="1"/>
  <c r="J398" i="6" a="1"/>
  <c r="J398" i="6" s="1"/>
  <c r="J397" i="6" a="1"/>
  <c r="J397" i="6" s="1"/>
  <c r="J396" i="6" a="1"/>
  <c r="J396" i="6" s="1"/>
  <c r="J395" i="6" a="1"/>
  <c r="J395" i="6" s="1"/>
  <c r="J394" i="6" a="1"/>
  <c r="J394" i="6" s="1"/>
  <c r="J392" i="6" a="1"/>
  <c r="J392" i="6" s="1"/>
  <c r="J391" i="6" a="1"/>
  <c r="J391" i="6" s="1"/>
  <c r="J390" i="6" a="1"/>
  <c r="J390" i="6" s="1"/>
  <c r="J389" i="6" a="1"/>
  <c r="J389" i="6" s="1"/>
  <c r="J388" i="6" a="1"/>
  <c r="J388" i="6" s="1"/>
  <c r="J387" i="6" a="1"/>
  <c r="J387" i="6" s="1"/>
  <c r="J386" i="6" a="1"/>
  <c r="J386" i="6" s="1"/>
  <c r="J385" i="6" a="1"/>
  <c r="J385" i="6" s="1"/>
  <c r="J384" i="6" a="1"/>
  <c r="J384" i="6" s="1"/>
  <c r="J383" i="6" a="1"/>
  <c r="J383" i="6" s="1"/>
  <c r="J381" i="6" a="1"/>
  <c r="J381" i="6" s="1"/>
  <c r="J380" i="6" a="1"/>
  <c r="J380" i="6" s="1"/>
  <c r="J379" i="6" a="1"/>
  <c r="J379" i="6" s="1"/>
  <c r="J378" i="6" a="1"/>
  <c r="J378" i="6" s="1"/>
  <c r="J377" i="6" a="1"/>
  <c r="J377" i="6" s="1"/>
  <c r="J376" i="6" a="1"/>
  <c r="J376" i="6" s="1"/>
  <c r="J375" i="6" a="1"/>
  <c r="J375" i="6" s="1"/>
  <c r="J374" i="6" a="1"/>
  <c r="J374" i="6" s="1"/>
  <c r="J373" i="6" a="1"/>
  <c r="J373" i="6" s="1"/>
  <c r="J372" i="6" a="1"/>
  <c r="J372" i="6" s="1"/>
  <c r="J371" i="6" a="1"/>
  <c r="J371" i="6" s="1"/>
  <c r="J370" i="6" a="1"/>
  <c r="J370" i="6" s="1"/>
  <c r="J369" i="6" a="1"/>
  <c r="J369" i="6" s="1"/>
  <c r="J368" i="6" a="1"/>
  <c r="J368" i="6" s="1"/>
  <c r="J367" i="6" a="1"/>
  <c r="J367" i="6" s="1"/>
  <c r="J366" i="6" a="1"/>
  <c r="J366" i="6" s="1"/>
  <c r="J365" i="6" a="1"/>
  <c r="J365" i="6" s="1"/>
  <c r="J364" i="6" a="1"/>
  <c r="J364" i="6" s="1"/>
  <c r="J363" i="6" a="1"/>
  <c r="J363" i="6" s="1"/>
  <c r="J362" i="6" a="1"/>
  <c r="J362" i="6" s="1"/>
  <c r="J361" i="6" a="1"/>
  <c r="J361" i="6" s="1"/>
  <c r="J360" i="6" a="1"/>
  <c r="J360" i="6" s="1"/>
  <c r="J359" i="6" a="1"/>
  <c r="J359" i="6" s="1"/>
  <c r="J358" i="6" a="1"/>
  <c r="J358" i="6" s="1"/>
  <c r="J357" i="6" a="1"/>
  <c r="J357" i="6" s="1"/>
  <c r="J356" i="6" a="1"/>
  <c r="J356" i="6" s="1"/>
  <c r="J355" i="6" a="1"/>
  <c r="J355" i="6" s="1"/>
  <c r="J354" i="6" a="1"/>
  <c r="J354" i="6" s="1"/>
  <c r="J353" i="6" a="1"/>
  <c r="J353" i="6" s="1"/>
  <c r="J352" i="6" a="1"/>
  <c r="J352" i="6" s="1"/>
  <c r="J351" i="6" a="1"/>
  <c r="J351" i="6" s="1"/>
  <c r="J350" i="6" a="1"/>
  <c r="J350" i="6" s="1"/>
  <c r="J349" i="6" a="1"/>
  <c r="J349" i="6" s="1"/>
  <c r="J348" i="6" a="1"/>
  <c r="J348" i="6" s="1"/>
  <c r="J347" i="6" a="1"/>
  <c r="J347" i="6" s="1"/>
  <c r="J346" i="6" a="1"/>
  <c r="J346" i="6" s="1"/>
  <c r="J345" i="6" a="1"/>
  <c r="J345" i="6" s="1"/>
  <c r="J344" i="6" a="1"/>
  <c r="J344" i="6" s="1"/>
  <c r="J343" i="6" a="1"/>
  <c r="J343" i="6" s="1"/>
  <c r="J342" i="6" a="1"/>
  <c r="J342" i="6" s="1"/>
  <c r="J341" i="6" a="1"/>
  <c r="J341" i="6" s="1"/>
  <c r="J339" i="6" a="1"/>
  <c r="J339" i="6" s="1"/>
  <c r="J338" i="6" a="1"/>
  <c r="J338" i="6" s="1"/>
  <c r="J337" i="6" a="1"/>
  <c r="J337" i="6" s="1"/>
  <c r="J336" i="6" a="1"/>
  <c r="J336" i="6" s="1"/>
  <c r="J335" i="6" a="1"/>
  <c r="J335" i="6" s="1"/>
  <c r="J334" i="6" a="1"/>
  <c r="J334" i="6" s="1"/>
  <c r="J333" i="6" a="1"/>
  <c r="J333" i="6" s="1"/>
  <c r="J332" i="6" a="1"/>
  <c r="J332" i="6" s="1"/>
  <c r="J331" i="6" a="1"/>
  <c r="J331" i="6" s="1"/>
  <c r="J330" i="6" a="1"/>
  <c r="J330" i="6" s="1"/>
  <c r="J329" i="6" a="1"/>
  <c r="J329" i="6" s="1"/>
  <c r="J328" i="6" a="1"/>
  <c r="J328" i="6" s="1"/>
  <c r="J327" i="6" a="1"/>
  <c r="J327" i="6" s="1"/>
  <c r="J326" i="6" a="1"/>
  <c r="J326" i="6" s="1"/>
  <c r="J325" i="6" a="1"/>
  <c r="J325" i="6" s="1"/>
  <c r="J324" i="6" a="1"/>
  <c r="J324" i="6" s="1"/>
  <c r="J323" i="6" a="1"/>
  <c r="J323" i="6" s="1"/>
  <c r="J322" i="6" a="1"/>
  <c r="J322" i="6" s="1"/>
  <c r="J321" i="6" a="1"/>
  <c r="J321" i="6" s="1"/>
  <c r="J320" i="6" a="1"/>
  <c r="J320" i="6" s="1"/>
  <c r="J319" i="6" a="1"/>
  <c r="J319" i="6" s="1"/>
  <c r="J318" i="6" a="1"/>
  <c r="J318" i="6" s="1"/>
  <c r="J317" i="6" a="1"/>
  <c r="J317" i="6" s="1"/>
  <c r="J316" i="6" a="1"/>
  <c r="J316" i="6" s="1"/>
  <c r="J315" i="6" a="1"/>
  <c r="J315" i="6" s="1"/>
  <c r="J314" i="6" a="1"/>
  <c r="J314" i="6" s="1"/>
  <c r="J313" i="6" a="1"/>
  <c r="J313" i="6" s="1"/>
  <c r="J312" i="6" a="1"/>
  <c r="J312" i="6" s="1"/>
  <c r="J311" i="6" a="1"/>
  <c r="J311" i="6" s="1"/>
  <c r="J310" i="6" a="1"/>
  <c r="J310" i="6" s="1"/>
  <c r="J309" i="6" a="1"/>
  <c r="J309" i="6" s="1"/>
  <c r="J308" i="6" a="1"/>
  <c r="J308" i="6" s="1"/>
  <c r="J307" i="6" a="1"/>
  <c r="J307" i="6" s="1"/>
  <c r="J306" i="6" a="1"/>
  <c r="J306" i="6" s="1"/>
  <c r="J305" i="6" a="1"/>
  <c r="J305" i="6" s="1"/>
  <c r="J304" i="6" a="1"/>
  <c r="J304" i="6" s="1"/>
  <c r="J303" i="6" a="1"/>
  <c r="J303" i="6" s="1"/>
  <c r="J302" i="6" a="1"/>
  <c r="J302" i="6" s="1"/>
  <c r="J301" i="6" a="1"/>
  <c r="J301" i="6" s="1"/>
  <c r="J300" i="6" a="1"/>
  <c r="J300" i="6" s="1"/>
  <c r="J299" i="6" a="1"/>
  <c r="J299" i="6" s="1"/>
  <c r="J298" i="6" a="1"/>
  <c r="J298" i="6" s="1"/>
  <c r="J297" i="6" a="1"/>
  <c r="J297" i="6" s="1"/>
  <c r="J296" i="6" a="1"/>
  <c r="J296" i="6" s="1"/>
  <c r="J295" i="6" a="1"/>
  <c r="J295" i="6" s="1"/>
  <c r="J294" i="6" a="1"/>
  <c r="J294" i="6" s="1"/>
  <c r="J293" i="6" a="1"/>
  <c r="J293" i="6" s="1"/>
  <c r="J292" i="6" a="1"/>
  <c r="J292" i="6" s="1"/>
  <c r="J291" i="6" a="1"/>
  <c r="J291" i="6" s="1"/>
  <c r="J290" i="6" a="1"/>
  <c r="J290" i="6" s="1"/>
  <c r="J289" i="6" a="1"/>
  <c r="J289" i="6" s="1"/>
  <c r="J288" i="6" a="1"/>
  <c r="J288" i="6" s="1"/>
  <c r="J287" i="6" a="1"/>
  <c r="J287" i="6" s="1"/>
  <c r="J286" i="6" a="1"/>
  <c r="J286" i="6" s="1"/>
  <c r="J285" i="6" a="1"/>
  <c r="J285" i="6" s="1"/>
  <c r="J284" i="6" a="1"/>
  <c r="J284" i="6" s="1"/>
  <c r="J283" i="6" a="1"/>
  <c r="J283" i="6" s="1"/>
  <c r="J282" i="6" a="1"/>
  <c r="J282" i="6" s="1"/>
  <c r="J281" i="6" a="1"/>
  <c r="J281" i="6" s="1"/>
  <c r="J280" i="6" a="1"/>
  <c r="J280" i="6" s="1"/>
  <c r="J279" i="6" a="1"/>
  <c r="J279" i="6" s="1"/>
  <c r="J278" i="6" a="1"/>
  <c r="J278" i="6" s="1"/>
  <c r="J277" i="6" a="1"/>
  <c r="J277" i="6" s="1"/>
  <c r="J276" i="6" a="1"/>
  <c r="J276" i="6" s="1"/>
  <c r="J275" i="6" a="1"/>
  <c r="J275" i="6" s="1"/>
  <c r="J274" i="6" a="1"/>
  <c r="J274" i="6" s="1"/>
  <c r="J273" i="6" a="1"/>
  <c r="J273" i="6" s="1"/>
  <c r="J272" i="6" a="1"/>
  <c r="J272" i="6" s="1"/>
  <c r="J271" i="6" a="1"/>
  <c r="J271" i="6" s="1"/>
  <c r="J270" i="6" a="1"/>
  <c r="J270" i="6" s="1"/>
  <c r="J269" i="6" a="1"/>
  <c r="J269" i="6" s="1"/>
  <c r="J268" i="6" a="1"/>
  <c r="J268" i="6" s="1"/>
  <c r="J267" i="6" a="1"/>
  <c r="J267" i="6" s="1"/>
  <c r="J266" i="6" a="1"/>
  <c r="J266" i="6" s="1"/>
  <c r="J265" i="6" a="1"/>
  <c r="J265" i="6" s="1"/>
  <c r="J264" i="6" a="1"/>
  <c r="J264" i="6" s="1"/>
  <c r="J263" i="6" a="1"/>
  <c r="J263" i="6" s="1"/>
  <c r="J262" i="6" a="1"/>
  <c r="J262" i="6" s="1"/>
  <c r="J261" i="6" a="1"/>
  <c r="J261" i="6" s="1"/>
  <c r="J260" i="6" a="1"/>
  <c r="J260" i="6" s="1"/>
  <c r="J259" i="6" a="1"/>
  <c r="J259" i="6" s="1"/>
  <c r="J258" i="6" a="1"/>
  <c r="J258" i="6" s="1"/>
  <c r="J257" i="6" a="1"/>
  <c r="J257" i="6" s="1"/>
  <c r="J256" i="6" a="1"/>
  <c r="J256" i="6" s="1"/>
  <c r="J255" i="6" a="1"/>
  <c r="J255" i="6" s="1"/>
  <c r="J254" i="6" a="1"/>
  <c r="J254" i="6" s="1"/>
  <c r="J253" i="6" a="1"/>
  <c r="J253" i="6" s="1"/>
  <c r="J252" i="6" a="1"/>
  <c r="J252" i="6" s="1"/>
  <c r="J251" i="6" a="1"/>
  <c r="J251" i="6" s="1"/>
  <c r="J250" i="6" a="1"/>
  <c r="J250" i="6" s="1"/>
  <c r="J249" i="6" a="1"/>
  <c r="J249" i="6" s="1"/>
  <c r="J248" i="6" a="1"/>
  <c r="J248" i="6" s="1"/>
  <c r="J247" i="6" a="1"/>
  <c r="J247" i="6" s="1"/>
  <c r="J246" i="6" a="1"/>
  <c r="J246" i="6" s="1"/>
  <c r="J245" i="6" a="1"/>
  <c r="J245" i="6" s="1"/>
  <c r="J244" i="6" a="1"/>
  <c r="J244" i="6" s="1"/>
  <c r="J243" i="6" a="1"/>
  <c r="J243" i="6" s="1"/>
  <c r="J242" i="6" a="1"/>
  <c r="J242" i="6" s="1"/>
  <c r="J241" i="6" a="1"/>
  <c r="J241" i="6" s="1"/>
  <c r="J240" i="6" a="1"/>
  <c r="J240" i="6" s="1"/>
  <c r="J239" i="6" a="1"/>
  <c r="J239" i="6" s="1"/>
  <c r="J238" i="6" a="1"/>
  <c r="J238" i="6" s="1"/>
  <c r="J237" i="6" a="1"/>
  <c r="J237" i="6" s="1"/>
  <c r="J236" i="6" a="1"/>
  <c r="J236" i="6" s="1"/>
  <c r="J235" i="6" a="1"/>
  <c r="J235" i="6" s="1"/>
  <c r="J234" i="6" a="1"/>
  <c r="J234" i="6" s="1"/>
  <c r="J233" i="6" a="1"/>
  <c r="J233" i="6" s="1"/>
  <c r="J232" i="6" a="1"/>
  <c r="J232" i="6" s="1"/>
  <c r="J231" i="6" a="1"/>
  <c r="J231" i="6" s="1"/>
  <c r="J230" i="6" a="1"/>
  <c r="J230" i="6" s="1"/>
  <c r="J229" i="6" a="1"/>
  <c r="J229" i="6" s="1"/>
  <c r="J228" i="6" a="1"/>
  <c r="J228" i="6" s="1"/>
  <c r="J227" i="6" a="1"/>
  <c r="J227" i="6" s="1"/>
  <c r="J226" i="6" a="1"/>
  <c r="J226" i="6" s="1"/>
  <c r="J225" i="6" a="1"/>
  <c r="J225" i="6" s="1"/>
  <c r="J224" i="6" a="1"/>
  <c r="J224" i="6" s="1"/>
  <c r="J223" i="6" a="1"/>
  <c r="J223" i="6" s="1"/>
  <c r="J222" i="6" a="1"/>
  <c r="J222" i="6" s="1"/>
  <c r="J221" i="6" a="1"/>
  <c r="J221" i="6" s="1"/>
  <c r="J220" i="6" a="1"/>
  <c r="J220" i="6" s="1"/>
  <c r="J219" i="6" a="1"/>
  <c r="J219" i="6" s="1"/>
  <c r="J218" i="6" a="1"/>
  <c r="J218" i="6" s="1"/>
  <c r="J217" i="6" a="1"/>
  <c r="J217" i="6" s="1"/>
  <c r="J216" i="6" a="1"/>
  <c r="J216" i="6" s="1"/>
  <c r="J215" i="6" a="1"/>
  <c r="J215" i="6" s="1"/>
  <c r="J214" i="6" a="1"/>
  <c r="J214" i="6" s="1"/>
  <c r="J213" i="6" a="1"/>
  <c r="J213" i="6" s="1"/>
  <c r="J212" i="6" a="1"/>
  <c r="J212" i="6" s="1"/>
  <c r="J211" i="6" a="1"/>
  <c r="J211" i="6" s="1"/>
  <c r="J210" i="6" a="1"/>
  <c r="J210" i="6" s="1"/>
  <c r="J209" i="6" a="1"/>
  <c r="J209" i="6" s="1"/>
  <c r="J208" i="6" a="1"/>
  <c r="J208" i="6" s="1"/>
  <c r="J207" i="6" a="1"/>
  <c r="J207" i="6" s="1"/>
  <c r="J206" i="6" a="1"/>
  <c r="J206" i="6" s="1"/>
  <c r="J205" i="6" a="1"/>
  <c r="J205" i="6" s="1"/>
  <c r="J204" i="6" a="1"/>
  <c r="J204" i="6" s="1"/>
  <c r="J203" i="6" a="1"/>
  <c r="J203" i="6" s="1"/>
  <c r="J202" i="6" a="1"/>
  <c r="J202" i="6" s="1"/>
  <c r="J201" i="6" a="1"/>
  <c r="J201" i="6" s="1"/>
  <c r="J200" i="6" a="1"/>
  <c r="J200" i="6" s="1"/>
  <c r="J199" i="6" a="1"/>
  <c r="J199" i="6" s="1"/>
  <c r="J198" i="6" a="1"/>
  <c r="J198" i="6" s="1"/>
  <c r="J197" i="6" a="1"/>
  <c r="J197" i="6" s="1"/>
  <c r="J196" i="6" a="1"/>
  <c r="J196" i="6" s="1"/>
  <c r="J195" i="6" a="1"/>
  <c r="J195" i="6" s="1"/>
  <c r="J193" i="6" a="1"/>
  <c r="J193" i="6" s="1"/>
  <c r="J192" i="6" a="1"/>
  <c r="J192" i="6" s="1"/>
  <c r="J191" i="6" a="1"/>
  <c r="J191" i="6" s="1"/>
  <c r="J190" i="6" a="1"/>
  <c r="J190" i="6" s="1"/>
  <c r="J186" i="6" a="1"/>
  <c r="J186" i="6" s="1"/>
  <c r="J185" i="6" a="1"/>
  <c r="J185" i="6" s="1"/>
  <c r="J184" i="6" a="1"/>
  <c r="J184" i="6" s="1"/>
  <c r="J183" i="6" a="1"/>
  <c r="J183" i="6" s="1"/>
  <c r="J182" i="6" a="1"/>
  <c r="J182" i="6" s="1"/>
  <c r="J181" i="6" a="1"/>
  <c r="J181" i="6" s="1"/>
  <c r="J180" i="6" a="1"/>
  <c r="J180" i="6" s="1"/>
  <c r="J179" i="6" a="1"/>
  <c r="J179" i="6" s="1"/>
  <c r="J178" i="6" a="1"/>
  <c r="J178" i="6" s="1"/>
  <c r="J177" i="6" a="1"/>
  <c r="J177" i="6" s="1"/>
  <c r="J176" i="6" a="1"/>
  <c r="J176" i="6" s="1"/>
  <c r="J175" i="6" a="1"/>
  <c r="J175" i="6" s="1"/>
  <c r="J174" i="6" a="1"/>
  <c r="J174" i="6" s="1"/>
  <c r="J173" i="6" a="1"/>
  <c r="J173" i="6" s="1"/>
  <c r="J172" i="6" a="1"/>
  <c r="J172" i="6" s="1"/>
  <c r="J171" i="6" a="1"/>
  <c r="J171" i="6" s="1"/>
  <c r="J170" i="6" a="1"/>
  <c r="J170" i="6" s="1"/>
  <c r="J169" i="6" a="1"/>
  <c r="J169" i="6" s="1"/>
  <c r="J168" i="6" a="1"/>
  <c r="J168" i="6" s="1"/>
  <c r="J167" i="6" a="1"/>
  <c r="J167" i="6" s="1"/>
  <c r="J166" i="6" a="1"/>
  <c r="J166" i="6" s="1"/>
  <c r="J165" i="6" a="1"/>
  <c r="J165" i="6" s="1"/>
  <c r="J164" i="6" a="1"/>
  <c r="J164" i="6" s="1"/>
  <c r="J163" i="6" a="1"/>
  <c r="J163" i="6" s="1"/>
  <c r="J162" i="6" a="1"/>
  <c r="J162" i="6" s="1"/>
  <c r="J161" i="6" a="1"/>
  <c r="J161" i="6" s="1"/>
  <c r="J160" i="6" a="1"/>
  <c r="J160" i="6" s="1"/>
  <c r="J159" i="6" a="1"/>
  <c r="J159" i="6" s="1"/>
  <c r="J158" i="6" a="1"/>
  <c r="J158" i="6" s="1"/>
  <c r="J157" i="6" a="1"/>
  <c r="J157" i="6" s="1"/>
  <c r="J156" i="6" a="1"/>
  <c r="J156" i="6" s="1"/>
  <c r="J155" i="6" a="1"/>
  <c r="J155" i="6" s="1"/>
  <c r="J154" i="6" a="1"/>
  <c r="J154" i="6" s="1"/>
  <c r="J153" i="6" a="1"/>
  <c r="J153" i="6" s="1"/>
  <c r="J152" i="6" a="1"/>
  <c r="J152" i="6" s="1"/>
  <c r="J151" i="6" a="1"/>
  <c r="J151" i="6" s="1"/>
  <c r="J150" i="6" a="1"/>
  <c r="J150" i="6" s="1"/>
  <c r="J149" i="6" a="1"/>
  <c r="J149" i="6" s="1"/>
  <c r="J148" i="6" a="1"/>
  <c r="J148" i="6" s="1"/>
  <c r="J147" i="6" a="1"/>
  <c r="J147" i="6" s="1"/>
  <c r="J146" i="6" a="1"/>
  <c r="J146" i="6" s="1"/>
  <c r="J145" i="6" a="1"/>
  <c r="J145" i="6" s="1"/>
  <c r="J144" i="6" a="1"/>
  <c r="J144" i="6" s="1"/>
  <c r="J143" i="6" a="1"/>
  <c r="J143" i="6" s="1"/>
  <c r="J142" i="6" a="1"/>
  <c r="J142" i="6" s="1"/>
  <c r="J141" i="6" a="1"/>
  <c r="J141" i="6" s="1"/>
  <c r="J140" i="6" a="1"/>
  <c r="J140" i="6" s="1"/>
  <c r="J139" i="6" a="1"/>
  <c r="J139" i="6" s="1"/>
  <c r="J138" i="6" a="1"/>
  <c r="J138" i="6" s="1"/>
  <c r="J137" i="6" a="1"/>
  <c r="J137" i="6" s="1"/>
  <c r="J136" i="6" a="1"/>
  <c r="J136" i="6" s="1"/>
  <c r="J135" i="6" a="1"/>
  <c r="J135" i="6" s="1"/>
  <c r="J134" i="6" a="1"/>
  <c r="J134" i="6" s="1"/>
  <c r="J133" i="6" a="1"/>
  <c r="J133" i="6" s="1"/>
  <c r="J132" i="6" a="1"/>
  <c r="J132" i="6" s="1"/>
  <c r="J131" i="6" a="1"/>
  <c r="J131" i="6" s="1"/>
  <c r="J130" i="6" a="1"/>
  <c r="J130" i="6" s="1"/>
  <c r="J129" i="6" a="1"/>
  <c r="J129" i="6" s="1"/>
  <c r="J128" i="6" a="1"/>
  <c r="J128" i="6" s="1"/>
  <c r="J127" i="6" a="1"/>
  <c r="J127" i="6" s="1"/>
  <c r="J126" i="6" a="1"/>
  <c r="J126" i="6" s="1"/>
  <c r="J125" i="6" a="1"/>
  <c r="J125" i="6" s="1"/>
  <c r="J124" i="6" a="1"/>
  <c r="J124" i="6" s="1"/>
  <c r="J123" i="6" a="1"/>
  <c r="J123" i="6" s="1"/>
  <c r="J122" i="6" a="1"/>
  <c r="J122" i="6" s="1"/>
  <c r="J121" i="6" a="1"/>
  <c r="J121" i="6" s="1"/>
  <c r="J120" i="6" a="1"/>
  <c r="J120" i="6" s="1"/>
  <c r="J119" i="6" a="1"/>
  <c r="J119" i="6" s="1"/>
  <c r="J118" i="6" a="1"/>
  <c r="J118" i="6" s="1"/>
  <c r="J117" i="6" a="1"/>
  <c r="J117" i="6" s="1"/>
  <c r="J116" i="6" a="1"/>
  <c r="J116" i="6" s="1"/>
  <c r="J115" i="6" a="1"/>
  <c r="J115" i="6" s="1"/>
  <c r="J113" i="6" a="1"/>
  <c r="J113" i="6" s="1"/>
  <c r="J112" i="6" a="1"/>
  <c r="J112" i="6" s="1"/>
  <c r="J111" i="6" a="1"/>
  <c r="J111" i="6" s="1"/>
  <c r="J110" i="6" a="1"/>
  <c r="J110" i="6" s="1"/>
  <c r="J109" i="6" a="1"/>
  <c r="J109" i="6" s="1"/>
  <c r="J108" i="6" a="1"/>
  <c r="J108" i="6" s="1"/>
  <c r="J107" i="6" a="1"/>
  <c r="J107" i="6" s="1"/>
  <c r="J106" i="6" a="1"/>
  <c r="J106" i="6" s="1"/>
  <c r="J104" i="6" a="1"/>
  <c r="J104" i="6" s="1"/>
  <c r="J102" i="6" a="1"/>
  <c r="J102" i="6" s="1"/>
  <c r="J101" i="6" a="1"/>
  <c r="J101" i="6" s="1"/>
  <c r="J100" i="6" a="1"/>
  <c r="J100" i="6" s="1"/>
  <c r="J99" i="6" a="1"/>
  <c r="J99" i="6" s="1"/>
  <c r="J98" i="6" a="1"/>
  <c r="J98" i="6" s="1"/>
  <c r="J97" i="6" a="1"/>
  <c r="J97" i="6" s="1"/>
  <c r="J96" i="6" a="1"/>
  <c r="J96" i="6" s="1"/>
  <c r="J95" i="6" a="1"/>
  <c r="J95" i="6" s="1"/>
  <c r="J94" i="6" a="1"/>
  <c r="J94" i="6" s="1"/>
  <c r="J93" i="6" a="1"/>
  <c r="J93" i="6" s="1"/>
  <c r="J92" i="6" a="1"/>
  <c r="J92" i="6" s="1"/>
  <c r="J91" i="6" a="1"/>
  <c r="J91" i="6" s="1"/>
  <c r="J90" i="6" a="1"/>
  <c r="J90" i="6" s="1"/>
  <c r="J89" i="6" a="1"/>
  <c r="J89" i="6" s="1"/>
  <c r="J88" i="6" a="1"/>
  <c r="J88" i="6" s="1"/>
  <c r="J87" i="6" a="1"/>
  <c r="J87" i="6" s="1"/>
  <c r="J86" i="6" a="1"/>
  <c r="J86" i="6" s="1"/>
  <c r="J85" i="6" a="1"/>
  <c r="J85" i="6" s="1"/>
  <c r="J84" i="6" a="1"/>
  <c r="J84" i="6" s="1"/>
  <c r="J83" i="6" a="1"/>
  <c r="J83" i="6" s="1"/>
  <c r="J82" i="6" a="1"/>
  <c r="J82" i="6" s="1"/>
  <c r="J81" i="6" a="1"/>
  <c r="J81" i="6" s="1"/>
  <c r="J80" i="6" a="1"/>
  <c r="J80" i="6" s="1"/>
  <c r="J79" i="6" a="1"/>
  <c r="J79" i="6" s="1"/>
  <c r="J77" i="6" a="1"/>
  <c r="J77" i="6" s="1"/>
  <c r="J76" i="6" a="1"/>
  <c r="J76" i="6" s="1"/>
  <c r="J75" i="6" a="1"/>
  <c r="J75" i="6" s="1"/>
  <c r="J74" i="6" a="1"/>
  <c r="J74" i="6" s="1"/>
  <c r="J73" i="6" a="1"/>
  <c r="J73" i="6" s="1"/>
  <c r="J72" i="6" a="1"/>
  <c r="J72" i="6" s="1"/>
  <c r="J71" i="6" a="1"/>
  <c r="J71" i="6" s="1"/>
  <c r="J70" i="6" a="1"/>
  <c r="J70" i="6" s="1"/>
  <c r="J69" i="6" a="1"/>
  <c r="J69" i="6" s="1"/>
  <c r="J68" i="6" a="1"/>
  <c r="J68" i="6" s="1"/>
  <c r="J67" i="6" a="1"/>
  <c r="J67" i="6" s="1"/>
  <c r="J66" i="6" a="1"/>
  <c r="J66" i="6" s="1"/>
  <c r="J65" i="6" a="1"/>
  <c r="J65" i="6" s="1"/>
  <c r="J64" i="6" a="1"/>
  <c r="J64" i="6" s="1"/>
  <c r="J63" i="6" a="1"/>
  <c r="J63" i="6" s="1"/>
  <c r="J62" i="6" a="1"/>
  <c r="J62" i="6" s="1"/>
  <c r="J61" i="6" a="1"/>
  <c r="J61" i="6" s="1"/>
  <c r="J60" i="6" a="1"/>
  <c r="J60" i="6" s="1"/>
  <c r="J59" i="6" a="1"/>
  <c r="J59" i="6" s="1"/>
  <c r="J58" i="6" a="1"/>
  <c r="J58" i="6" s="1"/>
  <c r="J57" i="6" a="1"/>
  <c r="J57" i="6" s="1"/>
  <c r="J56" i="6" a="1"/>
  <c r="J56" i="6" s="1"/>
  <c r="J55" i="6" a="1"/>
  <c r="J55" i="6" s="1"/>
  <c r="J54" i="6" a="1"/>
  <c r="J54" i="6" s="1"/>
  <c r="J53" i="6" a="1"/>
  <c r="J53" i="6" s="1"/>
  <c r="J52" i="6" a="1"/>
  <c r="J52" i="6" s="1"/>
  <c r="J51" i="6" a="1"/>
  <c r="J51" i="6" s="1"/>
  <c r="J50" i="6" a="1"/>
  <c r="J50" i="6" s="1"/>
  <c r="J49" i="6" a="1"/>
  <c r="J49" i="6" s="1"/>
  <c r="J48" i="6" a="1"/>
  <c r="J48" i="6" s="1"/>
  <c r="J47" i="6" a="1"/>
  <c r="J47" i="6" s="1"/>
  <c r="J46" i="6" a="1"/>
  <c r="J46" i="6" s="1"/>
  <c r="J45" i="6" a="1"/>
  <c r="J45" i="6" s="1"/>
  <c r="J44" i="6" a="1"/>
  <c r="J44" i="6" s="1"/>
  <c r="J43" i="6" a="1"/>
  <c r="J43" i="6" s="1"/>
  <c r="J42" i="6" a="1"/>
  <c r="J42" i="6" s="1"/>
  <c r="J41" i="6" a="1"/>
  <c r="J41" i="6" s="1"/>
  <c r="J40" i="6" a="1"/>
  <c r="J40" i="6" s="1"/>
  <c r="J39" i="6" a="1"/>
  <c r="J39" i="6" s="1"/>
  <c r="J38" i="6" a="1"/>
  <c r="J38" i="6" s="1"/>
  <c r="J37" i="6" a="1"/>
  <c r="J37" i="6" s="1"/>
  <c r="J36" i="6" a="1"/>
  <c r="J36" i="6" s="1"/>
  <c r="J35" i="6" a="1"/>
  <c r="J35" i="6" s="1"/>
  <c r="J34" i="6" a="1"/>
  <c r="J34" i="6" s="1"/>
  <c r="J33" i="6" a="1"/>
  <c r="J33" i="6" s="1"/>
  <c r="J32" i="6" a="1"/>
  <c r="J32" i="6" s="1"/>
  <c r="J31" i="6" a="1"/>
  <c r="J31" i="6" s="1"/>
  <c r="J30" i="6" a="1"/>
  <c r="J30" i="6" s="1"/>
  <c r="J29" i="6" a="1"/>
  <c r="J29" i="6" s="1"/>
  <c r="J28" i="6" a="1"/>
  <c r="J28" i="6" s="1"/>
  <c r="J27" i="6" a="1"/>
  <c r="J27" i="6" s="1"/>
  <c r="J26" i="6" a="1"/>
  <c r="J26" i="6" s="1"/>
  <c r="J25" i="6" a="1"/>
  <c r="J25" i="6" s="1"/>
  <c r="J24" i="6" a="1"/>
  <c r="J24" i="6" s="1"/>
  <c r="J23" i="6" a="1"/>
  <c r="J23" i="6" s="1"/>
  <c r="J22" i="6" a="1"/>
  <c r="J22" i="6" s="1"/>
  <c r="J21" i="6" a="1"/>
  <c r="J21" i="6" s="1"/>
  <c r="J20" i="6" a="1"/>
  <c r="J20" i="6" s="1"/>
  <c r="J19" i="6" a="1"/>
  <c r="J19" i="6" s="1"/>
  <c r="J17" i="6" a="1"/>
  <c r="J17" i="6" s="1"/>
  <c r="J16" i="6" a="1"/>
  <c r="J16" i="6" s="1"/>
  <c r="J15" i="6" a="1"/>
  <c r="J15" i="6" s="1"/>
  <c r="J14" i="6" a="1"/>
  <c r="J14" i="6" s="1"/>
  <c r="J13" i="6" a="1"/>
  <c r="J13" i="6" s="1"/>
  <c r="J12" i="6" a="1"/>
  <c r="J12" i="6" s="1"/>
  <c r="J11" i="6" a="1"/>
  <c r="J11" i="6" s="1"/>
  <c r="J10" i="6" a="1"/>
  <c r="J10" i="6" s="1"/>
  <c r="J9" i="6" a="1"/>
  <c r="J9" i="6" s="1"/>
  <c r="J8" i="6" a="1"/>
  <c r="J8" i="6" s="1"/>
  <c r="J7" i="6" a="1"/>
  <c r="J7" i="6" s="1"/>
  <c r="J6" i="6" a="1"/>
  <c r="J6" i="6" s="1"/>
  <c r="J5" i="6" a="1"/>
  <c r="J5" i="6" s="1"/>
  <c r="J4" i="6" a="1"/>
  <c r="J4" i="6" s="1"/>
  <c r="J3" i="6" a="1"/>
  <c r="J3" i="6" s="1"/>
  <c r="J2" i="6" a="1"/>
  <c r="J2" i="6" s="1"/>
  <c r="E516" i="6"/>
  <c r="T516" i="6"/>
  <c r="U516" i="6"/>
  <c r="V516" i="6"/>
  <c r="X516" i="6"/>
  <c r="Y516" i="6"/>
  <c r="AF516" i="6"/>
  <c r="E517" i="6"/>
  <c r="T517" i="6"/>
  <c r="U517" i="6"/>
  <c r="V517" i="6"/>
  <c r="X517" i="6"/>
  <c r="Y517" i="6"/>
  <c r="AF517" i="6"/>
  <c r="E518" i="6"/>
  <c r="T518" i="6"/>
  <c r="U518" i="6"/>
  <c r="V518" i="6"/>
  <c r="X518" i="6"/>
  <c r="Y518" i="6"/>
  <c r="AF518" i="6"/>
  <c r="E519" i="6"/>
  <c r="T519" i="6"/>
  <c r="U519" i="6"/>
  <c r="V519" i="6"/>
  <c r="X519" i="6"/>
  <c r="Y519" i="6"/>
  <c r="AF519" i="6"/>
  <c r="E443" i="6"/>
  <c r="E444" i="6"/>
  <c r="E445" i="6"/>
  <c r="E446" i="6"/>
  <c r="E447" i="6"/>
  <c r="E448" i="6"/>
  <c r="E449" i="6"/>
  <c r="E450" i="6"/>
  <c r="E451" i="6"/>
  <c r="E452" i="6"/>
  <c r="E453" i="6"/>
  <c r="E454" i="6"/>
  <c r="E455" i="6"/>
  <c r="E456" i="6"/>
  <c r="E457" i="6"/>
  <c r="E458" i="6"/>
  <c r="E459" i="6"/>
  <c r="E460" i="6"/>
  <c r="E461" i="6"/>
  <c r="E462" i="6"/>
  <c r="T443" i="6"/>
  <c r="T444" i="6"/>
  <c r="T445" i="6"/>
  <c r="T446" i="6"/>
  <c r="T447" i="6"/>
  <c r="T448" i="6"/>
  <c r="T449" i="6"/>
  <c r="T450" i="6"/>
  <c r="T451" i="6"/>
  <c r="T452" i="6"/>
  <c r="T453" i="6"/>
  <c r="T454" i="6"/>
  <c r="T455" i="6"/>
  <c r="T456" i="6"/>
  <c r="T457" i="6"/>
  <c r="T458" i="6"/>
  <c r="T459" i="6"/>
  <c r="T460" i="6"/>
  <c r="T461" i="6"/>
  <c r="T462" i="6"/>
  <c r="U443" i="6"/>
  <c r="U444" i="6"/>
  <c r="U445" i="6"/>
  <c r="U446" i="6"/>
  <c r="U447" i="6"/>
  <c r="U448" i="6"/>
  <c r="U449" i="6"/>
  <c r="U450" i="6"/>
  <c r="U451" i="6"/>
  <c r="U452" i="6"/>
  <c r="U453" i="6"/>
  <c r="U454" i="6"/>
  <c r="U455" i="6"/>
  <c r="U456" i="6"/>
  <c r="U457" i="6"/>
  <c r="U458" i="6"/>
  <c r="U459" i="6"/>
  <c r="U460" i="6"/>
  <c r="U461" i="6"/>
  <c r="U462" i="6"/>
  <c r="V443" i="6"/>
  <c r="V444" i="6"/>
  <c r="V445" i="6"/>
  <c r="V446" i="6"/>
  <c r="V447" i="6"/>
  <c r="V448" i="6"/>
  <c r="V449" i="6"/>
  <c r="V450" i="6"/>
  <c r="V451" i="6"/>
  <c r="V452" i="6"/>
  <c r="V453" i="6"/>
  <c r="V454" i="6"/>
  <c r="V455" i="6"/>
  <c r="V456" i="6"/>
  <c r="V457" i="6"/>
  <c r="V458" i="6"/>
  <c r="V459" i="6"/>
  <c r="V460" i="6"/>
  <c r="V461" i="6"/>
  <c r="V462" i="6"/>
  <c r="X443" i="6"/>
  <c r="X444" i="6"/>
  <c r="X445" i="6"/>
  <c r="X446" i="6"/>
  <c r="X447" i="6"/>
  <c r="X448" i="6"/>
  <c r="X449" i="6"/>
  <c r="X450" i="6"/>
  <c r="X451" i="6"/>
  <c r="X452" i="6"/>
  <c r="X453" i="6"/>
  <c r="X454" i="6"/>
  <c r="X455" i="6"/>
  <c r="X456" i="6"/>
  <c r="X457" i="6"/>
  <c r="X458" i="6"/>
  <c r="X459" i="6"/>
  <c r="X460" i="6"/>
  <c r="X461" i="6"/>
  <c r="X462" i="6"/>
  <c r="Y443" i="6"/>
  <c r="Y444" i="6"/>
  <c r="Y445" i="6"/>
  <c r="Y446" i="6"/>
  <c r="Y447" i="6"/>
  <c r="Y448" i="6"/>
  <c r="Y449" i="6"/>
  <c r="Y450" i="6"/>
  <c r="Y451" i="6"/>
  <c r="Y452" i="6"/>
  <c r="Y453" i="6"/>
  <c r="Y454" i="6"/>
  <c r="Y455" i="6"/>
  <c r="Y456" i="6"/>
  <c r="Y457" i="6"/>
  <c r="Y458" i="6"/>
  <c r="Y459" i="6"/>
  <c r="Y460" i="6"/>
  <c r="Y461" i="6"/>
  <c r="Y462" i="6"/>
  <c r="AF443" i="6"/>
  <c r="AF444" i="6"/>
  <c r="AF445" i="6"/>
  <c r="AF446" i="6"/>
  <c r="AF447" i="6"/>
  <c r="AF448" i="6"/>
  <c r="AF449" i="6"/>
  <c r="AF450" i="6"/>
  <c r="AF451" i="6"/>
  <c r="AF452" i="6"/>
  <c r="AF453" i="6"/>
  <c r="AF454" i="6"/>
  <c r="AF455" i="6"/>
  <c r="AF456" i="6"/>
  <c r="AF457" i="6"/>
  <c r="AF458" i="6"/>
  <c r="AF459" i="6"/>
  <c r="AF460" i="6"/>
  <c r="AF461" i="6"/>
  <c r="AF462" i="6"/>
  <c r="E463" i="6"/>
  <c r="E464" i="6"/>
  <c r="E465" i="6"/>
  <c r="E466" i="6"/>
  <c r="E467" i="6"/>
  <c r="E468" i="6"/>
  <c r="E469" i="6"/>
  <c r="E470" i="6"/>
  <c r="E471" i="6"/>
  <c r="E473" i="6"/>
  <c r="E474" i="6"/>
  <c r="E475" i="6"/>
  <c r="E476" i="6"/>
  <c r="E477" i="6"/>
  <c r="E478" i="6"/>
  <c r="E479" i="6"/>
  <c r="E480" i="6"/>
  <c r="E481" i="6"/>
  <c r="E482" i="6"/>
  <c r="E483" i="6"/>
  <c r="T463" i="6"/>
  <c r="T464" i="6"/>
  <c r="T465" i="6"/>
  <c r="T466" i="6"/>
  <c r="T467" i="6"/>
  <c r="T468" i="6"/>
  <c r="T469" i="6"/>
  <c r="T470" i="6"/>
  <c r="T471" i="6"/>
  <c r="T472" i="6"/>
  <c r="T473" i="6"/>
  <c r="T474" i="6"/>
  <c r="T475" i="6"/>
  <c r="T476" i="6"/>
  <c r="T477" i="6"/>
  <c r="T478" i="6"/>
  <c r="T479" i="6"/>
  <c r="T480" i="6"/>
  <c r="T481" i="6"/>
  <c r="T482" i="6"/>
  <c r="T483" i="6"/>
  <c r="U463" i="6"/>
  <c r="U464" i="6"/>
  <c r="U465" i="6"/>
  <c r="U466" i="6"/>
  <c r="U467" i="6"/>
  <c r="U468" i="6"/>
  <c r="U469" i="6"/>
  <c r="U470" i="6"/>
  <c r="U471" i="6"/>
  <c r="U472" i="6"/>
  <c r="U473" i="6"/>
  <c r="U474" i="6"/>
  <c r="U475" i="6"/>
  <c r="U476" i="6"/>
  <c r="U477" i="6"/>
  <c r="U478" i="6"/>
  <c r="U479" i="6"/>
  <c r="U480" i="6"/>
  <c r="U481" i="6"/>
  <c r="U482" i="6"/>
  <c r="U483" i="6"/>
  <c r="V463" i="6"/>
  <c r="V464" i="6"/>
  <c r="V465" i="6"/>
  <c r="V466" i="6"/>
  <c r="V467" i="6"/>
  <c r="V468" i="6"/>
  <c r="V469" i="6"/>
  <c r="V470" i="6"/>
  <c r="V471" i="6"/>
  <c r="V472" i="6"/>
  <c r="V473" i="6"/>
  <c r="V474" i="6"/>
  <c r="V475" i="6"/>
  <c r="V476" i="6"/>
  <c r="V477" i="6"/>
  <c r="V478" i="6"/>
  <c r="V479" i="6"/>
  <c r="V480" i="6"/>
  <c r="V481" i="6"/>
  <c r="V482" i="6"/>
  <c r="V483" i="6"/>
  <c r="X463" i="6"/>
  <c r="X464" i="6"/>
  <c r="X465" i="6"/>
  <c r="X466" i="6"/>
  <c r="X467" i="6"/>
  <c r="X468" i="6"/>
  <c r="X469" i="6"/>
  <c r="X470" i="6"/>
  <c r="X471" i="6"/>
  <c r="X472" i="6"/>
  <c r="X473" i="6"/>
  <c r="X474" i="6"/>
  <c r="X475" i="6"/>
  <c r="X476" i="6"/>
  <c r="X477" i="6"/>
  <c r="X478" i="6"/>
  <c r="X479" i="6"/>
  <c r="X480" i="6"/>
  <c r="X481" i="6"/>
  <c r="X482" i="6"/>
  <c r="X483" i="6"/>
  <c r="Y463" i="6"/>
  <c r="Y464" i="6"/>
  <c r="Y465" i="6"/>
  <c r="Y466" i="6"/>
  <c r="Y467" i="6"/>
  <c r="Y468" i="6"/>
  <c r="Y469" i="6"/>
  <c r="Y470" i="6"/>
  <c r="Y471" i="6"/>
  <c r="Y472" i="6"/>
  <c r="Y473" i="6"/>
  <c r="Y474" i="6"/>
  <c r="Y475" i="6"/>
  <c r="Y476" i="6"/>
  <c r="Y477" i="6"/>
  <c r="Y478" i="6"/>
  <c r="Y479" i="6"/>
  <c r="Y480" i="6"/>
  <c r="Y481" i="6"/>
  <c r="Y482" i="6"/>
  <c r="Y483" i="6"/>
  <c r="AF463" i="6"/>
  <c r="AF464" i="6"/>
  <c r="AF465" i="6"/>
  <c r="AF466" i="6"/>
  <c r="AF467" i="6"/>
  <c r="AF468" i="6"/>
  <c r="AF469" i="6"/>
  <c r="AF470" i="6"/>
  <c r="AF471" i="6"/>
  <c r="AF472" i="6"/>
  <c r="AF473" i="6"/>
  <c r="AF474" i="6"/>
  <c r="AF475" i="6"/>
  <c r="AF476" i="6"/>
  <c r="AF477" i="6"/>
  <c r="AF478" i="6"/>
  <c r="AF479" i="6"/>
  <c r="AF480" i="6"/>
  <c r="AF481" i="6"/>
  <c r="AF482" i="6"/>
  <c r="AF483" i="6"/>
  <c r="E484" i="6"/>
  <c r="E485" i="6"/>
  <c r="E486" i="6"/>
  <c r="E487" i="6"/>
  <c r="E488" i="6"/>
  <c r="E491" i="6"/>
  <c r="E492" i="6"/>
  <c r="E493" i="6"/>
  <c r="E494" i="6"/>
  <c r="E495" i="6"/>
  <c r="E496" i="6"/>
  <c r="E497" i="6"/>
  <c r="E498" i="6"/>
  <c r="E499" i="6"/>
  <c r="E500" i="6"/>
  <c r="E501" i="6"/>
  <c r="E503" i="6"/>
  <c r="E504" i="6"/>
  <c r="E505" i="6"/>
  <c r="E506" i="6"/>
  <c r="E507" i="6"/>
  <c r="T484" i="6"/>
  <c r="T485" i="6"/>
  <c r="T486" i="6"/>
  <c r="T487" i="6"/>
  <c r="T488" i="6"/>
  <c r="T489" i="6"/>
  <c r="T490" i="6"/>
  <c r="T491" i="6"/>
  <c r="T492" i="6"/>
  <c r="T493" i="6"/>
  <c r="T494" i="6"/>
  <c r="T495" i="6"/>
  <c r="T496" i="6"/>
  <c r="T497" i="6"/>
  <c r="T498" i="6"/>
  <c r="T499" i="6"/>
  <c r="T500" i="6"/>
  <c r="T501" i="6"/>
  <c r="T502" i="6"/>
  <c r="T503" i="6"/>
  <c r="T504" i="6"/>
  <c r="T505" i="6"/>
  <c r="T506" i="6"/>
  <c r="T507" i="6"/>
  <c r="U484" i="6"/>
  <c r="U485" i="6"/>
  <c r="U486" i="6"/>
  <c r="U487" i="6"/>
  <c r="U488" i="6"/>
  <c r="U489" i="6"/>
  <c r="U490" i="6"/>
  <c r="U491" i="6"/>
  <c r="U492" i="6"/>
  <c r="U493" i="6"/>
  <c r="U494" i="6"/>
  <c r="U495" i="6"/>
  <c r="U496" i="6"/>
  <c r="U497" i="6"/>
  <c r="U498" i="6"/>
  <c r="U499" i="6"/>
  <c r="U500" i="6"/>
  <c r="U501" i="6"/>
  <c r="U502" i="6"/>
  <c r="U503" i="6"/>
  <c r="U504" i="6"/>
  <c r="U505" i="6"/>
  <c r="U506" i="6"/>
  <c r="U507" i="6"/>
  <c r="V484" i="6"/>
  <c r="V485" i="6"/>
  <c r="V486" i="6"/>
  <c r="V487" i="6"/>
  <c r="V488" i="6"/>
  <c r="V489" i="6"/>
  <c r="V490" i="6"/>
  <c r="V491" i="6"/>
  <c r="V492" i="6"/>
  <c r="V493" i="6"/>
  <c r="V494" i="6"/>
  <c r="V495" i="6"/>
  <c r="V496" i="6"/>
  <c r="V497" i="6"/>
  <c r="V498" i="6"/>
  <c r="V499" i="6"/>
  <c r="V500" i="6"/>
  <c r="V501" i="6"/>
  <c r="V502" i="6"/>
  <c r="V503" i="6"/>
  <c r="V504" i="6"/>
  <c r="V505" i="6"/>
  <c r="V506" i="6"/>
  <c r="V507" i="6"/>
  <c r="X484" i="6"/>
  <c r="X485" i="6"/>
  <c r="X486" i="6"/>
  <c r="X487" i="6"/>
  <c r="X488" i="6"/>
  <c r="X489" i="6"/>
  <c r="X490" i="6"/>
  <c r="X491" i="6"/>
  <c r="X492" i="6"/>
  <c r="X493" i="6"/>
  <c r="X494" i="6"/>
  <c r="X495" i="6"/>
  <c r="X496" i="6"/>
  <c r="X497" i="6"/>
  <c r="X498" i="6"/>
  <c r="X499" i="6"/>
  <c r="X500" i="6"/>
  <c r="X501" i="6"/>
  <c r="X502" i="6"/>
  <c r="X503" i="6"/>
  <c r="X504" i="6"/>
  <c r="X505" i="6"/>
  <c r="X506" i="6"/>
  <c r="X507" i="6"/>
  <c r="Y484" i="6"/>
  <c r="Y485" i="6"/>
  <c r="Y486" i="6"/>
  <c r="Y487" i="6"/>
  <c r="Y488" i="6"/>
  <c r="Y489" i="6"/>
  <c r="Y490" i="6"/>
  <c r="Y491" i="6"/>
  <c r="Y492" i="6"/>
  <c r="Y493" i="6"/>
  <c r="Y494" i="6"/>
  <c r="Y495" i="6"/>
  <c r="Y496" i="6"/>
  <c r="Y497" i="6"/>
  <c r="Y498" i="6"/>
  <c r="Y499" i="6"/>
  <c r="Y500" i="6"/>
  <c r="Y501" i="6"/>
  <c r="Y502" i="6"/>
  <c r="Y503" i="6"/>
  <c r="Y504" i="6"/>
  <c r="Y505" i="6"/>
  <c r="Y506" i="6"/>
  <c r="Y507" i="6"/>
  <c r="AF484" i="6"/>
  <c r="AF485" i="6"/>
  <c r="AF486" i="6"/>
  <c r="AF487" i="6"/>
  <c r="AF488" i="6"/>
  <c r="AF489" i="6"/>
  <c r="AF490" i="6"/>
  <c r="AF491" i="6"/>
  <c r="AF492" i="6"/>
  <c r="AF493" i="6"/>
  <c r="AF494" i="6"/>
  <c r="AF495" i="6"/>
  <c r="AF496" i="6"/>
  <c r="AF497" i="6"/>
  <c r="AF498" i="6"/>
  <c r="AF499" i="6"/>
  <c r="AF500" i="6"/>
  <c r="AF501" i="6"/>
  <c r="AF502" i="6"/>
  <c r="AF503" i="6"/>
  <c r="AF504" i="6"/>
  <c r="AF505" i="6"/>
  <c r="AF506" i="6"/>
  <c r="AF507" i="6"/>
  <c r="E508" i="6"/>
  <c r="E509" i="6"/>
  <c r="E510" i="6"/>
  <c r="E511" i="6"/>
  <c r="E512" i="6"/>
  <c r="E513" i="6"/>
  <c r="E514" i="6"/>
  <c r="E515" i="6"/>
  <c r="T508" i="6"/>
  <c r="T509" i="6"/>
  <c r="T510" i="6"/>
  <c r="T511" i="6"/>
  <c r="T512" i="6"/>
  <c r="T513" i="6"/>
  <c r="T514" i="6"/>
  <c r="T515" i="6"/>
  <c r="U508" i="6"/>
  <c r="U509" i="6"/>
  <c r="U510" i="6"/>
  <c r="U511" i="6"/>
  <c r="U512" i="6"/>
  <c r="U513" i="6"/>
  <c r="U514" i="6"/>
  <c r="U515" i="6"/>
  <c r="V508" i="6"/>
  <c r="V509" i="6"/>
  <c r="V510" i="6"/>
  <c r="V511" i="6"/>
  <c r="V512" i="6"/>
  <c r="V513" i="6"/>
  <c r="V514" i="6"/>
  <c r="V515" i="6"/>
  <c r="X508" i="6"/>
  <c r="X509" i="6"/>
  <c r="X510" i="6"/>
  <c r="X511" i="6"/>
  <c r="X512" i="6"/>
  <c r="X513" i="6"/>
  <c r="X514" i="6"/>
  <c r="X515" i="6"/>
  <c r="Y508" i="6"/>
  <c r="Y509" i="6"/>
  <c r="Y510" i="6"/>
  <c r="Y511" i="6"/>
  <c r="Y512" i="6"/>
  <c r="Y513" i="6"/>
  <c r="Y514" i="6"/>
  <c r="Y515" i="6"/>
  <c r="AF508" i="6"/>
  <c r="AF509" i="6"/>
  <c r="AF510" i="6"/>
  <c r="AF511" i="6"/>
  <c r="AF512" i="6"/>
  <c r="AF513" i="6"/>
  <c r="AF514" i="6"/>
  <c r="AF515" i="6"/>
  <c r="C114" i="6"/>
  <c r="C442" i="6"/>
  <c r="C18" i="6"/>
  <c r="C78" i="6"/>
  <c r="C103" i="6"/>
  <c r="E2" i="6"/>
  <c r="E3" i="6"/>
  <c r="E4" i="6"/>
  <c r="E5" i="6"/>
  <c r="E6" i="6"/>
  <c r="E7" i="6"/>
  <c r="E8" i="6"/>
  <c r="E9" i="6"/>
  <c r="E10" i="6"/>
  <c r="E11" i="6"/>
  <c r="E12" i="6"/>
  <c r="E13" i="6"/>
  <c r="E14" i="6"/>
  <c r="E15" i="6"/>
  <c r="E16" i="6"/>
  <c r="E17"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9" i="6"/>
  <c r="E80" i="6"/>
  <c r="E81" i="6"/>
  <c r="E82" i="6"/>
  <c r="E83" i="6"/>
  <c r="E84" i="6"/>
  <c r="E85" i="6"/>
  <c r="E86" i="6"/>
  <c r="E87" i="6"/>
  <c r="E88" i="6"/>
  <c r="E89" i="6"/>
  <c r="E90" i="6"/>
  <c r="E91" i="6"/>
  <c r="E92" i="6"/>
  <c r="E93" i="6"/>
  <c r="E94" i="6"/>
  <c r="E95" i="6"/>
  <c r="E96" i="6"/>
  <c r="E97" i="6"/>
  <c r="E98" i="6"/>
  <c r="E99" i="6"/>
  <c r="E100" i="6"/>
  <c r="E101" i="6"/>
  <c r="E102" i="6"/>
  <c r="E104" i="6"/>
  <c r="E106" i="6"/>
  <c r="E107" i="6"/>
  <c r="E108" i="6"/>
  <c r="E109" i="6"/>
  <c r="E110" i="6"/>
  <c r="E111" i="6"/>
  <c r="E112" i="6"/>
  <c r="E113"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18" i="6"/>
  <c r="E78" i="6"/>
  <c r="E103" i="6"/>
  <c r="E105" i="6"/>
  <c r="E114" i="6"/>
  <c r="E187" i="6"/>
  <c r="E188" i="6"/>
  <c r="E189" i="6"/>
  <c r="E541" i="6"/>
  <c r="E597" i="6"/>
  <c r="E700" i="6"/>
  <c r="E701" i="6"/>
  <c r="E702" i="6"/>
  <c r="T18" i="6"/>
  <c r="U18" i="6"/>
  <c r="V18" i="6"/>
  <c r="X18" i="6"/>
  <c r="Y18" i="6"/>
  <c r="AF18" i="6"/>
  <c r="V2" i="6"/>
  <c r="V3" i="6"/>
  <c r="V4" i="6"/>
  <c r="V5" i="6"/>
  <c r="V6" i="6"/>
  <c r="V7" i="6"/>
  <c r="V8" i="6"/>
  <c r="V9" i="6"/>
  <c r="V10" i="6"/>
  <c r="V11" i="6"/>
  <c r="V12" i="6"/>
  <c r="V13" i="6"/>
  <c r="V14" i="6"/>
  <c r="V15" i="6"/>
  <c r="V16" i="6"/>
  <c r="V17"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9" i="6"/>
  <c r="V80" i="6"/>
  <c r="V81" i="6"/>
  <c r="V82" i="6"/>
  <c r="V83" i="6"/>
  <c r="V84" i="6"/>
  <c r="V85" i="6"/>
  <c r="V86" i="6"/>
  <c r="V87" i="6"/>
  <c r="V88" i="6"/>
  <c r="V89" i="6"/>
  <c r="V90" i="6"/>
  <c r="V91" i="6"/>
  <c r="V92" i="6"/>
  <c r="V93" i="6"/>
  <c r="V94" i="6"/>
  <c r="V95" i="6"/>
  <c r="V96" i="6"/>
  <c r="V97" i="6"/>
  <c r="V98" i="6"/>
  <c r="V99" i="6"/>
  <c r="V100" i="6"/>
  <c r="V101" i="6"/>
  <c r="V102" i="6"/>
  <c r="V104" i="6"/>
  <c r="V106" i="6"/>
  <c r="V107" i="6"/>
  <c r="V108" i="6"/>
  <c r="V109" i="6"/>
  <c r="V110" i="6"/>
  <c r="V111" i="6"/>
  <c r="V112" i="6"/>
  <c r="V113" i="6"/>
  <c r="V115" i="6"/>
  <c r="V116" i="6"/>
  <c r="V117" i="6"/>
  <c r="V118" i="6"/>
  <c r="V119" i="6"/>
  <c r="V120" i="6"/>
  <c r="V121" i="6"/>
  <c r="V122" i="6"/>
  <c r="V123" i="6"/>
  <c r="V124" i="6"/>
  <c r="V125" i="6"/>
  <c r="V126" i="6"/>
  <c r="V127" i="6"/>
  <c r="V128" i="6"/>
  <c r="V129" i="6"/>
  <c r="V130" i="6"/>
  <c r="V131" i="6"/>
  <c r="V132" i="6"/>
  <c r="V133" i="6"/>
  <c r="V134" i="6"/>
  <c r="V135" i="6"/>
  <c r="V136" i="6"/>
  <c r="V137" i="6"/>
  <c r="V138" i="6"/>
  <c r="V139" i="6"/>
  <c r="V140" i="6"/>
  <c r="V141" i="6"/>
  <c r="V142" i="6"/>
  <c r="V143" i="6"/>
  <c r="V144" i="6"/>
  <c r="V145" i="6"/>
  <c r="V146" i="6"/>
  <c r="V147" i="6"/>
  <c r="V148" i="6"/>
  <c r="V149" i="6"/>
  <c r="V150" i="6"/>
  <c r="V151" i="6"/>
  <c r="V152" i="6"/>
  <c r="V153" i="6"/>
  <c r="V154" i="6"/>
  <c r="V155" i="6"/>
  <c r="V156" i="6"/>
  <c r="V157" i="6"/>
  <c r="V158" i="6"/>
  <c r="V159" i="6"/>
  <c r="V160" i="6"/>
  <c r="V161" i="6"/>
  <c r="V162" i="6"/>
  <c r="V163" i="6"/>
  <c r="V164" i="6"/>
  <c r="V165" i="6"/>
  <c r="V166" i="6"/>
  <c r="V167" i="6"/>
  <c r="V168" i="6"/>
  <c r="V169" i="6"/>
  <c r="V170" i="6"/>
  <c r="V171" i="6"/>
  <c r="V172" i="6"/>
  <c r="V173" i="6"/>
  <c r="V174" i="6"/>
  <c r="V175" i="6"/>
  <c r="V176" i="6"/>
  <c r="V177" i="6"/>
  <c r="V178" i="6"/>
  <c r="V179" i="6"/>
  <c r="V180" i="6"/>
  <c r="V181" i="6"/>
  <c r="V182" i="6"/>
  <c r="V183" i="6"/>
  <c r="V184" i="6"/>
  <c r="V185" i="6"/>
  <c r="V186" i="6"/>
  <c r="V190" i="6"/>
  <c r="V191" i="6"/>
  <c r="V192" i="6"/>
  <c r="V193" i="6"/>
  <c r="V194" i="6"/>
  <c r="V195" i="6"/>
  <c r="V196" i="6"/>
  <c r="V197" i="6"/>
  <c r="V198" i="6"/>
  <c r="V199" i="6"/>
  <c r="V200" i="6"/>
  <c r="V201" i="6"/>
  <c r="V202" i="6"/>
  <c r="V203" i="6"/>
  <c r="V204" i="6"/>
  <c r="V205" i="6"/>
  <c r="V206" i="6"/>
  <c r="V207" i="6"/>
  <c r="V208" i="6"/>
  <c r="V209" i="6"/>
  <c r="V210" i="6"/>
  <c r="V211" i="6"/>
  <c r="V212" i="6"/>
  <c r="V213" i="6"/>
  <c r="V214" i="6"/>
  <c r="V215" i="6"/>
  <c r="V216" i="6"/>
  <c r="V217" i="6"/>
  <c r="V218" i="6"/>
  <c r="V219" i="6"/>
  <c r="V220" i="6"/>
  <c r="V221" i="6"/>
  <c r="V222" i="6"/>
  <c r="V223" i="6"/>
  <c r="V224" i="6"/>
  <c r="V225" i="6"/>
  <c r="V226" i="6"/>
  <c r="V227" i="6"/>
  <c r="V228" i="6"/>
  <c r="V229" i="6"/>
  <c r="V230" i="6"/>
  <c r="V231" i="6"/>
  <c r="V232" i="6"/>
  <c r="V233" i="6"/>
  <c r="V234" i="6"/>
  <c r="V235" i="6"/>
  <c r="V236" i="6"/>
  <c r="V237" i="6"/>
  <c r="V238" i="6"/>
  <c r="V239" i="6"/>
  <c r="V240" i="6"/>
  <c r="V241" i="6"/>
  <c r="V242" i="6"/>
  <c r="V243" i="6"/>
  <c r="V244" i="6"/>
  <c r="V245" i="6"/>
  <c r="V246" i="6"/>
  <c r="V247" i="6"/>
  <c r="V248" i="6"/>
  <c r="V249" i="6"/>
  <c r="V250" i="6"/>
  <c r="V251" i="6"/>
  <c r="V252" i="6"/>
  <c r="V253" i="6"/>
  <c r="V254" i="6"/>
  <c r="V255" i="6"/>
  <c r="V256" i="6"/>
  <c r="V257" i="6"/>
  <c r="V258" i="6"/>
  <c r="V259" i="6"/>
  <c r="V260" i="6"/>
  <c r="V261" i="6"/>
  <c r="V262" i="6"/>
  <c r="V263" i="6"/>
  <c r="V264" i="6"/>
  <c r="V265" i="6"/>
  <c r="V266" i="6"/>
  <c r="V267" i="6"/>
  <c r="V268" i="6"/>
  <c r="V269" i="6"/>
  <c r="V270" i="6"/>
  <c r="V271" i="6"/>
  <c r="V272" i="6"/>
  <c r="V273" i="6"/>
  <c r="V274" i="6"/>
  <c r="V275" i="6"/>
  <c r="V276" i="6"/>
  <c r="V277" i="6"/>
  <c r="V278" i="6"/>
  <c r="V279" i="6"/>
  <c r="V280" i="6"/>
  <c r="V281" i="6"/>
  <c r="V282" i="6"/>
  <c r="V283" i="6"/>
  <c r="V284" i="6"/>
  <c r="V285" i="6"/>
  <c r="V286" i="6"/>
  <c r="V287" i="6"/>
  <c r="V288" i="6"/>
  <c r="V289" i="6"/>
  <c r="V290" i="6"/>
  <c r="V291" i="6"/>
  <c r="V292" i="6"/>
  <c r="V293" i="6"/>
  <c r="V294" i="6"/>
  <c r="V295" i="6"/>
  <c r="V296" i="6"/>
  <c r="V297" i="6"/>
  <c r="V298" i="6"/>
  <c r="V299" i="6"/>
  <c r="V300" i="6"/>
  <c r="V301" i="6"/>
  <c r="V302" i="6"/>
  <c r="V303" i="6"/>
  <c r="V304" i="6"/>
  <c r="V305" i="6"/>
  <c r="V306" i="6"/>
  <c r="V307" i="6"/>
  <c r="V308" i="6"/>
  <c r="V309" i="6"/>
  <c r="V310" i="6"/>
  <c r="V311" i="6"/>
  <c r="V312" i="6"/>
  <c r="V313" i="6"/>
  <c r="V314" i="6"/>
  <c r="V315" i="6"/>
  <c r="V316" i="6"/>
  <c r="V317" i="6"/>
  <c r="V318" i="6"/>
  <c r="V319" i="6"/>
  <c r="V320" i="6"/>
  <c r="V321" i="6"/>
  <c r="V322" i="6"/>
  <c r="V323" i="6"/>
  <c r="V324" i="6"/>
  <c r="V325" i="6"/>
  <c r="V326" i="6"/>
  <c r="V327" i="6"/>
  <c r="V328" i="6"/>
  <c r="V329" i="6"/>
  <c r="V330" i="6"/>
  <c r="V331" i="6"/>
  <c r="V332" i="6"/>
  <c r="V333" i="6"/>
  <c r="V334" i="6"/>
  <c r="V335" i="6"/>
  <c r="V336" i="6"/>
  <c r="V337" i="6"/>
  <c r="V338" i="6"/>
  <c r="V339" i="6"/>
  <c r="V340" i="6"/>
  <c r="V341" i="6"/>
  <c r="V342" i="6"/>
  <c r="V343" i="6"/>
  <c r="V344" i="6"/>
  <c r="V345" i="6"/>
  <c r="V346" i="6"/>
  <c r="V347" i="6"/>
  <c r="V348" i="6"/>
  <c r="V349" i="6"/>
  <c r="V350" i="6"/>
  <c r="V351" i="6"/>
  <c r="V352" i="6"/>
  <c r="V353" i="6"/>
  <c r="V354" i="6"/>
  <c r="V355" i="6"/>
  <c r="V356" i="6"/>
  <c r="V357" i="6"/>
  <c r="V358" i="6"/>
  <c r="V359" i="6"/>
  <c r="V360" i="6"/>
  <c r="V361" i="6"/>
  <c r="V362" i="6"/>
  <c r="V363" i="6"/>
  <c r="V364" i="6"/>
  <c r="V365" i="6"/>
  <c r="V366" i="6"/>
  <c r="V367" i="6"/>
  <c r="V368" i="6"/>
  <c r="V369" i="6"/>
  <c r="V370" i="6"/>
  <c r="V371" i="6"/>
  <c r="V372" i="6"/>
  <c r="V373" i="6"/>
  <c r="V374" i="6"/>
  <c r="V375" i="6"/>
  <c r="V376" i="6"/>
  <c r="V377" i="6"/>
  <c r="V378" i="6"/>
  <c r="V379" i="6"/>
  <c r="V380" i="6"/>
  <c r="V381" i="6"/>
  <c r="V382" i="6"/>
  <c r="V383" i="6"/>
  <c r="V384" i="6"/>
  <c r="V385" i="6"/>
  <c r="V386" i="6"/>
  <c r="V387" i="6"/>
  <c r="V388" i="6"/>
  <c r="V389" i="6"/>
  <c r="V390" i="6"/>
  <c r="V391" i="6"/>
  <c r="V392" i="6"/>
  <c r="V393" i="6"/>
  <c r="V394" i="6"/>
  <c r="V395" i="6"/>
  <c r="V396" i="6"/>
  <c r="V397" i="6"/>
  <c r="V398" i="6"/>
  <c r="V399" i="6"/>
  <c r="V400" i="6"/>
  <c r="V401" i="6"/>
  <c r="V402" i="6"/>
  <c r="V403" i="6"/>
  <c r="V404" i="6"/>
  <c r="V405" i="6"/>
  <c r="V406" i="6"/>
  <c r="V407" i="6"/>
  <c r="V408" i="6"/>
  <c r="V409" i="6"/>
  <c r="V410" i="6"/>
  <c r="V411" i="6"/>
  <c r="V412" i="6"/>
  <c r="V413" i="6"/>
  <c r="V414" i="6"/>
  <c r="V415" i="6"/>
  <c r="V416" i="6"/>
  <c r="V417" i="6"/>
  <c r="V418" i="6"/>
  <c r="V419" i="6"/>
  <c r="V420" i="6"/>
  <c r="V421" i="6"/>
  <c r="V422" i="6"/>
  <c r="V423" i="6"/>
  <c r="V424" i="6"/>
  <c r="V425" i="6"/>
  <c r="V426" i="6"/>
  <c r="V427" i="6"/>
  <c r="V428" i="6"/>
  <c r="V429" i="6"/>
  <c r="V430" i="6"/>
  <c r="V431" i="6"/>
  <c r="V432" i="6"/>
  <c r="V433" i="6"/>
  <c r="V434" i="6"/>
  <c r="V435" i="6"/>
  <c r="V436" i="6"/>
  <c r="V437" i="6"/>
  <c r="V438" i="6"/>
  <c r="V439" i="6"/>
  <c r="V440" i="6"/>
  <c r="V441" i="6"/>
  <c r="V442" i="6"/>
  <c r="V78" i="6"/>
  <c r="V103" i="6"/>
  <c r="V105" i="6"/>
  <c r="V114" i="6"/>
  <c r="V187" i="6"/>
  <c r="V188" i="6"/>
  <c r="V189" i="6"/>
  <c r="V541" i="6"/>
  <c r="V597" i="6"/>
  <c r="V700" i="6"/>
  <c r="V701" i="6"/>
  <c r="V702" i="6"/>
  <c r="X2" i="6"/>
  <c r="X3" i="6"/>
  <c r="X4" i="6"/>
  <c r="X5" i="6"/>
  <c r="X6" i="6"/>
  <c r="X7" i="6"/>
  <c r="X8" i="6"/>
  <c r="X9" i="6"/>
  <c r="X10" i="6"/>
  <c r="X11" i="6"/>
  <c r="X12" i="6"/>
  <c r="X13" i="6"/>
  <c r="X14" i="6"/>
  <c r="X15" i="6"/>
  <c r="X16" i="6"/>
  <c r="X17"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9" i="6"/>
  <c r="X80" i="6"/>
  <c r="X81" i="6"/>
  <c r="X82" i="6"/>
  <c r="X83" i="6"/>
  <c r="X84" i="6"/>
  <c r="X85" i="6"/>
  <c r="X86" i="6"/>
  <c r="X87" i="6"/>
  <c r="X88" i="6"/>
  <c r="X89" i="6"/>
  <c r="X90" i="6"/>
  <c r="X91" i="6"/>
  <c r="X92" i="6"/>
  <c r="X93" i="6"/>
  <c r="X94" i="6"/>
  <c r="X95" i="6"/>
  <c r="X96" i="6"/>
  <c r="X97" i="6"/>
  <c r="X98" i="6"/>
  <c r="X99" i="6"/>
  <c r="X100" i="6"/>
  <c r="X101" i="6"/>
  <c r="X102" i="6"/>
  <c r="X104" i="6"/>
  <c r="X106" i="6"/>
  <c r="X107" i="6"/>
  <c r="X108" i="6"/>
  <c r="X109" i="6"/>
  <c r="X110" i="6"/>
  <c r="X111" i="6"/>
  <c r="X112" i="6"/>
  <c r="X113" i="6"/>
  <c r="X115" i="6"/>
  <c r="X116" i="6"/>
  <c r="X117" i="6"/>
  <c r="X118" i="6"/>
  <c r="X119" i="6"/>
  <c r="X120" i="6"/>
  <c r="X121" i="6"/>
  <c r="X122" i="6"/>
  <c r="X123" i="6"/>
  <c r="X124" i="6"/>
  <c r="X125" i="6"/>
  <c r="X126" i="6"/>
  <c r="X127" i="6"/>
  <c r="X128" i="6"/>
  <c r="X129" i="6"/>
  <c r="X130" i="6"/>
  <c r="X131" i="6"/>
  <c r="X132" i="6"/>
  <c r="X133" i="6"/>
  <c r="X134" i="6"/>
  <c r="X135" i="6"/>
  <c r="X136" i="6"/>
  <c r="X137" i="6"/>
  <c r="X138" i="6"/>
  <c r="X139" i="6"/>
  <c r="X140" i="6"/>
  <c r="X141" i="6"/>
  <c r="X142" i="6"/>
  <c r="X143" i="6"/>
  <c r="X144" i="6"/>
  <c r="X145" i="6"/>
  <c r="X146" i="6"/>
  <c r="X147" i="6"/>
  <c r="X148" i="6"/>
  <c r="X149" i="6"/>
  <c r="X150" i="6"/>
  <c r="X151" i="6"/>
  <c r="X152" i="6"/>
  <c r="X153" i="6"/>
  <c r="X154" i="6"/>
  <c r="X155" i="6"/>
  <c r="X156" i="6"/>
  <c r="X157" i="6"/>
  <c r="X158" i="6"/>
  <c r="X159" i="6"/>
  <c r="X160" i="6"/>
  <c r="X161" i="6"/>
  <c r="X162" i="6"/>
  <c r="X163" i="6"/>
  <c r="X164" i="6"/>
  <c r="X165" i="6"/>
  <c r="X166" i="6"/>
  <c r="X167" i="6"/>
  <c r="X168" i="6"/>
  <c r="X169" i="6"/>
  <c r="X170" i="6"/>
  <c r="X171" i="6"/>
  <c r="X172" i="6"/>
  <c r="X173" i="6"/>
  <c r="X174" i="6"/>
  <c r="X175" i="6"/>
  <c r="X176" i="6"/>
  <c r="X177" i="6"/>
  <c r="X178" i="6"/>
  <c r="X179" i="6"/>
  <c r="X180" i="6"/>
  <c r="X181" i="6"/>
  <c r="X182" i="6"/>
  <c r="X183" i="6"/>
  <c r="X184" i="6"/>
  <c r="X185" i="6"/>
  <c r="X186" i="6"/>
  <c r="X190" i="6"/>
  <c r="X191" i="6"/>
  <c r="X192" i="6"/>
  <c r="X193" i="6"/>
  <c r="X194" i="6"/>
  <c r="X195" i="6"/>
  <c r="X196" i="6"/>
  <c r="X197" i="6"/>
  <c r="X198" i="6"/>
  <c r="X199" i="6"/>
  <c r="X200" i="6"/>
  <c r="X201" i="6"/>
  <c r="X202" i="6"/>
  <c r="X203" i="6"/>
  <c r="X204" i="6"/>
  <c r="X205" i="6"/>
  <c r="X206" i="6"/>
  <c r="X207" i="6"/>
  <c r="X208" i="6"/>
  <c r="X209" i="6"/>
  <c r="X210" i="6"/>
  <c r="X211" i="6"/>
  <c r="X212" i="6"/>
  <c r="X213" i="6"/>
  <c r="X214" i="6"/>
  <c r="X215" i="6"/>
  <c r="X216" i="6"/>
  <c r="X217" i="6"/>
  <c r="X218" i="6"/>
  <c r="X219" i="6"/>
  <c r="X220" i="6"/>
  <c r="X221" i="6"/>
  <c r="X222" i="6"/>
  <c r="X223" i="6"/>
  <c r="X224" i="6"/>
  <c r="X225" i="6"/>
  <c r="X226" i="6"/>
  <c r="X227" i="6"/>
  <c r="X228" i="6"/>
  <c r="X229" i="6"/>
  <c r="X230" i="6"/>
  <c r="X231" i="6"/>
  <c r="X232" i="6"/>
  <c r="X233" i="6"/>
  <c r="X234" i="6"/>
  <c r="X235" i="6"/>
  <c r="X236" i="6"/>
  <c r="X237" i="6"/>
  <c r="X238" i="6"/>
  <c r="X239" i="6"/>
  <c r="X240" i="6"/>
  <c r="X241" i="6"/>
  <c r="X242" i="6"/>
  <c r="X243" i="6"/>
  <c r="X244" i="6"/>
  <c r="X245" i="6"/>
  <c r="X246" i="6"/>
  <c r="X247" i="6"/>
  <c r="X248" i="6"/>
  <c r="X249" i="6"/>
  <c r="X250" i="6"/>
  <c r="X251" i="6"/>
  <c r="X252" i="6"/>
  <c r="X253" i="6"/>
  <c r="X254" i="6"/>
  <c r="X255" i="6"/>
  <c r="X256" i="6"/>
  <c r="X257" i="6"/>
  <c r="X258" i="6"/>
  <c r="X259" i="6"/>
  <c r="X260" i="6"/>
  <c r="X261" i="6"/>
  <c r="X262" i="6"/>
  <c r="X263" i="6"/>
  <c r="X264" i="6"/>
  <c r="X265" i="6"/>
  <c r="X266" i="6"/>
  <c r="X267" i="6"/>
  <c r="X268" i="6"/>
  <c r="X269" i="6"/>
  <c r="X270" i="6"/>
  <c r="X271" i="6"/>
  <c r="X272" i="6"/>
  <c r="X273" i="6"/>
  <c r="X274" i="6"/>
  <c r="X275" i="6"/>
  <c r="X276" i="6"/>
  <c r="X277" i="6"/>
  <c r="X278" i="6"/>
  <c r="X279" i="6"/>
  <c r="X280" i="6"/>
  <c r="X281" i="6"/>
  <c r="X282" i="6"/>
  <c r="X283" i="6"/>
  <c r="X284" i="6"/>
  <c r="X285" i="6"/>
  <c r="X286" i="6"/>
  <c r="X287" i="6"/>
  <c r="X288" i="6"/>
  <c r="X289" i="6"/>
  <c r="X290" i="6"/>
  <c r="X291" i="6"/>
  <c r="X292" i="6"/>
  <c r="X293" i="6"/>
  <c r="X294" i="6"/>
  <c r="X295" i="6"/>
  <c r="X296" i="6"/>
  <c r="X297" i="6"/>
  <c r="X298" i="6"/>
  <c r="X299" i="6"/>
  <c r="X300" i="6"/>
  <c r="X301" i="6"/>
  <c r="X302" i="6"/>
  <c r="X303" i="6"/>
  <c r="X304" i="6"/>
  <c r="X305" i="6"/>
  <c r="X306" i="6"/>
  <c r="X307" i="6"/>
  <c r="X308" i="6"/>
  <c r="X309" i="6"/>
  <c r="X310" i="6"/>
  <c r="X311" i="6"/>
  <c r="X312" i="6"/>
  <c r="X313" i="6"/>
  <c r="X314" i="6"/>
  <c r="X315" i="6"/>
  <c r="X316" i="6"/>
  <c r="X317" i="6"/>
  <c r="X318" i="6"/>
  <c r="X319" i="6"/>
  <c r="X320" i="6"/>
  <c r="X321" i="6"/>
  <c r="X322" i="6"/>
  <c r="X323" i="6"/>
  <c r="X324" i="6"/>
  <c r="X325" i="6"/>
  <c r="X326" i="6"/>
  <c r="X327" i="6"/>
  <c r="X328" i="6"/>
  <c r="X329" i="6"/>
  <c r="X330" i="6"/>
  <c r="X331" i="6"/>
  <c r="X332" i="6"/>
  <c r="X333" i="6"/>
  <c r="X334" i="6"/>
  <c r="X335" i="6"/>
  <c r="X336" i="6"/>
  <c r="X337" i="6"/>
  <c r="X338" i="6"/>
  <c r="X339" i="6"/>
  <c r="X340" i="6"/>
  <c r="X341" i="6"/>
  <c r="X342" i="6"/>
  <c r="X343" i="6"/>
  <c r="X344" i="6"/>
  <c r="X345" i="6"/>
  <c r="X346" i="6"/>
  <c r="X347" i="6"/>
  <c r="X348" i="6"/>
  <c r="X349" i="6"/>
  <c r="X350" i="6"/>
  <c r="X351" i="6"/>
  <c r="X352" i="6"/>
  <c r="X353" i="6"/>
  <c r="X354" i="6"/>
  <c r="X355" i="6"/>
  <c r="X356" i="6"/>
  <c r="X357" i="6"/>
  <c r="X358" i="6"/>
  <c r="X359" i="6"/>
  <c r="X360" i="6"/>
  <c r="X361" i="6"/>
  <c r="X362" i="6"/>
  <c r="X363" i="6"/>
  <c r="X364" i="6"/>
  <c r="X365" i="6"/>
  <c r="X366" i="6"/>
  <c r="X367" i="6"/>
  <c r="X368" i="6"/>
  <c r="X369" i="6"/>
  <c r="X370" i="6"/>
  <c r="X371" i="6"/>
  <c r="X372" i="6"/>
  <c r="X373" i="6"/>
  <c r="X374" i="6"/>
  <c r="X375" i="6"/>
  <c r="X376" i="6"/>
  <c r="X377" i="6"/>
  <c r="X378" i="6"/>
  <c r="X379" i="6"/>
  <c r="X380" i="6"/>
  <c r="X381" i="6"/>
  <c r="X382" i="6"/>
  <c r="X383" i="6"/>
  <c r="X384" i="6"/>
  <c r="X385" i="6"/>
  <c r="X386" i="6"/>
  <c r="X387" i="6"/>
  <c r="X388" i="6"/>
  <c r="X389" i="6"/>
  <c r="X390" i="6"/>
  <c r="X391" i="6"/>
  <c r="X392" i="6"/>
  <c r="X393" i="6"/>
  <c r="X394" i="6"/>
  <c r="X395" i="6"/>
  <c r="X396" i="6"/>
  <c r="X397" i="6"/>
  <c r="X398" i="6"/>
  <c r="X399" i="6"/>
  <c r="X400" i="6"/>
  <c r="X401" i="6"/>
  <c r="X402" i="6"/>
  <c r="X403" i="6"/>
  <c r="X404" i="6"/>
  <c r="X405" i="6"/>
  <c r="X406" i="6"/>
  <c r="X407" i="6"/>
  <c r="X408" i="6"/>
  <c r="X409" i="6"/>
  <c r="X410" i="6"/>
  <c r="X411" i="6"/>
  <c r="X412" i="6"/>
  <c r="X413" i="6"/>
  <c r="X414" i="6"/>
  <c r="X415" i="6"/>
  <c r="X416" i="6"/>
  <c r="X417" i="6"/>
  <c r="X418" i="6"/>
  <c r="X419" i="6"/>
  <c r="X420" i="6"/>
  <c r="X421" i="6"/>
  <c r="X422" i="6"/>
  <c r="X423" i="6"/>
  <c r="X424" i="6"/>
  <c r="X425" i="6"/>
  <c r="X426" i="6"/>
  <c r="X427" i="6"/>
  <c r="X428" i="6"/>
  <c r="X429" i="6"/>
  <c r="X430" i="6"/>
  <c r="X431" i="6"/>
  <c r="X432" i="6"/>
  <c r="X433" i="6"/>
  <c r="X434" i="6"/>
  <c r="X435" i="6"/>
  <c r="X436" i="6"/>
  <c r="X437" i="6"/>
  <c r="X438" i="6"/>
  <c r="X439" i="6"/>
  <c r="X440" i="6"/>
  <c r="X441" i="6"/>
  <c r="X442" i="6"/>
  <c r="X78" i="6"/>
  <c r="X103" i="6"/>
  <c r="X105" i="6"/>
  <c r="X114" i="6"/>
  <c r="X187" i="6"/>
  <c r="X188" i="6"/>
  <c r="X189" i="6"/>
  <c r="X541" i="6"/>
  <c r="X597" i="6"/>
  <c r="X700" i="6"/>
  <c r="X701" i="6"/>
  <c r="X702" i="6"/>
  <c r="Y2" i="6"/>
  <c r="Y3" i="6"/>
  <c r="Y4" i="6"/>
  <c r="Y5" i="6"/>
  <c r="Y6" i="6"/>
  <c r="Y7" i="6"/>
  <c r="Y8" i="6"/>
  <c r="Y9" i="6"/>
  <c r="Y10" i="6"/>
  <c r="Y11" i="6"/>
  <c r="Y12" i="6"/>
  <c r="Y13" i="6"/>
  <c r="Y14" i="6"/>
  <c r="Y15" i="6"/>
  <c r="Y16" i="6"/>
  <c r="Y17" i="6"/>
  <c r="Y19" i="6"/>
  <c r="Y20" i="6"/>
  <c r="Y21" i="6"/>
  <c r="Y22" i="6"/>
  <c r="Y23" i="6"/>
  <c r="Y24" i="6"/>
  <c r="Y25" i="6"/>
  <c r="Y26" i="6"/>
  <c r="Y27" i="6"/>
  <c r="Y28" i="6"/>
  <c r="Y29" i="6"/>
  <c r="Y30" i="6"/>
  <c r="Y31" i="6"/>
  <c r="Y32" i="6"/>
  <c r="Y33" i="6"/>
  <c r="Y34" i="6"/>
  <c r="Y35" i="6"/>
  <c r="Y36" i="6"/>
  <c r="Y37" i="6"/>
  <c r="Y38" i="6"/>
  <c r="Y39" i="6"/>
  <c r="Y40" i="6"/>
  <c r="Y41" i="6"/>
  <c r="Y42" i="6"/>
  <c r="Y43" i="6"/>
  <c r="Y44" i="6"/>
  <c r="Y45" i="6"/>
  <c r="Y46" i="6"/>
  <c r="Y47" i="6"/>
  <c r="Y48" i="6"/>
  <c r="Y49" i="6"/>
  <c r="Y50" i="6"/>
  <c r="Y51" i="6"/>
  <c r="Y52" i="6"/>
  <c r="Y53" i="6"/>
  <c r="Y54" i="6"/>
  <c r="Y55" i="6"/>
  <c r="Y56" i="6"/>
  <c r="Y57" i="6"/>
  <c r="Y58" i="6"/>
  <c r="Y59" i="6"/>
  <c r="Y60" i="6"/>
  <c r="Y61" i="6"/>
  <c r="Y62" i="6"/>
  <c r="Y63" i="6"/>
  <c r="Y64" i="6"/>
  <c r="Y65" i="6"/>
  <c r="Y66" i="6"/>
  <c r="Y67" i="6"/>
  <c r="Y68" i="6"/>
  <c r="Y69" i="6"/>
  <c r="Y70" i="6"/>
  <c r="Y71" i="6"/>
  <c r="Y72" i="6"/>
  <c r="Y73" i="6"/>
  <c r="Y74" i="6"/>
  <c r="Y75" i="6"/>
  <c r="Y76" i="6"/>
  <c r="Y77" i="6"/>
  <c r="Y79" i="6"/>
  <c r="Y80" i="6"/>
  <c r="Y81" i="6"/>
  <c r="Y82" i="6"/>
  <c r="Y83" i="6"/>
  <c r="Y84" i="6"/>
  <c r="Y85" i="6"/>
  <c r="Y86" i="6"/>
  <c r="Y87" i="6"/>
  <c r="Y88" i="6"/>
  <c r="Y89" i="6"/>
  <c r="Y90" i="6"/>
  <c r="Y91" i="6"/>
  <c r="Y92" i="6"/>
  <c r="Y93" i="6"/>
  <c r="Y94" i="6"/>
  <c r="Y95" i="6"/>
  <c r="Y96" i="6"/>
  <c r="Y97" i="6"/>
  <c r="Y98" i="6"/>
  <c r="Y99" i="6"/>
  <c r="Y100" i="6"/>
  <c r="Y101" i="6"/>
  <c r="Y102" i="6"/>
  <c r="Y104" i="6"/>
  <c r="Y106" i="6"/>
  <c r="Y107" i="6"/>
  <c r="Y108" i="6"/>
  <c r="Y109" i="6"/>
  <c r="Y110" i="6"/>
  <c r="Y111" i="6"/>
  <c r="Y112" i="6"/>
  <c r="Y113" i="6"/>
  <c r="Y115" i="6"/>
  <c r="Y116" i="6"/>
  <c r="Y117" i="6"/>
  <c r="Y118" i="6"/>
  <c r="Y119" i="6"/>
  <c r="Y120" i="6"/>
  <c r="Y121" i="6"/>
  <c r="Y122" i="6"/>
  <c r="Y123" i="6"/>
  <c r="Y124" i="6"/>
  <c r="Y125" i="6"/>
  <c r="Y126" i="6"/>
  <c r="Y127" i="6"/>
  <c r="Y128" i="6"/>
  <c r="Y129" i="6"/>
  <c r="Y130" i="6"/>
  <c r="Y131" i="6"/>
  <c r="Y132" i="6"/>
  <c r="Y133" i="6"/>
  <c r="Y134" i="6"/>
  <c r="Y135" i="6"/>
  <c r="Y136" i="6"/>
  <c r="Y137" i="6"/>
  <c r="Y138" i="6"/>
  <c r="Y139" i="6"/>
  <c r="Y140" i="6"/>
  <c r="Y141" i="6"/>
  <c r="Y142" i="6"/>
  <c r="Y143" i="6"/>
  <c r="Y144" i="6"/>
  <c r="Y145" i="6"/>
  <c r="Y146" i="6"/>
  <c r="Y147" i="6"/>
  <c r="Y148" i="6"/>
  <c r="Y149" i="6"/>
  <c r="Y150" i="6"/>
  <c r="Y151" i="6"/>
  <c r="Y152" i="6"/>
  <c r="Y153" i="6"/>
  <c r="Y154" i="6"/>
  <c r="Y155" i="6"/>
  <c r="Y156" i="6"/>
  <c r="Y157" i="6"/>
  <c r="Y158" i="6"/>
  <c r="Y159" i="6"/>
  <c r="Y160" i="6"/>
  <c r="Y161" i="6"/>
  <c r="Y162" i="6"/>
  <c r="Y163" i="6"/>
  <c r="Y164" i="6"/>
  <c r="Y165" i="6"/>
  <c r="Y166" i="6"/>
  <c r="Y167" i="6"/>
  <c r="Y168" i="6"/>
  <c r="Y169" i="6"/>
  <c r="Y170" i="6"/>
  <c r="Y171" i="6"/>
  <c r="Y172" i="6"/>
  <c r="Y173" i="6"/>
  <c r="Y174" i="6"/>
  <c r="Y175" i="6"/>
  <c r="Y176" i="6"/>
  <c r="Y177" i="6"/>
  <c r="Y178" i="6"/>
  <c r="Y179" i="6"/>
  <c r="Y180" i="6"/>
  <c r="Y181" i="6"/>
  <c r="Y182" i="6"/>
  <c r="Y183" i="6"/>
  <c r="Y184" i="6"/>
  <c r="Y185" i="6"/>
  <c r="Y186" i="6"/>
  <c r="Y190" i="6"/>
  <c r="Y191" i="6"/>
  <c r="Y192" i="6"/>
  <c r="Y193" i="6"/>
  <c r="Y194" i="6"/>
  <c r="Y195" i="6"/>
  <c r="Y196" i="6"/>
  <c r="Y197" i="6"/>
  <c r="Y198" i="6"/>
  <c r="Y199" i="6"/>
  <c r="Y200" i="6"/>
  <c r="Y201" i="6"/>
  <c r="Y202" i="6"/>
  <c r="Y203" i="6"/>
  <c r="Y204" i="6"/>
  <c r="Y205" i="6"/>
  <c r="Y206" i="6"/>
  <c r="Y207" i="6"/>
  <c r="Y208" i="6"/>
  <c r="Y209" i="6"/>
  <c r="Y210" i="6"/>
  <c r="Y211" i="6"/>
  <c r="Y212" i="6"/>
  <c r="Y213" i="6"/>
  <c r="Y214" i="6"/>
  <c r="Y215" i="6"/>
  <c r="Y216" i="6"/>
  <c r="Y217" i="6"/>
  <c r="Y218" i="6"/>
  <c r="Y219" i="6"/>
  <c r="Y220" i="6"/>
  <c r="Y221" i="6"/>
  <c r="Y222" i="6"/>
  <c r="Y223" i="6"/>
  <c r="Y224" i="6"/>
  <c r="Y225" i="6"/>
  <c r="Y226" i="6"/>
  <c r="Y227" i="6"/>
  <c r="Y228" i="6"/>
  <c r="Y229" i="6"/>
  <c r="Y230" i="6"/>
  <c r="Y231" i="6"/>
  <c r="Y232" i="6"/>
  <c r="Y233" i="6"/>
  <c r="Y234" i="6"/>
  <c r="Y235" i="6"/>
  <c r="Y236" i="6"/>
  <c r="Y237" i="6"/>
  <c r="Y238" i="6"/>
  <c r="Y239" i="6"/>
  <c r="Y240" i="6"/>
  <c r="Y241" i="6"/>
  <c r="Y242" i="6"/>
  <c r="Y243" i="6"/>
  <c r="Y244" i="6"/>
  <c r="Y245" i="6"/>
  <c r="Y246" i="6"/>
  <c r="Y247" i="6"/>
  <c r="Y248" i="6"/>
  <c r="Y249" i="6"/>
  <c r="Y250" i="6"/>
  <c r="Y251" i="6"/>
  <c r="Y252" i="6"/>
  <c r="Y253" i="6"/>
  <c r="Y254" i="6"/>
  <c r="Y255" i="6"/>
  <c r="Y256" i="6"/>
  <c r="Y257" i="6"/>
  <c r="Y258" i="6"/>
  <c r="Y259" i="6"/>
  <c r="Y260" i="6"/>
  <c r="Y261" i="6"/>
  <c r="Y262" i="6"/>
  <c r="Y263" i="6"/>
  <c r="Y264" i="6"/>
  <c r="Y265" i="6"/>
  <c r="Y266" i="6"/>
  <c r="Y267" i="6"/>
  <c r="Y268" i="6"/>
  <c r="Y269" i="6"/>
  <c r="Y270" i="6"/>
  <c r="Y271" i="6"/>
  <c r="Y272" i="6"/>
  <c r="Y273" i="6"/>
  <c r="Y274" i="6"/>
  <c r="Y275" i="6"/>
  <c r="Y276" i="6"/>
  <c r="Y277" i="6"/>
  <c r="Y278" i="6"/>
  <c r="Y279" i="6"/>
  <c r="Y280" i="6"/>
  <c r="Y281" i="6"/>
  <c r="Y282" i="6"/>
  <c r="Y283" i="6"/>
  <c r="Y284" i="6"/>
  <c r="Y285" i="6"/>
  <c r="Y286" i="6"/>
  <c r="Y287" i="6"/>
  <c r="Y288" i="6"/>
  <c r="Y289" i="6"/>
  <c r="Y290" i="6"/>
  <c r="Y291" i="6"/>
  <c r="Y292" i="6"/>
  <c r="Y293" i="6"/>
  <c r="Y294" i="6"/>
  <c r="Y295" i="6"/>
  <c r="Y296" i="6"/>
  <c r="Y297" i="6"/>
  <c r="Y298" i="6"/>
  <c r="Y299" i="6"/>
  <c r="Y300" i="6"/>
  <c r="Y301" i="6"/>
  <c r="Y302" i="6"/>
  <c r="Y303" i="6"/>
  <c r="Y304" i="6"/>
  <c r="Y305" i="6"/>
  <c r="Y306" i="6"/>
  <c r="Y307" i="6"/>
  <c r="Y308" i="6"/>
  <c r="Y309" i="6"/>
  <c r="Y310" i="6"/>
  <c r="Y311" i="6"/>
  <c r="Y312" i="6"/>
  <c r="Y313" i="6"/>
  <c r="Y314" i="6"/>
  <c r="Y315" i="6"/>
  <c r="Y316" i="6"/>
  <c r="Y317" i="6"/>
  <c r="Y318" i="6"/>
  <c r="Y319" i="6"/>
  <c r="Y320" i="6"/>
  <c r="Y321" i="6"/>
  <c r="Y322" i="6"/>
  <c r="Y323" i="6"/>
  <c r="Y324" i="6"/>
  <c r="Y325" i="6"/>
  <c r="Y326" i="6"/>
  <c r="Y327" i="6"/>
  <c r="Y328" i="6"/>
  <c r="Y329" i="6"/>
  <c r="Y330" i="6"/>
  <c r="Y331" i="6"/>
  <c r="Y332" i="6"/>
  <c r="Y333" i="6"/>
  <c r="Y334" i="6"/>
  <c r="Y335" i="6"/>
  <c r="Y336" i="6"/>
  <c r="Y337" i="6"/>
  <c r="Y338" i="6"/>
  <c r="Y339" i="6"/>
  <c r="Y340" i="6"/>
  <c r="Y341" i="6"/>
  <c r="Y342" i="6"/>
  <c r="Y343" i="6"/>
  <c r="Y344" i="6"/>
  <c r="Y345" i="6"/>
  <c r="Y346" i="6"/>
  <c r="Y347" i="6"/>
  <c r="Y348" i="6"/>
  <c r="Y349" i="6"/>
  <c r="Y350" i="6"/>
  <c r="Y351" i="6"/>
  <c r="Y352" i="6"/>
  <c r="Y353" i="6"/>
  <c r="Y354" i="6"/>
  <c r="Y355" i="6"/>
  <c r="Y356" i="6"/>
  <c r="Y357" i="6"/>
  <c r="Y358" i="6"/>
  <c r="Y359" i="6"/>
  <c r="Y360" i="6"/>
  <c r="Y361" i="6"/>
  <c r="Y362" i="6"/>
  <c r="Y363" i="6"/>
  <c r="Y364" i="6"/>
  <c r="Y365" i="6"/>
  <c r="Y366" i="6"/>
  <c r="Y367" i="6"/>
  <c r="Y368" i="6"/>
  <c r="Y369" i="6"/>
  <c r="Y370" i="6"/>
  <c r="Y371" i="6"/>
  <c r="Y372" i="6"/>
  <c r="Y373" i="6"/>
  <c r="Y374" i="6"/>
  <c r="Y375" i="6"/>
  <c r="Y376" i="6"/>
  <c r="Y377" i="6"/>
  <c r="Y378" i="6"/>
  <c r="Y379" i="6"/>
  <c r="Y380" i="6"/>
  <c r="Y381" i="6"/>
  <c r="Y382" i="6"/>
  <c r="Y383" i="6"/>
  <c r="Y384" i="6"/>
  <c r="Y385" i="6"/>
  <c r="Y386" i="6"/>
  <c r="Y387" i="6"/>
  <c r="Y388" i="6"/>
  <c r="Y389" i="6"/>
  <c r="Y390" i="6"/>
  <c r="Y391" i="6"/>
  <c r="Y392" i="6"/>
  <c r="Y393" i="6"/>
  <c r="Y394" i="6"/>
  <c r="Y395" i="6"/>
  <c r="Y396" i="6"/>
  <c r="Y397" i="6"/>
  <c r="Y398" i="6"/>
  <c r="Y399" i="6"/>
  <c r="Y400" i="6"/>
  <c r="Y401" i="6"/>
  <c r="Y402" i="6"/>
  <c r="Y403" i="6"/>
  <c r="Y404" i="6"/>
  <c r="Y405" i="6"/>
  <c r="Y406" i="6"/>
  <c r="Y407" i="6"/>
  <c r="Y408" i="6"/>
  <c r="Y409" i="6"/>
  <c r="Y410" i="6"/>
  <c r="Y411" i="6"/>
  <c r="Y412" i="6"/>
  <c r="Y413" i="6"/>
  <c r="Y414" i="6"/>
  <c r="Y415" i="6"/>
  <c r="Y416" i="6"/>
  <c r="Y417" i="6"/>
  <c r="Y418" i="6"/>
  <c r="Y419" i="6"/>
  <c r="Y420" i="6"/>
  <c r="Y421" i="6"/>
  <c r="Y422" i="6"/>
  <c r="Y423" i="6"/>
  <c r="Y424" i="6"/>
  <c r="Y425" i="6"/>
  <c r="Y426" i="6"/>
  <c r="Y427" i="6"/>
  <c r="Y428" i="6"/>
  <c r="Y429" i="6"/>
  <c r="Y430" i="6"/>
  <c r="Y431" i="6"/>
  <c r="Y432" i="6"/>
  <c r="Y433" i="6"/>
  <c r="Y434" i="6"/>
  <c r="Y435" i="6"/>
  <c r="Y436" i="6"/>
  <c r="Y437" i="6"/>
  <c r="Y438" i="6"/>
  <c r="Y439" i="6"/>
  <c r="Y440" i="6"/>
  <c r="Y441" i="6"/>
  <c r="Y442" i="6"/>
  <c r="Y78" i="6"/>
  <c r="Y103" i="6"/>
  <c r="Y105" i="6"/>
  <c r="Y114" i="6"/>
  <c r="Y187" i="6"/>
  <c r="Y188" i="6"/>
  <c r="Y189" i="6"/>
  <c r="Y541" i="6"/>
  <c r="Y597" i="6"/>
  <c r="Y700" i="6"/>
  <c r="Y701" i="6"/>
  <c r="Y702" i="6"/>
  <c r="AF2" i="6"/>
  <c r="AF3" i="6"/>
  <c r="AF4" i="6"/>
  <c r="AF5" i="6"/>
  <c r="AF6" i="6"/>
  <c r="AF7" i="6"/>
  <c r="AF8" i="6"/>
  <c r="AF9" i="6"/>
  <c r="AF10" i="6"/>
  <c r="AF11" i="6"/>
  <c r="AF12" i="6"/>
  <c r="AF13" i="6"/>
  <c r="AF14" i="6"/>
  <c r="AF15" i="6"/>
  <c r="AF16" i="6"/>
  <c r="AF17" i="6"/>
  <c r="AF19" i="6"/>
  <c r="AF20" i="6"/>
  <c r="AF21" i="6"/>
  <c r="AF22" i="6"/>
  <c r="AF23" i="6"/>
  <c r="AF24" i="6"/>
  <c r="AF25" i="6"/>
  <c r="AF26" i="6"/>
  <c r="AF27" i="6"/>
  <c r="AF28" i="6"/>
  <c r="AF29" i="6"/>
  <c r="AF30" i="6"/>
  <c r="AF31" i="6"/>
  <c r="AF32" i="6"/>
  <c r="AF33" i="6"/>
  <c r="AF34" i="6"/>
  <c r="AF35" i="6"/>
  <c r="AF36" i="6"/>
  <c r="AF37" i="6"/>
  <c r="AF38" i="6"/>
  <c r="AF39" i="6"/>
  <c r="AF40" i="6"/>
  <c r="AF41" i="6"/>
  <c r="AF42" i="6"/>
  <c r="AF43" i="6"/>
  <c r="AF44" i="6"/>
  <c r="AF45" i="6"/>
  <c r="AF46" i="6"/>
  <c r="AF47" i="6"/>
  <c r="AF48" i="6"/>
  <c r="AF49" i="6"/>
  <c r="AF50" i="6"/>
  <c r="AF51" i="6"/>
  <c r="AF52" i="6"/>
  <c r="AF53" i="6"/>
  <c r="AF54" i="6"/>
  <c r="AF55" i="6"/>
  <c r="AF56" i="6"/>
  <c r="AF57" i="6"/>
  <c r="AF58" i="6"/>
  <c r="AF59" i="6"/>
  <c r="AF60" i="6"/>
  <c r="AF61" i="6"/>
  <c r="AF62" i="6"/>
  <c r="AF63" i="6"/>
  <c r="AF64" i="6"/>
  <c r="AF65" i="6"/>
  <c r="AF66" i="6"/>
  <c r="AF67" i="6"/>
  <c r="AF68" i="6"/>
  <c r="AF69" i="6"/>
  <c r="AF70" i="6"/>
  <c r="AF71" i="6"/>
  <c r="AF72" i="6"/>
  <c r="AF73" i="6"/>
  <c r="AF74" i="6"/>
  <c r="AF75" i="6"/>
  <c r="AF76" i="6"/>
  <c r="AF77" i="6"/>
  <c r="AF79" i="6"/>
  <c r="AF80" i="6"/>
  <c r="AF81" i="6"/>
  <c r="AF82" i="6"/>
  <c r="AF83" i="6"/>
  <c r="AF84" i="6"/>
  <c r="AF85" i="6"/>
  <c r="AF86" i="6"/>
  <c r="AF87" i="6"/>
  <c r="AF88" i="6"/>
  <c r="AF89" i="6"/>
  <c r="AF90" i="6"/>
  <c r="AF91" i="6"/>
  <c r="AF92" i="6"/>
  <c r="AF93" i="6"/>
  <c r="AF94" i="6"/>
  <c r="AF95" i="6"/>
  <c r="AF96" i="6"/>
  <c r="AF97" i="6"/>
  <c r="AF98" i="6"/>
  <c r="AF99" i="6"/>
  <c r="AF100" i="6"/>
  <c r="AF101" i="6"/>
  <c r="AF102" i="6"/>
  <c r="AF104" i="6"/>
  <c r="AF106" i="6"/>
  <c r="AF107" i="6"/>
  <c r="AF108" i="6"/>
  <c r="AF109" i="6"/>
  <c r="AF110" i="6"/>
  <c r="AF111" i="6"/>
  <c r="AF112" i="6"/>
  <c r="AF113" i="6"/>
  <c r="AF115" i="6"/>
  <c r="AF116" i="6"/>
  <c r="AF117" i="6"/>
  <c r="AF118" i="6"/>
  <c r="AF119" i="6"/>
  <c r="AF120" i="6"/>
  <c r="AF121" i="6"/>
  <c r="AF122" i="6"/>
  <c r="AF123" i="6"/>
  <c r="AF124" i="6"/>
  <c r="AF125" i="6"/>
  <c r="AF126" i="6"/>
  <c r="AF127" i="6"/>
  <c r="AF128" i="6"/>
  <c r="AF129" i="6"/>
  <c r="AF130" i="6"/>
  <c r="AF131" i="6"/>
  <c r="AF132" i="6"/>
  <c r="AF133" i="6"/>
  <c r="AF134" i="6"/>
  <c r="AF135" i="6"/>
  <c r="AF136" i="6"/>
  <c r="AF137" i="6"/>
  <c r="AF138" i="6"/>
  <c r="AF139" i="6"/>
  <c r="AF140" i="6"/>
  <c r="AF141" i="6"/>
  <c r="AF142" i="6"/>
  <c r="AF143" i="6"/>
  <c r="AF144" i="6"/>
  <c r="AF145" i="6"/>
  <c r="AF146" i="6"/>
  <c r="AF147" i="6"/>
  <c r="AF148" i="6"/>
  <c r="AF149" i="6"/>
  <c r="AF150" i="6"/>
  <c r="AF151" i="6"/>
  <c r="AF152" i="6"/>
  <c r="AF153" i="6"/>
  <c r="AF154" i="6"/>
  <c r="AF155" i="6"/>
  <c r="AF156" i="6"/>
  <c r="AF157" i="6"/>
  <c r="AF158" i="6"/>
  <c r="AF159" i="6"/>
  <c r="AF160" i="6"/>
  <c r="AF161" i="6"/>
  <c r="AF162" i="6"/>
  <c r="AF163" i="6"/>
  <c r="AF164" i="6"/>
  <c r="AF165" i="6"/>
  <c r="AF166" i="6"/>
  <c r="AF167" i="6"/>
  <c r="AF168" i="6"/>
  <c r="AF169" i="6"/>
  <c r="AF170" i="6"/>
  <c r="AF171" i="6"/>
  <c r="AF172" i="6"/>
  <c r="AF173" i="6"/>
  <c r="AF174" i="6"/>
  <c r="AF175" i="6"/>
  <c r="AF176" i="6"/>
  <c r="AF177" i="6"/>
  <c r="AF178" i="6"/>
  <c r="AF179" i="6"/>
  <c r="AF180" i="6"/>
  <c r="AF181" i="6"/>
  <c r="AF182" i="6"/>
  <c r="AF183" i="6"/>
  <c r="AF184" i="6"/>
  <c r="AF185" i="6"/>
  <c r="AF186" i="6"/>
  <c r="AF190" i="6"/>
  <c r="AF191" i="6"/>
  <c r="AF192" i="6"/>
  <c r="AF193" i="6"/>
  <c r="AF194" i="6"/>
  <c r="AF195" i="6"/>
  <c r="AF196" i="6"/>
  <c r="AF197" i="6"/>
  <c r="AF198" i="6"/>
  <c r="AF199" i="6"/>
  <c r="AF200" i="6"/>
  <c r="AF201" i="6"/>
  <c r="AF202" i="6"/>
  <c r="AF203" i="6"/>
  <c r="AF204" i="6"/>
  <c r="AF205" i="6"/>
  <c r="AF206" i="6"/>
  <c r="AF207" i="6"/>
  <c r="AF208" i="6"/>
  <c r="AF209" i="6"/>
  <c r="AF210" i="6"/>
  <c r="AF211" i="6"/>
  <c r="AF212" i="6"/>
  <c r="AF213" i="6"/>
  <c r="AF214" i="6"/>
  <c r="AF215" i="6"/>
  <c r="AF216" i="6"/>
  <c r="AF217" i="6"/>
  <c r="AF218" i="6"/>
  <c r="AF219" i="6"/>
  <c r="AF220" i="6"/>
  <c r="AF221" i="6"/>
  <c r="AF222" i="6"/>
  <c r="AF223" i="6"/>
  <c r="AF224" i="6"/>
  <c r="AF225" i="6"/>
  <c r="AF226" i="6"/>
  <c r="AF227" i="6"/>
  <c r="AF228" i="6"/>
  <c r="AF229" i="6"/>
  <c r="AF230" i="6"/>
  <c r="AF231" i="6"/>
  <c r="AF232" i="6"/>
  <c r="AF233" i="6"/>
  <c r="AF234" i="6"/>
  <c r="AF235" i="6"/>
  <c r="AF236" i="6"/>
  <c r="AF237" i="6"/>
  <c r="AF238" i="6"/>
  <c r="AF239" i="6"/>
  <c r="AF240" i="6"/>
  <c r="AF241" i="6"/>
  <c r="AF242" i="6"/>
  <c r="AF243" i="6"/>
  <c r="AF244" i="6"/>
  <c r="AF245" i="6"/>
  <c r="AF246" i="6"/>
  <c r="AF247" i="6"/>
  <c r="AF248" i="6"/>
  <c r="AF249" i="6"/>
  <c r="AF250" i="6"/>
  <c r="AF251" i="6"/>
  <c r="AF252" i="6"/>
  <c r="AF253" i="6"/>
  <c r="AF254" i="6"/>
  <c r="AF255" i="6"/>
  <c r="AF256" i="6"/>
  <c r="AF257" i="6"/>
  <c r="AF258" i="6"/>
  <c r="AF259" i="6"/>
  <c r="AF260" i="6"/>
  <c r="AF261" i="6"/>
  <c r="AF262" i="6"/>
  <c r="AF263" i="6"/>
  <c r="AF264" i="6"/>
  <c r="AF265" i="6"/>
  <c r="AF266" i="6"/>
  <c r="AF267" i="6"/>
  <c r="AF268" i="6"/>
  <c r="AF269" i="6"/>
  <c r="AF270" i="6"/>
  <c r="AF271" i="6"/>
  <c r="AF272" i="6"/>
  <c r="AF273" i="6"/>
  <c r="AF274" i="6"/>
  <c r="AF275" i="6"/>
  <c r="AF276" i="6"/>
  <c r="AF277" i="6"/>
  <c r="AF278" i="6"/>
  <c r="AF279" i="6"/>
  <c r="AF280" i="6"/>
  <c r="AF281" i="6"/>
  <c r="AF282" i="6"/>
  <c r="AF283" i="6"/>
  <c r="AF284" i="6"/>
  <c r="AF285" i="6"/>
  <c r="AF286" i="6"/>
  <c r="AF287" i="6"/>
  <c r="AF288" i="6"/>
  <c r="AF289" i="6"/>
  <c r="AF290" i="6"/>
  <c r="AF291" i="6"/>
  <c r="AF292" i="6"/>
  <c r="AF293" i="6"/>
  <c r="AF294" i="6"/>
  <c r="AF295" i="6"/>
  <c r="AF296" i="6"/>
  <c r="AF297" i="6"/>
  <c r="AF298" i="6"/>
  <c r="AF299" i="6"/>
  <c r="AF300" i="6"/>
  <c r="AF301" i="6"/>
  <c r="AF302" i="6"/>
  <c r="AF303" i="6"/>
  <c r="AF304" i="6"/>
  <c r="AF305" i="6"/>
  <c r="AF306" i="6"/>
  <c r="AF307" i="6"/>
  <c r="AF308" i="6"/>
  <c r="AF309" i="6"/>
  <c r="AF310" i="6"/>
  <c r="AF311" i="6"/>
  <c r="AF312" i="6"/>
  <c r="AF313" i="6"/>
  <c r="AF314" i="6"/>
  <c r="AF315" i="6"/>
  <c r="AF316" i="6"/>
  <c r="AF317" i="6"/>
  <c r="AF318" i="6"/>
  <c r="AF319" i="6"/>
  <c r="AF320" i="6"/>
  <c r="AF321" i="6"/>
  <c r="AF322" i="6"/>
  <c r="AF323" i="6"/>
  <c r="AF324" i="6"/>
  <c r="AF325" i="6"/>
  <c r="AF326" i="6"/>
  <c r="AF327" i="6"/>
  <c r="AF328" i="6"/>
  <c r="AF329" i="6"/>
  <c r="AF330" i="6"/>
  <c r="AF331" i="6"/>
  <c r="AF332" i="6"/>
  <c r="AF333" i="6"/>
  <c r="AF334" i="6"/>
  <c r="AF335" i="6"/>
  <c r="AF336" i="6"/>
  <c r="AF337" i="6"/>
  <c r="AF338" i="6"/>
  <c r="AF339" i="6"/>
  <c r="AF340" i="6"/>
  <c r="AF341" i="6"/>
  <c r="AF342" i="6"/>
  <c r="AF343" i="6"/>
  <c r="AF344" i="6"/>
  <c r="AF345" i="6"/>
  <c r="AF346" i="6"/>
  <c r="AF347" i="6"/>
  <c r="AF348" i="6"/>
  <c r="AF349" i="6"/>
  <c r="AF350" i="6"/>
  <c r="AF351" i="6"/>
  <c r="AF352" i="6"/>
  <c r="AF353" i="6"/>
  <c r="AF354" i="6"/>
  <c r="AF355" i="6"/>
  <c r="AF356" i="6"/>
  <c r="AF357" i="6"/>
  <c r="AF358" i="6"/>
  <c r="AF359" i="6"/>
  <c r="AF360" i="6"/>
  <c r="AF361" i="6"/>
  <c r="AF362" i="6"/>
  <c r="AF363" i="6"/>
  <c r="AF364" i="6"/>
  <c r="AF365" i="6"/>
  <c r="AF366" i="6"/>
  <c r="AF367" i="6"/>
  <c r="AF368" i="6"/>
  <c r="AF369" i="6"/>
  <c r="AF370" i="6"/>
  <c r="AF371" i="6"/>
  <c r="AF372" i="6"/>
  <c r="AF373" i="6"/>
  <c r="AF374" i="6"/>
  <c r="AF375" i="6"/>
  <c r="AF376" i="6"/>
  <c r="AF377" i="6"/>
  <c r="AF378" i="6"/>
  <c r="AF379" i="6"/>
  <c r="AF380" i="6"/>
  <c r="AF381" i="6"/>
  <c r="AF382" i="6"/>
  <c r="AF383" i="6"/>
  <c r="AF384" i="6"/>
  <c r="AF385" i="6"/>
  <c r="AF386" i="6"/>
  <c r="AF387" i="6"/>
  <c r="AF388" i="6"/>
  <c r="AF389" i="6"/>
  <c r="AF390" i="6"/>
  <c r="AF391" i="6"/>
  <c r="AF392" i="6"/>
  <c r="AF393" i="6"/>
  <c r="AF394" i="6"/>
  <c r="AF395" i="6"/>
  <c r="AF396" i="6"/>
  <c r="AF397" i="6"/>
  <c r="AF398" i="6"/>
  <c r="AF399" i="6"/>
  <c r="AF400" i="6"/>
  <c r="AF401" i="6"/>
  <c r="AF402" i="6"/>
  <c r="AF403" i="6"/>
  <c r="AF404" i="6"/>
  <c r="AF405" i="6"/>
  <c r="AF406" i="6"/>
  <c r="AF407" i="6"/>
  <c r="AF408" i="6"/>
  <c r="AF409" i="6"/>
  <c r="AF410" i="6"/>
  <c r="AF411" i="6"/>
  <c r="AF412" i="6"/>
  <c r="AF413" i="6"/>
  <c r="AF414" i="6"/>
  <c r="AF415" i="6"/>
  <c r="AF416" i="6"/>
  <c r="AF417" i="6"/>
  <c r="AF418" i="6"/>
  <c r="AF419" i="6"/>
  <c r="AF420" i="6"/>
  <c r="AF421" i="6"/>
  <c r="AF422" i="6"/>
  <c r="AF423" i="6"/>
  <c r="AF424" i="6"/>
  <c r="AF425" i="6"/>
  <c r="AF426" i="6"/>
  <c r="AF427" i="6"/>
  <c r="AF428" i="6"/>
  <c r="AF429" i="6"/>
  <c r="AF430" i="6"/>
  <c r="AF431" i="6"/>
  <c r="AF432" i="6"/>
  <c r="AF433" i="6"/>
  <c r="AF434" i="6"/>
  <c r="AF435" i="6"/>
  <c r="AF436" i="6"/>
  <c r="AF437" i="6"/>
  <c r="AF438" i="6"/>
  <c r="AF439" i="6"/>
  <c r="AF440" i="6"/>
  <c r="AF441" i="6"/>
  <c r="AF442" i="6"/>
  <c r="AF78" i="6"/>
  <c r="AF103" i="6"/>
  <c r="AF105" i="6"/>
  <c r="AF114" i="6"/>
  <c r="AF187" i="6"/>
  <c r="AF188" i="6"/>
  <c r="AF189" i="6"/>
  <c r="AF541" i="6"/>
  <c r="AF597" i="6"/>
  <c r="AF700" i="6"/>
  <c r="AF701" i="6"/>
  <c r="AF702" i="6"/>
  <c r="C105" i="6"/>
  <c r="T78" i="6"/>
  <c r="T103" i="6"/>
  <c r="T105" i="6"/>
  <c r="U78" i="6"/>
  <c r="U103" i="6"/>
  <c r="U105" i="6"/>
  <c r="T114" i="6"/>
  <c r="T187" i="6"/>
  <c r="T188" i="6"/>
  <c r="T189" i="6"/>
  <c r="U114" i="6"/>
  <c r="U187" i="6"/>
  <c r="U188" i="6"/>
  <c r="U189" i="6"/>
  <c r="A287" i="4" l="1"/>
  <c r="D287" i="4"/>
  <c r="D288" i="4"/>
  <c r="D289" i="4"/>
  <c r="D290" i="4"/>
  <c r="T442" i="6"/>
  <c r="U442" i="6"/>
  <c r="D286" i="4"/>
  <c r="C421" i="6"/>
  <c r="C422" i="6"/>
  <c r="C423" i="6"/>
  <c r="C424" i="6"/>
  <c r="C425" i="6"/>
  <c r="C426" i="6"/>
  <c r="C427" i="6"/>
  <c r="C428" i="6"/>
  <c r="T421" i="6"/>
  <c r="T422" i="6"/>
  <c r="T423" i="6"/>
  <c r="T424" i="6"/>
  <c r="T425" i="6"/>
  <c r="T426" i="6"/>
  <c r="T427" i="6"/>
  <c r="T428" i="6"/>
  <c r="U421" i="6"/>
  <c r="U422" i="6"/>
  <c r="U423" i="6"/>
  <c r="U424" i="6"/>
  <c r="U425" i="6"/>
  <c r="U426" i="6"/>
  <c r="U427" i="6"/>
  <c r="U428" i="6"/>
  <c r="C429" i="6"/>
  <c r="T429" i="6"/>
  <c r="U429" i="6"/>
  <c r="C430" i="6"/>
  <c r="C431" i="6"/>
  <c r="T430" i="6"/>
  <c r="T431" i="6"/>
  <c r="U430" i="6"/>
  <c r="U431" i="6"/>
  <c r="C432" i="6"/>
  <c r="C433" i="6"/>
  <c r="T432" i="6"/>
  <c r="T433" i="6"/>
  <c r="U432" i="6"/>
  <c r="U433" i="6"/>
  <c r="C434" i="6"/>
  <c r="C435" i="6"/>
  <c r="T434" i="6"/>
  <c r="T435" i="6"/>
  <c r="U434" i="6"/>
  <c r="U435" i="6"/>
  <c r="C436" i="6"/>
  <c r="C437" i="6"/>
  <c r="T436" i="6"/>
  <c r="T437" i="6"/>
  <c r="U436" i="6"/>
  <c r="U437" i="6"/>
  <c r="C438" i="6"/>
  <c r="T438" i="6"/>
  <c r="U438" i="6"/>
  <c r="C439" i="6"/>
  <c r="C440" i="6"/>
  <c r="T439" i="6"/>
  <c r="T440" i="6"/>
  <c r="U439" i="6"/>
  <c r="U440" i="6"/>
  <c r="C441" i="6"/>
  <c r="T441" i="6"/>
  <c r="U441" i="6"/>
  <c r="A281" i="4"/>
  <c r="A282" i="4"/>
  <c r="A283" i="4"/>
  <c r="A284" i="4"/>
  <c r="A285" i="4"/>
  <c r="D281" i="4"/>
  <c r="D282" i="4"/>
  <c r="D283" i="4"/>
  <c r="D284" i="4"/>
  <c r="D285" i="4"/>
  <c r="A260" i="4" l="1"/>
  <c r="A261" i="4"/>
  <c r="A262" i="4"/>
  <c r="A263" i="4"/>
  <c r="A264" i="4"/>
  <c r="A265" i="4"/>
  <c r="A266" i="4"/>
  <c r="A267" i="4"/>
  <c r="A268" i="4"/>
  <c r="A269" i="4"/>
  <c r="A270" i="4"/>
  <c r="A271" i="4"/>
  <c r="A272" i="4"/>
  <c r="A273" i="4"/>
  <c r="A274" i="4"/>
  <c r="A275" i="4"/>
  <c r="A276" i="4"/>
  <c r="A277" i="4"/>
  <c r="A278" i="4"/>
  <c r="A279" i="4"/>
  <c r="A280" i="4"/>
  <c r="D260" i="4"/>
  <c r="D261" i="4"/>
  <c r="D262" i="4"/>
  <c r="D263" i="4"/>
  <c r="D264" i="4"/>
  <c r="D265" i="4"/>
  <c r="D266" i="4"/>
  <c r="D267" i="4"/>
  <c r="D268" i="4"/>
  <c r="D269" i="4"/>
  <c r="D270" i="4"/>
  <c r="D271" i="4"/>
  <c r="D272" i="4"/>
  <c r="D273" i="4"/>
  <c r="D274" i="4"/>
  <c r="D275" i="4"/>
  <c r="D276" i="4"/>
  <c r="D277" i="4"/>
  <c r="D278" i="4"/>
  <c r="D279" i="4"/>
  <c r="D280" i="4"/>
  <c r="C419" i="6"/>
  <c r="T419" i="6"/>
  <c r="U419" i="6"/>
  <c r="C420" i="6"/>
  <c r="T420" i="6"/>
  <c r="U420" i="6"/>
  <c r="D259" i="4"/>
  <c r="D258" i="4"/>
  <c r="T418" i="6"/>
  <c r="U418" i="6"/>
  <c r="D257" i="4"/>
  <c r="C412" i="6" l="1"/>
  <c r="T412" i="6"/>
  <c r="U412" i="6"/>
  <c r="T413" i="6"/>
  <c r="T414" i="6"/>
  <c r="U413" i="6"/>
  <c r="U414" i="6"/>
  <c r="C415" i="6"/>
  <c r="T415" i="6"/>
  <c r="U415" i="6"/>
  <c r="C416" i="6"/>
  <c r="T416" i="6"/>
  <c r="U416" i="6"/>
  <c r="D256" i="4"/>
  <c r="D255" i="4"/>
  <c r="D254" i="4"/>
  <c r="D251" i="4"/>
  <c r="C417" i="6"/>
  <c r="T417" i="6"/>
  <c r="U417" i="6"/>
  <c r="A250" i="4"/>
  <c r="D250" i="4"/>
  <c r="C410" i="6"/>
  <c r="T410" i="6"/>
  <c r="U410" i="6"/>
  <c r="A249" i="4"/>
  <c r="D249" i="4"/>
  <c r="I2" i="6" l="1"/>
  <c r="H2" i="6"/>
  <c r="G2" i="6"/>
  <c r="F2" i="6"/>
  <c r="C409" i="6"/>
  <c r="T409" i="6"/>
  <c r="U409" i="6"/>
  <c r="A248" i="4"/>
  <c r="D248" i="4"/>
  <c r="C411" i="6"/>
  <c r="T411" i="6"/>
  <c r="U411" i="6"/>
  <c r="A245" i="4"/>
  <c r="A246" i="4"/>
  <c r="A247" i="4"/>
  <c r="D245" i="4"/>
  <c r="D246" i="4"/>
  <c r="D247" i="4"/>
  <c r="A244" i="4"/>
  <c r="D244" i="4"/>
  <c r="A243" i="4"/>
  <c r="D243" i="4"/>
  <c r="A241" i="4"/>
  <c r="A242" i="4"/>
  <c r="D241" i="4"/>
  <c r="D242" i="4"/>
  <c r="D240" i="4"/>
  <c r="D239" i="4"/>
  <c r="A238" i="4"/>
  <c r="D238" i="4"/>
  <c r="C400" i="6"/>
  <c r="C401" i="6"/>
  <c r="C402" i="6"/>
  <c r="C403" i="6"/>
  <c r="T400" i="6"/>
  <c r="T401" i="6"/>
  <c r="T402" i="6"/>
  <c r="T403" i="6"/>
  <c r="U400" i="6"/>
  <c r="U401" i="6"/>
  <c r="U402" i="6"/>
  <c r="U403" i="6"/>
  <c r="C404" i="6"/>
  <c r="T404" i="6"/>
  <c r="U404" i="6"/>
  <c r="T405" i="6"/>
  <c r="U405" i="6"/>
  <c r="C406" i="6"/>
  <c r="T406" i="6"/>
  <c r="U406" i="6"/>
  <c r="C407" i="6"/>
  <c r="T407" i="6"/>
  <c r="U407" i="6"/>
  <c r="C408" i="6"/>
  <c r="C541" i="6"/>
  <c r="C597" i="6"/>
  <c r="T408" i="6"/>
  <c r="T541" i="6"/>
  <c r="T597" i="6"/>
  <c r="T700" i="6"/>
  <c r="T701" i="6"/>
  <c r="T702" i="6"/>
  <c r="U408" i="6"/>
  <c r="U541" i="6"/>
  <c r="U597" i="6"/>
  <c r="U700" i="6"/>
  <c r="U701" i="6"/>
  <c r="U702" i="6"/>
  <c r="T2" i="6"/>
  <c r="U2" i="6"/>
  <c r="T5" i="6"/>
  <c r="U5" i="6"/>
  <c r="T6" i="6"/>
  <c r="U6" i="6"/>
  <c r="T7" i="6"/>
  <c r="U7" i="6"/>
  <c r="T8" i="6"/>
  <c r="U8" i="6"/>
  <c r="T9" i="6"/>
  <c r="U9" i="6"/>
  <c r="T10" i="6"/>
  <c r="U10" i="6"/>
  <c r="T11" i="6"/>
  <c r="U11" i="6"/>
  <c r="T12" i="6"/>
  <c r="U12" i="6"/>
  <c r="T13" i="6"/>
  <c r="U13" i="6"/>
  <c r="T14" i="6"/>
  <c r="U14" i="6"/>
  <c r="T16" i="6"/>
  <c r="U16" i="6"/>
  <c r="T17" i="6"/>
  <c r="U17" i="6"/>
  <c r="T19" i="6"/>
  <c r="U19" i="6"/>
  <c r="T21" i="6"/>
  <c r="U21" i="6"/>
  <c r="T22" i="6"/>
  <c r="U22" i="6"/>
  <c r="T23" i="6"/>
  <c r="U23" i="6"/>
  <c r="T25" i="6"/>
  <c r="U25" i="6"/>
  <c r="T26" i="6"/>
  <c r="U26" i="6"/>
  <c r="T27" i="6"/>
  <c r="U27" i="6"/>
  <c r="T29" i="6"/>
  <c r="U29" i="6"/>
  <c r="T32" i="6"/>
  <c r="U32" i="6"/>
  <c r="T33" i="6"/>
  <c r="U33" i="6"/>
  <c r="T38" i="6"/>
  <c r="U38" i="6"/>
  <c r="T43" i="6"/>
  <c r="U43" i="6"/>
  <c r="T45" i="6"/>
  <c r="U45" i="6"/>
  <c r="T46" i="6"/>
  <c r="U46" i="6"/>
  <c r="T48" i="6"/>
  <c r="U48" i="6"/>
  <c r="T49" i="6"/>
  <c r="U49" i="6"/>
  <c r="T52" i="6"/>
  <c r="U52" i="6"/>
  <c r="T55" i="6"/>
  <c r="U55" i="6"/>
  <c r="T57" i="6"/>
  <c r="U57" i="6"/>
  <c r="T58" i="6"/>
  <c r="U58" i="6"/>
  <c r="T59" i="6"/>
  <c r="U59" i="6"/>
  <c r="T61" i="6"/>
  <c r="U61" i="6"/>
  <c r="T62" i="6"/>
  <c r="U62" i="6"/>
  <c r="T63" i="6"/>
  <c r="U63" i="6"/>
  <c r="T65" i="6"/>
  <c r="U65" i="6"/>
  <c r="T66" i="6"/>
  <c r="U66" i="6"/>
  <c r="T67" i="6"/>
  <c r="U67" i="6"/>
  <c r="T70" i="6"/>
  <c r="U70" i="6"/>
  <c r="T99" i="6"/>
  <c r="U99" i="6"/>
  <c r="T107" i="6"/>
  <c r="U107" i="6"/>
  <c r="T108" i="6"/>
  <c r="U108" i="6"/>
  <c r="T110" i="6"/>
  <c r="U110" i="6"/>
  <c r="T111" i="6"/>
  <c r="U111" i="6"/>
  <c r="T113" i="6"/>
  <c r="U113" i="6"/>
  <c r="T117" i="6"/>
  <c r="U117" i="6"/>
  <c r="T119" i="6"/>
  <c r="U119" i="6"/>
  <c r="T120" i="6"/>
  <c r="U120" i="6"/>
  <c r="T129" i="6"/>
  <c r="U129" i="6"/>
  <c r="T150" i="6"/>
  <c r="U150" i="6"/>
  <c r="T152" i="6"/>
  <c r="U152" i="6"/>
  <c r="T154" i="6"/>
  <c r="U154" i="6"/>
  <c r="T155" i="6"/>
  <c r="U155" i="6"/>
  <c r="T156" i="6"/>
  <c r="U156" i="6"/>
  <c r="T157" i="6"/>
  <c r="U157" i="6"/>
  <c r="T158" i="6"/>
  <c r="U158" i="6"/>
  <c r="T159" i="6"/>
  <c r="U159" i="6"/>
  <c r="T177" i="6"/>
  <c r="U177" i="6"/>
  <c r="T192" i="6"/>
  <c r="U192" i="6"/>
  <c r="T195" i="6"/>
  <c r="U195" i="6"/>
  <c r="T196" i="6"/>
  <c r="U196" i="6"/>
  <c r="T198" i="6"/>
  <c r="U198" i="6"/>
  <c r="T199" i="6"/>
  <c r="U199" i="6"/>
  <c r="T201" i="6"/>
  <c r="U201" i="6"/>
  <c r="T202" i="6"/>
  <c r="U202" i="6"/>
  <c r="T203" i="6"/>
  <c r="U203" i="6"/>
  <c r="T204" i="6"/>
  <c r="U204" i="6"/>
  <c r="T205" i="6"/>
  <c r="U205" i="6"/>
  <c r="T206" i="6"/>
  <c r="U206" i="6"/>
  <c r="T207" i="6"/>
  <c r="U207" i="6"/>
  <c r="T208" i="6"/>
  <c r="U208" i="6"/>
  <c r="T209" i="6"/>
  <c r="U209" i="6"/>
  <c r="T210" i="6"/>
  <c r="U210" i="6"/>
  <c r="T211" i="6"/>
  <c r="U211" i="6"/>
  <c r="T212" i="6"/>
  <c r="U212" i="6"/>
  <c r="T213" i="6"/>
  <c r="U213" i="6"/>
  <c r="T214" i="6"/>
  <c r="U214" i="6"/>
  <c r="T215" i="6"/>
  <c r="U215" i="6"/>
  <c r="T216" i="6"/>
  <c r="U216" i="6"/>
  <c r="T217" i="6"/>
  <c r="U217" i="6"/>
  <c r="T218" i="6"/>
  <c r="U218" i="6"/>
  <c r="T219" i="6"/>
  <c r="U219" i="6"/>
  <c r="T220" i="6"/>
  <c r="U220" i="6"/>
  <c r="T221" i="6"/>
  <c r="U221" i="6"/>
  <c r="T222" i="6"/>
  <c r="U222" i="6"/>
  <c r="T224" i="6"/>
  <c r="U224" i="6"/>
  <c r="T225" i="6"/>
  <c r="U225" i="6"/>
  <c r="T226" i="6"/>
  <c r="U226" i="6"/>
  <c r="T227" i="6"/>
  <c r="U227" i="6"/>
  <c r="T228" i="6"/>
  <c r="U228" i="6"/>
  <c r="T229" i="6"/>
  <c r="U229" i="6"/>
  <c r="T232" i="6"/>
  <c r="U232" i="6"/>
  <c r="T233" i="6"/>
  <c r="U233" i="6"/>
  <c r="T234" i="6"/>
  <c r="U234" i="6"/>
  <c r="T235" i="6"/>
  <c r="U235" i="6"/>
  <c r="T236" i="6"/>
  <c r="U236" i="6"/>
  <c r="T237" i="6"/>
  <c r="U237" i="6"/>
  <c r="T238" i="6"/>
  <c r="U238" i="6"/>
  <c r="T239" i="6"/>
  <c r="U239" i="6"/>
  <c r="T240" i="6"/>
  <c r="U240" i="6"/>
  <c r="T241" i="6"/>
  <c r="U241" i="6"/>
  <c r="T242" i="6"/>
  <c r="U242" i="6"/>
  <c r="T243" i="6"/>
  <c r="U243" i="6"/>
  <c r="T244" i="6"/>
  <c r="U244" i="6"/>
  <c r="T245" i="6"/>
  <c r="U245" i="6"/>
  <c r="T246" i="6"/>
  <c r="U246" i="6"/>
  <c r="T247" i="6"/>
  <c r="U247" i="6"/>
  <c r="T248" i="6"/>
  <c r="U248" i="6"/>
  <c r="T249" i="6"/>
  <c r="U249" i="6"/>
  <c r="T250" i="6"/>
  <c r="U250" i="6"/>
  <c r="T251" i="6"/>
  <c r="U251" i="6"/>
  <c r="T252" i="6"/>
  <c r="U252" i="6"/>
  <c r="T253" i="6"/>
  <c r="U253" i="6"/>
  <c r="T254" i="6"/>
  <c r="U254" i="6"/>
  <c r="T255" i="6"/>
  <c r="U255" i="6"/>
  <c r="T256" i="6"/>
  <c r="U256" i="6"/>
  <c r="T257" i="6"/>
  <c r="U257" i="6"/>
  <c r="T258" i="6"/>
  <c r="U258" i="6"/>
  <c r="T259" i="6"/>
  <c r="U259" i="6"/>
  <c r="T260" i="6"/>
  <c r="U260" i="6"/>
  <c r="T261" i="6"/>
  <c r="U261" i="6"/>
  <c r="T262" i="6"/>
  <c r="U262" i="6"/>
  <c r="T263" i="6"/>
  <c r="U263" i="6"/>
  <c r="T264" i="6"/>
  <c r="U264" i="6"/>
  <c r="T265" i="6"/>
  <c r="U265" i="6"/>
  <c r="T266" i="6"/>
  <c r="U266" i="6"/>
  <c r="T267" i="6"/>
  <c r="U267" i="6"/>
  <c r="T268" i="6"/>
  <c r="U268" i="6"/>
  <c r="T269" i="6"/>
  <c r="U269" i="6"/>
  <c r="T270" i="6"/>
  <c r="U270" i="6"/>
  <c r="T271" i="6"/>
  <c r="U271" i="6"/>
  <c r="T272" i="6"/>
  <c r="U272" i="6"/>
  <c r="T273" i="6"/>
  <c r="U273" i="6"/>
  <c r="T274" i="6"/>
  <c r="U274" i="6"/>
  <c r="T275" i="6"/>
  <c r="U275" i="6"/>
  <c r="T276" i="6"/>
  <c r="U276" i="6"/>
  <c r="T277" i="6"/>
  <c r="U277" i="6"/>
  <c r="T278" i="6"/>
  <c r="U278" i="6"/>
  <c r="T279" i="6"/>
  <c r="U279" i="6"/>
  <c r="T280" i="6"/>
  <c r="U280" i="6"/>
  <c r="T281" i="6"/>
  <c r="U281" i="6"/>
  <c r="T282" i="6"/>
  <c r="U282" i="6"/>
  <c r="T283" i="6"/>
  <c r="U283" i="6"/>
  <c r="T284" i="6"/>
  <c r="U284" i="6"/>
  <c r="T285" i="6"/>
  <c r="U285" i="6"/>
  <c r="T286" i="6"/>
  <c r="U286" i="6"/>
  <c r="T287" i="6"/>
  <c r="U287" i="6"/>
  <c r="T288" i="6"/>
  <c r="U288" i="6"/>
  <c r="T289" i="6"/>
  <c r="U289" i="6"/>
  <c r="T290" i="6"/>
  <c r="U290" i="6"/>
  <c r="T291" i="6"/>
  <c r="U291" i="6"/>
  <c r="T292" i="6"/>
  <c r="U292" i="6"/>
  <c r="T293" i="6"/>
  <c r="U293" i="6"/>
  <c r="T294" i="6"/>
  <c r="U294" i="6"/>
  <c r="T295" i="6"/>
  <c r="U295" i="6"/>
  <c r="T296" i="6"/>
  <c r="U296" i="6"/>
  <c r="T297" i="6"/>
  <c r="U297" i="6"/>
  <c r="T298" i="6"/>
  <c r="U298" i="6"/>
  <c r="T299" i="6"/>
  <c r="U299" i="6"/>
  <c r="T300" i="6"/>
  <c r="U300" i="6"/>
  <c r="T301" i="6"/>
  <c r="U301" i="6"/>
  <c r="T302" i="6"/>
  <c r="U302" i="6"/>
  <c r="T303" i="6"/>
  <c r="U303" i="6"/>
  <c r="T304" i="6"/>
  <c r="U304" i="6"/>
  <c r="T305" i="6"/>
  <c r="U305" i="6"/>
  <c r="T306" i="6"/>
  <c r="U306" i="6"/>
  <c r="T307" i="6"/>
  <c r="U307" i="6"/>
  <c r="T308" i="6"/>
  <c r="U308" i="6"/>
  <c r="T309" i="6"/>
  <c r="U309" i="6"/>
  <c r="T310" i="6"/>
  <c r="U310" i="6"/>
  <c r="T311" i="6"/>
  <c r="U311" i="6"/>
  <c r="T312" i="6"/>
  <c r="U312" i="6"/>
  <c r="T313" i="6"/>
  <c r="U313" i="6"/>
  <c r="T314" i="6"/>
  <c r="U314" i="6"/>
  <c r="T315" i="6"/>
  <c r="U315" i="6"/>
  <c r="T316" i="6"/>
  <c r="U316" i="6"/>
  <c r="T317" i="6"/>
  <c r="U317" i="6"/>
  <c r="T318" i="6"/>
  <c r="U318" i="6"/>
  <c r="T319" i="6"/>
  <c r="U319" i="6"/>
  <c r="T320" i="6"/>
  <c r="U320" i="6"/>
  <c r="T321" i="6"/>
  <c r="U321" i="6"/>
  <c r="T322" i="6"/>
  <c r="U322" i="6"/>
  <c r="T324" i="6"/>
  <c r="U324" i="6"/>
  <c r="T325" i="6"/>
  <c r="U325" i="6"/>
  <c r="T326" i="6"/>
  <c r="U326" i="6"/>
  <c r="T327" i="6"/>
  <c r="U327" i="6"/>
  <c r="T328" i="6"/>
  <c r="U328" i="6"/>
  <c r="T329" i="6"/>
  <c r="U329" i="6"/>
  <c r="T330" i="6"/>
  <c r="U330" i="6"/>
  <c r="T331" i="6"/>
  <c r="U331" i="6"/>
  <c r="T332" i="6"/>
  <c r="U332" i="6"/>
  <c r="T333" i="6"/>
  <c r="U333" i="6"/>
  <c r="T334" i="6"/>
  <c r="U334" i="6"/>
  <c r="T335" i="6"/>
  <c r="U335" i="6"/>
  <c r="T336" i="6"/>
  <c r="U336" i="6"/>
  <c r="T337" i="6"/>
  <c r="U337" i="6"/>
  <c r="T338" i="6"/>
  <c r="U338" i="6"/>
  <c r="T339" i="6"/>
  <c r="U339" i="6"/>
  <c r="T340" i="6"/>
  <c r="U340" i="6"/>
  <c r="T341" i="6"/>
  <c r="U341" i="6"/>
  <c r="T342" i="6"/>
  <c r="U342" i="6"/>
  <c r="T343" i="6"/>
  <c r="U343" i="6"/>
  <c r="T344" i="6"/>
  <c r="U344" i="6"/>
  <c r="T345" i="6"/>
  <c r="U345" i="6"/>
  <c r="T346" i="6"/>
  <c r="U346" i="6"/>
  <c r="T347" i="6"/>
  <c r="U347" i="6"/>
  <c r="T348" i="6"/>
  <c r="U348" i="6"/>
  <c r="T349" i="6"/>
  <c r="U349" i="6"/>
  <c r="T350" i="6"/>
  <c r="U350" i="6"/>
  <c r="T351" i="6"/>
  <c r="U351" i="6"/>
  <c r="T352" i="6"/>
  <c r="U352" i="6"/>
  <c r="T353" i="6"/>
  <c r="U353" i="6"/>
  <c r="T354" i="6"/>
  <c r="U354" i="6"/>
  <c r="T355" i="6"/>
  <c r="U355" i="6"/>
  <c r="T356" i="6"/>
  <c r="U356" i="6"/>
  <c r="T357" i="6"/>
  <c r="U357" i="6"/>
  <c r="T358" i="6"/>
  <c r="U358" i="6"/>
  <c r="T359" i="6"/>
  <c r="U359" i="6"/>
  <c r="T360" i="6"/>
  <c r="U360" i="6"/>
  <c r="T361" i="6"/>
  <c r="U361" i="6"/>
  <c r="T362" i="6"/>
  <c r="U362" i="6"/>
  <c r="T363" i="6"/>
  <c r="U363" i="6"/>
  <c r="T364" i="6"/>
  <c r="U364" i="6"/>
  <c r="T368" i="6"/>
  <c r="U368" i="6"/>
  <c r="T376" i="6"/>
  <c r="U376" i="6"/>
  <c r="T377" i="6"/>
  <c r="U377" i="6"/>
  <c r="T378" i="6"/>
  <c r="U378" i="6"/>
  <c r="T379" i="6"/>
  <c r="U379" i="6"/>
  <c r="T380" i="6"/>
  <c r="U380" i="6"/>
  <c r="T382" i="6"/>
  <c r="U382" i="6"/>
  <c r="T383" i="6"/>
  <c r="U383" i="6"/>
  <c r="T384" i="6"/>
  <c r="U384" i="6"/>
  <c r="T385" i="6"/>
  <c r="U385" i="6"/>
  <c r="T386" i="6"/>
  <c r="U386" i="6"/>
  <c r="T388" i="6"/>
  <c r="U388" i="6"/>
  <c r="T393" i="6"/>
  <c r="U393" i="6"/>
  <c r="T394" i="6"/>
  <c r="U394" i="6"/>
  <c r="T395" i="6"/>
  <c r="U395" i="6"/>
  <c r="T396" i="6"/>
  <c r="U396" i="6"/>
  <c r="T397" i="6"/>
  <c r="U397" i="6"/>
  <c r="C2" i="6"/>
  <c r="W2" i="23"/>
  <c r="AH478" i="35"/>
  <c r="AA478" i="35"/>
  <c r="Z478" i="35"/>
  <c r="X478" i="35"/>
  <c r="W478" i="35"/>
  <c r="V478" i="35"/>
  <c r="J478" i="35" a="1"/>
  <c r="J478" i="35" s="1"/>
  <c r="I478" i="35"/>
  <c r="H478" i="35"/>
  <c r="G478" i="35"/>
  <c r="F478" i="35" a="1"/>
  <c r="F478" i="35" s="1"/>
  <c r="E478" i="35"/>
  <c r="AH477" i="35"/>
  <c r="AA477" i="35"/>
  <c r="Z477" i="35"/>
  <c r="X477" i="35"/>
  <c r="W477" i="35"/>
  <c r="V477" i="35"/>
  <c r="J477" i="35" a="1"/>
  <c r="J477" i="35" s="1"/>
  <c r="I477" i="35"/>
  <c r="H477" i="35"/>
  <c r="G477" i="35"/>
  <c r="F477" i="35" a="1"/>
  <c r="F477" i="35" s="1"/>
  <c r="E477" i="35"/>
  <c r="AH476" i="35"/>
  <c r="AA476" i="35"/>
  <c r="Z476" i="35"/>
  <c r="X476" i="35"/>
  <c r="W476" i="35"/>
  <c r="V476" i="35"/>
  <c r="J476" i="35" a="1"/>
  <c r="J476" i="35" s="1"/>
  <c r="I476" i="35"/>
  <c r="H476" i="35"/>
  <c r="G476" i="35"/>
  <c r="F476" i="35" a="1"/>
  <c r="F476" i="35" s="1"/>
  <c r="E476" i="35"/>
  <c r="AH475" i="35"/>
  <c r="AA475" i="35"/>
  <c r="Z475" i="35"/>
  <c r="X475" i="35"/>
  <c r="W475" i="35"/>
  <c r="V475" i="35"/>
  <c r="J475" i="35" a="1"/>
  <c r="J475" i="35" s="1"/>
  <c r="I475" i="35"/>
  <c r="H475" i="35"/>
  <c r="G475" i="35"/>
  <c r="F475" i="35" a="1"/>
  <c r="F475" i="35" s="1"/>
  <c r="E475" i="35"/>
  <c r="AH474" i="35"/>
  <c r="AA474" i="35"/>
  <c r="Z474" i="35"/>
  <c r="X474" i="35"/>
  <c r="W474" i="35"/>
  <c r="V474" i="35"/>
  <c r="J474" i="35" a="1"/>
  <c r="J474" i="35" s="1"/>
  <c r="I474" i="35"/>
  <c r="H474" i="35"/>
  <c r="G474" i="35"/>
  <c r="F474" i="35" a="1"/>
  <c r="F474" i="35" s="1"/>
  <c r="E474" i="35"/>
  <c r="AH473" i="35"/>
  <c r="AA473" i="35"/>
  <c r="Z473" i="35"/>
  <c r="X473" i="35"/>
  <c r="W473" i="35"/>
  <c r="V473" i="35"/>
  <c r="J473" i="35" a="1"/>
  <c r="J473" i="35" s="1"/>
  <c r="I473" i="35"/>
  <c r="H473" i="35"/>
  <c r="G473" i="35"/>
  <c r="F473" i="35" a="1"/>
  <c r="F473" i="35" s="1"/>
  <c r="E473" i="35"/>
  <c r="AH472" i="35"/>
  <c r="AA472" i="35"/>
  <c r="Z472" i="35"/>
  <c r="X472" i="35"/>
  <c r="W472" i="35"/>
  <c r="V472" i="35"/>
  <c r="J472" i="35" a="1"/>
  <c r="J472" i="35" s="1"/>
  <c r="I472" i="35"/>
  <c r="H472" i="35"/>
  <c r="G472" i="35"/>
  <c r="F472" i="35" a="1"/>
  <c r="F472" i="35" s="1"/>
  <c r="E472" i="35"/>
  <c r="C472" i="35"/>
  <c r="AH471" i="35"/>
  <c r="AA471" i="35"/>
  <c r="Z471" i="35"/>
  <c r="X471" i="35"/>
  <c r="W471" i="35"/>
  <c r="V471" i="35"/>
  <c r="J471" i="35" a="1"/>
  <c r="J471" i="35" s="1"/>
  <c r="I471" i="35"/>
  <c r="H471" i="35"/>
  <c r="G471" i="35"/>
  <c r="F471" i="35" a="1"/>
  <c r="F471" i="35" s="1"/>
  <c r="E471" i="35"/>
  <c r="AH470" i="35"/>
  <c r="AA470" i="35"/>
  <c r="Z470" i="35"/>
  <c r="X470" i="35"/>
  <c r="W470" i="35"/>
  <c r="V470" i="35"/>
  <c r="J470" i="35" a="1"/>
  <c r="J470" i="35" s="1"/>
  <c r="I470" i="35"/>
  <c r="H470" i="35"/>
  <c r="G470" i="35"/>
  <c r="F470" i="35" a="1"/>
  <c r="F470" i="35" s="1"/>
  <c r="E470" i="35"/>
  <c r="AH469" i="35"/>
  <c r="AA469" i="35"/>
  <c r="Z469" i="35"/>
  <c r="X469" i="35"/>
  <c r="W469" i="35"/>
  <c r="V469" i="35"/>
  <c r="J469" i="35" a="1"/>
  <c r="J469" i="35" s="1"/>
  <c r="I469" i="35"/>
  <c r="H469" i="35"/>
  <c r="G469" i="35"/>
  <c r="F469" i="35" a="1"/>
  <c r="F469" i="35" s="1"/>
  <c r="E469" i="35"/>
  <c r="AH468" i="35"/>
  <c r="AA468" i="35"/>
  <c r="Z468" i="35"/>
  <c r="X468" i="35"/>
  <c r="W468" i="35"/>
  <c r="V468" i="35"/>
  <c r="J468" i="35" a="1"/>
  <c r="J468" i="35" s="1"/>
  <c r="I468" i="35"/>
  <c r="H468" i="35"/>
  <c r="G468" i="35"/>
  <c r="F468" i="35" a="1"/>
  <c r="F468" i="35" s="1"/>
  <c r="E468" i="35"/>
  <c r="AH467" i="35"/>
  <c r="AA467" i="35"/>
  <c r="Z467" i="35"/>
  <c r="X467" i="35"/>
  <c r="W467" i="35"/>
  <c r="V467" i="35"/>
  <c r="J467" i="35" a="1"/>
  <c r="J467" i="35" s="1"/>
  <c r="I467" i="35"/>
  <c r="H467" i="35"/>
  <c r="G467" i="35"/>
  <c r="F467" i="35" a="1"/>
  <c r="F467" i="35" s="1"/>
  <c r="E467" i="35"/>
  <c r="AH466" i="35"/>
  <c r="AA466" i="35"/>
  <c r="Z466" i="35"/>
  <c r="X466" i="35"/>
  <c r="W466" i="35"/>
  <c r="V466" i="35"/>
  <c r="J466" i="35" a="1"/>
  <c r="J466" i="35" s="1"/>
  <c r="I466" i="35"/>
  <c r="H466" i="35"/>
  <c r="G466" i="35"/>
  <c r="F466" i="35" a="1"/>
  <c r="F466" i="35" s="1"/>
  <c r="E466" i="35"/>
  <c r="AH465" i="35"/>
  <c r="AA465" i="35"/>
  <c r="Z465" i="35"/>
  <c r="X465" i="35"/>
  <c r="W465" i="35"/>
  <c r="V465" i="35"/>
  <c r="J465" i="35" a="1"/>
  <c r="J465" i="35" s="1"/>
  <c r="I465" i="35"/>
  <c r="H465" i="35"/>
  <c r="G465" i="35"/>
  <c r="F465" i="35" a="1"/>
  <c r="F465" i="35" s="1"/>
  <c r="E465" i="35"/>
  <c r="AH464" i="35"/>
  <c r="AA464" i="35"/>
  <c r="Z464" i="35"/>
  <c r="X464" i="35"/>
  <c r="W464" i="35"/>
  <c r="V464" i="35"/>
  <c r="J464" i="35" a="1"/>
  <c r="J464" i="35" s="1"/>
  <c r="I464" i="35"/>
  <c r="H464" i="35"/>
  <c r="G464" i="35"/>
  <c r="F464" i="35" a="1"/>
  <c r="F464" i="35" s="1"/>
  <c r="E464" i="35"/>
  <c r="AH463" i="35"/>
  <c r="AA463" i="35"/>
  <c r="Z463" i="35"/>
  <c r="X463" i="35"/>
  <c r="W463" i="35"/>
  <c r="V463" i="35"/>
  <c r="J463" i="35" a="1"/>
  <c r="J463" i="35" s="1"/>
  <c r="I463" i="35"/>
  <c r="H463" i="35"/>
  <c r="G463" i="35"/>
  <c r="F463" i="35" a="1"/>
  <c r="F463" i="35" s="1"/>
  <c r="E463" i="35"/>
  <c r="AH462" i="35"/>
  <c r="AA462" i="35"/>
  <c r="Z462" i="35"/>
  <c r="X462" i="35"/>
  <c r="W462" i="35"/>
  <c r="V462" i="35"/>
  <c r="J462" i="35" a="1"/>
  <c r="J462" i="35" s="1"/>
  <c r="I462" i="35"/>
  <c r="H462" i="35"/>
  <c r="G462" i="35"/>
  <c r="F462" i="35" a="1"/>
  <c r="F462" i="35" s="1"/>
  <c r="E462" i="35"/>
  <c r="AH461" i="35"/>
  <c r="AA461" i="35"/>
  <c r="Z461" i="35"/>
  <c r="X461" i="35"/>
  <c r="W461" i="35"/>
  <c r="V461" i="35"/>
  <c r="J461" i="35" a="1"/>
  <c r="J461" i="35" s="1"/>
  <c r="I461" i="35"/>
  <c r="H461" i="35"/>
  <c r="G461" i="35"/>
  <c r="F461" i="35" a="1"/>
  <c r="F461" i="35" s="1"/>
  <c r="E461" i="35"/>
  <c r="AH460" i="35"/>
  <c r="AA460" i="35"/>
  <c r="Z460" i="35"/>
  <c r="X460" i="35"/>
  <c r="W460" i="35"/>
  <c r="V460" i="35"/>
  <c r="J460" i="35" a="1"/>
  <c r="J460" i="35" s="1"/>
  <c r="I460" i="35"/>
  <c r="H460" i="35"/>
  <c r="G460" i="35"/>
  <c r="F460" i="35" a="1"/>
  <c r="F460" i="35" s="1"/>
  <c r="E460" i="35"/>
  <c r="AH459" i="35"/>
  <c r="AA459" i="35"/>
  <c r="Z459" i="35"/>
  <c r="X459" i="35"/>
  <c r="W459" i="35"/>
  <c r="V459" i="35"/>
  <c r="J459" i="35" a="1"/>
  <c r="J459" i="35" s="1"/>
  <c r="I459" i="35"/>
  <c r="H459" i="35"/>
  <c r="G459" i="35"/>
  <c r="F459" i="35" a="1"/>
  <c r="F459" i="35" s="1"/>
  <c r="E459" i="35"/>
  <c r="AH458" i="35"/>
  <c r="AA458" i="35"/>
  <c r="Z458" i="35"/>
  <c r="X458" i="35"/>
  <c r="W458" i="35"/>
  <c r="V458" i="35"/>
  <c r="J458" i="35" a="1"/>
  <c r="J458" i="35" s="1"/>
  <c r="I458" i="35"/>
  <c r="H458" i="35"/>
  <c r="G458" i="35"/>
  <c r="F458" i="35" a="1"/>
  <c r="F458" i="35" s="1"/>
  <c r="E458" i="35"/>
  <c r="AH457" i="35"/>
  <c r="AA457" i="35"/>
  <c r="Z457" i="35"/>
  <c r="X457" i="35"/>
  <c r="W457" i="35"/>
  <c r="V457" i="35"/>
  <c r="J457" i="35" a="1"/>
  <c r="J457" i="35" s="1"/>
  <c r="I457" i="35"/>
  <c r="H457" i="35"/>
  <c r="G457" i="35"/>
  <c r="F457" i="35" a="1"/>
  <c r="F457" i="35" s="1"/>
  <c r="E457" i="35"/>
  <c r="AH456" i="35"/>
  <c r="AA456" i="35"/>
  <c r="Z456" i="35"/>
  <c r="X456" i="35"/>
  <c r="W456" i="35"/>
  <c r="V456" i="35"/>
  <c r="J456" i="35" a="1"/>
  <c r="J456" i="35" s="1"/>
  <c r="I456" i="35"/>
  <c r="H456" i="35"/>
  <c r="G456" i="35"/>
  <c r="F456" i="35" a="1"/>
  <c r="F456" i="35" s="1"/>
  <c r="E456" i="35"/>
  <c r="AH455" i="35"/>
  <c r="AA455" i="35"/>
  <c r="Z455" i="35"/>
  <c r="X455" i="35"/>
  <c r="W455" i="35"/>
  <c r="V455" i="35"/>
  <c r="J455" i="35" a="1"/>
  <c r="J455" i="35" s="1"/>
  <c r="I455" i="35"/>
  <c r="H455" i="35"/>
  <c r="G455" i="35"/>
  <c r="F455" i="35" a="1"/>
  <c r="F455" i="35" s="1"/>
  <c r="E455" i="35"/>
  <c r="AH454" i="35"/>
  <c r="AA454" i="35"/>
  <c r="Z454" i="35"/>
  <c r="X454" i="35"/>
  <c r="W454" i="35"/>
  <c r="V454" i="35"/>
  <c r="J454" i="35" a="1"/>
  <c r="J454" i="35" s="1"/>
  <c r="I454" i="35"/>
  <c r="H454" i="35"/>
  <c r="G454" i="35"/>
  <c r="F454" i="35" a="1"/>
  <c r="F454" i="35" s="1"/>
  <c r="E454" i="35"/>
  <c r="AH453" i="35"/>
  <c r="AA453" i="35"/>
  <c r="Z453" i="35"/>
  <c r="X453" i="35"/>
  <c r="W453" i="35"/>
  <c r="V453" i="35"/>
  <c r="J453" i="35" a="1"/>
  <c r="J453" i="35" s="1"/>
  <c r="I453" i="35"/>
  <c r="H453" i="35"/>
  <c r="G453" i="35"/>
  <c r="F453" i="35" a="1"/>
  <c r="F453" i="35" s="1"/>
  <c r="E453" i="35"/>
  <c r="AH452" i="35"/>
  <c r="AA452" i="35"/>
  <c r="Z452" i="35"/>
  <c r="X452" i="35"/>
  <c r="W452" i="35"/>
  <c r="V452" i="35"/>
  <c r="J452" i="35" a="1"/>
  <c r="J452" i="35" s="1"/>
  <c r="I452" i="35"/>
  <c r="H452" i="35"/>
  <c r="G452" i="35"/>
  <c r="F452" i="35" a="1"/>
  <c r="F452" i="35" s="1"/>
  <c r="E452" i="35"/>
  <c r="AH451" i="35"/>
  <c r="AA451" i="35"/>
  <c r="Z451" i="35"/>
  <c r="X451" i="35"/>
  <c r="W451" i="35"/>
  <c r="V451" i="35"/>
  <c r="J451" i="35" a="1"/>
  <c r="J451" i="35" s="1"/>
  <c r="I451" i="35"/>
  <c r="H451" i="35"/>
  <c r="G451" i="35"/>
  <c r="F451" i="35" a="1"/>
  <c r="F451" i="35" s="1"/>
  <c r="E451" i="35"/>
  <c r="AH450" i="35"/>
  <c r="AA450" i="35"/>
  <c r="Z450" i="35"/>
  <c r="X450" i="35"/>
  <c r="W450" i="35"/>
  <c r="V450" i="35"/>
  <c r="J450" i="35" a="1"/>
  <c r="J450" i="35" s="1"/>
  <c r="I450" i="35"/>
  <c r="H450" i="35"/>
  <c r="G450" i="35"/>
  <c r="F450" i="35" a="1"/>
  <c r="F450" i="35" s="1"/>
  <c r="E450" i="35"/>
  <c r="AH449" i="35"/>
  <c r="AA449" i="35"/>
  <c r="Z449" i="35"/>
  <c r="X449" i="35"/>
  <c r="W449" i="35"/>
  <c r="V449" i="35"/>
  <c r="J449" i="35" a="1"/>
  <c r="J449" i="35" s="1"/>
  <c r="I449" i="35"/>
  <c r="H449" i="35"/>
  <c r="G449" i="35"/>
  <c r="F449" i="35" a="1"/>
  <c r="F449" i="35" s="1"/>
  <c r="E449" i="35"/>
  <c r="AH448" i="35"/>
  <c r="AA448" i="35"/>
  <c r="Z448" i="35"/>
  <c r="X448" i="35"/>
  <c r="W448" i="35"/>
  <c r="V448" i="35"/>
  <c r="J448" i="35" a="1"/>
  <c r="J448" i="35" s="1"/>
  <c r="I448" i="35"/>
  <c r="H448" i="35"/>
  <c r="G448" i="35"/>
  <c r="F448" i="35" a="1"/>
  <c r="F448" i="35" s="1"/>
  <c r="E448" i="35"/>
  <c r="AH447" i="35"/>
  <c r="AA447" i="35"/>
  <c r="Z447" i="35"/>
  <c r="X447" i="35"/>
  <c r="W447" i="35"/>
  <c r="V447" i="35"/>
  <c r="J447" i="35" a="1"/>
  <c r="J447" i="35" s="1"/>
  <c r="I447" i="35"/>
  <c r="H447" i="35"/>
  <c r="G447" i="35"/>
  <c r="F447" i="35" a="1"/>
  <c r="F447" i="35" s="1"/>
  <c r="E447" i="35"/>
  <c r="AH446" i="35"/>
  <c r="AA446" i="35"/>
  <c r="Z446" i="35"/>
  <c r="X446" i="35"/>
  <c r="W446" i="35"/>
  <c r="V446" i="35"/>
  <c r="J446" i="35" a="1"/>
  <c r="J446" i="35" s="1"/>
  <c r="I446" i="35"/>
  <c r="H446" i="35"/>
  <c r="G446" i="35"/>
  <c r="F446" i="35" a="1"/>
  <c r="F446" i="35" s="1"/>
  <c r="E446" i="35"/>
  <c r="AH445" i="35"/>
  <c r="AA445" i="35"/>
  <c r="Z445" i="35"/>
  <c r="X445" i="35"/>
  <c r="W445" i="35"/>
  <c r="V445" i="35"/>
  <c r="J445" i="35" a="1"/>
  <c r="J445" i="35" s="1"/>
  <c r="I445" i="35"/>
  <c r="H445" i="35"/>
  <c r="G445" i="35"/>
  <c r="F445" i="35" a="1"/>
  <c r="F445" i="35" s="1"/>
  <c r="E445" i="35"/>
  <c r="AH444" i="35"/>
  <c r="AA444" i="35"/>
  <c r="Z444" i="35"/>
  <c r="X444" i="35"/>
  <c r="W444" i="35"/>
  <c r="V444" i="35"/>
  <c r="J444" i="35" a="1"/>
  <c r="J444" i="35" s="1"/>
  <c r="I444" i="35"/>
  <c r="H444" i="35"/>
  <c r="G444" i="35"/>
  <c r="F444" i="35" a="1"/>
  <c r="F444" i="35" s="1"/>
  <c r="E444" i="35"/>
  <c r="AH443" i="35"/>
  <c r="AA443" i="35"/>
  <c r="Z443" i="35"/>
  <c r="X443" i="35"/>
  <c r="W443" i="35"/>
  <c r="V443" i="35"/>
  <c r="J443" i="35" a="1"/>
  <c r="J443" i="35" s="1"/>
  <c r="I443" i="35"/>
  <c r="H443" i="35"/>
  <c r="G443" i="35"/>
  <c r="F443" i="35" a="1"/>
  <c r="F443" i="35" s="1"/>
  <c r="E443" i="35"/>
  <c r="AH442" i="35"/>
  <c r="AA442" i="35"/>
  <c r="Z442" i="35"/>
  <c r="X442" i="35"/>
  <c r="W442" i="35"/>
  <c r="V442" i="35"/>
  <c r="J442" i="35" a="1"/>
  <c r="J442" i="35" s="1"/>
  <c r="I442" i="35"/>
  <c r="H442" i="35"/>
  <c r="G442" i="35"/>
  <c r="F442" i="35" a="1"/>
  <c r="F442" i="35" s="1"/>
  <c r="E442" i="35"/>
  <c r="AH441" i="35"/>
  <c r="AA441" i="35"/>
  <c r="Z441" i="35"/>
  <c r="X441" i="35"/>
  <c r="W441" i="35"/>
  <c r="V441" i="35"/>
  <c r="J441" i="35" a="1"/>
  <c r="J441" i="35" s="1"/>
  <c r="I441" i="35"/>
  <c r="H441" i="35"/>
  <c r="G441" i="35"/>
  <c r="F441" i="35" a="1"/>
  <c r="F441" i="35" s="1"/>
  <c r="E441" i="35"/>
  <c r="AH440" i="35"/>
  <c r="AA440" i="35"/>
  <c r="Z440" i="35"/>
  <c r="X440" i="35"/>
  <c r="W440" i="35"/>
  <c r="V440" i="35"/>
  <c r="J440" i="35" a="1"/>
  <c r="J440" i="35" s="1"/>
  <c r="I440" i="35"/>
  <c r="H440" i="35"/>
  <c r="G440" i="35"/>
  <c r="F440" i="35" a="1"/>
  <c r="F440" i="35" s="1"/>
  <c r="E440" i="35"/>
  <c r="AH439" i="35"/>
  <c r="AA439" i="35"/>
  <c r="Z439" i="35"/>
  <c r="X439" i="35"/>
  <c r="W439" i="35"/>
  <c r="V439" i="35"/>
  <c r="J439" i="35" a="1"/>
  <c r="J439" i="35" s="1"/>
  <c r="I439" i="35"/>
  <c r="H439" i="35"/>
  <c r="G439" i="35"/>
  <c r="F439" i="35" a="1"/>
  <c r="F439" i="35" s="1"/>
  <c r="E439" i="35"/>
  <c r="AH438" i="35"/>
  <c r="AA438" i="35"/>
  <c r="Z438" i="35"/>
  <c r="X438" i="35"/>
  <c r="W438" i="35"/>
  <c r="V438" i="35"/>
  <c r="J438" i="35" a="1"/>
  <c r="J438" i="35" s="1"/>
  <c r="I438" i="35"/>
  <c r="H438" i="35"/>
  <c r="G438" i="35"/>
  <c r="F438" i="35" a="1"/>
  <c r="F438" i="35" s="1"/>
  <c r="E438" i="35"/>
  <c r="AH437" i="35"/>
  <c r="AA437" i="35"/>
  <c r="Z437" i="35"/>
  <c r="X437" i="35"/>
  <c r="W437" i="35"/>
  <c r="V437" i="35"/>
  <c r="J437" i="35" a="1"/>
  <c r="J437" i="35" s="1"/>
  <c r="I437" i="35"/>
  <c r="H437" i="35"/>
  <c r="G437" i="35"/>
  <c r="F437" i="35" a="1"/>
  <c r="F437" i="35" s="1"/>
  <c r="E437" i="35"/>
  <c r="AH436" i="35"/>
  <c r="AA436" i="35"/>
  <c r="Z436" i="35"/>
  <c r="X436" i="35"/>
  <c r="W436" i="35"/>
  <c r="V436" i="35"/>
  <c r="J436" i="35" a="1"/>
  <c r="J436" i="35" s="1"/>
  <c r="I436" i="35"/>
  <c r="H436" i="35"/>
  <c r="G436" i="35"/>
  <c r="F436" i="35" a="1"/>
  <c r="F436" i="35" s="1"/>
  <c r="E436" i="35"/>
  <c r="AH435" i="35"/>
  <c r="AA435" i="35"/>
  <c r="Z435" i="35"/>
  <c r="X435" i="35"/>
  <c r="W435" i="35"/>
  <c r="V435" i="35"/>
  <c r="J435" i="35" a="1"/>
  <c r="J435" i="35" s="1"/>
  <c r="I435" i="35"/>
  <c r="H435" i="35"/>
  <c r="G435" i="35"/>
  <c r="F435" i="35" a="1"/>
  <c r="F435" i="35" s="1"/>
  <c r="E435" i="35"/>
  <c r="AH434" i="35"/>
  <c r="AA434" i="35"/>
  <c r="Z434" i="35"/>
  <c r="X434" i="35"/>
  <c r="W434" i="35"/>
  <c r="V434" i="35"/>
  <c r="J434" i="35" a="1"/>
  <c r="J434" i="35" s="1"/>
  <c r="I434" i="35"/>
  <c r="H434" i="35"/>
  <c r="G434" i="35"/>
  <c r="F434" i="35" a="1"/>
  <c r="F434" i="35" s="1"/>
  <c r="E434" i="35"/>
  <c r="AH433" i="35"/>
  <c r="AA433" i="35"/>
  <c r="Z433" i="35"/>
  <c r="X433" i="35"/>
  <c r="W433" i="35"/>
  <c r="V433" i="35"/>
  <c r="J433" i="35" a="1"/>
  <c r="J433" i="35" s="1"/>
  <c r="I433" i="35"/>
  <c r="H433" i="35"/>
  <c r="G433" i="35"/>
  <c r="F433" i="35" a="1"/>
  <c r="F433" i="35" s="1"/>
  <c r="E433" i="35"/>
  <c r="AH432" i="35"/>
  <c r="AA432" i="35"/>
  <c r="Z432" i="35"/>
  <c r="X432" i="35"/>
  <c r="W432" i="35"/>
  <c r="V432" i="35"/>
  <c r="J432" i="35" a="1"/>
  <c r="J432" i="35" s="1"/>
  <c r="I432" i="35"/>
  <c r="H432" i="35"/>
  <c r="G432" i="35"/>
  <c r="F432" i="35" a="1"/>
  <c r="F432" i="35" s="1"/>
  <c r="E432" i="35"/>
  <c r="AH431" i="35"/>
  <c r="AA431" i="35"/>
  <c r="Z431" i="35"/>
  <c r="X431" i="35"/>
  <c r="W431" i="35"/>
  <c r="V431" i="35"/>
  <c r="J431" i="35" a="1"/>
  <c r="J431" i="35" s="1"/>
  <c r="I431" i="35"/>
  <c r="H431" i="35"/>
  <c r="G431" i="35"/>
  <c r="F431" i="35" a="1"/>
  <c r="F431" i="35" s="1"/>
  <c r="E431" i="35"/>
  <c r="AH430" i="35"/>
  <c r="AA430" i="35"/>
  <c r="Z430" i="35"/>
  <c r="X430" i="35"/>
  <c r="W430" i="35"/>
  <c r="V430" i="35"/>
  <c r="J430" i="35" a="1"/>
  <c r="J430" i="35" s="1"/>
  <c r="I430" i="35"/>
  <c r="H430" i="35"/>
  <c r="G430" i="35"/>
  <c r="F430" i="35" a="1"/>
  <c r="F430" i="35" s="1"/>
  <c r="E430" i="35"/>
  <c r="AH429" i="35"/>
  <c r="AA429" i="35"/>
  <c r="Z429" i="35"/>
  <c r="X429" i="35"/>
  <c r="W429" i="35"/>
  <c r="V429" i="35"/>
  <c r="J429" i="35" a="1"/>
  <c r="J429" i="35" s="1"/>
  <c r="I429" i="35"/>
  <c r="H429" i="35"/>
  <c r="G429" i="35"/>
  <c r="F429" i="35" a="1"/>
  <c r="F429" i="35" s="1"/>
  <c r="E429" i="35"/>
  <c r="AH428" i="35"/>
  <c r="AA428" i="35"/>
  <c r="Z428" i="35"/>
  <c r="X428" i="35"/>
  <c r="W428" i="35"/>
  <c r="V428" i="35"/>
  <c r="J428" i="35" a="1"/>
  <c r="J428" i="35" s="1"/>
  <c r="I428" i="35"/>
  <c r="H428" i="35"/>
  <c r="G428" i="35"/>
  <c r="F428" i="35" a="1"/>
  <c r="F428" i="35" s="1"/>
  <c r="E428" i="35"/>
  <c r="AH427" i="35"/>
  <c r="AA427" i="35"/>
  <c r="Z427" i="35"/>
  <c r="X427" i="35"/>
  <c r="W427" i="35"/>
  <c r="V427" i="35"/>
  <c r="J427" i="35" a="1"/>
  <c r="J427" i="35" s="1"/>
  <c r="I427" i="35"/>
  <c r="H427" i="35"/>
  <c r="G427" i="35"/>
  <c r="F427" i="35" a="1"/>
  <c r="F427" i="35" s="1"/>
  <c r="E427" i="35"/>
  <c r="AH426" i="35"/>
  <c r="AA426" i="35"/>
  <c r="Z426" i="35"/>
  <c r="X426" i="35"/>
  <c r="W426" i="35"/>
  <c r="V426" i="35"/>
  <c r="J426" i="35" a="1"/>
  <c r="J426" i="35" s="1"/>
  <c r="I426" i="35"/>
  <c r="H426" i="35"/>
  <c r="G426" i="35"/>
  <c r="F426" i="35" a="1"/>
  <c r="F426" i="35" s="1"/>
  <c r="E426" i="35"/>
  <c r="AH425" i="35"/>
  <c r="AA425" i="35"/>
  <c r="Z425" i="35"/>
  <c r="X425" i="35"/>
  <c r="W425" i="35"/>
  <c r="V425" i="35"/>
  <c r="J425" i="35" a="1"/>
  <c r="J425" i="35" s="1"/>
  <c r="I425" i="35"/>
  <c r="H425" i="35"/>
  <c r="G425" i="35"/>
  <c r="F425" i="35" a="1"/>
  <c r="F425" i="35" s="1"/>
  <c r="E425" i="35"/>
  <c r="AH424" i="35"/>
  <c r="AA424" i="35"/>
  <c r="Z424" i="35"/>
  <c r="X424" i="35"/>
  <c r="W424" i="35"/>
  <c r="V424" i="35"/>
  <c r="J424" i="35" a="1"/>
  <c r="J424" i="35" s="1"/>
  <c r="I424" i="35"/>
  <c r="H424" i="35"/>
  <c r="G424" i="35"/>
  <c r="F424" i="35" a="1"/>
  <c r="F424" i="35" s="1"/>
  <c r="E424" i="35"/>
  <c r="AH423" i="35"/>
  <c r="AA423" i="35"/>
  <c r="Z423" i="35"/>
  <c r="X423" i="35"/>
  <c r="W423" i="35"/>
  <c r="V423" i="35"/>
  <c r="J423" i="35" a="1"/>
  <c r="J423" i="35" s="1"/>
  <c r="I423" i="35"/>
  <c r="H423" i="35"/>
  <c r="G423" i="35"/>
  <c r="F423" i="35" a="1"/>
  <c r="F423" i="35" s="1"/>
  <c r="E423" i="35"/>
  <c r="AH422" i="35"/>
  <c r="AA422" i="35"/>
  <c r="Z422" i="35"/>
  <c r="X422" i="35"/>
  <c r="W422" i="35"/>
  <c r="V422" i="35"/>
  <c r="J422" i="35" a="1"/>
  <c r="J422" i="35" s="1"/>
  <c r="I422" i="35"/>
  <c r="H422" i="35"/>
  <c r="G422" i="35"/>
  <c r="F422" i="35" a="1"/>
  <c r="F422" i="35" s="1"/>
  <c r="E422" i="35"/>
  <c r="AH421" i="35"/>
  <c r="AA421" i="35"/>
  <c r="Z421" i="35"/>
  <c r="X421" i="35"/>
  <c r="W421" i="35"/>
  <c r="V421" i="35"/>
  <c r="J421" i="35" a="1"/>
  <c r="J421" i="35" s="1"/>
  <c r="I421" i="35"/>
  <c r="H421" i="35"/>
  <c r="G421" i="35"/>
  <c r="F421" i="35" a="1"/>
  <c r="F421" i="35" s="1"/>
  <c r="E421" i="35"/>
  <c r="AH420" i="35"/>
  <c r="AA420" i="35"/>
  <c r="Z420" i="35"/>
  <c r="X420" i="35"/>
  <c r="W420" i="35"/>
  <c r="V420" i="35"/>
  <c r="J420" i="35" a="1"/>
  <c r="J420" i="35" s="1"/>
  <c r="I420" i="35"/>
  <c r="H420" i="35"/>
  <c r="G420" i="35"/>
  <c r="F420" i="35" a="1"/>
  <c r="F420" i="35" s="1"/>
  <c r="E420" i="35"/>
  <c r="AH419" i="35"/>
  <c r="AA419" i="35"/>
  <c r="Z419" i="35"/>
  <c r="X419" i="35"/>
  <c r="W419" i="35"/>
  <c r="V419" i="35"/>
  <c r="J419" i="35" a="1"/>
  <c r="J419" i="35" s="1"/>
  <c r="I419" i="35"/>
  <c r="H419" i="35"/>
  <c r="G419" i="35"/>
  <c r="F419" i="35" a="1"/>
  <c r="F419" i="35" s="1"/>
  <c r="E419" i="35"/>
  <c r="AH418" i="35"/>
  <c r="AA418" i="35"/>
  <c r="Z418" i="35"/>
  <c r="X418" i="35"/>
  <c r="W418" i="35"/>
  <c r="V418" i="35"/>
  <c r="J418" i="35" a="1"/>
  <c r="J418" i="35" s="1"/>
  <c r="I418" i="35"/>
  <c r="H418" i="35"/>
  <c r="G418" i="35"/>
  <c r="F418" i="35" a="1"/>
  <c r="F418" i="35" s="1"/>
  <c r="E418" i="35"/>
  <c r="AH417" i="35"/>
  <c r="AA417" i="35"/>
  <c r="Z417" i="35"/>
  <c r="X417" i="35"/>
  <c r="W417" i="35"/>
  <c r="V417" i="35"/>
  <c r="J417" i="35" a="1"/>
  <c r="J417" i="35" s="1"/>
  <c r="I417" i="35"/>
  <c r="H417" i="35"/>
  <c r="G417" i="35"/>
  <c r="F417" i="35" a="1"/>
  <c r="F417" i="35" s="1"/>
  <c r="E417" i="35"/>
  <c r="AH416" i="35"/>
  <c r="AA416" i="35"/>
  <c r="Z416" i="35"/>
  <c r="X416" i="35"/>
  <c r="W416" i="35"/>
  <c r="V416" i="35"/>
  <c r="J416" i="35" a="1"/>
  <c r="J416" i="35" s="1"/>
  <c r="I416" i="35"/>
  <c r="H416" i="35"/>
  <c r="G416" i="35"/>
  <c r="F416" i="35" a="1"/>
  <c r="F416" i="35" s="1"/>
  <c r="E416" i="35"/>
  <c r="AH415" i="35"/>
  <c r="AA415" i="35"/>
  <c r="Z415" i="35"/>
  <c r="X415" i="35"/>
  <c r="W415" i="35"/>
  <c r="V415" i="35"/>
  <c r="J415" i="35" a="1"/>
  <c r="J415" i="35" s="1"/>
  <c r="I415" i="35"/>
  <c r="H415" i="35"/>
  <c r="G415" i="35"/>
  <c r="F415" i="35" a="1"/>
  <c r="F415" i="35" s="1"/>
  <c r="E415" i="35"/>
  <c r="AH414" i="35"/>
  <c r="AA414" i="35"/>
  <c r="Z414" i="35"/>
  <c r="X414" i="35"/>
  <c r="W414" i="35"/>
  <c r="V414" i="35"/>
  <c r="J414" i="35" a="1"/>
  <c r="J414" i="35" s="1"/>
  <c r="I414" i="35"/>
  <c r="H414" i="35"/>
  <c r="G414" i="35"/>
  <c r="F414" i="35" a="1"/>
  <c r="F414" i="35" s="1"/>
  <c r="E414" i="35"/>
  <c r="AH413" i="35"/>
  <c r="AA413" i="35"/>
  <c r="Z413" i="35"/>
  <c r="X413" i="35"/>
  <c r="W413" i="35"/>
  <c r="V413" i="35"/>
  <c r="J413" i="35" a="1"/>
  <c r="J413" i="35" s="1"/>
  <c r="I413" i="35"/>
  <c r="H413" i="35"/>
  <c r="G413" i="35"/>
  <c r="F413" i="35" a="1"/>
  <c r="F413" i="35" s="1"/>
  <c r="E413" i="35"/>
  <c r="AH412" i="35"/>
  <c r="AA412" i="35"/>
  <c r="Z412" i="35"/>
  <c r="X412" i="35"/>
  <c r="W412" i="35"/>
  <c r="V412" i="35"/>
  <c r="J412" i="35" a="1"/>
  <c r="J412" i="35" s="1"/>
  <c r="I412" i="35"/>
  <c r="H412" i="35"/>
  <c r="G412" i="35"/>
  <c r="F412" i="35" a="1"/>
  <c r="F412" i="35" s="1"/>
  <c r="E412" i="35"/>
  <c r="AH411" i="35"/>
  <c r="AA411" i="35"/>
  <c r="Z411" i="35"/>
  <c r="X411" i="35"/>
  <c r="W411" i="35"/>
  <c r="V411" i="35"/>
  <c r="J411" i="35" a="1"/>
  <c r="J411" i="35" s="1"/>
  <c r="I411" i="35"/>
  <c r="H411" i="35"/>
  <c r="G411" i="35"/>
  <c r="F411" i="35" a="1"/>
  <c r="F411" i="35" s="1"/>
  <c r="E411" i="35"/>
  <c r="AH410" i="35"/>
  <c r="AA410" i="35"/>
  <c r="Z410" i="35"/>
  <c r="X410" i="35"/>
  <c r="W410" i="35"/>
  <c r="V410" i="35"/>
  <c r="J410" i="35" a="1"/>
  <c r="J410" i="35" s="1"/>
  <c r="I410" i="35"/>
  <c r="H410" i="35"/>
  <c r="G410" i="35"/>
  <c r="F410" i="35" a="1"/>
  <c r="F410" i="35" s="1"/>
  <c r="E410" i="35"/>
  <c r="AH409" i="35"/>
  <c r="AA409" i="35"/>
  <c r="Z409" i="35"/>
  <c r="X409" i="35"/>
  <c r="W409" i="35"/>
  <c r="V409" i="35"/>
  <c r="J409" i="35" a="1"/>
  <c r="J409" i="35" s="1"/>
  <c r="I409" i="35"/>
  <c r="H409" i="35"/>
  <c r="G409" i="35"/>
  <c r="F409" i="35" a="1"/>
  <c r="F409" i="35" s="1"/>
  <c r="E409" i="35"/>
  <c r="AH408" i="35"/>
  <c r="AA408" i="35"/>
  <c r="Z408" i="35"/>
  <c r="X408" i="35"/>
  <c r="W408" i="35"/>
  <c r="V408" i="35"/>
  <c r="J408" i="35" a="1"/>
  <c r="J408" i="35" s="1"/>
  <c r="I408" i="35"/>
  <c r="H408" i="35"/>
  <c r="G408" i="35"/>
  <c r="F408" i="35" a="1"/>
  <c r="F408" i="35" s="1"/>
  <c r="E408" i="35"/>
  <c r="AH407" i="35"/>
  <c r="AA407" i="35"/>
  <c r="Z407" i="35"/>
  <c r="X407" i="35"/>
  <c r="W407" i="35"/>
  <c r="V407" i="35"/>
  <c r="J407" i="35" a="1"/>
  <c r="J407" i="35" s="1"/>
  <c r="I407" i="35"/>
  <c r="H407" i="35"/>
  <c r="G407" i="35"/>
  <c r="F407" i="35" a="1"/>
  <c r="F407" i="35" s="1"/>
  <c r="E407" i="35"/>
  <c r="AH406" i="35"/>
  <c r="AA406" i="35"/>
  <c r="Z406" i="35"/>
  <c r="X406" i="35"/>
  <c r="W406" i="35"/>
  <c r="V406" i="35"/>
  <c r="J406" i="35" a="1"/>
  <c r="J406" i="35" s="1"/>
  <c r="I406" i="35"/>
  <c r="H406" i="35"/>
  <c r="G406" i="35"/>
  <c r="F406" i="35" a="1"/>
  <c r="F406" i="35" s="1"/>
  <c r="E406" i="35"/>
  <c r="AH405" i="35"/>
  <c r="AA405" i="35"/>
  <c r="Z405" i="35"/>
  <c r="X405" i="35"/>
  <c r="W405" i="35"/>
  <c r="V405" i="35"/>
  <c r="J405" i="35" a="1"/>
  <c r="J405" i="35" s="1"/>
  <c r="I405" i="35"/>
  <c r="H405" i="35"/>
  <c r="G405" i="35"/>
  <c r="F405" i="35" a="1"/>
  <c r="F405" i="35" s="1"/>
  <c r="E405" i="35"/>
  <c r="AH404" i="35"/>
  <c r="AA404" i="35"/>
  <c r="Z404" i="35"/>
  <c r="X404" i="35"/>
  <c r="W404" i="35"/>
  <c r="V404" i="35"/>
  <c r="J404" i="35" a="1"/>
  <c r="J404" i="35" s="1"/>
  <c r="I404" i="35"/>
  <c r="H404" i="35"/>
  <c r="G404" i="35"/>
  <c r="F404" i="35" a="1"/>
  <c r="F404" i="35" s="1"/>
  <c r="E404" i="35"/>
  <c r="AH403" i="35"/>
  <c r="AA403" i="35"/>
  <c r="Z403" i="35"/>
  <c r="X403" i="35"/>
  <c r="W403" i="35"/>
  <c r="V403" i="35"/>
  <c r="J403" i="35" a="1"/>
  <c r="J403" i="35" s="1"/>
  <c r="I403" i="35"/>
  <c r="H403" i="35"/>
  <c r="G403" i="35"/>
  <c r="F403" i="35" a="1"/>
  <c r="F403" i="35" s="1"/>
  <c r="E403" i="35"/>
  <c r="AH402" i="35"/>
  <c r="AA402" i="35"/>
  <c r="Z402" i="35"/>
  <c r="X402" i="35"/>
  <c r="W402" i="35"/>
  <c r="V402" i="35"/>
  <c r="J402" i="35" a="1"/>
  <c r="J402" i="35" s="1"/>
  <c r="I402" i="35"/>
  <c r="H402" i="35"/>
  <c r="G402" i="35"/>
  <c r="F402" i="35" a="1"/>
  <c r="F402" i="35" s="1"/>
  <c r="E402" i="35"/>
  <c r="AH401" i="35"/>
  <c r="AA401" i="35"/>
  <c r="Z401" i="35"/>
  <c r="X401" i="35"/>
  <c r="W401" i="35"/>
  <c r="V401" i="35"/>
  <c r="J401" i="35" a="1"/>
  <c r="J401" i="35" s="1"/>
  <c r="I401" i="35"/>
  <c r="H401" i="35"/>
  <c r="G401" i="35"/>
  <c r="F401" i="35" a="1"/>
  <c r="F401" i="35" s="1"/>
  <c r="E401" i="35"/>
  <c r="AH400" i="35"/>
  <c r="AA400" i="35"/>
  <c r="Z400" i="35"/>
  <c r="X400" i="35"/>
  <c r="W400" i="35"/>
  <c r="V400" i="35"/>
  <c r="J400" i="35" a="1"/>
  <c r="J400" i="35" s="1"/>
  <c r="I400" i="35"/>
  <c r="H400" i="35"/>
  <c r="G400" i="35"/>
  <c r="F400" i="35" a="1"/>
  <c r="F400" i="35" s="1"/>
  <c r="E400" i="35"/>
  <c r="AH399" i="35"/>
  <c r="AA399" i="35"/>
  <c r="Z399" i="35"/>
  <c r="X399" i="35"/>
  <c r="W399" i="35"/>
  <c r="V399" i="35"/>
  <c r="J399" i="35" a="1"/>
  <c r="J399" i="35" s="1"/>
  <c r="I399" i="35"/>
  <c r="H399" i="35"/>
  <c r="G399" i="35"/>
  <c r="F399" i="35" a="1"/>
  <c r="F399" i="35" s="1"/>
  <c r="E399" i="35"/>
  <c r="AH398" i="35"/>
  <c r="AA398" i="35"/>
  <c r="Z398" i="35"/>
  <c r="X398" i="35"/>
  <c r="W398" i="35"/>
  <c r="V398" i="35"/>
  <c r="J398" i="35" a="1"/>
  <c r="J398" i="35" s="1"/>
  <c r="I398" i="35"/>
  <c r="H398" i="35"/>
  <c r="G398" i="35"/>
  <c r="F398" i="35" a="1"/>
  <c r="F398" i="35" s="1"/>
  <c r="E398" i="35"/>
  <c r="AH397" i="35"/>
  <c r="AA397" i="35"/>
  <c r="Z397" i="35"/>
  <c r="X397" i="35"/>
  <c r="W397" i="35"/>
  <c r="V397" i="35"/>
  <c r="J397" i="35" a="1"/>
  <c r="J397" i="35" s="1"/>
  <c r="I397" i="35"/>
  <c r="H397" i="35"/>
  <c r="G397" i="35"/>
  <c r="F397" i="35" a="1"/>
  <c r="F397" i="35" s="1"/>
  <c r="E397" i="35"/>
  <c r="AH396" i="35"/>
  <c r="AA396" i="35"/>
  <c r="Z396" i="35"/>
  <c r="X396" i="35"/>
  <c r="W396" i="35"/>
  <c r="V396" i="35"/>
  <c r="J396" i="35" a="1"/>
  <c r="J396" i="35" s="1"/>
  <c r="I396" i="35"/>
  <c r="H396" i="35"/>
  <c r="G396" i="35"/>
  <c r="F396" i="35" a="1"/>
  <c r="F396" i="35" s="1"/>
  <c r="E396" i="35"/>
  <c r="AH395" i="35"/>
  <c r="AA395" i="35"/>
  <c r="Z395" i="35"/>
  <c r="X395" i="35"/>
  <c r="W395" i="35"/>
  <c r="V395" i="35"/>
  <c r="J395" i="35" a="1"/>
  <c r="J395" i="35" s="1"/>
  <c r="I395" i="35"/>
  <c r="H395" i="35"/>
  <c r="G395" i="35"/>
  <c r="F395" i="35" a="1"/>
  <c r="F395" i="35" s="1"/>
  <c r="E395" i="35"/>
  <c r="AH394" i="35"/>
  <c r="AA394" i="35"/>
  <c r="Z394" i="35"/>
  <c r="X394" i="35"/>
  <c r="W394" i="35"/>
  <c r="V394" i="35"/>
  <c r="J394" i="35" a="1"/>
  <c r="J394" i="35" s="1"/>
  <c r="I394" i="35"/>
  <c r="H394" i="35"/>
  <c r="G394" i="35"/>
  <c r="F394" i="35" a="1"/>
  <c r="F394" i="35" s="1"/>
  <c r="E394" i="35"/>
  <c r="C394" i="35"/>
  <c r="AH393" i="35"/>
  <c r="AA393" i="35"/>
  <c r="Z393" i="35"/>
  <c r="X393" i="35"/>
  <c r="W393" i="35"/>
  <c r="V393" i="35"/>
  <c r="J393" i="35" a="1"/>
  <c r="J393" i="35" s="1"/>
  <c r="I393" i="35"/>
  <c r="H393" i="35"/>
  <c r="G393" i="35"/>
  <c r="F393" i="35" a="1"/>
  <c r="F393" i="35" s="1"/>
  <c r="E393" i="35"/>
  <c r="AH392" i="35"/>
  <c r="AA392" i="35"/>
  <c r="Z392" i="35"/>
  <c r="X392" i="35"/>
  <c r="W392" i="35"/>
  <c r="V392" i="35"/>
  <c r="J392" i="35" a="1"/>
  <c r="J392" i="35" s="1"/>
  <c r="I392" i="35"/>
  <c r="H392" i="35"/>
  <c r="G392" i="35"/>
  <c r="F392" i="35" a="1"/>
  <c r="F392" i="35" s="1"/>
  <c r="E392" i="35"/>
  <c r="C392" i="35"/>
  <c r="AH391" i="35"/>
  <c r="AA391" i="35"/>
  <c r="Z391" i="35"/>
  <c r="X391" i="35"/>
  <c r="W391" i="35"/>
  <c r="V391" i="35"/>
  <c r="J391" i="35" a="1"/>
  <c r="J391" i="35" s="1"/>
  <c r="I391" i="35"/>
  <c r="H391" i="35"/>
  <c r="G391" i="35"/>
  <c r="F391" i="35" a="1"/>
  <c r="F391" i="35" s="1"/>
  <c r="E391" i="35"/>
  <c r="C391" i="35"/>
  <c r="AH390" i="35"/>
  <c r="AA390" i="35"/>
  <c r="Z390" i="35"/>
  <c r="X390" i="35"/>
  <c r="W390" i="35"/>
  <c r="V390" i="35"/>
  <c r="J390" i="35" a="1"/>
  <c r="J390" i="35" s="1"/>
  <c r="I390" i="35"/>
  <c r="H390" i="35"/>
  <c r="G390" i="35"/>
  <c r="F390" i="35" a="1"/>
  <c r="F390" i="35" s="1"/>
  <c r="E390" i="35"/>
  <c r="C390" i="35"/>
  <c r="AH389" i="35"/>
  <c r="AA389" i="35"/>
  <c r="Z389" i="35"/>
  <c r="X389" i="35"/>
  <c r="W389" i="35"/>
  <c r="V389" i="35"/>
  <c r="F389" i="35" a="1"/>
  <c r="F389" i="35" s="1"/>
  <c r="E389" i="35"/>
  <c r="AH388" i="35"/>
  <c r="AA388" i="35"/>
  <c r="Z388" i="35"/>
  <c r="X388" i="35"/>
  <c r="W388" i="35"/>
  <c r="V388" i="35"/>
  <c r="J388" i="35" a="1"/>
  <c r="J388" i="35" s="1"/>
  <c r="I388" i="35"/>
  <c r="H388" i="35"/>
  <c r="G388" i="35"/>
  <c r="F388" i="35" a="1"/>
  <c r="F388" i="35" s="1"/>
  <c r="E388" i="35"/>
  <c r="AH387" i="35"/>
  <c r="AA387" i="35"/>
  <c r="Z387" i="35"/>
  <c r="X387" i="35"/>
  <c r="W387" i="35"/>
  <c r="V387" i="35"/>
  <c r="J387" i="35" a="1"/>
  <c r="J387" i="35" s="1"/>
  <c r="I387" i="35"/>
  <c r="H387" i="35"/>
  <c r="G387" i="35"/>
  <c r="F387" i="35" a="1"/>
  <c r="F387" i="35" s="1"/>
  <c r="E387" i="35"/>
  <c r="C387" i="35"/>
  <c r="AH386" i="35"/>
  <c r="AA386" i="35"/>
  <c r="Z386" i="35"/>
  <c r="X386" i="35"/>
  <c r="W386" i="35"/>
  <c r="V386" i="35"/>
  <c r="J386" i="35" a="1"/>
  <c r="J386" i="35" s="1"/>
  <c r="I386" i="35"/>
  <c r="H386" i="35"/>
  <c r="G386" i="35"/>
  <c r="F386" i="35" a="1"/>
  <c r="F386" i="35" s="1"/>
  <c r="E386" i="35"/>
  <c r="C386" i="35"/>
  <c r="AH385" i="35"/>
  <c r="AA385" i="35"/>
  <c r="Z385" i="35"/>
  <c r="X385" i="35"/>
  <c r="W385" i="35"/>
  <c r="V385" i="35"/>
  <c r="J385" i="35" a="1"/>
  <c r="J385" i="35" s="1"/>
  <c r="I385" i="35"/>
  <c r="H385" i="35"/>
  <c r="G385" i="35"/>
  <c r="F385" i="35" a="1"/>
  <c r="F385" i="35" s="1"/>
  <c r="E385" i="35"/>
  <c r="C385" i="35"/>
  <c r="AH384" i="35"/>
  <c r="AA384" i="35"/>
  <c r="Z384" i="35"/>
  <c r="X384" i="35"/>
  <c r="W384" i="35"/>
  <c r="V384" i="35"/>
  <c r="J384" i="35" a="1"/>
  <c r="J384" i="35" s="1"/>
  <c r="I384" i="35"/>
  <c r="H384" i="35"/>
  <c r="G384" i="35"/>
  <c r="F384" i="35" a="1"/>
  <c r="F384" i="35" s="1"/>
  <c r="E384" i="35"/>
  <c r="C384" i="35"/>
  <c r="AH383" i="35"/>
  <c r="AA383" i="35"/>
  <c r="Z383" i="35"/>
  <c r="X383" i="35"/>
  <c r="W383" i="35"/>
  <c r="V383" i="35"/>
  <c r="J383" i="35" a="1"/>
  <c r="J383" i="35" s="1"/>
  <c r="I383" i="35"/>
  <c r="H383" i="35"/>
  <c r="G383" i="35"/>
  <c r="F383" i="35" a="1"/>
  <c r="F383" i="35" s="1"/>
  <c r="E383" i="35"/>
  <c r="AH382" i="35"/>
  <c r="AA382" i="35"/>
  <c r="Z382" i="35"/>
  <c r="X382" i="35"/>
  <c r="W382" i="35"/>
  <c r="V382" i="35"/>
  <c r="J382" i="35" a="1"/>
  <c r="J382" i="35" s="1"/>
  <c r="I382" i="35"/>
  <c r="H382" i="35"/>
  <c r="G382" i="35"/>
  <c r="F382" i="35" a="1"/>
  <c r="F382" i="35" s="1"/>
  <c r="E382" i="35"/>
  <c r="AH381" i="35"/>
  <c r="AA381" i="35"/>
  <c r="Z381" i="35"/>
  <c r="X381" i="35"/>
  <c r="W381" i="35"/>
  <c r="V381" i="35"/>
  <c r="J381" i="35" a="1"/>
  <c r="J381" i="35" s="1"/>
  <c r="I381" i="35"/>
  <c r="H381" i="35"/>
  <c r="G381" i="35"/>
  <c r="F381" i="35" a="1"/>
  <c r="F381" i="35" s="1"/>
  <c r="E381" i="35"/>
  <c r="AH380" i="35"/>
  <c r="AA380" i="35"/>
  <c r="Z380" i="35"/>
  <c r="X380" i="35"/>
  <c r="W380" i="35"/>
  <c r="V380" i="35"/>
  <c r="J380" i="35" a="1"/>
  <c r="J380" i="35" s="1"/>
  <c r="I380" i="35"/>
  <c r="H380" i="35"/>
  <c r="G380" i="35"/>
  <c r="F380" i="35" a="1"/>
  <c r="F380" i="35" s="1"/>
  <c r="E380" i="35"/>
  <c r="AH379" i="35"/>
  <c r="AA379" i="35"/>
  <c r="Z379" i="35"/>
  <c r="X379" i="35"/>
  <c r="W379" i="35"/>
  <c r="V379" i="35"/>
  <c r="J379" i="35" a="1"/>
  <c r="J379" i="35" s="1"/>
  <c r="I379" i="35"/>
  <c r="H379" i="35"/>
  <c r="G379" i="35"/>
  <c r="F379" i="35" a="1"/>
  <c r="F379" i="35" s="1"/>
  <c r="E379" i="35"/>
  <c r="AH378" i="35"/>
  <c r="AA378" i="35"/>
  <c r="Z378" i="35"/>
  <c r="X378" i="35"/>
  <c r="W378" i="35"/>
  <c r="V378" i="35"/>
  <c r="I378" i="35"/>
  <c r="H378" i="35"/>
  <c r="G378" i="35"/>
  <c r="F378" i="35" a="1"/>
  <c r="F378" i="35" s="1"/>
  <c r="E378" i="35"/>
  <c r="AH377" i="35"/>
  <c r="AA377" i="35"/>
  <c r="Z377" i="35"/>
  <c r="X377" i="35"/>
  <c r="W377" i="35"/>
  <c r="V377" i="35"/>
  <c r="J377" i="35" a="1"/>
  <c r="J377" i="35" s="1"/>
  <c r="I377" i="35"/>
  <c r="H377" i="35"/>
  <c r="G377" i="35"/>
  <c r="F377" i="35" a="1"/>
  <c r="F377" i="35" s="1"/>
  <c r="E377" i="35"/>
  <c r="C377" i="35"/>
  <c r="AH376" i="35"/>
  <c r="AA376" i="35"/>
  <c r="Z376" i="35"/>
  <c r="X376" i="35"/>
  <c r="W376" i="35"/>
  <c r="V376" i="35"/>
  <c r="J376" i="35" a="1"/>
  <c r="J376" i="35" s="1"/>
  <c r="I376" i="35"/>
  <c r="H376" i="35"/>
  <c r="G376" i="35"/>
  <c r="F376" i="35" a="1"/>
  <c r="F376" i="35" s="1"/>
  <c r="E376" i="35"/>
  <c r="C376" i="35"/>
  <c r="AH375" i="35"/>
  <c r="AA375" i="35"/>
  <c r="Z375" i="35"/>
  <c r="X375" i="35"/>
  <c r="W375" i="35"/>
  <c r="V375" i="35"/>
  <c r="J375" i="35" a="1"/>
  <c r="J375" i="35" s="1"/>
  <c r="I375" i="35"/>
  <c r="H375" i="35"/>
  <c r="G375" i="35"/>
  <c r="F375" i="35" a="1"/>
  <c r="F375" i="35" s="1"/>
  <c r="E375" i="35"/>
  <c r="C375" i="35"/>
  <c r="AH374" i="35"/>
  <c r="AA374" i="35"/>
  <c r="Z374" i="35"/>
  <c r="X374" i="35"/>
  <c r="W374" i="35"/>
  <c r="V374" i="35"/>
  <c r="J374" i="35" a="1"/>
  <c r="J374" i="35" s="1"/>
  <c r="I374" i="35"/>
  <c r="H374" i="35"/>
  <c r="G374" i="35"/>
  <c r="F374" i="35" a="1"/>
  <c r="F374" i="35" s="1"/>
  <c r="E374" i="35"/>
  <c r="C374" i="35"/>
  <c r="AH373" i="35"/>
  <c r="AA373" i="35"/>
  <c r="Z373" i="35"/>
  <c r="X373" i="35"/>
  <c r="W373" i="35"/>
  <c r="V373" i="35"/>
  <c r="J373" i="35" a="1"/>
  <c r="J373" i="35" s="1"/>
  <c r="I373" i="35"/>
  <c r="H373" i="35"/>
  <c r="G373" i="35"/>
  <c r="F373" i="35" a="1"/>
  <c r="F373" i="35" s="1"/>
  <c r="E373" i="35"/>
  <c r="AH372" i="35"/>
  <c r="AA372" i="35"/>
  <c r="Z372" i="35"/>
  <c r="X372" i="35"/>
  <c r="W372" i="35"/>
  <c r="V372" i="35"/>
  <c r="J372" i="35" a="1"/>
  <c r="J372" i="35" s="1"/>
  <c r="I372" i="35"/>
  <c r="H372" i="35"/>
  <c r="G372" i="35"/>
  <c r="F372" i="35" a="1"/>
  <c r="F372" i="35" s="1"/>
  <c r="E372" i="35"/>
  <c r="AH371" i="35"/>
  <c r="AA371" i="35"/>
  <c r="Z371" i="35"/>
  <c r="X371" i="35"/>
  <c r="W371" i="35"/>
  <c r="V371" i="35"/>
  <c r="J371" i="35" a="1"/>
  <c r="J371" i="35" s="1"/>
  <c r="I371" i="35"/>
  <c r="H371" i="35"/>
  <c r="G371" i="35"/>
  <c r="F371" i="35" a="1"/>
  <c r="F371" i="35" s="1"/>
  <c r="E371" i="35"/>
  <c r="AH370" i="35"/>
  <c r="AA370" i="35"/>
  <c r="Z370" i="35"/>
  <c r="X370" i="35"/>
  <c r="W370" i="35"/>
  <c r="V370" i="35"/>
  <c r="J370" i="35" a="1"/>
  <c r="J370" i="35" s="1"/>
  <c r="I370" i="35"/>
  <c r="H370" i="35"/>
  <c r="G370" i="35"/>
  <c r="F370" i="35" a="1"/>
  <c r="F370" i="35" s="1"/>
  <c r="E370" i="35"/>
  <c r="AH369" i="35"/>
  <c r="AA369" i="35"/>
  <c r="Z369" i="35"/>
  <c r="X369" i="35"/>
  <c r="W369" i="35"/>
  <c r="V369" i="35"/>
  <c r="J369" i="35" a="1"/>
  <c r="J369" i="35" s="1"/>
  <c r="I369" i="35"/>
  <c r="H369" i="35"/>
  <c r="G369" i="35"/>
  <c r="F369" i="35" a="1"/>
  <c r="F369" i="35" s="1"/>
  <c r="E369" i="35"/>
  <c r="AH368" i="35"/>
  <c r="AA368" i="35"/>
  <c r="Z368" i="35"/>
  <c r="X368" i="35"/>
  <c r="W368" i="35"/>
  <c r="V368" i="35"/>
  <c r="J368" i="35" a="1"/>
  <c r="J368" i="35" s="1"/>
  <c r="I368" i="35"/>
  <c r="H368" i="35"/>
  <c r="G368" i="35"/>
  <c r="F368" i="35" a="1"/>
  <c r="F368" i="35" s="1"/>
  <c r="E368" i="35"/>
  <c r="AH367" i="35"/>
  <c r="AA367" i="35"/>
  <c r="Z367" i="35"/>
  <c r="X367" i="35"/>
  <c r="W367" i="35"/>
  <c r="V367" i="35"/>
  <c r="J367" i="35" a="1"/>
  <c r="J367" i="35" s="1"/>
  <c r="I367" i="35"/>
  <c r="H367" i="35"/>
  <c r="G367" i="35"/>
  <c r="F367" i="35" a="1"/>
  <c r="F367" i="35" s="1"/>
  <c r="E367" i="35"/>
  <c r="AH366" i="35"/>
  <c r="AA366" i="35"/>
  <c r="Z366" i="35"/>
  <c r="X366" i="35"/>
  <c r="W366" i="35"/>
  <c r="V366" i="35"/>
  <c r="J366" i="35" a="1"/>
  <c r="J366" i="35" s="1"/>
  <c r="I366" i="35"/>
  <c r="H366" i="35"/>
  <c r="G366" i="35"/>
  <c r="F366" i="35" a="1"/>
  <c r="F366" i="35" s="1"/>
  <c r="E366" i="35"/>
  <c r="AH365" i="35"/>
  <c r="AA365" i="35"/>
  <c r="Z365" i="35"/>
  <c r="X365" i="35"/>
  <c r="W365" i="35"/>
  <c r="V365" i="35"/>
  <c r="J365" i="35" a="1"/>
  <c r="J365" i="35" s="1"/>
  <c r="I365" i="35"/>
  <c r="H365" i="35"/>
  <c r="G365" i="35"/>
  <c r="F365" i="35" a="1"/>
  <c r="F365" i="35" s="1"/>
  <c r="E365" i="35"/>
  <c r="C365" i="35"/>
  <c r="AH364" i="35"/>
  <c r="AA364" i="35"/>
  <c r="Z364" i="35"/>
  <c r="X364" i="35"/>
  <c r="W364" i="35"/>
  <c r="V364" i="35"/>
  <c r="J364" i="35" a="1"/>
  <c r="J364" i="35" s="1"/>
  <c r="I364" i="35"/>
  <c r="H364" i="35"/>
  <c r="G364" i="35"/>
  <c r="F364" i="35" a="1"/>
  <c r="F364" i="35" s="1"/>
  <c r="E364" i="35"/>
  <c r="C364" i="35"/>
  <c r="AH363" i="35"/>
  <c r="AA363" i="35"/>
  <c r="Z363" i="35"/>
  <c r="X363" i="35"/>
  <c r="W363" i="35"/>
  <c r="V363" i="35"/>
  <c r="J363" i="35" a="1"/>
  <c r="J363" i="35" s="1"/>
  <c r="I363" i="35"/>
  <c r="H363" i="35"/>
  <c r="G363" i="35"/>
  <c r="F363" i="35" a="1"/>
  <c r="F363" i="35" s="1"/>
  <c r="E363" i="35"/>
  <c r="C363" i="35"/>
  <c r="AH362" i="35"/>
  <c r="AA362" i="35"/>
  <c r="Z362" i="35"/>
  <c r="X362" i="35"/>
  <c r="W362" i="35"/>
  <c r="V362" i="35"/>
  <c r="J362" i="35" a="1"/>
  <c r="J362" i="35" s="1"/>
  <c r="I362" i="35"/>
  <c r="H362" i="35"/>
  <c r="G362" i="35"/>
  <c r="F362" i="35" a="1"/>
  <c r="F362" i="35" s="1"/>
  <c r="E362" i="35"/>
  <c r="C362" i="35"/>
  <c r="AH361" i="35"/>
  <c r="AA361" i="35"/>
  <c r="Z361" i="35"/>
  <c r="X361" i="35"/>
  <c r="W361" i="35"/>
  <c r="V361" i="35"/>
  <c r="J361" i="35" a="1"/>
  <c r="J361" i="35" s="1"/>
  <c r="I361" i="35"/>
  <c r="H361" i="35"/>
  <c r="G361" i="35"/>
  <c r="F361" i="35" a="1"/>
  <c r="F361" i="35" s="1"/>
  <c r="E361" i="35"/>
  <c r="C361" i="35"/>
  <c r="AH360" i="35"/>
  <c r="AA360" i="35"/>
  <c r="Z360" i="35"/>
  <c r="X360" i="35"/>
  <c r="W360" i="35"/>
  <c r="V360" i="35"/>
  <c r="J360" i="35" a="1"/>
  <c r="J360" i="35" s="1"/>
  <c r="I360" i="35"/>
  <c r="H360" i="35"/>
  <c r="G360" i="35"/>
  <c r="F360" i="35" a="1"/>
  <c r="F360" i="35" s="1"/>
  <c r="E360" i="35"/>
  <c r="C360" i="35"/>
  <c r="AH359" i="35"/>
  <c r="AA359" i="35"/>
  <c r="Z359" i="35"/>
  <c r="X359" i="35"/>
  <c r="W359" i="35"/>
  <c r="V359" i="35"/>
  <c r="J359" i="35" a="1"/>
  <c r="J359" i="35" s="1"/>
  <c r="I359" i="35"/>
  <c r="H359" i="35"/>
  <c r="G359" i="35"/>
  <c r="F359" i="35" a="1"/>
  <c r="F359" i="35" s="1"/>
  <c r="E359" i="35"/>
  <c r="AH358" i="35"/>
  <c r="AA358" i="35"/>
  <c r="Z358" i="35"/>
  <c r="X358" i="35"/>
  <c r="W358" i="35"/>
  <c r="V358" i="35"/>
  <c r="J358" i="35" a="1"/>
  <c r="J358" i="35" s="1"/>
  <c r="I358" i="35"/>
  <c r="H358" i="35"/>
  <c r="G358" i="35"/>
  <c r="F358" i="35" a="1"/>
  <c r="F358" i="35" s="1"/>
  <c r="E358" i="35"/>
  <c r="AH357" i="35"/>
  <c r="AA357" i="35"/>
  <c r="Z357" i="35"/>
  <c r="X357" i="35"/>
  <c r="W357" i="35"/>
  <c r="V357" i="35"/>
  <c r="J357" i="35" a="1"/>
  <c r="J357" i="35" s="1"/>
  <c r="I357" i="35"/>
  <c r="H357" i="35"/>
  <c r="G357" i="35"/>
  <c r="F357" i="35" a="1"/>
  <c r="F357" i="35" s="1"/>
  <c r="E357" i="35"/>
  <c r="AH356" i="35"/>
  <c r="AA356" i="35"/>
  <c r="Z356" i="35"/>
  <c r="X356" i="35"/>
  <c r="W356" i="35"/>
  <c r="V356" i="35"/>
  <c r="J356" i="35" a="1"/>
  <c r="J356" i="35" s="1"/>
  <c r="I356" i="35"/>
  <c r="H356" i="35"/>
  <c r="G356" i="35"/>
  <c r="F356" i="35" a="1"/>
  <c r="F356" i="35" s="1"/>
  <c r="E356" i="35"/>
  <c r="AH355" i="35"/>
  <c r="AA355" i="35"/>
  <c r="Z355" i="35"/>
  <c r="X355" i="35"/>
  <c r="W355" i="35"/>
  <c r="V355" i="35"/>
  <c r="J355" i="35" a="1"/>
  <c r="J355" i="35" s="1"/>
  <c r="I355" i="35"/>
  <c r="H355" i="35"/>
  <c r="G355" i="35"/>
  <c r="F355" i="35" a="1"/>
  <c r="F355" i="35" s="1"/>
  <c r="E355" i="35"/>
  <c r="AH354" i="35"/>
  <c r="AA354" i="35"/>
  <c r="Z354" i="35"/>
  <c r="X354" i="35"/>
  <c r="W354" i="35"/>
  <c r="V354" i="35"/>
  <c r="J354" i="35" a="1"/>
  <c r="J354" i="35" s="1"/>
  <c r="I354" i="35"/>
  <c r="H354" i="35"/>
  <c r="G354" i="35"/>
  <c r="F354" i="35" a="1"/>
  <c r="F354" i="35" s="1"/>
  <c r="E354" i="35"/>
  <c r="AH353" i="35"/>
  <c r="AA353" i="35"/>
  <c r="Z353" i="35"/>
  <c r="X353" i="35"/>
  <c r="W353" i="35"/>
  <c r="V353" i="35"/>
  <c r="J353" i="35" a="1"/>
  <c r="J353" i="35" s="1"/>
  <c r="I353" i="35"/>
  <c r="H353" i="35"/>
  <c r="G353" i="35"/>
  <c r="F353" i="35" a="1"/>
  <c r="F353" i="35" s="1"/>
  <c r="E353" i="35"/>
  <c r="AH352" i="35"/>
  <c r="AA352" i="35"/>
  <c r="Z352" i="35"/>
  <c r="X352" i="35"/>
  <c r="W352" i="35"/>
  <c r="V352" i="35"/>
  <c r="J352" i="35" a="1"/>
  <c r="J352" i="35" s="1"/>
  <c r="I352" i="35"/>
  <c r="H352" i="35"/>
  <c r="G352" i="35"/>
  <c r="F352" i="35" a="1"/>
  <c r="F352" i="35" s="1"/>
  <c r="E352" i="35"/>
  <c r="AH351" i="35"/>
  <c r="AA351" i="35"/>
  <c r="Z351" i="35"/>
  <c r="X351" i="35"/>
  <c r="W351" i="35"/>
  <c r="V351" i="35"/>
  <c r="J351" i="35" a="1"/>
  <c r="J351" i="35" s="1"/>
  <c r="I351" i="35"/>
  <c r="H351" i="35"/>
  <c r="G351" i="35"/>
  <c r="F351" i="35" a="1"/>
  <c r="F351" i="35" s="1"/>
  <c r="E351" i="35"/>
  <c r="AH350" i="35"/>
  <c r="AA350" i="35"/>
  <c r="Z350" i="35"/>
  <c r="X350" i="35"/>
  <c r="W350" i="35"/>
  <c r="V350" i="35"/>
  <c r="J350" i="35" a="1"/>
  <c r="J350" i="35" s="1"/>
  <c r="I350" i="35"/>
  <c r="H350" i="35"/>
  <c r="G350" i="35"/>
  <c r="F350" i="35" a="1"/>
  <c r="F350" i="35" s="1"/>
  <c r="E350" i="35"/>
  <c r="AH349" i="35"/>
  <c r="AA349" i="35"/>
  <c r="Z349" i="35"/>
  <c r="X349" i="35"/>
  <c r="W349" i="35"/>
  <c r="V349" i="35"/>
  <c r="J349" i="35" a="1"/>
  <c r="J349" i="35" s="1"/>
  <c r="I349" i="35"/>
  <c r="H349" i="35"/>
  <c r="G349" i="35"/>
  <c r="F349" i="35" a="1"/>
  <c r="F349" i="35" s="1"/>
  <c r="E349" i="35"/>
  <c r="AH348" i="35"/>
  <c r="AA348" i="35"/>
  <c r="Z348" i="35"/>
  <c r="X348" i="35"/>
  <c r="W348" i="35"/>
  <c r="V348" i="35"/>
  <c r="J348" i="35" a="1"/>
  <c r="J348" i="35" s="1"/>
  <c r="I348" i="35"/>
  <c r="H348" i="35"/>
  <c r="G348" i="35"/>
  <c r="F348" i="35" a="1"/>
  <c r="F348" i="35" s="1"/>
  <c r="E348" i="35"/>
  <c r="AH347" i="35"/>
  <c r="AA347" i="35"/>
  <c r="Z347" i="35"/>
  <c r="X347" i="35"/>
  <c r="W347" i="35"/>
  <c r="V347" i="35"/>
  <c r="J347" i="35" a="1"/>
  <c r="J347" i="35" s="1"/>
  <c r="I347" i="35"/>
  <c r="H347" i="35"/>
  <c r="G347" i="35"/>
  <c r="F347" i="35" a="1"/>
  <c r="F347" i="35" s="1"/>
  <c r="E347" i="35"/>
  <c r="AH346" i="35"/>
  <c r="AA346" i="35"/>
  <c r="Z346" i="35"/>
  <c r="X346" i="35"/>
  <c r="W346" i="35"/>
  <c r="V346" i="35"/>
  <c r="J346" i="35" a="1"/>
  <c r="J346" i="35" s="1"/>
  <c r="I346" i="35"/>
  <c r="H346" i="35"/>
  <c r="G346" i="35"/>
  <c r="F346" i="35" a="1"/>
  <c r="F346" i="35" s="1"/>
  <c r="E346" i="35"/>
  <c r="AH345" i="35"/>
  <c r="AA345" i="35"/>
  <c r="Z345" i="35"/>
  <c r="X345" i="35"/>
  <c r="W345" i="35"/>
  <c r="V345" i="35"/>
  <c r="J345" i="35" a="1"/>
  <c r="J345" i="35" s="1"/>
  <c r="I345" i="35"/>
  <c r="H345" i="35"/>
  <c r="G345" i="35"/>
  <c r="F345" i="35" a="1"/>
  <c r="F345" i="35" s="1"/>
  <c r="E345" i="35"/>
  <c r="AH344" i="35"/>
  <c r="AA344" i="35"/>
  <c r="Z344" i="35"/>
  <c r="X344" i="35"/>
  <c r="W344" i="35"/>
  <c r="V344" i="35"/>
  <c r="J344" i="35" a="1"/>
  <c r="J344" i="35" s="1"/>
  <c r="I344" i="35"/>
  <c r="H344" i="35"/>
  <c r="G344" i="35"/>
  <c r="F344" i="35" a="1"/>
  <c r="F344" i="35" s="1"/>
  <c r="E344" i="35"/>
  <c r="AH343" i="35"/>
  <c r="AA343" i="35"/>
  <c r="Z343" i="35"/>
  <c r="X343" i="35"/>
  <c r="W343" i="35"/>
  <c r="V343" i="35"/>
  <c r="J343" i="35" a="1"/>
  <c r="J343" i="35" s="1"/>
  <c r="I343" i="35"/>
  <c r="H343" i="35"/>
  <c r="G343" i="35"/>
  <c r="F343" i="35" a="1"/>
  <c r="F343" i="35" s="1"/>
  <c r="E343" i="35"/>
  <c r="AH342" i="35"/>
  <c r="AA342" i="35"/>
  <c r="Z342" i="35"/>
  <c r="X342" i="35"/>
  <c r="W342" i="35"/>
  <c r="V342" i="35"/>
  <c r="J342" i="35" a="1"/>
  <c r="J342" i="35" s="1"/>
  <c r="I342" i="35"/>
  <c r="H342" i="35"/>
  <c r="G342" i="35"/>
  <c r="F342" i="35" a="1"/>
  <c r="F342" i="35" s="1"/>
  <c r="E342" i="35"/>
  <c r="AH341" i="35"/>
  <c r="AA341" i="35"/>
  <c r="Z341" i="35"/>
  <c r="X341" i="35"/>
  <c r="W341" i="35"/>
  <c r="V341" i="35"/>
  <c r="J341" i="35" a="1"/>
  <c r="J341" i="35" s="1"/>
  <c r="I341" i="35"/>
  <c r="H341" i="35"/>
  <c r="G341" i="35"/>
  <c r="F341" i="35" a="1"/>
  <c r="F341" i="35" s="1"/>
  <c r="E341" i="35"/>
  <c r="AH340" i="35"/>
  <c r="AA340" i="35"/>
  <c r="Z340" i="35"/>
  <c r="X340" i="35"/>
  <c r="W340" i="35"/>
  <c r="V340" i="35"/>
  <c r="J340" i="35" a="1"/>
  <c r="J340" i="35" s="1"/>
  <c r="I340" i="35"/>
  <c r="H340" i="35"/>
  <c r="G340" i="35"/>
  <c r="F340" i="35" a="1"/>
  <c r="F340" i="35" s="1"/>
  <c r="E340" i="35"/>
  <c r="AH339" i="35"/>
  <c r="AA339" i="35"/>
  <c r="Z339" i="35"/>
  <c r="X339" i="35"/>
  <c r="W339" i="35"/>
  <c r="V339" i="35"/>
  <c r="J339" i="35" a="1"/>
  <c r="J339" i="35" s="1"/>
  <c r="I339" i="35"/>
  <c r="H339" i="35"/>
  <c r="G339" i="35"/>
  <c r="F339" i="35" a="1"/>
  <c r="F339" i="35" s="1"/>
  <c r="E339" i="35"/>
  <c r="AH338" i="35"/>
  <c r="AA338" i="35"/>
  <c r="Z338" i="35"/>
  <c r="X338" i="35"/>
  <c r="W338" i="35"/>
  <c r="V338" i="35"/>
  <c r="J338" i="35" a="1"/>
  <c r="J338" i="35" s="1"/>
  <c r="I338" i="35"/>
  <c r="H338" i="35"/>
  <c r="G338" i="35"/>
  <c r="F338" i="35" a="1"/>
  <c r="F338" i="35" s="1"/>
  <c r="E338" i="35"/>
  <c r="AH337" i="35"/>
  <c r="AA337" i="35"/>
  <c r="Z337" i="35"/>
  <c r="X337" i="35"/>
  <c r="W337" i="35"/>
  <c r="V337" i="35"/>
  <c r="J337" i="35" a="1"/>
  <c r="J337" i="35" s="1"/>
  <c r="I337" i="35"/>
  <c r="H337" i="35"/>
  <c r="G337" i="35"/>
  <c r="F337" i="35" a="1"/>
  <c r="F337" i="35" s="1"/>
  <c r="E337" i="35"/>
  <c r="AH336" i="35"/>
  <c r="AA336" i="35"/>
  <c r="Z336" i="35"/>
  <c r="X336" i="35"/>
  <c r="W336" i="35"/>
  <c r="V336" i="35"/>
  <c r="J336" i="35" a="1"/>
  <c r="J336" i="35" s="1"/>
  <c r="I336" i="35"/>
  <c r="H336" i="35"/>
  <c r="G336" i="35"/>
  <c r="F336" i="35" a="1"/>
  <c r="F336" i="35" s="1"/>
  <c r="E336" i="35"/>
  <c r="AH335" i="35"/>
  <c r="AA335" i="35"/>
  <c r="Z335" i="35"/>
  <c r="X335" i="35"/>
  <c r="W335" i="35"/>
  <c r="V335" i="35"/>
  <c r="J335" i="35" a="1"/>
  <c r="J335" i="35" s="1"/>
  <c r="I335" i="35"/>
  <c r="H335" i="35"/>
  <c r="G335" i="35"/>
  <c r="F335" i="35" a="1"/>
  <c r="F335" i="35" s="1"/>
  <c r="E335" i="35"/>
  <c r="AH334" i="35"/>
  <c r="AA334" i="35"/>
  <c r="Z334" i="35"/>
  <c r="X334" i="35"/>
  <c r="W334" i="35"/>
  <c r="V334" i="35"/>
  <c r="J334" i="35" a="1"/>
  <c r="J334" i="35" s="1"/>
  <c r="I334" i="35"/>
  <c r="H334" i="35"/>
  <c r="G334" i="35"/>
  <c r="F334" i="35" a="1"/>
  <c r="F334" i="35" s="1"/>
  <c r="E334" i="35"/>
  <c r="AH333" i="35"/>
  <c r="AA333" i="35"/>
  <c r="Z333" i="35"/>
  <c r="X333" i="35"/>
  <c r="W333" i="35"/>
  <c r="V333" i="35"/>
  <c r="J333" i="35" a="1"/>
  <c r="J333" i="35" s="1"/>
  <c r="I333" i="35"/>
  <c r="H333" i="35"/>
  <c r="G333" i="35"/>
  <c r="F333" i="35" a="1"/>
  <c r="F333" i="35" s="1"/>
  <c r="E333" i="35"/>
  <c r="AH332" i="35"/>
  <c r="AA332" i="35"/>
  <c r="Z332" i="35"/>
  <c r="X332" i="35"/>
  <c r="W332" i="35"/>
  <c r="V332" i="35"/>
  <c r="J332" i="35" a="1"/>
  <c r="J332" i="35" s="1"/>
  <c r="I332" i="35"/>
  <c r="H332" i="35"/>
  <c r="G332" i="35"/>
  <c r="F332" i="35" a="1"/>
  <c r="F332" i="35" s="1"/>
  <c r="E332" i="35"/>
  <c r="AH331" i="35"/>
  <c r="AA331" i="35"/>
  <c r="Z331" i="35"/>
  <c r="X331" i="35"/>
  <c r="W331" i="35"/>
  <c r="V331" i="35"/>
  <c r="J331" i="35" a="1"/>
  <c r="J331" i="35" s="1"/>
  <c r="I331" i="35"/>
  <c r="H331" i="35"/>
  <c r="G331" i="35"/>
  <c r="F331" i="35" a="1"/>
  <c r="F331" i="35" s="1"/>
  <c r="E331" i="35"/>
  <c r="AH330" i="35"/>
  <c r="AA330" i="35"/>
  <c r="Z330" i="35"/>
  <c r="X330" i="35"/>
  <c r="W330" i="35"/>
  <c r="V330" i="35"/>
  <c r="J330" i="35" a="1"/>
  <c r="J330" i="35" s="1"/>
  <c r="I330" i="35"/>
  <c r="H330" i="35"/>
  <c r="G330" i="35"/>
  <c r="F330" i="35" a="1"/>
  <c r="F330" i="35" s="1"/>
  <c r="E330" i="35"/>
  <c r="C330" i="35"/>
  <c r="AH329" i="35"/>
  <c r="AA329" i="35"/>
  <c r="Z329" i="35"/>
  <c r="X329" i="35"/>
  <c r="W329" i="35"/>
  <c r="V329" i="35"/>
  <c r="J329" i="35" a="1"/>
  <c r="J329" i="35" s="1"/>
  <c r="I329" i="35"/>
  <c r="H329" i="35"/>
  <c r="G329" i="35"/>
  <c r="F329" i="35" a="1"/>
  <c r="F329" i="35" s="1"/>
  <c r="E329" i="35"/>
  <c r="C329" i="35"/>
  <c r="AH328" i="35"/>
  <c r="AA328" i="35"/>
  <c r="Z328" i="35"/>
  <c r="X328" i="35"/>
  <c r="W328" i="35"/>
  <c r="V328" i="35"/>
  <c r="J328" i="35" a="1"/>
  <c r="J328" i="35" s="1"/>
  <c r="I328" i="35"/>
  <c r="H328" i="35"/>
  <c r="G328" i="35"/>
  <c r="F328" i="35" a="1"/>
  <c r="F328" i="35" s="1"/>
  <c r="E328" i="35"/>
  <c r="AH327" i="35"/>
  <c r="AA327" i="35"/>
  <c r="Z327" i="35"/>
  <c r="X327" i="35"/>
  <c r="W327" i="35"/>
  <c r="V327" i="35"/>
  <c r="J327" i="35" a="1"/>
  <c r="J327" i="35" s="1"/>
  <c r="I327" i="35"/>
  <c r="H327" i="35"/>
  <c r="G327" i="35"/>
  <c r="F327" i="35" a="1"/>
  <c r="F327" i="35" s="1"/>
  <c r="E327" i="35"/>
  <c r="AH326" i="35"/>
  <c r="AA326" i="35"/>
  <c r="Z326" i="35"/>
  <c r="X326" i="35"/>
  <c r="W326" i="35"/>
  <c r="V326" i="35"/>
  <c r="J326" i="35" a="1"/>
  <c r="J326" i="35" s="1"/>
  <c r="I326" i="35"/>
  <c r="H326" i="35"/>
  <c r="G326" i="35"/>
  <c r="F326" i="35" a="1"/>
  <c r="F326" i="35" s="1"/>
  <c r="E326" i="35"/>
  <c r="AH325" i="35"/>
  <c r="AA325" i="35"/>
  <c r="Z325" i="35"/>
  <c r="X325" i="35"/>
  <c r="W325" i="35"/>
  <c r="V325" i="35"/>
  <c r="J325" i="35" a="1"/>
  <c r="J325" i="35" s="1"/>
  <c r="I325" i="35"/>
  <c r="H325" i="35"/>
  <c r="G325" i="35"/>
  <c r="F325" i="35" a="1"/>
  <c r="F325" i="35" s="1"/>
  <c r="E325" i="35"/>
  <c r="AH324" i="35"/>
  <c r="AA324" i="35"/>
  <c r="Z324" i="35"/>
  <c r="X324" i="35"/>
  <c r="W324" i="35"/>
  <c r="V324" i="35"/>
  <c r="J324" i="35" a="1"/>
  <c r="J324" i="35" s="1"/>
  <c r="I324" i="35"/>
  <c r="H324" i="35"/>
  <c r="G324" i="35"/>
  <c r="F324" i="35" a="1"/>
  <c r="F324" i="35" s="1"/>
  <c r="E324" i="35"/>
  <c r="AH323" i="35"/>
  <c r="AA323" i="35"/>
  <c r="Z323" i="35"/>
  <c r="X323" i="35"/>
  <c r="W323" i="35"/>
  <c r="V323" i="35"/>
  <c r="J323" i="35" a="1"/>
  <c r="J323" i="35" s="1"/>
  <c r="I323" i="35"/>
  <c r="H323" i="35"/>
  <c r="G323" i="35"/>
  <c r="F323" i="35" a="1"/>
  <c r="F323" i="35" s="1"/>
  <c r="E323" i="35"/>
  <c r="AH322" i="35"/>
  <c r="AA322" i="35"/>
  <c r="Z322" i="35"/>
  <c r="X322" i="35"/>
  <c r="W322" i="35"/>
  <c r="V322" i="35"/>
  <c r="J322" i="35" a="1"/>
  <c r="J322" i="35" s="1"/>
  <c r="I322" i="35"/>
  <c r="H322" i="35"/>
  <c r="G322" i="35"/>
  <c r="F322" i="35" a="1"/>
  <c r="F322" i="35" s="1"/>
  <c r="E322" i="35"/>
  <c r="AH321" i="35"/>
  <c r="AA321" i="35"/>
  <c r="Z321" i="35"/>
  <c r="X321" i="35"/>
  <c r="W321" i="35"/>
  <c r="V321" i="35"/>
  <c r="J321" i="35" a="1"/>
  <c r="J321" i="35" s="1"/>
  <c r="I321" i="35"/>
  <c r="H321" i="35"/>
  <c r="G321" i="35"/>
  <c r="F321" i="35" a="1"/>
  <c r="F321" i="35" s="1"/>
  <c r="E321" i="35"/>
  <c r="AH320" i="35"/>
  <c r="AA320" i="35"/>
  <c r="Z320" i="35"/>
  <c r="X320" i="35"/>
  <c r="W320" i="35"/>
  <c r="V320" i="35"/>
  <c r="J320" i="35" a="1"/>
  <c r="J320" i="35" s="1"/>
  <c r="I320" i="35"/>
  <c r="H320" i="35"/>
  <c r="G320" i="35"/>
  <c r="F320" i="35" a="1"/>
  <c r="F320" i="35" s="1"/>
  <c r="E320" i="35"/>
  <c r="AH319" i="35"/>
  <c r="AA319" i="35"/>
  <c r="Z319" i="35"/>
  <c r="X319" i="35"/>
  <c r="W319" i="35"/>
  <c r="V319" i="35"/>
  <c r="J319" i="35" a="1"/>
  <c r="J319" i="35" s="1"/>
  <c r="I319" i="35"/>
  <c r="H319" i="35"/>
  <c r="G319" i="35"/>
  <c r="F319" i="35" a="1"/>
  <c r="F319" i="35" s="1"/>
  <c r="E319" i="35"/>
  <c r="AH318" i="35"/>
  <c r="AA318" i="35"/>
  <c r="Z318" i="35"/>
  <c r="X318" i="35"/>
  <c r="W318" i="35"/>
  <c r="V318" i="35"/>
  <c r="J318" i="35" a="1"/>
  <c r="J318" i="35" s="1"/>
  <c r="I318" i="35"/>
  <c r="H318" i="35"/>
  <c r="G318" i="35"/>
  <c r="F318" i="35" a="1"/>
  <c r="F318" i="35" s="1"/>
  <c r="E318" i="35"/>
  <c r="AH317" i="35"/>
  <c r="AA317" i="35"/>
  <c r="Z317" i="35"/>
  <c r="X317" i="35"/>
  <c r="W317" i="35"/>
  <c r="V317" i="35"/>
  <c r="J317" i="35" a="1"/>
  <c r="J317" i="35" s="1"/>
  <c r="I317" i="35"/>
  <c r="H317" i="35"/>
  <c r="G317" i="35"/>
  <c r="F317" i="35" a="1"/>
  <c r="F317" i="35" s="1"/>
  <c r="E317" i="35"/>
  <c r="AH316" i="35"/>
  <c r="AA316" i="35"/>
  <c r="Z316" i="35"/>
  <c r="X316" i="35"/>
  <c r="W316" i="35"/>
  <c r="V316" i="35"/>
  <c r="J316" i="35" a="1"/>
  <c r="J316" i="35" s="1"/>
  <c r="I316" i="35"/>
  <c r="H316" i="35"/>
  <c r="G316" i="35"/>
  <c r="F316" i="35" a="1"/>
  <c r="F316" i="35" s="1"/>
  <c r="E316" i="35"/>
  <c r="AH315" i="35"/>
  <c r="AA315" i="35"/>
  <c r="Z315" i="35"/>
  <c r="X315" i="35"/>
  <c r="W315" i="35"/>
  <c r="V315" i="35"/>
  <c r="J315" i="35" a="1"/>
  <c r="J315" i="35" s="1"/>
  <c r="I315" i="35"/>
  <c r="H315" i="35"/>
  <c r="G315" i="35"/>
  <c r="F315" i="35" a="1"/>
  <c r="F315" i="35" s="1"/>
  <c r="E315" i="35"/>
  <c r="AH314" i="35"/>
  <c r="AA314" i="35"/>
  <c r="Z314" i="35"/>
  <c r="X314" i="35"/>
  <c r="W314" i="35"/>
  <c r="V314" i="35"/>
  <c r="J314" i="35" a="1"/>
  <c r="J314" i="35" s="1"/>
  <c r="I314" i="35"/>
  <c r="H314" i="35"/>
  <c r="G314" i="35"/>
  <c r="F314" i="35" a="1"/>
  <c r="F314" i="35" s="1"/>
  <c r="E314" i="35"/>
  <c r="AH313" i="35"/>
  <c r="AA313" i="35"/>
  <c r="Z313" i="35"/>
  <c r="X313" i="35"/>
  <c r="W313" i="35"/>
  <c r="V313" i="35"/>
  <c r="J313" i="35" a="1"/>
  <c r="J313" i="35" s="1"/>
  <c r="I313" i="35"/>
  <c r="H313" i="35"/>
  <c r="G313" i="35"/>
  <c r="F313" i="35" a="1"/>
  <c r="F313" i="35" s="1"/>
  <c r="E313" i="35"/>
  <c r="AH312" i="35"/>
  <c r="AA312" i="35"/>
  <c r="Z312" i="35"/>
  <c r="X312" i="35"/>
  <c r="W312" i="35"/>
  <c r="V312" i="35"/>
  <c r="J312" i="35" a="1"/>
  <c r="J312" i="35" s="1"/>
  <c r="I312" i="35"/>
  <c r="H312" i="35"/>
  <c r="G312" i="35"/>
  <c r="F312" i="35" a="1"/>
  <c r="F312" i="35" s="1"/>
  <c r="E312" i="35"/>
  <c r="AH311" i="35"/>
  <c r="AA311" i="35"/>
  <c r="Z311" i="35"/>
  <c r="X311" i="35"/>
  <c r="W311" i="35"/>
  <c r="V311" i="35"/>
  <c r="J311" i="35" a="1"/>
  <c r="J311" i="35" s="1"/>
  <c r="I311" i="35"/>
  <c r="H311" i="35"/>
  <c r="G311" i="35"/>
  <c r="F311" i="35" a="1"/>
  <c r="F311" i="35" s="1"/>
  <c r="E311" i="35"/>
  <c r="AH310" i="35"/>
  <c r="AA310" i="35"/>
  <c r="Z310" i="35"/>
  <c r="X310" i="35"/>
  <c r="W310" i="35"/>
  <c r="V310" i="35"/>
  <c r="J310" i="35" a="1"/>
  <c r="J310" i="35" s="1"/>
  <c r="I310" i="35"/>
  <c r="H310" i="35"/>
  <c r="G310" i="35"/>
  <c r="F310" i="35" a="1"/>
  <c r="F310" i="35" s="1"/>
  <c r="E310" i="35"/>
  <c r="AH309" i="35"/>
  <c r="AA309" i="35"/>
  <c r="Z309" i="35"/>
  <c r="X309" i="35"/>
  <c r="W309" i="35"/>
  <c r="V309" i="35"/>
  <c r="J309" i="35" a="1"/>
  <c r="J309" i="35" s="1"/>
  <c r="I309" i="35"/>
  <c r="H309" i="35"/>
  <c r="G309" i="35"/>
  <c r="F309" i="35" a="1"/>
  <c r="F309" i="35" s="1"/>
  <c r="E309" i="35"/>
  <c r="AH308" i="35"/>
  <c r="AA308" i="35"/>
  <c r="Z308" i="35"/>
  <c r="X308" i="35"/>
  <c r="W308" i="35"/>
  <c r="V308" i="35"/>
  <c r="J308" i="35" a="1"/>
  <c r="J308" i="35" s="1"/>
  <c r="I308" i="35"/>
  <c r="H308" i="35"/>
  <c r="G308" i="35"/>
  <c r="F308" i="35" a="1"/>
  <c r="F308" i="35" s="1"/>
  <c r="E308" i="35"/>
  <c r="AH307" i="35"/>
  <c r="AA307" i="35"/>
  <c r="Z307" i="35"/>
  <c r="X307" i="35"/>
  <c r="W307" i="35"/>
  <c r="V307" i="35"/>
  <c r="J307" i="35" a="1"/>
  <c r="J307" i="35" s="1"/>
  <c r="I307" i="35"/>
  <c r="H307" i="35"/>
  <c r="G307" i="35"/>
  <c r="F307" i="35" a="1"/>
  <c r="F307" i="35" s="1"/>
  <c r="E307" i="35"/>
  <c r="AH306" i="35"/>
  <c r="AA306" i="35"/>
  <c r="Z306" i="35"/>
  <c r="X306" i="35"/>
  <c r="W306" i="35"/>
  <c r="V306" i="35"/>
  <c r="J306" i="35" a="1"/>
  <c r="J306" i="35" s="1"/>
  <c r="I306" i="35"/>
  <c r="H306" i="35"/>
  <c r="G306" i="35"/>
  <c r="F306" i="35" a="1"/>
  <c r="F306" i="35" s="1"/>
  <c r="E306" i="35"/>
  <c r="AH305" i="35"/>
  <c r="AA305" i="35"/>
  <c r="Z305" i="35"/>
  <c r="X305" i="35"/>
  <c r="W305" i="35"/>
  <c r="V305" i="35"/>
  <c r="J305" i="35" a="1"/>
  <c r="J305" i="35" s="1"/>
  <c r="I305" i="35"/>
  <c r="H305" i="35"/>
  <c r="G305" i="35"/>
  <c r="F305" i="35" a="1"/>
  <c r="F305" i="35" s="1"/>
  <c r="E305" i="35"/>
  <c r="AH304" i="35"/>
  <c r="AA304" i="35"/>
  <c r="Z304" i="35"/>
  <c r="X304" i="35"/>
  <c r="W304" i="35"/>
  <c r="V304" i="35"/>
  <c r="J304" i="35" a="1"/>
  <c r="J304" i="35" s="1"/>
  <c r="I304" i="35"/>
  <c r="H304" i="35"/>
  <c r="G304" i="35"/>
  <c r="F304" i="35" a="1"/>
  <c r="F304" i="35" s="1"/>
  <c r="E304" i="35"/>
  <c r="AH303" i="35"/>
  <c r="AA303" i="35"/>
  <c r="Z303" i="35"/>
  <c r="X303" i="35"/>
  <c r="W303" i="35"/>
  <c r="V303" i="35"/>
  <c r="J303" i="35" a="1"/>
  <c r="J303" i="35" s="1"/>
  <c r="I303" i="35"/>
  <c r="H303" i="35"/>
  <c r="G303" i="35"/>
  <c r="F303" i="35" a="1"/>
  <c r="F303" i="35" s="1"/>
  <c r="E303" i="35"/>
  <c r="AH302" i="35"/>
  <c r="AA302" i="35"/>
  <c r="Z302" i="35"/>
  <c r="X302" i="35"/>
  <c r="W302" i="35"/>
  <c r="V302" i="35"/>
  <c r="J302" i="35" a="1"/>
  <c r="J302" i="35" s="1"/>
  <c r="I302" i="35"/>
  <c r="H302" i="35"/>
  <c r="G302" i="35"/>
  <c r="F302" i="35" a="1"/>
  <c r="F302" i="35" s="1"/>
  <c r="E302" i="35"/>
  <c r="AH301" i="35"/>
  <c r="AA301" i="35"/>
  <c r="Z301" i="35"/>
  <c r="X301" i="35"/>
  <c r="W301" i="35"/>
  <c r="V301" i="35"/>
  <c r="J301" i="35" a="1"/>
  <c r="J301" i="35" s="1"/>
  <c r="I301" i="35"/>
  <c r="H301" i="35"/>
  <c r="G301" i="35"/>
  <c r="F301" i="35" a="1"/>
  <c r="F301" i="35" s="1"/>
  <c r="E301" i="35"/>
  <c r="AH300" i="35"/>
  <c r="AA300" i="35"/>
  <c r="Z300" i="35"/>
  <c r="X300" i="35"/>
  <c r="W300" i="35"/>
  <c r="V300" i="35"/>
  <c r="J300" i="35" a="1"/>
  <c r="J300" i="35" s="1"/>
  <c r="I300" i="35"/>
  <c r="H300" i="35"/>
  <c r="G300" i="35"/>
  <c r="F300" i="35" a="1"/>
  <c r="F300" i="35" s="1"/>
  <c r="E300" i="35"/>
  <c r="AH299" i="35"/>
  <c r="AA299" i="35"/>
  <c r="Z299" i="35"/>
  <c r="X299" i="35"/>
  <c r="W299" i="35"/>
  <c r="V299" i="35"/>
  <c r="J299" i="35" a="1"/>
  <c r="J299" i="35" s="1"/>
  <c r="I299" i="35"/>
  <c r="H299" i="35"/>
  <c r="G299" i="35"/>
  <c r="F299" i="35" a="1"/>
  <c r="F299" i="35" s="1"/>
  <c r="E299" i="35"/>
  <c r="AH298" i="35"/>
  <c r="AA298" i="35"/>
  <c r="Z298" i="35"/>
  <c r="X298" i="35"/>
  <c r="W298" i="35"/>
  <c r="V298" i="35"/>
  <c r="J298" i="35" a="1"/>
  <c r="J298" i="35" s="1"/>
  <c r="I298" i="35"/>
  <c r="H298" i="35"/>
  <c r="G298" i="35"/>
  <c r="F298" i="35" a="1"/>
  <c r="F298" i="35" s="1"/>
  <c r="E298" i="35"/>
  <c r="AH297" i="35"/>
  <c r="AA297" i="35"/>
  <c r="Z297" i="35"/>
  <c r="X297" i="35"/>
  <c r="W297" i="35"/>
  <c r="V297" i="35"/>
  <c r="J297" i="35" a="1"/>
  <c r="J297" i="35" s="1"/>
  <c r="I297" i="35"/>
  <c r="H297" i="35"/>
  <c r="G297" i="35"/>
  <c r="F297" i="35" a="1"/>
  <c r="F297" i="35" s="1"/>
  <c r="E297" i="35"/>
  <c r="AH296" i="35"/>
  <c r="AA296" i="35"/>
  <c r="Z296" i="35"/>
  <c r="X296" i="35"/>
  <c r="W296" i="35"/>
  <c r="V296" i="35"/>
  <c r="J296" i="35" a="1"/>
  <c r="J296" i="35" s="1"/>
  <c r="I296" i="35"/>
  <c r="H296" i="35"/>
  <c r="G296" i="35"/>
  <c r="F296" i="35" a="1"/>
  <c r="F296" i="35" s="1"/>
  <c r="E296" i="35"/>
  <c r="AH295" i="35"/>
  <c r="AA295" i="35"/>
  <c r="Z295" i="35"/>
  <c r="X295" i="35"/>
  <c r="W295" i="35"/>
  <c r="V295" i="35"/>
  <c r="J295" i="35" a="1"/>
  <c r="J295" i="35" s="1"/>
  <c r="I295" i="35"/>
  <c r="H295" i="35"/>
  <c r="G295" i="35"/>
  <c r="F295" i="35" a="1"/>
  <c r="F295" i="35" s="1"/>
  <c r="E295" i="35"/>
  <c r="AH294" i="35"/>
  <c r="AA294" i="35"/>
  <c r="Z294" i="35"/>
  <c r="X294" i="35"/>
  <c r="W294" i="35"/>
  <c r="V294" i="35"/>
  <c r="J294" i="35" a="1"/>
  <c r="J294" i="35" s="1"/>
  <c r="I294" i="35"/>
  <c r="H294" i="35"/>
  <c r="G294" i="35"/>
  <c r="F294" i="35" a="1"/>
  <c r="F294" i="35" s="1"/>
  <c r="E294" i="35"/>
  <c r="AH293" i="35"/>
  <c r="AA293" i="35"/>
  <c r="Z293" i="35"/>
  <c r="X293" i="35"/>
  <c r="W293" i="35"/>
  <c r="V293" i="35"/>
  <c r="J293" i="35" a="1"/>
  <c r="J293" i="35" s="1"/>
  <c r="I293" i="35"/>
  <c r="H293" i="35"/>
  <c r="G293" i="35"/>
  <c r="F293" i="35" a="1"/>
  <c r="F293" i="35" s="1"/>
  <c r="E293" i="35"/>
  <c r="AH292" i="35"/>
  <c r="AA292" i="35"/>
  <c r="Z292" i="35"/>
  <c r="X292" i="35"/>
  <c r="W292" i="35"/>
  <c r="V292" i="35"/>
  <c r="J292" i="35" a="1"/>
  <c r="J292" i="35" s="1"/>
  <c r="I292" i="35"/>
  <c r="H292" i="35"/>
  <c r="G292" i="35"/>
  <c r="F292" i="35" a="1"/>
  <c r="F292" i="35" s="1"/>
  <c r="E292" i="35"/>
  <c r="AH291" i="35"/>
  <c r="AA291" i="35"/>
  <c r="Z291" i="35"/>
  <c r="X291" i="35"/>
  <c r="W291" i="35"/>
  <c r="V291" i="35"/>
  <c r="J291" i="35" a="1"/>
  <c r="J291" i="35" s="1"/>
  <c r="I291" i="35"/>
  <c r="H291" i="35"/>
  <c r="G291" i="35"/>
  <c r="F291" i="35" a="1"/>
  <c r="F291" i="35" s="1"/>
  <c r="E291" i="35"/>
  <c r="AH290" i="35"/>
  <c r="AA290" i="35"/>
  <c r="Z290" i="35"/>
  <c r="X290" i="35"/>
  <c r="W290" i="35"/>
  <c r="V290" i="35"/>
  <c r="J290" i="35" a="1"/>
  <c r="J290" i="35" s="1"/>
  <c r="I290" i="35"/>
  <c r="H290" i="35"/>
  <c r="G290" i="35"/>
  <c r="F290" i="35" a="1"/>
  <c r="F290" i="35" s="1"/>
  <c r="E290" i="35"/>
  <c r="AH289" i="35"/>
  <c r="AA289" i="35"/>
  <c r="Z289" i="35"/>
  <c r="X289" i="35"/>
  <c r="W289" i="35"/>
  <c r="V289" i="35"/>
  <c r="J289" i="35" a="1"/>
  <c r="J289" i="35" s="1"/>
  <c r="I289" i="35"/>
  <c r="H289" i="35"/>
  <c r="G289" i="35"/>
  <c r="F289" i="35" a="1"/>
  <c r="F289" i="35" s="1"/>
  <c r="E289" i="35"/>
  <c r="AH288" i="35"/>
  <c r="AA288" i="35"/>
  <c r="Z288" i="35"/>
  <c r="X288" i="35"/>
  <c r="W288" i="35"/>
  <c r="V288" i="35"/>
  <c r="J288" i="35" a="1"/>
  <c r="J288" i="35" s="1"/>
  <c r="I288" i="35"/>
  <c r="H288" i="35"/>
  <c r="G288" i="35"/>
  <c r="F288" i="35" a="1"/>
  <c r="F288" i="35" s="1"/>
  <c r="E288" i="35"/>
  <c r="AH287" i="35"/>
  <c r="AA287" i="35"/>
  <c r="Z287" i="35"/>
  <c r="X287" i="35"/>
  <c r="W287" i="35"/>
  <c r="V287" i="35"/>
  <c r="J287" i="35" a="1"/>
  <c r="J287" i="35" s="1"/>
  <c r="I287" i="35"/>
  <c r="H287" i="35"/>
  <c r="G287" i="35"/>
  <c r="F287" i="35" a="1"/>
  <c r="F287" i="35" s="1"/>
  <c r="E287" i="35"/>
  <c r="AH286" i="35"/>
  <c r="AA286" i="35"/>
  <c r="Z286" i="35"/>
  <c r="X286" i="35"/>
  <c r="W286" i="35"/>
  <c r="V286" i="35"/>
  <c r="J286" i="35" a="1"/>
  <c r="J286" i="35" s="1"/>
  <c r="I286" i="35"/>
  <c r="H286" i="35"/>
  <c r="G286" i="35"/>
  <c r="F286" i="35" a="1"/>
  <c r="F286" i="35" s="1"/>
  <c r="E286" i="35"/>
  <c r="AH285" i="35"/>
  <c r="AA285" i="35"/>
  <c r="Z285" i="35"/>
  <c r="X285" i="35"/>
  <c r="W285" i="35"/>
  <c r="V285" i="35"/>
  <c r="J285" i="35" a="1"/>
  <c r="J285" i="35" s="1"/>
  <c r="I285" i="35"/>
  <c r="H285" i="35"/>
  <c r="G285" i="35"/>
  <c r="F285" i="35" a="1"/>
  <c r="F285" i="35" s="1"/>
  <c r="E285" i="35"/>
  <c r="AH284" i="35"/>
  <c r="AA284" i="35"/>
  <c r="Z284" i="35"/>
  <c r="X284" i="35"/>
  <c r="W284" i="35"/>
  <c r="V284" i="35"/>
  <c r="J284" i="35" a="1"/>
  <c r="J284" i="35" s="1"/>
  <c r="I284" i="35"/>
  <c r="H284" i="35"/>
  <c r="G284" i="35"/>
  <c r="F284" i="35" a="1"/>
  <c r="F284" i="35" s="1"/>
  <c r="E284" i="35"/>
  <c r="AH283" i="35"/>
  <c r="AA283" i="35"/>
  <c r="Z283" i="35"/>
  <c r="X283" i="35"/>
  <c r="W283" i="35"/>
  <c r="V283" i="35"/>
  <c r="J283" i="35" a="1"/>
  <c r="J283" i="35" s="1"/>
  <c r="I283" i="35"/>
  <c r="H283" i="35"/>
  <c r="G283" i="35"/>
  <c r="F283" i="35" a="1"/>
  <c r="F283" i="35" s="1"/>
  <c r="E283" i="35"/>
  <c r="AH282" i="35"/>
  <c r="AA282" i="35"/>
  <c r="Z282" i="35"/>
  <c r="X282" i="35"/>
  <c r="W282" i="35"/>
  <c r="V282" i="35"/>
  <c r="J282" i="35" a="1"/>
  <c r="J282" i="35" s="1"/>
  <c r="I282" i="35"/>
  <c r="H282" i="35"/>
  <c r="G282" i="35"/>
  <c r="F282" i="35" a="1"/>
  <c r="F282" i="35" s="1"/>
  <c r="E282" i="35"/>
  <c r="AH281" i="35"/>
  <c r="AA281" i="35"/>
  <c r="Z281" i="35"/>
  <c r="X281" i="35"/>
  <c r="W281" i="35"/>
  <c r="V281" i="35"/>
  <c r="J281" i="35" a="1"/>
  <c r="J281" i="35" s="1"/>
  <c r="I281" i="35"/>
  <c r="H281" i="35"/>
  <c r="G281" i="35"/>
  <c r="F281" i="35" a="1"/>
  <c r="F281" i="35" s="1"/>
  <c r="E281" i="35"/>
  <c r="AH280" i="35"/>
  <c r="AA280" i="35"/>
  <c r="Z280" i="35"/>
  <c r="X280" i="35"/>
  <c r="W280" i="35"/>
  <c r="V280" i="35"/>
  <c r="J280" i="35" a="1"/>
  <c r="J280" i="35" s="1"/>
  <c r="I280" i="35"/>
  <c r="H280" i="35"/>
  <c r="G280" i="35"/>
  <c r="F280" i="35" a="1"/>
  <c r="F280" i="35" s="1"/>
  <c r="E280" i="35"/>
  <c r="AH279" i="35"/>
  <c r="AA279" i="35"/>
  <c r="Z279" i="35"/>
  <c r="X279" i="35"/>
  <c r="W279" i="35"/>
  <c r="V279" i="35"/>
  <c r="J279" i="35" a="1"/>
  <c r="J279" i="35" s="1"/>
  <c r="I279" i="35"/>
  <c r="H279" i="35"/>
  <c r="G279" i="35"/>
  <c r="F279" i="35" a="1"/>
  <c r="F279" i="35" s="1"/>
  <c r="E279" i="35"/>
  <c r="AH278" i="35"/>
  <c r="AA278" i="35"/>
  <c r="Z278" i="35"/>
  <c r="X278" i="35"/>
  <c r="W278" i="35"/>
  <c r="V278" i="35"/>
  <c r="J278" i="35" a="1"/>
  <c r="J278" i="35" s="1"/>
  <c r="I278" i="35"/>
  <c r="H278" i="35"/>
  <c r="G278" i="35"/>
  <c r="F278" i="35" a="1"/>
  <c r="F278" i="35" s="1"/>
  <c r="E278" i="35"/>
  <c r="AH277" i="35"/>
  <c r="AA277" i="35"/>
  <c r="Z277" i="35"/>
  <c r="X277" i="35"/>
  <c r="W277" i="35"/>
  <c r="V277" i="35"/>
  <c r="J277" i="35" a="1"/>
  <c r="J277" i="35" s="1"/>
  <c r="I277" i="35"/>
  <c r="H277" i="35"/>
  <c r="G277" i="35"/>
  <c r="F277" i="35" a="1"/>
  <c r="F277" i="35" s="1"/>
  <c r="E277" i="35"/>
  <c r="AH276" i="35"/>
  <c r="AA276" i="35"/>
  <c r="Z276" i="35"/>
  <c r="X276" i="35"/>
  <c r="W276" i="35"/>
  <c r="V276" i="35"/>
  <c r="J276" i="35" a="1"/>
  <c r="J276" i="35" s="1"/>
  <c r="I276" i="35"/>
  <c r="H276" i="35"/>
  <c r="G276" i="35"/>
  <c r="F276" i="35" a="1"/>
  <c r="F276" i="35" s="1"/>
  <c r="E276" i="35"/>
  <c r="AH275" i="35"/>
  <c r="AA275" i="35"/>
  <c r="Z275" i="35"/>
  <c r="X275" i="35"/>
  <c r="W275" i="35"/>
  <c r="V275" i="35"/>
  <c r="J275" i="35" a="1"/>
  <c r="J275" i="35" s="1"/>
  <c r="I275" i="35"/>
  <c r="H275" i="35"/>
  <c r="G275" i="35"/>
  <c r="F275" i="35" a="1"/>
  <c r="F275" i="35" s="1"/>
  <c r="E275" i="35"/>
  <c r="AH274" i="35"/>
  <c r="AA274" i="35"/>
  <c r="Z274" i="35"/>
  <c r="X274" i="35"/>
  <c r="W274" i="35"/>
  <c r="V274" i="35"/>
  <c r="J274" i="35" a="1"/>
  <c r="J274" i="35" s="1"/>
  <c r="I274" i="35"/>
  <c r="H274" i="35"/>
  <c r="G274" i="35"/>
  <c r="F274" i="35" a="1"/>
  <c r="F274" i="35" s="1"/>
  <c r="E274" i="35"/>
  <c r="AH273" i="35"/>
  <c r="AA273" i="35"/>
  <c r="Z273" i="35"/>
  <c r="X273" i="35"/>
  <c r="W273" i="35"/>
  <c r="V273" i="35"/>
  <c r="J273" i="35" a="1"/>
  <c r="J273" i="35" s="1"/>
  <c r="I273" i="35"/>
  <c r="H273" i="35"/>
  <c r="G273" i="35"/>
  <c r="F273" i="35" a="1"/>
  <c r="F273" i="35" s="1"/>
  <c r="E273" i="35"/>
  <c r="AH272" i="35"/>
  <c r="AA272" i="35"/>
  <c r="Z272" i="35"/>
  <c r="X272" i="35"/>
  <c r="W272" i="35"/>
  <c r="V272" i="35"/>
  <c r="J272" i="35" a="1"/>
  <c r="J272" i="35" s="1"/>
  <c r="I272" i="35"/>
  <c r="H272" i="35"/>
  <c r="G272" i="35"/>
  <c r="F272" i="35" a="1"/>
  <c r="F272" i="35" s="1"/>
  <c r="E272" i="35"/>
  <c r="AH271" i="35"/>
  <c r="AA271" i="35"/>
  <c r="Z271" i="35"/>
  <c r="X271" i="35"/>
  <c r="W271" i="35"/>
  <c r="V271" i="35"/>
  <c r="J271" i="35" a="1"/>
  <c r="J271" i="35" s="1"/>
  <c r="I271" i="35"/>
  <c r="H271" i="35"/>
  <c r="G271" i="35"/>
  <c r="F271" i="35" a="1"/>
  <c r="F271" i="35" s="1"/>
  <c r="E271" i="35"/>
  <c r="AH270" i="35"/>
  <c r="AA270" i="35"/>
  <c r="Z270" i="35"/>
  <c r="X270" i="35"/>
  <c r="W270" i="35"/>
  <c r="V270" i="35"/>
  <c r="J270" i="35" a="1"/>
  <c r="J270" i="35" s="1"/>
  <c r="I270" i="35"/>
  <c r="H270" i="35"/>
  <c r="G270" i="35"/>
  <c r="F270" i="35" a="1"/>
  <c r="F270" i="35" s="1"/>
  <c r="E270" i="35"/>
  <c r="AH269" i="35"/>
  <c r="AA269" i="35"/>
  <c r="Z269" i="35"/>
  <c r="X269" i="35"/>
  <c r="W269" i="35"/>
  <c r="V269" i="35"/>
  <c r="J269" i="35" a="1"/>
  <c r="J269" i="35" s="1"/>
  <c r="I269" i="35"/>
  <c r="H269" i="35"/>
  <c r="G269" i="35"/>
  <c r="F269" i="35" a="1"/>
  <c r="F269" i="35" s="1"/>
  <c r="E269" i="35"/>
  <c r="AH268" i="35"/>
  <c r="AA268" i="35"/>
  <c r="Z268" i="35"/>
  <c r="X268" i="35"/>
  <c r="W268" i="35"/>
  <c r="V268" i="35"/>
  <c r="J268" i="35" a="1"/>
  <c r="J268" i="35" s="1"/>
  <c r="I268" i="35"/>
  <c r="H268" i="35"/>
  <c r="G268" i="35"/>
  <c r="F268" i="35" a="1"/>
  <c r="F268" i="35" s="1"/>
  <c r="E268" i="35"/>
  <c r="AH267" i="35"/>
  <c r="AA267" i="35"/>
  <c r="Z267" i="35"/>
  <c r="X267" i="35"/>
  <c r="W267" i="35"/>
  <c r="V267" i="35"/>
  <c r="J267" i="35" a="1"/>
  <c r="J267" i="35" s="1"/>
  <c r="I267" i="35"/>
  <c r="H267" i="35"/>
  <c r="G267" i="35"/>
  <c r="F267" i="35" a="1"/>
  <c r="F267" i="35" s="1"/>
  <c r="E267" i="35"/>
  <c r="AH266" i="35"/>
  <c r="AA266" i="35"/>
  <c r="Z266" i="35"/>
  <c r="X266" i="35"/>
  <c r="W266" i="35"/>
  <c r="V266" i="35"/>
  <c r="J266" i="35" a="1"/>
  <c r="J266" i="35" s="1"/>
  <c r="I266" i="35"/>
  <c r="H266" i="35"/>
  <c r="G266" i="35"/>
  <c r="F266" i="35" a="1"/>
  <c r="F266" i="35" s="1"/>
  <c r="E266" i="35"/>
  <c r="AH265" i="35"/>
  <c r="AA265" i="35"/>
  <c r="Z265" i="35"/>
  <c r="X265" i="35"/>
  <c r="W265" i="35"/>
  <c r="V265" i="35"/>
  <c r="J265" i="35" a="1"/>
  <c r="J265" i="35" s="1"/>
  <c r="I265" i="35"/>
  <c r="H265" i="35"/>
  <c r="G265" i="35"/>
  <c r="F265" i="35" a="1"/>
  <c r="F265" i="35" s="1"/>
  <c r="E265" i="35"/>
  <c r="AH264" i="35"/>
  <c r="AA264" i="35"/>
  <c r="Z264" i="35"/>
  <c r="X264" i="35"/>
  <c r="W264" i="35"/>
  <c r="V264" i="35"/>
  <c r="J264" i="35" a="1"/>
  <c r="J264" i="35" s="1"/>
  <c r="I264" i="35"/>
  <c r="H264" i="35"/>
  <c r="G264" i="35"/>
  <c r="F264" i="35" a="1"/>
  <c r="F264" i="35" s="1"/>
  <c r="E264" i="35"/>
  <c r="AH263" i="35"/>
  <c r="AA263" i="35"/>
  <c r="Z263" i="35"/>
  <c r="X263" i="35"/>
  <c r="W263" i="35"/>
  <c r="V263" i="35"/>
  <c r="J263" i="35" a="1"/>
  <c r="J263" i="35" s="1"/>
  <c r="I263" i="35"/>
  <c r="H263" i="35"/>
  <c r="G263" i="35"/>
  <c r="F263" i="35" a="1"/>
  <c r="F263" i="35" s="1"/>
  <c r="E263" i="35"/>
  <c r="AH262" i="35"/>
  <c r="AA262" i="35"/>
  <c r="Z262" i="35"/>
  <c r="X262" i="35"/>
  <c r="W262" i="35"/>
  <c r="V262" i="35"/>
  <c r="J262" i="35" a="1"/>
  <c r="J262" i="35" s="1"/>
  <c r="I262" i="35"/>
  <c r="H262" i="35"/>
  <c r="G262" i="35"/>
  <c r="F262" i="35" a="1"/>
  <c r="F262" i="35" s="1"/>
  <c r="E262" i="35"/>
  <c r="AH261" i="35"/>
  <c r="AA261" i="35"/>
  <c r="Z261" i="35"/>
  <c r="X261" i="35"/>
  <c r="W261" i="35"/>
  <c r="V261" i="35"/>
  <c r="J261" i="35" a="1"/>
  <c r="J261" i="35" s="1"/>
  <c r="I261" i="35"/>
  <c r="H261" i="35"/>
  <c r="G261" i="35"/>
  <c r="F261" i="35" a="1"/>
  <c r="F261" i="35" s="1"/>
  <c r="E261" i="35"/>
  <c r="AH260" i="35"/>
  <c r="AA260" i="35"/>
  <c r="Z260" i="35"/>
  <c r="X260" i="35"/>
  <c r="W260" i="35"/>
  <c r="V260" i="35"/>
  <c r="J260" i="35" a="1"/>
  <c r="J260" i="35" s="1"/>
  <c r="I260" i="35"/>
  <c r="H260" i="35"/>
  <c r="G260" i="35"/>
  <c r="F260" i="35" a="1"/>
  <c r="F260" i="35" s="1"/>
  <c r="E260" i="35"/>
  <c r="AH259" i="35"/>
  <c r="AA259" i="35"/>
  <c r="Z259" i="35"/>
  <c r="X259" i="35"/>
  <c r="W259" i="35"/>
  <c r="V259" i="35"/>
  <c r="J259" i="35" a="1"/>
  <c r="J259" i="35" s="1"/>
  <c r="I259" i="35"/>
  <c r="H259" i="35"/>
  <c r="G259" i="35"/>
  <c r="F259" i="35" a="1"/>
  <c r="F259" i="35" s="1"/>
  <c r="E259" i="35"/>
  <c r="AH258" i="35"/>
  <c r="AA258" i="35"/>
  <c r="Z258" i="35"/>
  <c r="X258" i="35"/>
  <c r="W258" i="35"/>
  <c r="V258" i="35"/>
  <c r="J258" i="35" a="1"/>
  <c r="J258" i="35" s="1"/>
  <c r="I258" i="35"/>
  <c r="H258" i="35"/>
  <c r="G258" i="35"/>
  <c r="F258" i="35" a="1"/>
  <c r="F258" i="35" s="1"/>
  <c r="E258" i="35"/>
  <c r="AH257" i="35"/>
  <c r="AA257" i="35"/>
  <c r="Z257" i="35"/>
  <c r="X257" i="35"/>
  <c r="W257" i="35"/>
  <c r="V257" i="35"/>
  <c r="J257" i="35" a="1"/>
  <c r="J257" i="35" s="1"/>
  <c r="I257" i="35"/>
  <c r="H257" i="35"/>
  <c r="G257" i="35"/>
  <c r="F257" i="35" a="1"/>
  <c r="F257" i="35" s="1"/>
  <c r="E257" i="35"/>
  <c r="AH256" i="35"/>
  <c r="AA256" i="35"/>
  <c r="Z256" i="35"/>
  <c r="X256" i="35"/>
  <c r="W256" i="35"/>
  <c r="V256" i="35"/>
  <c r="J256" i="35" a="1"/>
  <c r="J256" i="35" s="1"/>
  <c r="I256" i="35"/>
  <c r="H256" i="35"/>
  <c r="G256" i="35"/>
  <c r="F256" i="35" a="1"/>
  <c r="F256" i="35" s="1"/>
  <c r="E256" i="35"/>
  <c r="AH255" i="35"/>
  <c r="AA255" i="35"/>
  <c r="Z255" i="35"/>
  <c r="X255" i="35"/>
  <c r="W255" i="35"/>
  <c r="V255" i="35"/>
  <c r="J255" i="35" a="1"/>
  <c r="J255" i="35" s="1"/>
  <c r="I255" i="35"/>
  <c r="H255" i="35"/>
  <c r="G255" i="35"/>
  <c r="F255" i="35" a="1"/>
  <c r="F255" i="35" s="1"/>
  <c r="E255" i="35"/>
  <c r="AH254" i="35"/>
  <c r="AA254" i="35"/>
  <c r="Z254" i="35"/>
  <c r="X254" i="35"/>
  <c r="W254" i="35"/>
  <c r="V254" i="35"/>
  <c r="J254" i="35" a="1"/>
  <c r="J254" i="35" s="1"/>
  <c r="I254" i="35"/>
  <c r="H254" i="35"/>
  <c r="G254" i="35"/>
  <c r="F254" i="35" a="1"/>
  <c r="F254" i="35" s="1"/>
  <c r="E254" i="35"/>
  <c r="AH253" i="35"/>
  <c r="AA253" i="35"/>
  <c r="Z253" i="35"/>
  <c r="X253" i="35"/>
  <c r="W253" i="35"/>
  <c r="V253" i="35"/>
  <c r="J253" i="35" a="1"/>
  <c r="J253" i="35" s="1"/>
  <c r="I253" i="35"/>
  <c r="H253" i="35"/>
  <c r="G253" i="35"/>
  <c r="F253" i="35" a="1"/>
  <c r="F253" i="35" s="1"/>
  <c r="E253" i="35"/>
  <c r="AH252" i="35"/>
  <c r="AA252" i="35"/>
  <c r="Z252" i="35"/>
  <c r="X252" i="35"/>
  <c r="W252" i="35"/>
  <c r="V252" i="35"/>
  <c r="J252" i="35" a="1"/>
  <c r="J252" i="35" s="1"/>
  <c r="I252" i="35"/>
  <c r="H252" i="35"/>
  <c r="G252" i="35"/>
  <c r="F252" i="35" a="1"/>
  <c r="F252" i="35" s="1"/>
  <c r="E252" i="35"/>
  <c r="AH251" i="35"/>
  <c r="AA251" i="35"/>
  <c r="Z251" i="35"/>
  <c r="X251" i="35"/>
  <c r="W251" i="35"/>
  <c r="V251" i="35"/>
  <c r="J251" i="35" a="1"/>
  <c r="J251" i="35" s="1"/>
  <c r="I251" i="35"/>
  <c r="H251" i="35"/>
  <c r="G251" i="35"/>
  <c r="F251" i="35" a="1"/>
  <c r="F251" i="35" s="1"/>
  <c r="E251" i="35"/>
  <c r="AH250" i="35"/>
  <c r="AA250" i="35"/>
  <c r="Z250" i="35"/>
  <c r="X250" i="35"/>
  <c r="W250" i="35"/>
  <c r="V250" i="35"/>
  <c r="J250" i="35" a="1"/>
  <c r="J250" i="35" s="1"/>
  <c r="I250" i="35"/>
  <c r="H250" i="35"/>
  <c r="G250" i="35"/>
  <c r="F250" i="35" a="1"/>
  <c r="F250" i="35" s="1"/>
  <c r="E250" i="35"/>
  <c r="AH249" i="35"/>
  <c r="AA249" i="35"/>
  <c r="Z249" i="35"/>
  <c r="X249" i="35"/>
  <c r="W249" i="35"/>
  <c r="V249" i="35"/>
  <c r="J249" i="35" a="1"/>
  <c r="J249" i="35" s="1"/>
  <c r="I249" i="35"/>
  <c r="H249" i="35"/>
  <c r="G249" i="35"/>
  <c r="F249" i="35" a="1"/>
  <c r="F249" i="35" s="1"/>
  <c r="E249" i="35"/>
  <c r="AH248" i="35"/>
  <c r="AA248" i="35"/>
  <c r="Z248" i="35"/>
  <c r="X248" i="35"/>
  <c r="W248" i="35"/>
  <c r="V248" i="35"/>
  <c r="J248" i="35" a="1"/>
  <c r="J248" i="35" s="1"/>
  <c r="I248" i="35"/>
  <c r="H248" i="35"/>
  <c r="G248" i="35"/>
  <c r="F248" i="35" a="1"/>
  <c r="F248" i="35" s="1"/>
  <c r="E248" i="35"/>
  <c r="AH247" i="35"/>
  <c r="AA247" i="35"/>
  <c r="Z247" i="35"/>
  <c r="X247" i="35"/>
  <c r="W247" i="35"/>
  <c r="V247" i="35"/>
  <c r="J247" i="35" a="1"/>
  <c r="J247" i="35" s="1"/>
  <c r="I247" i="35"/>
  <c r="H247" i="35"/>
  <c r="G247" i="35"/>
  <c r="F247" i="35" a="1"/>
  <c r="F247" i="35" s="1"/>
  <c r="E247" i="35"/>
  <c r="C247" i="35"/>
  <c r="AH246" i="35"/>
  <c r="AA246" i="35"/>
  <c r="Z246" i="35"/>
  <c r="X246" i="35"/>
  <c r="W246" i="35"/>
  <c r="V246" i="35"/>
  <c r="J246" i="35" a="1"/>
  <c r="J246" i="35" s="1"/>
  <c r="I246" i="35"/>
  <c r="H246" i="35"/>
  <c r="G246" i="35"/>
  <c r="F246" i="35" a="1"/>
  <c r="F246" i="35" s="1"/>
  <c r="E246" i="35"/>
  <c r="AH245" i="35"/>
  <c r="AA245" i="35"/>
  <c r="Z245" i="35"/>
  <c r="X245" i="35"/>
  <c r="W245" i="35"/>
  <c r="V245" i="35"/>
  <c r="J245" i="35" a="1"/>
  <c r="J245" i="35" s="1"/>
  <c r="I245" i="35"/>
  <c r="H245" i="35"/>
  <c r="G245" i="35"/>
  <c r="F245" i="35" a="1"/>
  <c r="F245" i="35" s="1"/>
  <c r="E245" i="35"/>
  <c r="AH244" i="35"/>
  <c r="AA244" i="35"/>
  <c r="Z244" i="35"/>
  <c r="X244" i="35"/>
  <c r="W244" i="35"/>
  <c r="V244" i="35"/>
  <c r="J244" i="35" a="1"/>
  <c r="J244" i="35" s="1"/>
  <c r="I244" i="35"/>
  <c r="H244" i="35"/>
  <c r="G244" i="35"/>
  <c r="F244" i="35" a="1"/>
  <c r="F244" i="35" s="1"/>
  <c r="E244" i="35"/>
  <c r="AH243" i="35"/>
  <c r="AA243" i="35"/>
  <c r="Z243" i="35"/>
  <c r="X243" i="35"/>
  <c r="W243" i="35"/>
  <c r="V243" i="35"/>
  <c r="J243" i="35" a="1"/>
  <c r="J243" i="35" s="1"/>
  <c r="I243" i="35"/>
  <c r="H243" i="35"/>
  <c r="G243" i="35"/>
  <c r="F243" i="35" a="1"/>
  <c r="F243" i="35" s="1"/>
  <c r="E243" i="35"/>
  <c r="AH242" i="35"/>
  <c r="AA242" i="35"/>
  <c r="Z242" i="35"/>
  <c r="X242" i="35"/>
  <c r="W242" i="35"/>
  <c r="V242" i="35"/>
  <c r="J242" i="35" a="1"/>
  <c r="J242" i="35" s="1"/>
  <c r="I242" i="35"/>
  <c r="H242" i="35"/>
  <c r="G242" i="35"/>
  <c r="F242" i="35" a="1"/>
  <c r="F242" i="35" s="1"/>
  <c r="E242" i="35"/>
  <c r="AH241" i="35"/>
  <c r="AA241" i="35"/>
  <c r="Z241" i="35"/>
  <c r="X241" i="35"/>
  <c r="W241" i="35"/>
  <c r="V241" i="35"/>
  <c r="J241" i="35" a="1"/>
  <c r="J241" i="35" s="1"/>
  <c r="I241" i="35"/>
  <c r="H241" i="35"/>
  <c r="G241" i="35"/>
  <c r="F241" i="35" a="1"/>
  <c r="F241" i="35" s="1"/>
  <c r="E241" i="35"/>
  <c r="AH240" i="35"/>
  <c r="AA240" i="35"/>
  <c r="Z240" i="35"/>
  <c r="X240" i="35"/>
  <c r="W240" i="35"/>
  <c r="V240" i="35"/>
  <c r="J240" i="35" a="1"/>
  <c r="J240" i="35" s="1"/>
  <c r="I240" i="35"/>
  <c r="H240" i="35"/>
  <c r="G240" i="35"/>
  <c r="F240" i="35" a="1"/>
  <c r="F240" i="35" s="1"/>
  <c r="E240" i="35"/>
  <c r="AH239" i="35"/>
  <c r="AA239" i="35"/>
  <c r="Z239" i="35"/>
  <c r="X239" i="35"/>
  <c r="W239" i="35"/>
  <c r="V239" i="35"/>
  <c r="J239" i="35" a="1"/>
  <c r="J239" i="35" s="1"/>
  <c r="I239" i="35"/>
  <c r="H239" i="35"/>
  <c r="G239" i="35"/>
  <c r="F239" i="35" a="1"/>
  <c r="F239" i="35" s="1"/>
  <c r="E239" i="35"/>
  <c r="AH238" i="35"/>
  <c r="AA238" i="35"/>
  <c r="Z238" i="35"/>
  <c r="X238" i="35"/>
  <c r="W238" i="35"/>
  <c r="V238" i="35"/>
  <c r="J238" i="35" a="1"/>
  <c r="J238" i="35" s="1"/>
  <c r="I238" i="35"/>
  <c r="H238" i="35"/>
  <c r="G238" i="35"/>
  <c r="F238" i="35" a="1"/>
  <c r="F238" i="35" s="1"/>
  <c r="E238" i="35"/>
  <c r="AH237" i="35"/>
  <c r="AA237" i="35"/>
  <c r="Z237" i="35"/>
  <c r="X237" i="35"/>
  <c r="W237" i="35"/>
  <c r="V237" i="35"/>
  <c r="J237" i="35" a="1"/>
  <c r="J237" i="35" s="1"/>
  <c r="I237" i="35"/>
  <c r="H237" i="35"/>
  <c r="G237" i="35"/>
  <c r="F237" i="35" a="1"/>
  <c r="F237" i="35" s="1"/>
  <c r="E237" i="35"/>
  <c r="AH236" i="35"/>
  <c r="AA236" i="35"/>
  <c r="Z236" i="35"/>
  <c r="X236" i="35"/>
  <c r="W236" i="35"/>
  <c r="V236" i="35"/>
  <c r="J236" i="35" a="1"/>
  <c r="J236" i="35" s="1"/>
  <c r="I236" i="35"/>
  <c r="H236" i="35"/>
  <c r="G236" i="35"/>
  <c r="F236" i="35" a="1"/>
  <c r="F236" i="35" s="1"/>
  <c r="E236" i="35"/>
  <c r="AH235" i="35"/>
  <c r="AA235" i="35"/>
  <c r="Z235" i="35"/>
  <c r="X235" i="35"/>
  <c r="W235" i="35"/>
  <c r="V235" i="35"/>
  <c r="J235" i="35" a="1"/>
  <c r="J235" i="35" s="1"/>
  <c r="I235" i="35"/>
  <c r="H235" i="35"/>
  <c r="G235" i="35"/>
  <c r="F235" i="35" a="1"/>
  <c r="F235" i="35" s="1"/>
  <c r="E235" i="35"/>
  <c r="AH234" i="35"/>
  <c r="AA234" i="35"/>
  <c r="Z234" i="35"/>
  <c r="X234" i="35"/>
  <c r="W234" i="35"/>
  <c r="V234" i="35"/>
  <c r="J234" i="35" a="1"/>
  <c r="J234" i="35" s="1"/>
  <c r="I234" i="35"/>
  <c r="H234" i="35"/>
  <c r="G234" i="35"/>
  <c r="F234" i="35" a="1"/>
  <c r="F234" i="35" s="1"/>
  <c r="E234" i="35"/>
  <c r="AH233" i="35"/>
  <c r="AA233" i="35"/>
  <c r="Z233" i="35"/>
  <c r="X233" i="35"/>
  <c r="W233" i="35"/>
  <c r="V233" i="35"/>
  <c r="J233" i="35" a="1"/>
  <c r="J233" i="35" s="1"/>
  <c r="I233" i="35"/>
  <c r="H233" i="35"/>
  <c r="G233" i="35"/>
  <c r="F233" i="35" a="1"/>
  <c r="F233" i="35" s="1"/>
  <c r="E233" i="35"/>
  <c r="AH232" i="35"/>
  <c r="AA232" i="35"/>
  <c r="Z232" i="35"/>
  <c r="X232" i="35"/>
  <c r="W232" i="35"/>
  <c r="V232" i="35"/>
  <c r="J232" i="35" a="1"/>
  <c r="J232" i="35" s="1"/>
  <c r="I232" i="35"/>
  <c r="H232" i="35"/>
  <c r="G232" i="35"/>
  <c r="F232" i="35" a="1"/>
  <c r="F232" i="35" s="1"/>
  <c r="E232" i="35"/>
  <c r="AH231" i="35"/>
  <c r="AA231" i="35"/>
  <c r="Z231" i="35"/>
  <c r="X231" i="35"/>
  <c r="W231" i="35"/>
  <c r="V231" i="35"/>
  <c r="J231" i="35" a="1"/>
  <c r="J231" i="35" s="1"/>
  <c r="I231" i="35"/>
  <c r="H231" i="35"/>
  <c r="G231" i="35"/>
  <c r="F231" i="35" a="1"/>
  <c r="F231" i="35" s="1"/>
  <c r="E231" i="35"/>
  <c r="AH230" i="35"/>
  <c r="AA230" i="35"/>
  <c r="Z230" i="35"/>
  <c r="X230" i="35"/>
  <c r="W230" i="35"/>
  <c r="V230" i="35"/>
  <c r="N230" i="35"/>
  <c r="J230" i="35" a="1"/>
  <c r="J230" i="35" s="1"/>
  <c r="I230" i="35"/>
  <c r="H230" i="35"/>
  <c r="G230" i="35"/>
  <c r="F230" i="35" a="1"/>
  <c r="F230" i="35" s="1"/>
  <c r="E230" i="35"/>
  <c r="AH229" i="35"/>
  <c r="AA229" i="35"/>
  <c r="Z229" i="35"/>
  <c r="X229" i="35"/>
  <c r="W229" i="35"/>
  <c r="V229" i="35"/>
  <c r="J229" i="35" a="1"/>
  <c r="J229" i="35" s="1"/>
  <c r="I229" i="35"/>
  <c r="H229" i="35"/>
  <c r="G229" i="35"/>
  <c r="F229" i="35" a="1"/>
  <c r="F229" i="35" s="1"/>
  <c r="E229" i="35"/>
  <c r="AH228" i="35"/>
  <c r="AA228" i="35"/>
  <c r="Z228" i="35"/>
  <c r="X228" i="35"/>
  <c r="W228" i="35"/>
  <c r="V228" i="35"/>
  <c r="J228" i="35" a="1"/>
  <c r="J228" i="35" s="1"/>
  <c r="I228" i="35"/>
  <c r="H228" i="35"/>
  <c r="G228" i="35"/>
  <c r="F228" i="35" a="1"/>
  <c r="F228" i="35" s="1"/>
  <c r="E228" i="35"/>
  <c r="AH227" i="35"/>
  <c r="AA227" i="35"/>
  <c r="Z227" i="35"/>
  <c r="X227" i="35"/>
  <c r="W227" i="35"/>
  <c r="V227" i="35"/>
  <c r="J227" i="35" a="1"/>
  <c r="J227" i="35" s="1"/>
  <c r="I227" i="35"/>
  <c r="H227" i="35"/>
  <c r="G227" i="35"/>
  <c r="F227" i="35" a="1"/>
  <c r="F227" i="35" s="1"/>
  <c r="E227" i="35"/>
  <c r="AH226" i="35"/>
  <c r="AA226" i="35"/>
  <c r="Z226" i="35"/>
  <c r="X226" i="35"/>
  <c r="W226" i="35"/>
  <c r="V226" i="35"/>
  <c r="J226" i="35" a="1"/>
  <c r="J226" i="35" s="1"/>
  <c r="I226" i="35"/>
  <c r="H226" i="35"/>
  <c r="G226" i="35"/>
  <c r="F226" i="35" a="1"/>
  <c r="F226" i="35" s="1"/>
  <c r="E226" i="35"/>
  <c r="C226" i="35"/>
  <c r="AH225" i="35"/>
  <c r="AA225" i="35"/>
  <c r="Z225" i="35"/>
  <c r="X225" i="35"/>
  <c r="W225" i="35"/>
  <c r="V225" i="35"/>
  <c r="J225" i="35" a="1"/>
  <c r="J225" i="35" s="1"/>
  <c r="I225" i="35"/>
  <c r="H225" i="35"/>
  <c r="G225" i="35"/>
  <c r="F225" i="35" a="1"/>
  <c r="F225" i="35" s="1"/>
  <c r="E225" i="35"/>
  <c r="C225" i="35"/>
  <c r="AH224" i="35"/>
  <c r="AA224" i="35"/>
  <c r="Z224" i="35"/>
  <c r="X224" i="35"/>
  <c r="W224" i="35"/>
  <c r="V224" i="35"/>
  <c r="J224" i="35" a="1"/>
  <c r="J224" i="35" s="1"/>
  <c r="I224" i="35"/>
  <c r="H224" i="35"/>
  <c r="G224" i="35"/>
  <c r="F224" i="35" a="1"/>
  <c r="F224" i="35" s="1"/>
  <c r="E224" i="35"/>
  <c r="C224" i="35"/>
  <c r="AH223" i="35"/>
  <c r="AA223" i="35"/>
  <c r="Z223" i="35"/>
  <c r="X223" i="35"/>
  <c r="W223" i="35"/>
  <c r="V223" i="35"/>
  <c r="J223" i="35" a="1"/>
  <c r="J223" i="35" s="1"/>
  <c r="I223" i="35"/>
  <c r="H223" i="35"/>
  <c r="G223" i="35"/>
  <c r="F223" i="35" a="1"/>
  <c r="F223" i="35" s="1"/>
  <c r="E223" i="35"/>
  <c r="AH222" i="35"/>
  <c r="AA222" i="35"/>
  <c r="Z222" i="35"/>
  <c r="X222" i="35"/>
  <c r="W222" i="35"/>
  <c r="V222" i="35"/>
  <c r="J222" i="35" a="1"/>
  <c r="J222" i="35" s="1"/>
  <c r="I222" i="35"/>
  <c r="H222" i="35"/>
  <c r="G222" i="35"/>
  <c r="F222" i="35" a="1"/>
  <c r="F222" i="35" s="1"/>
  <c r="E222" i="35"/>
  <c r="AH221" i="35"/>
  <c r="AA221" i="35"/>
  <c r="Z221" i="35"/>
  <c r="X221" i="35"/>
  <c r="W221" i="35"/>
  <c r="V221" i="35"/>
  <c r="J221" i="35" a="1"/>
  <c r="J221" i="35" s="1"/>
  <c r="I221" i="35"/>
  <c r="H221" i="35"/>
  <c r="G221" i="35"/>
  <c r="F221" i="35" a="1"/>
  <c r="F221" i="35" s="1"/>
  <c r="E221" i="35"/>
  <c r="AH220" i="35"/>
  <c r="AA220" i="35"/>
  <c r="Z220" i="35"/>
  <c r="X220" i="35"/>
  <c r="W220" i="35"/>
  <c r="V220" i="35"/>
  <c r="J220" i="35" a="1"/>
  <c r="J220" i="35" s="1"/>
  <c r="I220" i="35"/>
  <c r="H220" i="35"/>
  <c r="G220" i="35"/>
  <c r="F220" i="35" a="1"/>
  <c r="F220" i="35" s="1"/>
  <c r="E220" i="35"/>
  <c r="AH219" i="35"/>
  <c r="AA219" i="35"/>
  <c r="Z219" i="35"/>
  <c r="X219" i="35"/>
  <c r="W219" i="35"/>
  <c r="V219" i="35"/>
  <c r="J219" i="35" a="1"/>
  <c r="J219" i="35" s="1"/>
  <c r="I219" i="35"/>
  <c r="H219" i="35"/>
  <c r="G219" i="35"/>
  <c r="F219" i="35" a="1"/>
  <c r="F219" i="35" s="1"/>
  <c r="E219" i="35"/>
  <c r="AH218" i="35"/>
  <c r="AA218" i="35"/>
  <c r="Z218" i="35"/>
  <c r="X218" i="35"/>
  <c r="W218" i="35"/>
  <c r="V218" i="35"/>
  <c r="J218" i="35" a="1"/>
  <c r="J218" i="35" s="1"/>
  <c r="I218" i="35"/>
  <c r="H218" i="35"/>
  <c r="G218" i="35"/>
  <c r="F218" i="35" a="1"/>
  <c r="F218" i="35" s="1"/>
  <c r="E218" i="35"/>
  <c r="AH217" i="35"/>
  <c r="AA217" i="35"/>
  <c r="Z217" i="35"/>
  <c r="X217" i="35"/>
  <c r="W217" i="35"/>
  <c r="V217" i="35"/>
  <c r="J217" i="35" a="1"/>
  <c r="J217" i="35" s="1"/>
  <c r="I217" i="35"/>
  <c r="H217" i="35"/>
  <c r="G217" i="35"/>
  <c r="F217" i="35" a="1"/>
  <c r="F217" i="35" s="1"/>
  <c r="E217" i="35"/>
  <c r="AH216" i="35"/>
  <c r="AA216" i="35"/>
  <c r="Z216" i="35"/>
  <c r="X216" i="35"/>
  <c r="W216" i="35"/>
  <c r="V216" i="35"/>
  <c r="J216" i="35" a="1"/>
  <c r="J216" i="35" s="1"/>
  <c r="I216" i="35"/>
  <c r="H216" i="35"/>
  <c r="G216" i="35"/>
  <c r="F216" i="35" a="1"/>
  <c r="F216" i="35" s="1"/>
  <c r="E216" i="35"/>
  <c r="AH215" i="35"/>
  <c r="AA215" i="35"/>
  <c r="Z215" i="35"/>
  <c r="X215" i="35"/>
  <c r="W215" i="35"/>
  <c r="V215" i="35"/>
  <c r="J215" i="35" a="1"/>
  <c r="J215" i="35" s="1"/>
  <c r="I215" i="35"/>
  <c r="H215" i="35"/>
  <c r="G215" i="35"/>
  <c r="F215" i="35" a="1"/>
  <c r="F215" i="35" s="1"/>
  <c r="E215" i="35"/>
  <c r="AH214" i="35"/>
  <c r="AA214" i="35"/>
  <c r="Z214" i="35"/>
  <c r="X214" i="35"/>
  <c r="W214" i="35"/>
  <c r="V214" i="35"/>
  <c r="J214" i="35" a="1"/>
  <c r="J214" i="35" s="1"/>
  <c r="I214" i="35"/>
  <c r="H214" i="35"/>
  <c r="G214" i="35"/>
  <c r="F214" i="35" a="1"/>
  <c r="F214" i="35" s="1"/>
  <c r="E214" i="35"/>
  <c r="AH213" i="35"/>
  <c r="AA213" i="35"/>
  <c r="Z213" i="35"/>
  <c r="X213" i="35"/>
  <c r="W213" i="35"/>
  <c r="V213" i="35"/>
  <c r="J213" i="35" a="1"/>
  <c r="J213" i="35" s="1"/>
  <c r="I213" i="35"/>
  <c r="H213" i="35"/>
  <c r="G213" i="35"/>
  <c r="F213" i="35" a="1"/>
  <c r="F213" i="35" s="1"/>
  <c r="E213" i="35"/>
  <c r="AH212" i="35"/>
  <c r="AA212" i="35"/>
  <c r="Z212" i="35"/>
  <c r="X212" i="35"/>
  <c r="W212" i="35"/>
  <c r="V212" i="35"/>
  <c r="J212" i="35" a="1"/>
  <c r="J212" i="35" s="1"/>
  <c r="I212" i="35"/>
  <c r="H212" i="35"/>
  <c r="G212" i="35"/>
  <c r="F212" i="35" a="1"/>
  <c r="F212" i="35" s="1"/>
  <c r="E212" i="35"/>
  <c r="AH211" i="35"/>
  <c r="AA211" i="35"/>
  <c r="Z211" i="35"/>
  <c r="X211" i="35"/>
  <c r="W211" i="35"/>
  <c r="V211" i="35"/>
  <c r="J211" i="35" a="1"/>
  <c r="J211" i="35" s="1"/>
  <c r="I211" i="35"/>
  <c r="H211" i="35"/>
  <c r="G211" i="35"/>
  <c r="F211" i="35" a="1"/>
  <c r="F211" i="35" s="1"/>
  <c r="E211" i="35"/>
  <c r="AH210" i="35"/>
  <c r="AA210" i="35"/>
  <c r="Z210" i="35"/>
  <c r="X210" i="35"/>
  <c r="W210" i="35"/>
  <c r="V210" i="35"/>
  <c r="J210" i="35" a="1"/>
  <c r="J210" i="35" s="1"/>
  <c r="I210" i="35"/>
  <c r="H210" i="35"/>
  <c r="G210" i="35"/>
  <c r="F210" i="35" a="1"/>
  <c r="F210" i="35" s="1"/>
  <c r="E210" i="35"/>
  <c r="AH209" i="35"/>
  <c r="AA209" i="35"/>
  <c r="Z209" i="35"/>
  <c r="X209" i="35"/>
  <c r="W209" i="35"/>
  <c r="V209" i="35"/>
  <c r="J209" i="35" a="1"/>
  <c r="J209" i="35" s="1"/>
  <c r="I209" i="35"/>
  <c r="H209" i="35"/>
  <c r="G209" i="35"/>
  <c r="F209" i="35" a="1"/>
  <c r="F209" i="35" s="1"/>
  <c r="E209" i="35"/>
  <c r="AH208" i="35"/>
  <c r="AA208" i="35"/>
  <c r="Z208" i="35"/>
  <c r="X208" i="35"/>
  <c r="W208" i="35"/>
  <c r="V208" i="35"/>
  <c r="J208" i="35" a="1"/>
  <c r="J208" i="35" s="1"/>
  <c r="I208" i="35"/>
  <c r="H208" i="35"/>
  <c r="G208" i="35"/>
  <c r="F208" i="35" a="1"/>
  <c r="F208" i="35" s="1"/>
  <c r="E208" i="35"/>
  <c r="AH207" i="35"/>
  <c r="AA207" i="35"/>
  <c r="Z207" i="35"/>
  <c r="X207" i="35"/>
  <c r="W207" i="35"/>
  <c r="V207" i="35"/>
  <c r="J207" i="35" a="1"/>
  <c r="J207" i="35" s="1"/>
  <c r="I207" i="35"/>
  <c r="H207" i="35"/>
  <c r="G207" i="35"/>
  <c r="F207" i="35" a="1"/>
  <c r="F207" i="35" s="1"/>
  <c r="E207" i="35"/>
  <c r="AH206" i="35"/>
  <c r="AA206" i="35"/>
  <c r="Z206" i="35"/>
  <c r="X206" i="35"/>
  <c r="W206" i="35"/>
  <c r="V206" i="35"/>
  <c r="J206" i="35" a="1"/>
  <c r="J206" i="35" s="1"/>
  <c r="I206" i="35"/>
  <c r="H206" i="35"/>
  <c r="G206" i="35"/>
  <c r="F206" i="35" a="1"/>
  <c r="F206" i="35" s="1"/>
  <c r="E206" i="35"/>
  <c r="AH205" i="35"/>
  <c r="AA205" i="35"/>
  <c r="Z205" i="35"/>
  <c r="X205" i="35"/>
  <c r="W205" i="35"/>
  <c r="V205" i="35"/>
  <c r="J205" i="35" a="1"/>
  <c r="J205" i="35" s="1"/>
  <c r="I205" i="35"/>
  <c r="H205" i="35"/>
  <c r="G205" i="35"/>
  <c r="F205" i="35" a="1"/>
  <c r="F205" i="35" s="1"/>
  <c r="E205" i="35"/>
  <c r="AH204" i="35"/>
  <c r="AA204" i="35"/>
  <c r="Z204" i="35"/>
  <c r="X204" i="35"/>
  <c r="W204" i="35"/>
  <c r="V204" i="35"/>
  <c r="J204" i="35" a="1"/>
  <c r="J204" i="35" s="1"/>
  <c r="I204" i="35"/>
  <c r="H204" i="35"/>
  <c r="G204" i="35"/>
  <c r="F204" i="35" a="1"/>
  <c r="F204" i="35" s="1"/>
  <c r="E204" i="35"/>
  <c r="AH203" i="35"/>
  <c r="AA203" i="35"/>
  <c r="Z203" i="35"/>
  <c r="X203" i="35"/>
  <c r="W203" i="35"/>
  <c r="V203" i="35"/>
  <c r="J203" i="35" a="1"/>
  <c r="J203" i="35" s="1"/>
  <c r="I203" i="35"/>
  <c r="H203" i="35"/>
  <c r="G203" i="35"/>
  <c r="F203" i="35" a="1"/>
  <c r="F203" i="35" s="1"/>
  <c r="E203" i="35"/>
  <c r="AH202" i="35"/>
  <c r="AA202" i="35"/>
  <c r="Z202" i="35"/>
  <c r="X202" i="35"/>
  <c r="W202" i="35"/>
  <c r="V202" i="35"/>
  <c r="J202" i="35" a="1"/>
  <c r="J202" i="35" s="1"/>
  <c r="I202" i="35"/>
  <c r="H202" i="35"/>
  <c r="G202" i="35"/>
  <c r="F202" i="35" a="1"/>
  <c r="F202" i="35" s="1"/>
  <c r="E202" i="35"/>
  <c r="AH201" i="35"/>
  <c r="AA201" i="35"/>
  <c r="Z201" i="35"/>
  <c r="X201" i="35"/>
  <c r="W201" i="35"/>
  <c r="V201" i="35"/>
  <c r="J201" i="35" a="1"/>
  <c r="J201" i="35" s="1"/>
  <c r="I201" i="35"/>
  <c r="H201" i="35"/>
  <c r="G201" i="35"/>
  <c r="F201" i="35" a="1"/>
  <c r="F201" i="35" s="1"/>
  <c r="E201" i="35"/>
  <c r="AH200" i="35"/>
  <c r="AA200" i="35"/>
  <c r="Z200" i="35"/>
  <c r="X200" i="35"/>
  <c r="W200" i="35"/>
  <c r="V200" i="35"/>
  <c r="J200" i="35" a="1"/>
  <c r="J200" i="35" s="1"/>
  <c r="I200" i="35"/>
  <c r="H200" i="35"/>
  <c r="G200" i="35"/>
  <c r="F200" i="35" a="1"/>
  <c r="F200" i="35" s="1"/>
  <c r="E200" i="35"/>
  <c r="AH199" i="35"/>
  <c r="AA199" i="35"/>
  <c r="Z199" i="35"/>
  <c r="X199" i="35"/>
  <c r="W199" i="35"/>
  <c r="V199" i="35"/>
  <c r="J199" i="35" a="1"/>
  <c r="J199" i="35" s="1"/>
  <c r="I199" i="35"/>
  <c r="H199" i="35"/>
  <c r="G199" i="35"/>
  <c r="F199" i="35" a="1"/>
  <c r="F199" i="35" s="1"/>
  <c r="E199" i="35"/>
  <c r="AH198" i="35"/>
  <c r="AA198" i="35"/>
  <c r="Z198" i="35"/>
  <c r="X198" i="35"/>
  <c r="W198" i="35"/>
  <c r="V198" i="35"/>
  <c r="J198" i="35" a="1"/>
  <c r="J198" i="35" s="1"/>
  <c r="I198" i="35"/>
  <c r="H198" i="35"/>
  <c r="G198" i="35"/>
  <c r="F198" i="35" a="1"/>
  <c r="F198" i="35" s="1"/>
  <c r="E198" i="35"/>
  <c r="AH197" i="35"/>
  <c r="AA197" i="35"/>
  <c r="Z197" i="35"/>
  <c r="X197" i="35"/>
  <c r="W197" i="35"/>
  <c r="V197" i="35"/>
  <c r="J197" i="35" a="1"/>
  <c r="J197" i="35" s="1"/>
  <c r="I197" i="35"/>
  <c r="H197" i="35"/>
  <c r="G197" i="35"/>
  <c r="F197" i="35" a="1"/>
  <c r="F197" i="35" s="1"/>
  <c r="E197" i="35"/>
  <c r="AH196" i="35"/>
  <c r="AA196" i="35"/>
  <c r="Z196" i="35"/>
  <c r="X196" i="35"/>
  <c r="W196" i="35"/>
  <c r="V196" i="35"/>
  <c r="J196" i="35" a="1"/>
  <c r="J196" i="35" s="1"/>
  <c r="I196" i="35"/>
  <c r="H196" i="35"/>
  <c r="G196" i="35"/>
  <c r="F196" i="35" a="1"/>
  <c r="F196" i="35" s="1"/>
  <c r="E196" i="35"/>
  <c r="AH195" i="35"/>
  <c r="AA195" i="35"/>
  <c r="Z195" i="35"/>
  <c r="X195" i="35"/>
  <c r="W195" i="35"/>
  <c r="V195" i="35"/>
  <c r="J195" i="35" a="1"/>
  <c r="J195" i="35" s="1"/>
  <c r="I195" i="35"/>
  <c r="H195" i="35"/>
  <c r="G195" i="35"/>
  <c r="F195" i="35" a="1"/>
  <c r="F195" i="35" s="1"/>
  <c r="E195" i="35"/>
  <c r="AH194" i="35"/>
  <c r="AA194" i="35"/>
  <c r="Z194" i="35"/>
  <c r="X194" i="35"/>
  <c r="W194" i="35"/>
  <c r="V194" i="35"/>
  <c r="J194" i="35" a="1"/>
  <c r="J194" i="35" s="1"/>
  <c r="I194" i="35"/>
  <c r="H194" i="35"/>
  <c r="G194" i="35"/>
  <c r="F194" i="35" a="1"/>
  <c r="F194" i="35" s="1"/>
  <c r="E194" i="35"/>
  <c r="AH193" i="35"/>
  <c r="AA193" i="35"/>
  <c r="Z193" i="35"/>
  <c r="X193" i="35"/>
  <c r="W193" i="35"/>
  <c r="V193" i="35"/>
  <c r="J193" i="35" a="1"/>
  <c r="J193" i="35" s="1"/>
  <c r="I193" i="35"/>
  <c r="H193" i="35"/>
  <c r="G193" i="35"/>
  <c r="F193" i="35" a="1"/>
  <c r="F193" i="35" s="1"/>
  <c r="E193" i="35"/>
  <c r="AH192" i="35"/>
  <c r="AA192" i="35"/>
  <c r="Z192" i="35"/>
  <c r="X192" i="35"/>
  <c r="W192" i="35"/>
  <c r="V192" i="35"/>
  <c r="J192" i="35" a="1"/>
  <c r="J192" i="35" s="1"/>
  <c r="I192" i="35"/>
  <c r="H192" i="35"/>
  <c r="G192" i="35"/>
  <c r="F192" i="35" a="1"/>
  <c r="F192" i="35" s="1"/>
  <c r="E192" i="35"/>
  <c r="AH191" i="35"/>
  <c r="AA191" i="35"/>
  <c r="Z191" i="35"/>
  <c r="X191" i="35"/>
  <c r="W191" i="35"/>
  <c r="V191" i="35"/>
  <c r="J191" i="35" a="1"/>
  <c r="J191" i="35" s="1"/>
  <c r="I191" i="35"/>
  <c r="H191" i="35"/>
  <c r="G191" i="35"/>
  <c r="F191" i="35" a="1"/>
  <c r="F191" i="35" s="1"/>
  <c r="E191" i="35"/>
  <c r="AH190" i="35"/>
  <c r="AA190" i="35"/>
  <c r="Z190" i="35"/>
  <c r="X190" i="35"/>
  <c r="W190" i="35"/>
  <c r="V190" i="35"/>
  <c r="J190" i="35" a="1"/>
  <c r="J190" i="35" s="1"/>
  <c r="I190" i="35"/>
  <c r="H190" i="35"/>
  <c r="G190" i="35"/>
  <c r="F190" i="35" a="1"/>
  <c r="F190" i="35" s="1"/>
  <c r="E190" i="35"/>
  <c r="AH189" i="35"/>
  <c r="AA189" i="35"/>
  <c r="Z189" i="35"/>
  <c r="X189" i="35"/>
  <c r="W189" i="35"/>
  <c r="V189" i="35"/>
  <c r="J189" i="35" a="1"/>
  <c r="J189" i="35" s="1"/>
  <c r="I189" i="35"/>
  <c r="H189" i="35"/>
  <c r="G189" i="35"/>
  <c r="F189" i="35" a="1"/>
  <c r="F189" i="35" s="1"/>
  <c r="E189" i="35"/>
  <c r="AH188" i="35"/>
  <c r="AA188" i="35"/>
  <c r="Z188" i="35"/>
  <c r="X188" i="35"/>
  <c r="W188" i="35"/>
  <c r="V188" i="35"/>
  <c r="J188" i="35" a="1"/>
  <c r="J188" i="35" s="1"/>
  <c r="I188" i="35"/>
  <c r="H188" i="35"/>
  <c r="G188" i="35"/>
  <c r="F188" i="35" a="1"/>
  <c r="F188" i="35" s="1"/>
  <c r="E188" i="35"/>
  <c r="AH187" i="35"/>
  <c r="AA187" i="35"/>
  <c r="Z187" i="35"/>
  <c r="X187" i="35"/>
  <c r="W187" i="35"/>
  <c r="V187" i="35"/>
  <c r="J187" i="35" a="1"/>
  <c r="J187" i="35" s="1"/>
  <c r="I187" i="35"/>
  <c r="H187" i="35"/>
  <c r="G187" i="35"/>
  <c r="F187" i="35" a="1"/>
  <c r="F187" i="35" s="1"/>
  <c r="E187" i="35"/>
  <c r="AH186" i="35"/>
  <c r="AA186" i="35"/>
  <c r="Z186" i="35"/>
  <c r="X186" i="35"/>
  <c r="W186" i="35"/>
  <c r="V186" i="35"/>
  <c r="J186" i="35" a="1"/>
  <c r="J186" i="35" s="1"/>
  <c r="I186" i="35"/>
  <c r="H186" i="35"/>
  <c r="G186" i="35"/>
  <c r="F186" i="35" a="1"/>
  <c r="F186" i="35" s="1"/>
  <c r="E186" i="35"/>
  <c r="AH185" i="35"/>
  <c r="AA185" i="35"/>
  <c r="Z185" i="35"/>
  <c r="X185" i="35"/>
  <c r="W185" i="35"/>
  <c r="V185" i="35"/>
  <c r="J185" i="35" a="1"/>
  <c r="J185" i="35" s="1"/>
  <c r="I185" i="35"/>
  <c r="H185" i="35"/>
  <c r="G185" i="35"/>
  <c r="F185" i="35" a="1"/>
  <c r="F185" i="35" s="1"/>
  <c r="E185" i="35"/>
  <c r="AH184" i="35"/>
  <c r="AA184" i="35"/>
  <c r="Z184" i="35"/>
  <c r="X184" i="35"/>
  <c r="W184" i="35"/>
  <c r="V184" i="35"/>
  <c r="J184" i="35" a="1"/>
  <c r="J184" i="35" s="1"/>
  <c r="I184" i="35"/>
  <c r="H184" i="35"/>
  <c r="G184" i="35"/>
  <c r="F184" i="35" a="1"/>
  <c r="F184" i="35" s="1"/>
  <c r="E184" i="35"/>
  <c r="AH183" i="35"/>
  <c r="AA183" i="35"/>
  <c r="Z183" i="35"/>
  <c r="X183" i="35"/>
  <c r="W183" i="35"/>
  <c r="V183" i="35"/>
  <c r="J183" i="35" a="1"/>
  <c r="J183" i="35" s="1"/>
  <c r="I183" i="35"/>
  <c r="H183" i="35"/>
  <c r="G183" i="35"/>
  <c r="F183" i="35" a="1"/>
  <c r="F183" i="35" s="1"/>
  <c r="E183" i="35"/>
  <c r="AH182" i="35"/>
  <c r="AA182" i="35"/>
  <c r="Z182" i="35"/>
  <c r="X182" i="35"/>
  <c r="W182" i="35"/>
  <c r="V182" i="35"/>
  <c r="J182" i="35" a="1"/>
  <c r="J182" i="35" s="1"/>
  <c r="I182" i="35"/>
  <c r="H182" i="35"/>
  <c r="G182" i="35"/>
  <c r="F182" i="35" a="1"/>
  <c r="F182" i="35" s="1"/>
  <c r="E182" i="35"/>
  <c r="AH181" i="35"/>
  <c r="AA181" i="35"/>
  <c r="Z181" i="35"/>
  <c r="X181" i="35"/>
  <c r="W181" i="35"/>
  <c r="V181" i="35"/>
  <c r="J181" i="35" a="1"/>
  <c r="J181" i="35" s="1"/>
  <c r="I181" i="35"/>
  <c r="H181" i="35"/>
  <c r="G181" i="35"/>
  <c r="F181" i="35" a="1"/>
  <c r="F181" i="35" s="1"/>
  <c r="E181" i="35"/>
  <c r="AH180" i="35"/>
  <c r="AA180" i="35"/>
  <c r="Z180" i="35"/>
  <c r="X180" i="35"/>
  <c r="W180" i="35"/>
  <c r="V180" i="35"/>
  <c r="J180" i="35" a="1"/>
  <c r="J180" i="35" s="1"/>
  <c r="I180" i="35"/>
  <c r="H180" i="35"/>
  <c r="G180" i="35"/>
  <c r="F180" i="35" a="1"/>
  <c r="F180" i="35" s="1"/>
  <c r="E180" i="35"/>
  <c r="AH179" i="35"/>
  <c r="AA179" i="35"/>
  <c r="Z179" i="35"/>
  <c r="X179" i="35"/>
  <c r="W179" i="35"/>
  <c r="V179" i="35"/>
  <c r="J179" i="35" a="1"/>
  <c r="J179" i="35" s="1"/>
  <c r="I179" i="35"/>
  <c r="H179" i="35"/>
  <c r="G179" i="35"/>
  <c r="F179" i="35" a="1"/>
  <c r="F179" i="35" s="1"/>
  <c r="E179" i="35"/>
  <c r="AH178" i="35"/>
  <c r="AA178" i="35"/>
  <c r="Z178" i="35"/>
  <c r="X178" i="35"/>
  <c r="W178" i="35"/>
  <c r="V178" i="35"/>
  <c r="J178" i="35" a="1"/>
  <c r="J178" i="35" s="1"/>
  <c r="I178" i="35"/>
  <c r="H178" i="35"/>
  <c r="G178" i="35"/>
  <c r="F178" i="35" a="1"/>
  <c r="F178" i="35" s="1"/>
  <c r="E178" i="35"/>
  <c r="AH177" i="35"/>
  <c r="AA177" i="35"/>
  <c r="Z177" i="35"/>
  <c r="X177" i="35"/>
  <c r="W177" i="35"/>
  <c r="V177" i="35"/>
  <c r="J177" i="35" a="1"/>
  <c r="J177" i="35" s="1"/>
  <c r="I177" i="35"/>
  <c r="H177" i="35"/>
  <c r="G177" i="35"/>
  <c r="F177" i="35" a="1"/>
  <c r="F177" i="35" s="1"/>
  <c r="E177" i="35"/>
  <c r="AH176" i="35"/>
  <c r="AA176" i="35"/>
  <c r="Z176" i="35"/>
  <c r="X176" i="35"/>
  <c r="W176" i="35"/>
  <c r="V176" i="35"/>
  <c r="J176" i="35" a="1"/>
  <c r="J176" i="35" s="1"/>
  <c r="I176" i="35"/>
  <c r="H176" i="35"/>
  <c r="G176" i="35"/>
  <c r="F176" i="35" a="1"/>
  <c r="F176" i="35" s="1"/>
  <c r="E176" i="35"/>
  <c r="AH175" i="35"/>
  <c r="AA175" i="35"/>
  <c r="Z175" i="35"/>
  <c r="X175" i="35"/>
  <c r="W175" i="35"/>
  <c r="V175" i="35"/>
  <c r="J175" i="35" a="1"/>
  <c r="J175" i="35" s="1"/>
  <c r="I175" i="35"/>
  <c r="H175" i="35"/>
  <c r="G175" i="35"/>
  <c r="F175" i="35" a="1"/>
  <c r="F175" i="35" s="1"/>
  <c r="E175" i="35"/>
  <c r="AH174" i="35"/>
  <c r="AA174" i="35"/>
  <c r="Z174" i="35"/>
  <c r="X174" i="35"/>
  <c r="W174" i="35"/>
  <c r="V174" i="35"/>
  <c r="J174" i="35" a="1"/>
  <c r="J174" i="35" s="1"/>
  <c r="I174" i="35"/>
  <c r="H174" i="35"/>
  <c r="G174" i="35"/>
  <c r="F174" i="35" a="1"/>
  <c r="F174" i="35" s="1"/>
  <c r="E174" i="35"/>
  <c r="AH173" i="35"/>
  <c r="AA173" i="35"/>
  <c r="Z173" i="35"/>
  <c r="X173" i="35"/>
  <c r="W173" i="35"/>
  <c r="V173" i="35"/>
  <c r="J173" i="35" a="1"/>
  <c r="J173" i="35" s="1"/>
  <c r="I173" i="35"/>
  <c r="H173" i="35"/>
  <c r="G173" i="35"/>
  <c r="F173" i="35" a="1"/>
  <c r="F173" i="35" s="1"/>
  <c r="E173" i="35"/>
  <c r="AH172" i="35"/>
  <c r="AA172" i="35"/>
  <c r="Z172" i="35"/>
  <c r="X172" i="35"/>
  <c r="W172" i="35"/>
  <c r="V172" i="35"/>
  <c r="J172" i="35" a="1"/>
  <c r="J172" i="35" s="1"/>
  <c r="I172" i="35"/>
  <c r="H172" i="35"/>
  <c r="G172" i="35"/>
  <c r="F172" i="35" a="1"/>
  <c r="F172" i="35" s="1"/>
  <c r="E172" i="35"/>
  <c r="AH171" i="35"/>
  <c r="AA171" i="35"/>
  <c r="Z171" i="35"/>
  <c r="X171" i="35"/>
  <c r="W171" i="35"/>
  <c r="V171" i="35"/>
  <c r="J171" i="35" a="1"/>
  <c r="J171" i="35" s="1"/>
  <c r="I171" i="35"/>
  <c r="H171" i="35"/>
  <c r="G171" i="35"/>
  <c r="F171" i="35" a="1"/>
  <c r="F171" i="35" s="1"/>
  <c r="E171" i="35"/>
  <c r="AH170" i="35"/>
  <c r="AA170" i="35"/>
  <c r="Z170" i="35"/>
  <c r="X170" i="35"/>
  <c r="W170" i="35"/>
  <c r="V170" i="35"/>
  <c r="J170" i="35" a="1"/>
  <c r="J170" i="35" s="1"/>
  <c r="I170" i="35"/>
  <c r="H170" i="35"/>
  <c r="G170" i="35"/>
  <c r="F170" i="35" a="1"/>
  <c r="F170" i="35" s="1"/>
  <c r="E170" i="35"/>
  <c r="AH169" i="35"/>
  <c r="AA169" i="35"/>
  <c r="Z169" i="35"/>
  <c r="X169" i="35"/>
  <c r="W169" i="35"/>
  <c r="V169" i="35"/>
  <c r="J169" i="35" a="1"/>
  <c r="J169" i="35" s="1"/>
  <c r="I169" i="35"/>
  <c r="H169" i="35"/>
  <c r="G169" i="35"/>
  <c r="F169" i="35" a="1"/>
  <c r="F169" i="35" s="1"/>
  <c r="E169" i="35"/>
  <c r="AH168" i="35"/>
  <c r="AA168" i="35"/>
  <c r="Z168" i="35"/>
  <c r="X168" i="35"/>
  <c r="W168" i="35"/>
  <c r="V168" i="35"/>
  <c r="J168" i="35" a="1"/>
  <c r="J168" i="35" s="1"/>
  <c r="I168" i="35"/>
  <c r="H168" i="35"/>
  <c r="G168" i="35"/>
  <c r="F168" i="35" a="1"/>
  <c r="F168" i="35" s="1"/>
  <c r="E168" i="35"/>
  <c r="AH167" i="35"/>
  <c r="AA167" i="35"/>
  <c r="Z167" i="35"/>
  <c r="X167" i="35"/>
  <c r="W167" i="35"/>
  <c r="V167" i="35"/>
  <c r="J167" i="35" a="1"/>
  <c r="J167" i="35" s="1"/>
  <c r="I167" i="35"/>
  <c r="H167" i="35"/>
  <c r="G167" i="35"/>
  <c r="F167" i="35" a="1"/>
  <c r="F167" i="35" s="1"/>
  <c r="E167" i="35"/>
  <c r="AH166" i="35"/>
  <c r="AA166" i="35"/>
  <c r="Z166" i="35"/>
  <c r="X166" i="35"/>
  <c r="W166" i="35"/>
  <c r="V166" i="35"/>
  <c r="J166" i="35" a="1"/>
  <c r="J166" i="35" s="1"/>
  <c r="I166" i="35"/>
  <c r="H166" i="35"/>
  <c r="G166" i="35"/>
  <c r="F166" i="35" a="1"/>
  <c r="F166" i="35" s="1"/>
  <c r="E166" i="35"/>
  <c r="AH165" i="35"/>
  <c r="AA165" i="35"/>
  <c r="Z165" i="35"/>
  <c r="X165" i="35"/>
  <c r="W165" i="35"/>
  <c r="V165" i="35"/>
  <c r="J165" i="35" a="1"/>
  <c r="J165" i="35" s="1"/>
  <c r="I165" i="35"/>
  <c r="H165" i="35"/>
  <c r="G165" i="35"/>
  <c r="F165" i="35" a="1"/>
  <c r="F165" i="35" s="1"/>
  <c r="E165" i="35"/>
  <c r="AH164" i="35"/>
  <c r="AA164" i="35"/>
  <c r="Z164" i="35"/>
  <c r="X164" i="35"/>
  <c r="W164" i="35"/>
  <c r="V164" i="35"/>
  <c r="J164" i="35" a="1"/>
  <c r="J164" i="35" s="1"/>
  <c r="I164" i="35"/>
  <c r="H164" i="35"/>
  <c r="G164" i="35"/>
  <c r="F164" i="35" a="1"/>
  <c r="F164" i="35" s="1"/>
  <c r="E164" i="35"/>
  <c r="AH163" i="35"/>
  <c r="AA163" i="35"/>
  <c r="Z163" i="35"/>
  <c r="X163" i="35"/>
  <c r="W163" i="35"/>
  <c r="V163" i="35"/>
  <c r="J163" i="35" a="1"/>
  <c r="J163" i="35" s="1"/>
  <c r="I163" i="35"/>
  <c r="H163" i="35"/>
  <c r="G163" i="35"/>
  <c r="F163" i="35" a="1"/>
  <c r="F163" i="35" s="1"/>
  <c r="E163" i="35"/>
  <c r="C163" i="35"/>
  <c r="AH162" i="35"/>
  <c r="AA162" i="35"/>
  <c r="Z162" i="35"/>
  <c r="X162" i="35"/>
  <c r="W162" i="35"/>
  <c r="V162" i="35"/>
  <c r="J162" i="35" a="1"/>
  <c r="J162" i="35" s="1"/>
  <c r="I162" i="35"/>
  <c r="H162" i="35"/>
  <c r="G162" i="35"/>
  <c r="F162" i="35" a="1"/>
  <c r="F162" i="35" s="1"/>
  <c r="E162" i="35"/>
  <c r="C162" i="35"/>
  <c r="AH161" i="35"/>
  <c r="AA161" i="35"/>
  <c r="Z161" i="35"/>
  <c r="X161" i="35"/>
  <c r="W161" i="35"/>
  <c r="V161" i="35"/>
  <c r="J161" i="35" a="1"/>
  <c r="J161" i="35" s="1"/>
  <c r="I161" i="35"/>
  <c r="H161" i="35"/>
  <c r="G161" i="35"/>
  <c r="F161" i="35" a="1"/>
  <c r="F161" i="35" s="1"/>
  <c r="E161" i="35"/>
  <c r="C161" i="35"/>
  <c r="AH160" i="35"/>
  <c r="AA160" i="35"/>
  <c r="Z160" i="35"/>
  <c r="X160" i="35"/>
  <c r="W160" i="35"/>
  <c r="V160" i="35"/>
  <c r="J160" i="35" a="1"/>
  <c r="J160" i="35" s="1"/>
  <c r="I160" i="35"/>
  <c r="H160" i="35"/>
  <c r="G160" i="35"/>
  <c r="F160" i="35" a="1"/>
  <c r="F160" i="35" s="1"/>
  <c r="E160" i="35"/>
  <c r="C160" i="35"/>
  <c r="AH159" i="35"/>
  <c r="AA159" i="35"/>
  <c r="Z159" i="35"/>
  <c r="X159" i="35"/>
  <c r="W159" i="35"/>
  <c r="V159" i="35"/>
  <c r="J159" i="35" a="1"/>
  <c r="J159" i="35" s="1"/>
  <c r="I159" i="35"/>
  <c r="H159" i="35"/>
  <c r="G159" i="35"/>
  <c r="F159" i="35" a="1"/>
  <c r="F159" i="35" s="1"/>
  <c r="E159" i="35"/>
  <c r="C159" i="35"/>
  <c r="AH158" i="35"/>
  <c r="AA158" i="35"/>
  <c r="Z158" i="35"/>
  <c r="X158" i="35"/>
  <c r="W158" i="35"/>
  <c r="V158" i="35"/>
  <c r="J158" i="35" a="1"/>
  <c r="J158" i="35" s="1"/>
  <c r="I158" i="35"/>
  <c r="H158" i="35"/>
  <c r="G158" i="35"/>
  <c r="F158" i="35" a="1"/>
  <c r="F158" i="35" s="1"/>
  <c r="E158" i="35"/>
  <c r="C158" i="35"/>
  <c r="AH157" i="35"/>
  <c r="AA157" i="35"/>
  <c r="Z157" i="35"/>
  <c r="X157" i="35"/>
  <c r="W157" i="35"/>
  <c r="V157" i="35"/>
  <c r="J157" i="35" a="1"/>
  <c r="J157" i="35" s="1"/>
  <c r="I157" i="35"/>
  <c r="H157" i="35"/>
  <c r="G157" i="35"/>
  <c r="F157" i="35" a="1"/>
  <c r="F157" i="35" s="1"/>
  <c r="E157" i="35"/>
  <c r="C157" i="35"/>
  <c r="AH156" i="35"/>
  <c r="AA156" i="35"/>
  <c r="Z156" i="35"/>
  <c r="X156" i="35"/>
  <c r="W156" i="35"/>
  <c r="V156" i="35"/>
  <c r="J156" i="35" a="1"/>
  <c r="J156" i="35" s="1"/>
  <c r="I156" i="35"/>
  <c r="H156" i="35"/>
  <c r="G156" i="35"/>
  <c r="F156" i="35" a="1"/>
  <c r="F156" i="35" s="1"/>
  <c r="E156" i="35"/>
  <c r="C156" i="35"/>
  <c r="AH155" i="35"/>
  <c r="AA155" i="35"/>
  <c r="Z155" i="35"/>
  <c r="X155" i="35"/>
  <c r="W155" i="35"/>
  <c r="V155" i="35"/>
  <c r="J155" i="35" a="1"/>
  <c r="J155" i="35" s="1"/>
  <c r="I155" i="35"/>
  <c r="H155" i="35"/>
  <c r="G155" i="35"/>
  <c r="F155" i="35" a="1"/>
  <c r="F155" i="35" s="1"/>
  <c r="E155" i="35"/>
  <c r="C155" i="35"/>
  <c r="AH154" i="35"/>
  <c r="AA154" i="35"/>
  <c r="Z154" i="35"/>
  <c r="X154" i="35"/>
  <c r="W154" i="35"/>
  <c r="V154" i="35"/>
  <c r="J154" i="35" a="1"/>
  <c r="J154" i="35" s="1"/>
  <c r="I154" i="35"/>
  <c r="H154" i="35"/>
  <c r="G154" i="35"/>
  <c r="F154" i="35" a="1"/>
  <c r="F154" i="35" s="1"/>
  <c r="E154" i="35"/>
  <c r="C154" i="35"/>
  <c r="AH153" i="35"/>
  <c r="AA153" i="35"/>
  <c r="Z153" i="35"/>
  <c r="X153" i="35"/>
  <c r="W153" i="35"/>
  <c r="V153" i="35"/>
  <c r="J153" i="35" a="1"/>
  <c r="J153" i="35" s="1"/>
  <c r="I153" i="35"/>
  <c r="H153" i="35"/>
  <c r="G153" i="35"/>
  <c r="F153" i="35" a="1"/>
  <c r="F153" i="35" s="1"/>
  <c r="E153" i="35"/>
  <c r="C153" i="35"/>
  <c r="AH152" i="35"/>
  <c r="AA152" i="35"/>
  <c r="Z152" i="35"/>
  <c r="X152" i="35"/>
  <c r="W152" i="35"/>
  <c r="V152" i="35"/>
  <c r="J152" i="35" a="1"/>
  <c r="J152" i="35" s="1"/>
  <c r="I152" i="35"/>
  <c r="H152" i="35"/>
  <c r="G152" i="35"/>
  <c r="F152" i="35" a="1"/>
  <c r="F152" i="35" s="1"/>
  <c r="E152" i="35"/>
  <c r="C152" i="35"/>
  <c r="AH151" i="35"/>
  <c r="AA151" i="35"/>
  <c r="Z151" i="35"/>
  <c r="X151" i="35"/>
  <c r="W151" i="35"/>
  <c r="V151" i="35"/>
  <c r="J151" i="35" a="1"/>
  <c r="J151" i="35" s="1"/>
  <c r="I151" i="35"/>
  <c r="H151" i="35"/>
  <c r="G151" i="35"/>
  <c r="F151" i="35" a="1"/>
  <c r="F151" i="35" s="1"/>
  <c r="E151" i="35"/>
  <c r="C151" i="35"/>
  <c r="AH150" i="35"/>
  <c r="AA150" i="35"/>
  <c r="Z150" i="35"/>
  <c r="X150" i="35"/>
  <c r="W150" i="35"/>
  <c r="V150" i="35"/>
  <c r="J150" i="35" a="1"/>
  <c r="J150" i="35" s="1"/>
  <c r="I150" i="35"/>
  <c r="H150" i="35"/>
  <c r="G150" i="35"/>
  <c r="F150" i="35" a="1"/>
  <c r="F150" i="35" s="1"/>
  <c r="E150" i="35"/>
  <c r="C150" i="35"/>
  <c r="AH149" i="35"/>
  <c r="AA149" i="35"/>
  <c r="Z149" i="35"/>
  <c r="X149" i="35"/>
  <c r="W149" i="35"/>
  <c r="V149" i="35"/>
  <c r="J149" i="35" a="1"/>
  <c r="J149" i="35" s="1"/>
  <c r="I149" i="35"/>
  <c r="H149" i="35"/>
  <c r="G149" i="35"/>
  <c r="F149" i="35" a="1"/>
  <c r="F149" i="35" s="1"/>
  <c r="E149" i="35"/>
  <c r="C149" i="35"/>
  <c r="AH148" i="35"/>
  <c r="AA148" i="35"/>
  <c r="Z148" i="35"/>
  <c r="X148" i="35"/>
  <c r="W148" i="35"/>
  <c r="V148" i="35"/>
  <c r="J148" i="35" a="1"/>
  <c r="J148" i="35" s="1"/>
  <c r="I148" i="35"/>
  <c r="H148" i="35"/>
  <c r="G148" i="35"/>
  <c r="F148" i="35" a="1"/>
  <c r="F148" i="35" s="1"/>
  <c r="E148" i="35"/>
  <c r="C148" i="35"/>
  <c r="AH147" i="35"/>
  <c r="AA147" i="35"/>
  <c r="Z147" i="35"/>
  <c r="X147" i="35"/>
  <c r="W147" i="35"/>
  <c r="V147" i="35"/>
  <c r="J147" i="35" a="1"/>
  <c r="J147" i="35" s="1"/>
  <c r="I147" i="35"/>
  <c r="H147" i="35"/>
  <c r="G147" i="35"/>
  <c r="F147" i="35" a="1"/>
  <c r="F147" i="35" s="1"/>
  <c r="E147" i="35"/>
  <c r="C147" i="35"/>
  <c r="AH146" i="35"/>
  <c r="AA146" i="35"/>
  <c r="Z146" i="35"/>
  <c r="X146" i="35"/>
  <c r="W146" i="35"/>
  <c r="V146" i="35"/>
  <c r="J146" i="35" a="1"/>
  <c r="J146" i="35" s="1"/>
  <c r="I146" i="35"/>
  <c r="H146" i="35"/>
  <c r="G146" i="35"/>
  <c r="F146" i="35" a="1"/>
  <c r="F146" i="35" s="1"/>
  <c r="E146" i="35"/>
  <c r="C146" i="35"/>
  <c r="AH145" i="35"/>
  <c r="AA145" i="35"/>
  <c r="Z145" i="35"/>
  <c r="X145" i="35"/>
  <c r="W145" i="35"/>
  <c r="V145" i="35"/>
  <c r="J145" i="35" a="1"/>
  <c r="J145" i="35" s="1"/>
  <c r="I145" i="35"/>
  <c r="H145" i="35"/>
  <c r="G145" i="35"/>
  <c r="F145" i="35" a="1"/>
  <c r="F145" i="35" s="1"/>
  <c r="E145" i="35"/>
  <c r="C145" i="35"/>
  <c r="AH144" i="35"/>
  <c r="AA144" i="35"/>
  <c r="Z144" i="35"/>
  <c r="X144" i="35"/>
  <c r="W144" i="35"/>
  <c r="V144" i="35"/>
  <c r="J144" i="35" a="1"/>
  <c r="J144" i="35" s="1"/>
  <c r="I144" i="35"/>
  <c r="H144" i="35"/>
  <c r="G144" i="35"/>
  <c r="F144" i="35" a="1"/>
  <c r="F144" i="35" s="1"/>
  <c r="E144" i="35"/>
  <c r="C144" i="35"/>
  <c r="AH143" i="35"/>
  <c r="AA143" i="35"/>
  <c r="Z143" i="35"/>
  <c r="X143" i="35"/>
  <c r="W143" i="35"/>
  <c r="V143" i="35"/>
  <c r="J143" i="35" a="1"/>
  <c r="J143" i="35" s="1"/>
  <c r="I143" i="35"/>
  <c r="H143" i="35"/>
  <c r="G143" i="35"/>
  <c r="F143" i="35" a="1"/>
  <c r="F143" i="35" s="1"/>
  <c r="E143" i="35"/>
  <c r="C143" i="35"/>
  <c r="AH142" i="35"/>
  <c r="AA142" i="35"/>
  <c r="Z142" i="35"/>
  <c r="X142" i="35"/>
  <c r="W142" i="35"/>
  <c r="V142" i="35"/>
  <c r="J142" i="35" a="1"/>
  <c r="J142" i="35" s="1"/>
  <c r="I142" i="35"/>
  <c r="H142" i="35"/>
  <c r="G142" i="35"/>
  <c r="F142" i="35" a="1"/>
  <c r="F142" i="35" s="1"/>
  <c r="E142" i="35"/>
  <c r="C142" i="35"/>
  <c r="AH141" i="35"/>
  <c r="AA141" i="35"/>
  <c r="Z141" i="35"/>
  <c r="X141" i="35"/>
  <c r="W141" i="35"/>
  <c r="V141" i="35"/>
  <c r="J141" i="35" a="1"/>
  <c r="J141" i="35" s="1"/>
  <c r="I141" i="35"/>
  <c r="H141" i="35"/>
  <c r="G141" i="35"/>
  <c r="F141" i="35" a="1"/>
  <c r="F141" i="35" s="1"/>
  <c r="E141" i="35"/>
  <c r="C141" i="35"/>
  <c r="AH140" i="35"/>
  <c r="AA140" i="35"/>
  <c r="Z140" i="35"/>
  <c r="X140" i="35"/>
  <c r="W140" i="35"/>
  <c r="V140" i="35"/>
  <c r="J140" i="35" a="1"/>
  <c r="J140" i="35" s="1"/>
  <c r="I140" i="35"/>
  <c r="H140" i="35"/>
  <c r="G140" i="35"/>
  <c r="F140" i="35" a="1"/>
  <c r="F140" i="35" s="1"/>
  <c r="E140" i="35"/>
  <c r="C140" i="35"/>
  <c r="AH139" i="35"/>
  <c r="AA139" i="35"/>
  <c r="Z139" i="35"/>
  <c r="X139" i="35"/>
  <c r="W139" i="35"/>
  <c r="V139" i="35"/>
  <c r="J139" i="35" a="1"/>
  <c r="J139" i="35" s="1"/>
  <c r="I139" i="35"/>
  <c r="H139" i="35"/>
  <c r="G139" i="35"/>
  <c r="F139" i="35" a="1"/>
  <c r="F139" i="35" s="1"/>
  <c r="E139" i="35"/>
  <c r="C139" i="35"/>
  <c r="AH138" i="35"/>
  <c r="AA138" i="35"/>
  <c r="Z138" i="35"/>
  <c r="X138" i="35"/>
  <c r="W138" i="35"/>
  <c r="V138" i="35"/>
  <c r="J138" i="35" a="1"/>
  <c r="J138" i="35" s="1"/>
  <c r="I138" i="35"/>
  <c r="H138" i="35"/>
  <c r="G138" i="35"/>
  <c r="F138" i="35" a="1"/>
  <c r="F138" i="35" s="1"/>
  <c r="E138" i="35"/>
  <c r="C138" i="35"/>
  <c r="AH137" i="35"/>
  <c r="AA137" i="35"/>
  <c r="Z137" i="35"/>
  <c r="X137" i="35"/>
  <c r="W137" i="35"/>
  <c r="V137" i="35"/>
  <c r="J137" i="35" a="1"/>
  <c r="J137" i="35" s="1"/>
  <c r="I137" i="35"/>
  <c r="H137" i="35"/>
  <c r="G137" i="35"/>
  <c r="F137" i="35" a="1"/>
  <c r="F137" i="35" s="1"/>
  <c r="E137" i="35"/>
  <c r="C137" i="35"/>
  <c r="AH136" i="35"/>
  <c r="AA136" i="35"/>
  <c r="Z136" i="35"/>
  <c r="X136" i="35"/>
  <c r="W136" i="35"/>
  <c r="V136" i="35"/>
  <c r="J136" i="35" a="1"/>
  <c r="J136" i="35" s="1"/>
  <c r="I136" i="35"/>
  <c r="H136" i="35"/>
  <c r="G136" i="35"/>
  <c r="F136" i="35" a="1"/>
  <c r="F136" i="35" s="1"/>
  <c r="E136" i="35"/>
  <c r="C136" i="35"/>
  <c r="AH135" i="35"/>
  <c r="AA135" i="35"/>
  <c r="Z135" i="35"/>
  <c r="X135" i="35"/>
  <c r="W135" i="35"/>
  <c r="V135" i="35"/>
  <c r="J135" i="35" a="1"/>
  <c r="J135" i="35" s="1"/>
  <c r="I135" i="35"/>
  <c r="H135" i="35"/>
  <c r="G135" i="35"/>
  <c r="F135" i="35" a="1"/>
  <c r="F135" i="35" s="1"/>
  <c r="E135" i="35"/>
  <c r="C135" i="35"/>
  <c r="AH134" i="35"/>
  <c r="AA134" i="35"/>
  <c r="Z134" i="35"/>
  <c r="X134" i="35"/>
  <c r="W134" i="35"/>
  <c r="V134" i="35"/>
  <c r="J134" i="35" a="1"/>
  <c r="J134" i="35" s="1"/>
  <c r="I134" i="35"/>
  <c r="H134" i="35"/>
  <c r="G134" i="35"/>
  <c r="F134" i="35" a="1"/>
  <c r="F134" i="35" s="1"/>
  <c r="E134" i="35"/>
  <c r="C134" i="35"/>
  <c r="AH133" i="35"/>
  <c r="AA133" i="35"/>
  <c r="Z133" i="35"/>
  <c r="X133" i="35"/>
  <c r="W133" i="35"/>
  <c r="V133" i="35"/>
  <c r="J133" i="35" a="1"/>
  <c r="J133" i="35" s="1"/>
  <c r="I133" i="35"/>
  <c r="H133" i="35"/>
  <c r="G133" i="35"/>
  <c r="F133" i="35" a="1"/>
  <c r="F133" i="35" s="1"/>
  <c r="E133" i="35"/>
  <c r="C133" i="35"/>
  <c r="AH132" i="35"/>
  <c r="AA132" i="35"/>
  <c r="Z132" i="35"/>
  <c r="X132" i="35"/>
  <c r="W132" i="35"/>
  <c r="V132" i="35"/>
  <c r="J132" i="35" a="1"/>
  <c r="J132" i="35" s="1"/>
  <c r="I132" i="35"/>
  <c r="H132" i="35"/>
  <c r="G132" i="35"/>
  <c r="F132" i="35" a="1"/>
  <c r="F132" i="35" s="1"/>
  <c r="E132" i="35"/>
  <c r="C132" i="35"/>
  <c r="AH131" i="35"/>
  <c r="AA131" i="35"/>
  <c r="Z131" i="35"/>
  <c r="X131" i="35"/>
  <c r="W131" i="35"/>
  <c r="V131" i="35"/>
  <c r="J131" i="35" a="1"/>
  <c r="J131" i="35" s="1"/>
  <c r="I131" i="35"/>
  <c r="H131" i="35"/>
  <c r="G131" i="35"/>
  <c r="F131" i="35" a="1"/>
  <c r="F131" i="35" s="1"/>
  <c r="E131" i="35"/>
  <c r="C131" i="35"/>
  <c r="AH130" i="35"/>
  <c r="AA130" i="35"/>
  <c r="Z130" i="35"/>
  <c r="X130" i="35"/>
  <c r="W130" i="35"/>
  <c r="V130" i="35"/>
  <c r="J130" i="35" a="1"/>
  <c r="J130" i="35" s="1"/>
  <c r="I130" i="35"/>
  <c r="H130" i="35"/>
  <c r="G130" i="35"/>
  <c r="F130" i="35" a="1"/>
  <c r="F130" i="35" s="1"/>
  <c r="E130" i="35"/>
  <c r="C130" i="35"/>
  <c r="AH129" i="35"/>
  <c r="AA129" i="35"/>
  <c r="Z129" i="35"/>
  <c r="X129" i="35"/>
  <c r="W129" i="35"/>
  <c r="V129" i="35"/>
  <c r="J129" i="35" a="1"/>
  <c r="J129" i="35" s="1"/>
  <c r="I129" i="35"/>
  <c r="H129" i="35"/>
  <c r="G129" i="35"/>
  <c r="F129" i="35" a="1"/>
  <c r="F129" i="35" s="1"/>
  <c r="E129" i="35"/>
  <c r="C129" i="35"/>
  <c r="AH128" i="35"/>
  <c r="AA128" i="35"/>
  <c r="Z128" i="35"/>
  <c r="X128" i="35"/>
  <c r="W128" i="35"/>
  <c r="V128" i="35"/>
  <c r="J128" i="35" a="1"/>
  <c r="J128" i="35" s="1"/>
  <c r="I128" i="35"/>
  <c r="H128" i="35"/>
  <c r="G128" i="35"/>
  <c r="F128" i="35" a="1"/>
  <c r="F128" i="35" s="1"/>
  <c r="E128" i="35"/>
  <c r="C128" i="35"/>
  <c r="AH127" i="35"/>
  <c r="AA127" i="35"/>
  <c r="Z127" i="35"/>
  <c r="X127" i="35"/>
  <c r="W127" i="35"/>
  <c r="V127" i="35"/>
  <c r="J127" i="35" a="1"/>
  <c r="J127" i="35" s="1"/>
  <c r="I127" i="35"/>
  <c r="H127" i="35"/>
  <c r="G127" i="35"/>
  <c r="F127" i="35" a="1"/>
  <c r="F127" i="35" s="1"/>
  <c r="E127" i="35"/>
  <c r="C127" i="35"/>
  <c r="AH126" i="35"/>
  <c r="AA126" i="35"/>
  <c r="Z126" i="35"/>
  <c r="X126" i="35"/>
  <c r="W126" i="35"/>
  <c r="V126" i="35"/>
  <c r="J126" i="35" a="1"/>
  <c r="J126" i="35" s="1"/>
  <c r="I126" i="35"/>
  <c r="H126" i="35"/>
  <c r="G126" i="35"/>
  <c r="F126" i="35" a="1"/>
  <c r="F126" i="35" s="1"/>
  <c r="E126" i="35"/>
  <c r="C126" i="35"/>
  <c r="AH125" i="35"/>
  <c r="AA125" i="35"/>
  <c r="Z125" i="35"/>
  <c r="X125" i="35"/>
  <c r="W125" i="35"/>
  <c r="V125" i="35"/>
  <c r="J125" i="35" a="1"/>
  <c r="J125" i="35" s="1"/>
  <c r="I125" i="35"/>
  <c r="H125" i="35"/>
  <c r="G125" i="35"/>
  <c r="F125" i="35" a="1"/>
  <c r="F125" i="35" s="1"/>
  <c r="E125" i="35"/>
  <c r="C125" i="35"/>
  <c r="AH124" i="35"/>
  <c r="AA124" i="35"/>
  <c r="Z124" i="35"/>
  <c r="X124" i="35"/>
  <c r="W124" i="35"/>
  <c r="V124" i="35"/>
  <c r="J124" i="35" a="1"/>
  <c r="J124" i="35" s="1"/>
  <c r="I124" i="35"/>
  <c r="H124" i="35"/>
  <c r="G124" i="35"/>
  <c r="F124" i="35" a="1"/>
  <c r="F124" i="35" s="1"/>
  <c r="E124" i="35"/>
  <c r="C124" i="35"/>
  <c r="AH123" i="35"/>
  <c r="AA123" i="35"/>
  <c r="Z123" i="35"/>
  <c r="X123" i="35"/>
  <c r="W123" i="35"/>
  <c r="V123" i="35"/>
  <c r="J123" i="35" a="1"/>
  <c r="J123" i="35" s="1"/>
  <c r="I123" i="35"/>
  <c r="H123" i="35"/>
  <c r="G123" i="35"/>
  <c r="F123" i="35" a="1"/>
  <c r="F123" i="35" s="1"/>
  <c r="E123" i="35"/>
  <c r="C123" i="35"/>
  <c r="AH122" i="35"/>
  <c r="AA122" i="35"/>
  <c r="Z122" i="35"/>
  <c r="X122" i="35"/>
  <c r="W122" i="35"/>
  <c r="V122" i="35"/>
  <c r="J122" i="35" a="1"/>
  <c r="J122" i="35" s="1"/>
  <c r="I122" i="35"/>
  <c r="H122" i="35"/>
  <c r="G122" i="35"/>
  <c r="F122" i="35" a="1"/>
  <c r="F122" i="35" s="1"/>
  <c r="E122" i="35"/>
  <c r="C122" i="35"/>
  <c r="AH121" i="35"/>
  <c r="AA121" i="35"/>
  <c r="Z121" i="35"/>
  <c r="X121" i="35"/>
  <c r="W121" i="35"/>
  <c r="V121" i="35"/>
  <c r="J121" i="35" a="1"/>
  <c r="J121" i="35" s="1"/>
  <c r="I121" i="35"/>
  <c r="H121" i="35"/>
  <c r="G121" i="35"/>
  <c r="F121" i="35" a="1"/>
  <c r="F121" i="35" s="1"/>
  <c r="E121" i="35"/>
  <c r="C121" i="35"/>
  <c r="AH120" i="35"/>
  <c r="AA120" i="35"/>
  <c r="Z120" i="35"/>
  <c r="X120" i="35"/>
  <c r="W120" i="35"/>
  <c r="V120" i="35"/>
  <c r="J120" i="35" a="1"/>
  <c r="J120" i="35" s="1"/>
  <c r="I120" i="35"/>
  <c r="H120" i="35"/>
  <c r="G120" i="35"/>
  <c r="F120" i="35" a="1"/>
  <c r="F120" i="35" s="1"/>
  <c r="E120" i="35"/>
  <c r="C120" i="35"/>
  <c r="AH119" i="35"/>
  <c r="AA119" i="35"/>
  <c r="Z119" i="35"/>
  <c r="X119" i="35"/>
  <c r="W119" i="35"/>
  <c r="V119" i="35"/>
  <c r="J119" i="35" a="1"/>
  <c r="J119" i="35" s="1"/>
  <c r="I119" i="35"/>
  <c r="H119" i="35"/>
  <c r="G119" i="35"/>
  <c r="F119" i="35" a="1"/>
  <c r="F119" i="35" s="1"/>
  <c r="E119" i="35"/>
  <c r="C119" i="35"/>
  <c r="AH118" i="35"/>
  <c r="AA118" i="35"/>
  <c r="Z118" i="35"/>
  <c r="X118" i="35"/>
  <c r="W118" i="35"/>
  <c r="V118" i="35"/>
  <c r="J118" i="35" a="1"/>
  <c r="J118" i="35" s="1"/>
  <c r="I118" i="35"/>
  <c r="H118" i="35"/>
  <c r="G118" i="35"/>
  <c r="F118" i="35" a="1"/>
  <c r="F118" i="35" s="1"/>
  <c r="E118" i="35"/>
  <c r="C118" i="35"/>
  <c r="AH117" i="35"/>
  <c r="AA117" i="35"/>
  <c r="Z117" i="35"/>
  <c r="X117" i="35"/>
  <c r="W117" i="35"/>
  <c r="V117" i="35"/>
  <c r="J117" i="35" a="1"/>
  <c r="J117" i="35" s="1"/>
  <c r="I117" i="35"/>
  <c r="H117" i="35"/>
  <c r="G117" i="35"/>
  <c r="F117" i="35" a="1"/>
  <c r="F117" i="35" s="1"/>
  <c r="E117" i="35"/>
  <c r="C117" i="35"/>
  <c r="AH116" i="35"/>
  <c r="AA116" i="35"/>
  <c r="Z116" i="35"/>
  <c r="X116" i="35"/>
  <c r="W116" i="35"/>
  <c r="V116" i="35"/>
  <c r="J116" i="35" a="1"/>
  <c r="J116" i="35" s="1"/>
  <c r="I116" i="35"/>
  <c r="H116" i="35"/>
  <c r="G116" i="35"/>
  <c r="F116" i="35" a="1"/>
  <c r="F116" i="35" s="1"/>
  <c r="E116" i="35"/>
  <c r="C116" i="35"/>
  <c r="AH115" i="35"/>
  <c r="AA115" i="35"/>
  <c r="Z115" i="35"/>
  <c r="X115" i="35"/>
  <c r="W115" i="35"/>
  <c r="V115" i="35"/>
  <c r="J115" i="35" a="1"/>
  <c r="J115" i="35" s="1"/>
  <c r="I115" i="35"/>
  <c r="H115" i="35"/>
  <c r="G115" i="35"/>
  <c r="F115" i="35" a="1"/>
  <c r="F115" i="35" s="1"/>
  <c r="E115" i="35"/>
  <c r="C115" i="35"/>
  <c r="AH114" i="35"/>
  <c r="AA114" i="35"/>
  <c r="Z114" i="35"/>
  <c r="X114" i="35"/>
  <c r="W114" i="35"/>
  <c r="V114" i="35"/>
  <c r="J114" i="35" a="1"/>
  <c r="J114" i="35" s="1"/>
  <c r="I114" i="35"/>
  <c r="H114" i="35"/>
  <c r="G114" i="35"/>
  <c r="F114" i="35" a="1"/>
  <c r="F114" i="35" s="1"/>
  <c r="E114" i="35"/>
  <c r="C114" i="35"/>
  <c r="AH113" i="35"/>
  <c r="AA113" i="35"/>
  <c r="Z113" i="35"/>
  <c r="X113" i="35"/>
  <c r="W113" i="35"/>
  <c r="V113" i="35"/>
  <c r="J113" i="35" a="1"/>
  <c r="J113" i="35" s="1"/>
  <c r="I113" i="35"/>
  <c r="H113" i="35"/>
  <c r="G113" i="35"/>
  <c r="F113" i="35" a="1"/>
  <c r="F113" i="35" s="1"/>
  <c r="E113" i="35"/>
  <c r="C113" i="35"/>
  <c r="AH112" i="35"/>
  <c r="AA112" i="35"/>
  <c r="Z112" i="35"/>
  <c r="X112" i="35"/>
  <c r="W112" i="35"/>
  <c r="V112" i="35"/>
  <c r="J112" i="35" a="1"/>
  <c r="J112" i="35" s="1"/>
  <c r="I112" i="35"/>
  <c r="H112" i="35"/>
  <c r="G112" i="35"/>
  <c r="F112" i="35" a="1"/>
  <c r="F112" i="35" s="1"/>
  <c r="E112" i="35"/>
  <c r="C112" i="35"/>
  <c r="AH111" i="35"/>
  <c r="AA111" i="35"/>
  <c r="Z111" i="35"/>
  <c r="X111" i="35"/>
  <c r="W111" i="35"/>
  <c r="V111" i="35"/>
  <c r="J111" i="35" a="1"/>
  <c r="J111" i="35" s="1"/>
  <c r="I111" i="35"/>
  <c r="H111" i="35"/>
  <c r="G111" i="35"/>
  <c r="F111" i="35" a="1"/>
  <c r="F111" i="35" s="1"/>
  <c r="E111" i="35"/>
  <c r="C111" i="35"/>
  <c r="AH110" i="35"/>
  <c r="AA110" i="35"/>
  <c r="Z110" i="35"/>
  <c r="X110" i="35"/>
  <c r="W110" i="35"/>
  <c r="V110" i="35"/>
  <c r="J110" i="35" a="1"/>
  <c r="J110" i="35" s="1"/>
  <c r="I110" i="35"/>
  <c r="H110" i="35"/>
  <c r="G110" i="35"/>
  <c r="F110" i="35" a="1"/>
  <c r="F110" i="35" s="1"/>
  <c r="E110" i="35"/>
  <c r="C110" i="35"/>
  <c r="AH109" i="35"/>
  <c r="AA109" i="35"/>
  <c r="Z109" i="35"/>
  <c r="X109" i="35"/>
  <c r="W109" i="35"/>
  <c r="V109" i="35"/>
  <c r="J109" i="35" a="1"/>
  <c r="J109" i="35" s="1"/>
  <c r="I109" i="35"/>
  <c r="H109" i="35"/>
  <c r="G109" i="35"/>
  <c r="F109" i="35" a="1"/>
  <c r="F109" i="35" s="1"/>
  <c r="E109" i="35"/>
  <c r="C109" i="35"/>
  <c r="AH108" i="35"/>
  <c r="AA108" i="35"/>
  <c r="Z108" i="35"/>
  <c r="X108" i="35"/>
  <c r="W108" i="35"/>
  <c r="V108" i="35"/>
  <c r="J108" i="35" a="1"/>
  <c r="J108" i="35" s="1"/>
  <c r="I108" i="35"/>
  <c r="H108" i="35"/>
  <c r="G108" i="35"/>
  <c r="F108" i="35" a="1"/>
  <c r="F108" i="35" s="1"/>
  <c r="E108" i="35"/>
  <c r="C108" i="35"/>
  <c r="AH107" i="35"/>
  <c r="AA107" i="35"/>
  <c r="Z107" i="35"/>
  <c r="X107" i="35"/>
  <c r="W107" i="35"/>
  <c r="V107" i="35"/>
  <c r="J107" i="35" a="1"/>
  <c r="J107" i="35" s="1"/>
  <c r="I107" i="35"/>
  <c r="H107" i="35"/>
  <c r="G107" i="35"/>
  <c r="F107" i="35" a="1"/>
  <c r="F107" i="35" s="1"/>
  <c r="E107" i="35"/>
  <c r="C107" i="35"/>
  <c r="AH106" i="35"/>
  <c r="AA106" i="35"/>
  <c r="Z106" i="35"/>
  <c r="X106" i="35"/>
  <c r="W106" i="35"/>
  <c r="V106" i="35"/>
  <c r="J106" i="35" a="1"/>
  <c r="J106" i="35" s="1"/>
  <c r="I106" i="35"/>
  <c r="H106" i="35"/>
  <c r="G106" i="35"/>
  <c r="F106" i="35" a="1"/>
  <c r="F106" i="35" s="1"/>
  <c r="E106" i="35"/>
  <c r="C106" i="35"/>
  <c r="AH105" i="35"/>
  <c r="AA105" i="35"/>
  <c r="Z105" i="35"/>
  <c r="X105" i="35"/>
  <c r="W105" i="35"/>
  <c r="V105" i="35"/>
  <c r="J105" i="35" a="1"/>
  <c r="J105" i="35" s="1"/>
  <c r="I105" i="35"/>
  <c r="H105" i="35"/>
  <c r="G105" i="35"/>
  <c r="F105" i="35" a="1"/>
  <c r="F105" i="35" s="1"/>
  <c r="E105" i="35"/>
  <c r="C105" i="35"/>
  <c r="AH104" i="35"/>
  <c r="AA104" i="35"/>
  <c r="Z104" i="35"/>
  <c r="X104" i="35"/>
  <c r="W104" i="35"/>
  <c r="V104" i="35"/>
  <c r="J104" i="35" a="1"/>
  <c r="J104" i="35" s="1"/>
  <c r="I104" i="35"/>
  <c r="H104" i="35"/>
  <c r="G104" i="35"/>
  <c r="F104" i="35" a="1"/>
  <c r="F104" i="35" s="1"/>
  <c r="E104" i="35"/>
  <c r="C104" i="35"/>
  <c r="AH103" i="35"/>
  <c r="AA103" i="35"/>
  <c r="Z103" i="35"/>
  <c r="X103" i="35"/>
  <c r="W103" i="35"/>
  <c r="V103" i="35"/>
  <c r="J103" i="35" a="1"/>
  <c r="J103" i="35" s="1"/>
  <c r="I103" i="35"/>
  <c r="H103" i="35"/>
  <c r="G103" i="35"/>
  <c r="F103" i="35" a="1"/>
  <c r="F103" i="35" s="1"/>
  <c r="E103" i="35"/>
  <c r="C103" i="35"/>
  <c r="AH102" i="35"/>
  <c r="AA102" i="35"/>
  <c r="Z102" i="35"/>
  <c r="X102" i="35"/>
  <c r="W102" i="35"/>
  <c r="V102" i="35"/>
  <c r="J102" i="35" a="1"/>
  <c r="J102" i="35" s="1"/>
  <c r="I102" i="35"/>
  <c r="H102" i="35"/>
  <c r="G102" i="35"/>
  <c r="F102" i="35" a="1"/>
  <c r="F102" i="35" s="1"/>
  <c r="E102" i="35"/>
  <c r="C102" i="35"/>
  <c r="AH101" i="35"/>
  <c r="AA101" i="35"/>
  <c r="Z101" i="35"/>
  <c r="X101" i="35"/>
  <c r="W101" i="35"/>
  <c r="V101" i="35"/>
  <c r="J101" i="35" a="1"/>
  <c r="J101" i="35" s="1"/>
  <c r="I101" i="35"/>
  <c r="H101" i="35"/>
  <c r="G101" i="35"/>
  <c r="F101" i="35" a="1"/>
  <c r="F101" i="35" s="1"/>
  <c r="E101" i="35"/>
  <c r="C101" i="35"/>
  <c r="AH100" i="35"/>
  <c r="AA100" i="35"/>
  <c r="Z100" i="35"/>
  <c r="X100" i="35"/>
  <c r="W100" i="35"/>
  <c r="V100" i="35"/>
  <c r="J100" i="35" a="1"/>
  <c r="J100" i="35" s="1"/>
  <c r="I100" i="35"/>
  <c r="H100" i="35"/>
  <c r="G100" i="35"/>
  <c r="F100" i="35" a="1"/>
  <c r="F100" i="35" s="1"/>
  <c r="E100" i="35"/>
  <c r="C100" i="35"/>
  <c r="AH99" i="35"/>
  <c r="AA99" i="35"/>
  <c r="Z99" i="35"/>
  <c r="X99" i="35"/>
  <c r="W99" i="35"/>
  <c r="V99" i="35"/>
  <c r="J99" i="35" a="1"/>
  <c r="J99" i="35" s="1"/>
  <c r="I99" i="35"/>
  <c r="H99" i="35"/>
  <c r="G99" i="35"/>
  <c r="F99" i="35" a="1"/>
  <c r="F99" i="35" s="1"/>
  <c r="E99" i="35"/>
  <c r="C99" i="35"/>
  <c r="AH98" i="35"/>
  <c r="AA98" i="35"/>
  <c r="Z98" i="35"/>
  <c r="X98" i="35"/>
  <c r="W98" i="35"/>
  <c r="V98" i="35"/>
  <c r="J98" i="35" a="1"/>
  <c r="J98" i="35" s="1"/>
  <c r="I98" i="35"/>
  <c r="H98" i="35"/>
  <c r="G98" i="35"/>
  <c r="F98" i="35" a="1"/>
  <c r="F98" i="35" s="1"/>
  <c r="E98" i="35"/>
  <c r="C98" i="35"/>
  <c r="AH97" i="35"/>
  <c r="AA97" i="35"/>
  <c r="Z97" i="35"/>
  <c r="X97" i="35"/>
  <c r="W97" i="35"/>
  <c r="V97" i="35"/>
  <c r="J97" i="35" a="1"/>
  <c r="J97" i="35" s="1"/>
  <c r="I97" i="35"/>
  <c r="H97" i="35"/>
  <c r="G97" i="35"/>
  <c r="F97" i="35" a="1"/>
  <c r="F97" i="35" s="1"/>
  <c r="E97" i="35"/>
  <c r="C97" i="35"/>
  <c r="AH96" i="35"/>
  <c r="AA96" i="35"/>
  <c r="Z96" i="35"/>
  <c r="X96" i="35"/>
  <c r="W96" i="35"/>
  <c r="V96" i="35"/>
  <c r="J96" i="35" a="1"/>
  <c r="J96" i="35" s="1"/>
  <c r="I96" i="35"/>
  <c r="H96" i="35"/>
  <c r="G96" i="35"/>
  <c r="F96" i="35" a="1"/>
  <c r="F96" i="35" s="1"/>
  <c r="E96" i="35"/>
  <c r="C96" i="35"/>
  <c r="AH95" i="35"/>
  <c r="AA95" i="35"/>
  <c r="Z95" i="35"/>
  <c r="X95" i="35"/>
  <c r="W95" i="35"/>
  <c r="V95" i="35"/>
  <c r="J95" i="35" a="1"/>
  <c r="J95" i="35" s="1"/>
  <c r="I95" i="35"/>
  <c r="H95" i="35"/>
  <c r="G95" i="35"/>
  <c r="F95" i="35" a="1"/>
  <c r="F95" i="35" s="1"/>
  <c r="E95" i="35"/>
  <c r="C95" i="35"/>
  <c r="AH94" i="35"/>
  <c r="AA94" i="35"/>
  <c r="Z94" i="35"/>
  <c r="X94" i="35"/>
  <c r="W94" i="35"/>
  <c r="V94" i="35"/>
  <c r="J94" i="35" a="1"/>
  <c r="J94" i="35" s="1"/>
  <c r="I94" i="35"/>
  <c r="H94" i="35"/>
  <c r="G94" i="35"/>
  <c r="F94" i="35" a="1"/>
  <c r="F94" i="35" s="1"/>
  <c r="E94" i="35"/>
  <c r="C94" i="35"/>
  <c r="AH93" i="35"/>
  <c r="AA93" i="35"/>
  <c r="Z93" i="35"/>
  <c r="X93" i="35"/>
  <c r="W93" i="35"/>
  <c r="V93" i="35"/>
  <c r="J93" i="35" a="1"/>
  <c r="J93" i="35" s="1"/>
  <c r="I93" i="35"/>
  <c r="H93" i="35"/>
  <c r="G93" i="35"/>
  <c r="F93" i="35" a="1"/>
  <c r="F93" i="35" s="1"/>
  <c r="E93" i="35"/>
  <c r="C93" i="35"/>
  <c r="AH92" i="35"/>
  <c r="AA92" i="35"/>
  <c r="Z92" i="35"/>
  <c r="X92" i="35"/>
  <c r="W92" i="35"/>
  <c r="V92" i="35"/>
  <c r="J92" i="35" a="1"/>
  <c r="J92" i="35" s="1"/>
  <c r="I92" i="35"/>
  <c r="H92" i="35"/>
  <c r="G92" i="35"/>
  <c r="F92" i="35" a="1"/>
  <c r="F92" i="35" s="1"/>
  <c r="E92" i="35"/>
  <c r="C92" i="35"/>
  <c r="AH91" i="35"/>
  <c r="AA91" i="35"/>
  <c r="Z91" i="35"/>
  <c r="X91" i="35"/>
  <c r="W91" i="35"/>
  <c r="V91" i="35"/>
  <c r="J91" i="35" a="1"/>
  <c r="J91" i="35" s="1"/>
  <c r="I91" i="35"/>
  <c r="H91" i="35"/>
  <c r="G91" i="35"/>
  <c r="F91" i="35" a="1"/>
  <c r="F91" i="35" s="1"/>
  <c r="E91" i="35"/>
  <c r="C91" i="35"/>
  <c r="AH90" i="35"/>
  <c r="AA90" i="35"/>
  <c r="Z90" i="35"/>
  <c r="X90" i="35"/>
  <c r="W90" i="35"/>
  <c r="V90" i="35"/>
  <c r="J90" i="35" a="1"/>
  <c r="J90" i="35" s="1"/>
  <c r="I90" i="35"/>
  <c r="H90" i="35"/>
  <c r="G90" i="35"/>
  <c r="F90" i="35" a="1"/>
  <c r="F90" i="35" s="1"/>
  <c r="E90" i="35"/>
  <c r="C90" i="35"/>
  <c r="AH89" i="35"/>
  <c r="AA89" i="35"/>
  <c r="Z89" i="35"/>
  <c r="X89" i="35"/>
  <c r="W89" i="35"/>
  <c r="V89" i="35"/>
  <c r="J89" i="35" a="1"/>
  <c r="J89" i="35" s="1"/>
  <c r="I89" i="35"/>
  <c r="H89" i="35"/>
  <c r="G89" i="35"/>
  <c r="F89" i="35" a="1"/>
  <c r="F89" i="35" s="1"/>
  <c r="E89" i="35"/>
  <c r="C89" i="35"/>
  <c r="AH88" i="35"/>
  <c r="AA88" i="35"/>
  <c r="Z88" i="35"/>
  <c r="X88" i="35"/>
  <c r="W88" i="35"/>
  <c r="V88" i="35"/>
  <c r="J88" i="35" a="1"/>
  <c r="J88" i="35" s="1"/>
  <c r="I88" i="35"/>
  <c r="H88" i="35"/>
  <c r="G88" i="35"/>
  <c r="F88" i="35" a="1"/>
  <c r="F88" i="35" s="1"/>
  <c r="E88" i="35"/>
  <c r="C88" i="35"/>
  <c r="AH87" i="35"/>
  <c r="AA87" i="35"/>
  <c r="Z87" i="35"/>
  <c r="X87" i="35"/>
  <c r="W87" i="35"/>
  <c r="V87" i="35"/>
  <c r="J87" i="35" a="1"/>
  <c r="J87" i="35" s="1"/>
  <c r="I87" i="35"/>
  <c r="H87" i="35"/>
  <c r="G87" i="35"/>
  <c r="F87" i="35" a="1"/>
  <c r="F87" i="35" s="1"/>
  <c r="E87" i="35"/>
  <c r="C87" i="35"/>
  <c r="AH86" i="35"/>
  <c r="AA86" i="35"/>
  <c r="Z86" i="35"/>
  <c r="X86" i="35"/>
  <c r="W86" i="35"/>
  <c r="V86" i="35"/>
  <c r="J86" i="35" a="1"/>
  <c r="J86" i="35" s="1"/>
  <c r="I86" i="35"/>
  <c r="H86" i="35"/>
  <c r="G86" i="35"/>
  <c r="F86" i="35" a="1"/>
  <c r="F86" i="35" s="1"/>
  <c r="E86" i="35"/>
  <c r="C86" i="35"/>
  <c r="AH85" i="35"/>
  <c r="AA85" i="35"/>
  <c r="Z85" i="35"/>
  <c r="X85" i="35"/>
  <c r="W85" i="35"/>
  <c r="V85" i="35"/>
  <c r="J85" i="35" a="1"/>
  <c r="J85" i="35" s="1"/>
  <c r="I85" i="35"/>
  <c r="H85" i="35"/>
  <c r="G85" i="35"/>
  <c r="F85" i="35" a="1"/>
  <c r="F85" i="35" s="1"/>
  <c r="E85" i="35"/>
  <c r="C85" i="35"/>
  <c r="AH84" i="35"/>
  <c r="AA84" i="35"/>
  <c r="Z84" i="35"/>
  <c r="X84" i="35"/>
  <c r="W84" i="35"/>
  <c r="V84" i="35"/>
  <c r="J84" i="35" a="1"/>
  <c r="J84" i="35" s="1"/>
  <c r="I84" i="35"/>
  <c r="H84" i="35"/>
  <c r="G84" i="35"/>
  <c r="F84" i="35" a="1"/>
  <c r="F84" i="35" s="1"/>
  <c r="E84" i="35"/>
  <c r="C84" i="35"/>
  <c r="AH83" i="35"/>
  <c r="AA83" i="35"/>
  <c r="Z83" i="35"/>
  <c r="X83" i="35"/>
  <c r="W83" i="35"/>
  <c r="V83" i="35"/>
  <c r="J83" i="35" a="1"/>
  <c r="J83" i="35" s="1"/>
  <c r="I83" i="35"/>
  <c r="H83" i="35"/>
  <c r="G83" i="35"/>
  <c r="F83" i="35" a="1"/>
  <c r="F83" i="35" s="1"/>
  <c r="E83" i="35"/>
  <c r="C83" i="35"/>
  <c r="AH82" i="35"/>
  <c r="AA82" i="35"/>
  <c r="Z82" i="35"/>
  <c r="X82" i="35"/>
  <c r="W82" i="35"/>
  <c r="V82" i="35"/>
  <c r="J82" i="35" a="1"/>
  <c r="J82" i="35" s="1"/>
  <c r="I82" i="35"/>
  <c r="H82" i="35"/>
  <c r="G82" i="35"/>
  <c r="F82" i="35" a="1"/>
  <c r="F82" i="35" s="1"/>
  <c r="E82" i="35"/>
  <c r="C82" i="35"/>
  <c r="AH81" i="35"/>
  <c r="AA81" i="35"/>
  <c r="Z81" i="35"/>
  <c r="X81" i="35"/>
  <c r="W81" i="35"/>
  <c r="V81" i="35"/>
  <c r="J81" i="35" a="1"/>
  <c r="J81" i="35" s="1"/>
  <c r="I81" i="35"/>
  <c r="H81" i="35"/>
  <c r="G81" i="35"/>
  <c r="F81" i="35" a="1"/>
  <c r="F81" i="35" s="1"/>
  <c r="E81" i="35"/>
  <c r="C81" i="35"/>
  <c r="AH80" i="35"/>
  <c r="AA80" i="35"/>
  <c r="Z80" i="35"/>
  <c r="X80" i="35"/>
  <c r="W80" i="35"/>
  <c r="V80" i="35"/>
  <c r="J80" i="35" a="1"/>
  <c r="J80" i="35" s="1"/>
  <c r="I80" i="35"/>
  <c r="H80" i="35"/>
  <c r="G80" i="35"/>
  <c r="F80" i="35" a="1"/>
  <c r="F80" i="35" s="1"/>
  <c r="E80" i="35"/>
  <c r="C80" i="35"/>
  <c r="AH79" i="35"/>
  <c r="AA79" i="35"/>
  <c r="Z79" i="35"/>
  <c r="X79" i="35"/>
  <c r="W79" i="35"/>
  <c r="V79" i="35"/>
  <c r="J79" i="35" a="1"/>
  <c r="J79" i="35" s="1"/>
  <c r="I79" i="35"/>
  <c r="H79" i="35"/>
  <c r="G79" i="35"/>
  <c r="F79" i="35" a="1"/>
  <c r="F79" i="35" s="1"/>
  <c r="E79" i="35"/>
  <c r="C79" i="35"/>
  <c r="AH78" i="35"/>
  <c r="AA78" i="35"/>
  <c r="Z78" i="35"/>
  <c r="X78" i="35"/>
  <c r="W78" i="35"/>
  <c r="V78" i="35"/>
  <c r="J78" i="35" a="1"/>
  <c r="J78" i="35" s="1"/>
  <c r="I78" i="35"/>
  <c r="H78" i="35"/>
  <c r="G78" i="35"/>
  <c r="F78" i="35" a="1"/>
  <c r="F78" i="35" s="1"/>
  <c r="E78" i="35"/>
  <c r="C78" i="35"/>
  <c r="AH77" i="35"/>
  <c r="AA77" i="35"/>
  <c r="Z77" i="35"/>
  <c r="X77" i="35"/>
  <c r="W77" i="35"/>
  <c r="V77" i="35"/>
  <c r="J77" i="35" a="1"/>
  <c r="J77" i="35" s="1"/>
  <c r="I77" i="35"/>
  <c r="H77" i="35"/>
  <c r="G77" i="35"/>
  <c r="F77" i="35" a="1"/>
  <c r="F77" i="35" s="1"/>
  <c r="E77" i="35"/>
  <c r="C77" i="35"/>
  <c r="AH76" i="35"/>
  <c r="AA76" i="35"/>
  <c r="Z76" i="35"/>
  <c r="X76" i="35"/>
  <c r="W76" i="35"/>
  <c r="V76" i="35"/>
  <c r="J76" i="35" a="1"/>
  <c r="J76" i="35" s="1"/>
  <c r="I76" i="35"/>
  <c r="H76" i="35"/>
  <c r="G76" i="35"/>
  <c r="F76" i="35" a="1"/>
  <c r="F76" i="35" s="1"/>
  <c r="E76" i="35"/>
  <c r="C76" i="35"/>
  <c r="AH75" i="35"/>
  <c r="AA75" i="35"/>
  <c r="Z75" i="35"/>
  <c r="X75" i="35"/>
  <c r="W75" i="35"/>
  <c r="V75" i="35"/>
  <c r="J75" i="35" a="1"/>
  <c r="J75" i="35" s="1"/>
  <c r="I75" i="35"/>
  <c r="H75" i="35"/>
  <c r="G75" i="35"/>
  <c r="F75" i="35" a="1"/>
  <c r="F75" i="35" s="1"/>
  <c r="E75" i="35"/>
  <c r="C75" i="35"/>
  <c r="AH74" i="35"/>
  <c r="AA74" i="35"/>
  <c r="Z74" i="35"/>
  <c r="X74" i="35"/>
  <c r="W74" i="35"/>
  <c r="V74" i="35"/>
  <c r="J74" i="35" a="1"/>
  <c r="J74" i="35" s="1"/>
  <c r="I74" i="35"/>
  <c r="H74" i="35"/>
  <c r="G74" i="35"/>
  <c r="F74" i="35" a="1"/>
  <c r="F74" i="35" s="1"/>
  <c r="E74" i="35"/>
  <c r="C74" i="35"/>
  <c r="AH73" i="35"/>
  <c r="AA73" i="35"/>
  <c r="Z73" i="35"/>
  <c r="X73" i="35"/>
  <c r="W73" i="35"/>
  <c r="V73" i="35"/>
  <c r="J73" i="35" a="1"/>
  <c r="J73" i="35" s="1"/>
  <c r="I73" i="35"/>
  <c r="H73" i="35"/>
  <c r="G73" i="35"/>
  <c r="F73" i="35" a="1"/>
  <c r="F73" i="35" s="1"/>
  <c r="E73" i="35"/>
  <c r="C73" i="35"/>
  <c r="AH72" i="35"/>
  <c r="AA72" i="35"/>
  <c r="Z72" i="35"/>
  <c r="X72" i="35"/>
  <c r="W72" i="35"/>
  <c r="V72" i="35"/>
  <c r="J72" i="35" a="1"/>
  <c r="J72" i="35" s="1"/>
  <c r="I72" i="35"/>
  <c r="H72" i="35"/>
  <c r="G72" i="35"/>
  <c r="F72" i="35" a="1"/>
  <c r="F72" i="35" s="1"/>
  <c r="E72" i="35"/>
  <c r="C72" i="35"/>
  <c r="AH71" i="35"/>
  <c r="AA71" i="35"/>
  <c r="Z71" i="35"/>
  <c r="X71" i="35"/>
  <c r="W71" i="35"/>
  <c r="V71" i="35"/>
  <c r="J71" i="35" a="1"/>
  <c r="J71" i="35" s="1"/>
  <c r="I71" i="35"/>
  <c r="H71" i="35"/>
  <c r="G71" i="35"/>
  <c r="F71" i="35" a="1"/>
  <c r="F71" i="35" s="1"/>
  <c r="E71" i="35"/>
  <c r="C71" i="35"/>
  <c r="AH70" i="35"/>
  <c r="AA70" i="35"/>
  <c r="Z70" i="35"/>
  <c r="X70" i="35"/>
  <c r="W70" i="35"/>
  <c r="V70" i="35"/>
  <c r="J70" i="35" a="1"/>
  <c r="J70" i="35" s="1"/>
  <c r="I70" i="35"/>
  <c r="H70" i="35"/>
  <c r="G70" i="35"/>
  <c r="F70" i="35" a="1"/>
  <c r="F70" i="35" s="1"/>
  <c r="E70" i="35"/>
  <c r="C70" i="35"/>
  <c r="AH69" i="35"/>
  <c r="AA69" i="35"/>
  <c r="Z69" i="35"/>
  <c r="X69" i="35"/>
  <c r="W69" i="35"/>
  <c r="V69" i="35"/>
  <c r="J69" i="35" a="1"/>
  <c r="J69" i="35" s="1"/>
  <c r="I69" i="35"/>
  <c r="H69" i="35"/>
  <c r="G69" i="35"/>
  <c r="F69" i="35" a="1"/>
  <c r="F69" i="35" s="1"/>
  <c r="E69" i="35"/>
  <c r="C69" i="35"/>
  <c r="AH68" i="35"/>
  <c r="AA68" i="35"/>
  <c r="Z68" i="35"/>
  <c r="X68" i="35"/>
  <c r="W68" i="35"/>
  <c r="V68" i="35"/>
  <c r="J68" i="35" a="1"/>
  <c r="J68" i="35" s="1"/>
  <c r="I68" i="35"/>
  <c r="H68" i="35"/>
  <c r="G68" i="35"/>
  <c r="F68" i="35" a="1"/>
  <c r="F68" i="35" s="1"/>
  <c r="E68" i="35"/>
  <c r="C68" i="35"/>
  <c r="AH67" i="35"/>
  <c r="AA67" i="35"/>
  <c r="Z67" i="35"/>
  <c r="X67" i="35"/>
  <c r="W67" i="35"/>
  <c r="V67" i="35"/>
  <c r="J67" i="35" a="1"/>
  <c r="J67" i="35" s="1"/>
  <c r="I67" i="35"/>
  <c r="H67" i="35"/>
  <c r="G67" i="35"/>
  <c r="F67" i="35" a="1"/>
  <c r="F67" i="35" s="1"/>
  <c r="E67" i="35"/>
  <c r="C67" i="35"/>
  <c r="AH66" i="35"/>
  <c r="AA66" i="35"/>
  <c r="Z66" i="35"/>
  <c r="X66" i="35"/>
  <c r="W66" i="35"/>
  <c r="V66" i="35"/>
  <c r="J66" i="35" a="1"/>
  <c r="J66" i="35" s="1"/>
  <c r="I66" i="35"/>
  <c r="H66" i="35"/>
  <c r="G66" i="35"/>
  <c r="F66" i="35" a="1"/>
  <c r="F66" i="35" s="1"/>
  <c r="E66" i="35"/>
  <c r="C66" i="35"/>
  <c r="AH65" i="35"/>
  <c r="AA65" i="35"/>
  <c r="Z65" i="35"/>
  <c r="X65" i="35"/>
  <c r="W65" i="35"/>
  <c r="V65" i="35"/>
  <c r="J65" i="35" a="1"/>
  <c r="J65" i="35" s="1"/>
  <c r="I65" i="35"/>
  <c r="H65" i="35"/>
  <c r="G65" i="35"/>
  <c r="F65" i="35" a="1"/>
  <c r="F65" i="35" s="1"/>
  <c r="E65" i="35"/>
  <c r="C65" i="35"/>
  <c r="AH64" i="35"/>
  <c r="AA64" i="35"/>
  <c r="Z64" i="35"/>
  <c r="X64" i="35"/>
  <c r="W64" i="35"/>
  <c r="V64" i="35"/>
  <c r="J64" i="35" a="1"/>
  <c r="J64" i="35" s="1"/>
  <c r="I64" i="35"/>
  <c r="H64" i="35"/>
  <c r="G64" i="35"/>
  <c r="F64" i="35" a="1"/>
  <c r="F64" i="35" s="1"/>
  <c r="E64" i="35"/>
  <c r="C64" i="35"/>
  <c r="AH63" i="35"/>
  <c r="AA63" i="35"/>
  <c r="Z63" i="35"/>
  <c r="X63" i="35"/>
  <c r="W63" i="35"/>
  <c r="V63" i="35"/>
  <c r="J63" i="35" a="1"/>
  <c r="J63" i="35" s="1"/>
  <c r="I63" i="35"/>
  <c r="H63" i="35"/>
  <c r="G63" i="35"/>
  <c r="F63" i="35" a="1"/>
  <c r="F63" i="35" s="1"/>
  <c r="E63" i="35"/>
  <c r="C63" i="35"/>
  <c r="AH62" i="35"/>
  <c r="AA62" i="35"/>
  <c r="Z62" i="35"/>
  <c r="X62" i="35"/>
  <c r="W62" i="35"/>
  <c r="V62" i="35"/>
  <c r="J62" i="35" a="1"/>
  <c r="J62" i="35" s="1"/>
  <c r="I62" i="35"/>
  <c r="H62" i="35"/>
  <c r="G62" i="35"/>
  <c r="F62" i="35" a="1"/>
  <c r="F62" i="35" s="1"/>
  <c r="E62" i="35"/>
  <c r="C62" i="35"/>
  <c r="AH61" i="35"/>
  <c r="AA61" i="35"/>
  <c r="Z61" i="35"/>
  <c r="X61" i="35"/>
  <c r="W61" i="35"/>
  <c r="V61" i="35"/>
  <c r="J61" i="35" a="1"/>
  <c r="J61" i="35" s="1"/>
  <c r="I61" i="35"/>
  <c r="H61" i="35"/>
  <c r="G61" i="35"/>
  <c r="F61" i="35" a="1"/>
  <c r="F61" i="35" s="1"/>
  <c r="E61" i="35"/>
  <c r="C61" i="35"/>
  <c r="AH60" i="35"/>
  <c r="AA60" i="35"/>
  <c r="Z60" i="35"/>
  <c r="X60" i="35"/>
  <c r="W60" i="35"/>
  <c r="V60" i="35"/>
  <c r="J60" i="35" a="1"/>
  <c r="J60" i="35" s="1"/>
  <c r="I60" i="35"/>
  <c r="H60" i="35"/>
  <c r="G60" i="35"/>
  <c r="F60" i="35" a="1"/>
  <c r="F60" i="35" s="1"/>
  <c r="E60" i="35"/>
  <c r="C60" i="35"/>
  <c r="AH59" i="35"/>
  <c r="AA59" i="35"/>
  <c r="Z59" i="35"/>
  <c r="X59" i="35"/>
  <c r="W59" i="35"/>
  <c r="V59" i="35"/>
  <c r="J59" i="35" a="1"/>
  <c r="J59" i="35" s="1"/>
  <c r="I59" i="35"/>
  <c r="H59" i="35"/>
  <c r="G59" i="35"/>
  <c r="F59" i="35" a="1"/>
  <c r="F59" i="35" s="1"/>
  <c r="E59" i="35"/>
  <c r="C59" i="35"/>
  <c r="AH58" i="35"/>
  <c r="AA58" i="35"/>
  <c r="Z58" i="35"/>
  <c r="X58" i="35"/>
  <c r="W58" i="35"/>
  <c r="V58" i="35"/>
  <c r="J58" i="35" a="1"/>
  <c r="J58" i="35" s="1"/>
  <c r="I58" i="35"/>
  <c r="H58" i="35"/>
  <c r="G58" i="35"/>
  <c r="F58" i="35" a="1"/>
  <c r="F58" i="35" s="1"/>
  <c r="E58" i="35"/>
  <c r="C58" i="35"/>
  <c r="AH57" i="35"/>
  <c r="AA57" i="35"/>
  <c r="Z57" i="35"/>
  <c r="X57" i="35"/>
  <c r="W57" i="35"/>
  <c r="V57" i="35"/>
  <c r="J57" i="35" a="1"/>
  <c r="J57" i="35" s="1"/>
  <c r="I57" i="35"/>
  <c r="H57" i="35"/>
  <c r="G57" i="35"/>
  <c r="F57" i="35" a="1"/>
  <c r="F57" i="35" s="1"/>
  <c r="E57" i="35"/>
  <c r="C57" i="35"/>
  <c r="AH56" i="35"/>
  <c r="AA56" i="35"/>
  <c r="Z56" i="35"/>
  <c r="X56" i="35"/>
  <c r="W56" i="35"/>
  <c r="V56" i="35"/>
  <c r="J56" i="35" a="1"/>
  <c r="J56" i="35" s="1"/>
  <c r="I56" i="35"/>
  <c r="H56" i="35"/>
  <c r="G56" i="35"/>
  <c r="F56" i="35" a="1"/>
  <c r="F56" i="35" s="1"/>
  <c r="E56" i="35"/>
  <c r="C56" i="35"/>
  <c r="AH55" i="35"/>
  <c r="AA55" i="35"/>
  <c r="Z55" i="35"/>
  <c r="X55" i="35"/>
  <c r="W55" i="35"/>
  <c r="V55" i="35"/>
  <c r="J55" i="35" a="1"/>
  <c r="J55" i="35" s="1"/>
  <c r="I55" i="35"/>
  <c r="H55" i="35"/>
  <c r="G55" i="35"/>
  <c r="F55" i="35" a="1"/>
  <c r="F55" i="35" s="1"/>
  <c r="E55" i="35"/>
  <c r="C55" i="35"/>
  <c r="AH54" i="35"/>
  <c r="AA54" i="35"/>
  <c r="Z54" i="35"/>
  <c r="X54" i="35"/>
  <c r="W54" i="35"/>
  <c r="V54" i="35"/>
  <c r="J54" i="35" a="1"/>
  <c r="J54" i="35" s="1"/>
  <c r="I54" i="35"/>
  <c r="H54" i="35"/>
  <c r="G54" i="35"/>
  <c r="F54" i="35" a="1"/>
  <c r="F54" i="35" s="1"/>
  <c r="E54" i="35"/>
  <c r="C54" i="35"/>
  <c r="AH53" i="35"/>
  <c r="AA53" i="35"/>
  <c r="Z53" i="35"/>
  <c r="X53" i="35"/>
  <c r="W53" i="35"/>
  <c r="V53" i="35"/>
  <c r="J53" i="35" a="1"/>
  <c r="J53" i="35" s="1"/>
  <c r="I53" i="35"/>
  <c r="H53" i="35"/>
  <c r="G53" i="35"/>
  <c r="F53" i="35" a="1"/>
  <c r="F53" i="35" s="1"/>
  <c r="E53" i="35"/>
  <c r="C53" i="35"/>
  <c r="AH52" i="35"/>
  <c r="AA52" i="35"/>
  <c r="Z52" i="35"/>
  <c r="X52" i="35"/>
  <c r="W52" i="35"/>
  <c r="V52" i="35"/>
  <c r="J52" i="35" a="1"/>
  <c r="J52" i="35" s="1"/>
  <c r="I52" i="35"/>
  <c r="H52" i="35"/>
  <c r="G52" i="35"/>
  <c r="F52" i="35" a="1"/>
  <c r="F52" i="35" s="1"/>
  <c r="E52" i="35"/>
  <c r="C52" i="35"/>
  <c r="AH51" i="35"/>
  <c r="AA51" i="35"/>
  <c r="Z51" i="35"/>
  <c r="X51" i="35"/>
  <c r="W51" i="35"/>
  <c r="V51" i="35"/>
  <c r="J51" i="35" a="1"/>
  <c r="J51" i="35" s="1"/>
  <c r="I51" i="35"/>
  <c r="H51" i="35"/>
  <c r="G51" i="35"/>
  <c r="F51" i="35" a="1"/>
  <c r="F51" i="35" s="1"/>
  <c r="E51" i="35"/>
  <c r="C51" i="35"/>
  <c r="AH50" i="35"/>
  <c r="AA50" i="35"/>
  <c r="Z50" i="35"/>
  <c r="X50" i="35"/>
  <c r="W50" i="35"/>
  <c r="V50" i="35"/>
  <c r="J50" i="35" a="1"/>
  <c r="J50" i="35" s="1"/>
  <c r="I50" i="35"/>
  <c r="H50" i="35"/>
  <c r="G50" i="35"/>
  <c r="F50" i="35" a="1"/>
  <c r="F50" i="35" s="1"/>
  <c r="E50" i="35"/>
  <c r="C50" i="35"/>
  <c r="AH49" i="35"/>
  <c r="AA49" i="35"/>
  <c r="Z49" i="35"/>
  <c r="X49" i="35"/>
  <c r="W49" i="35"/>
  <c r="V49" i="35"/>
  <c r="J49" i="35" a="1"/>
  <c r="J49" i="35" s="1"/>
  <c r="I49" i="35"/>
  <c r="H49" i="35"/>
  <c r="G49" i="35"/>
  <c r="F49" i="35" a="1"/>
  <c r="F49" i="35" s="1"/>
  <c r="E49" i="35"/>
  <c r="C49" i="35"/>
  <c r="AH48" i="35"/>
  <c r="AA48" i="35"/>
  <c r="Z48" i="35"/>
  <c r="X48" i="35"/>
  <c r="W48" i="35"/>
  <c r="V48" i="35"/>
  <c r="J48" i="35" a="1"/>
  <c r="J48" i="35" s="1"/>
  <c r="I48" i="35"/>
  <c r="H48" i="35"/>
  <c r="G48" i="35"/>
  <c r="F48" i="35" a="1"/>
  <c r="F48" i="35" s="1"/>
  <c r="E48" i="35"/>
  <c r="C48" i="35"/>
  <c r="AH47" i="35"/>
  <c r="AA47" i="35"/>
  <c r="Z47" i="35"/>
  <c r="X47" i="35"/>
  <c r="W47" i="35"/>
  <c r="V47" i="35"/>
  <c r="J47" i="35" a="1"/>
  <c r="J47" i="35" s="1"/>
  <c r="I47" i="35"/>
  <c r="H47" i="35"/>
  <c r="G47" i="35"/>
  <c r="F47" i="35" a="1"/>
  <c r="F47" i="35" s="1"/>
  <c r="E47" i="35"/>
  <c r="C47" i="35"/>
  <c r="AH46" i="35"/>
  <c r="AA46" i="35"/>
  <c r="Z46" i="35"/>
  <c r="X46" i="35"/>
  <c r="W46" i="35"/>
  <c r="V46" i="35"/>
  <c r="J46" i="35" a="1"/>
  <c r="J46" i="35" s="1"/>
  <c r="I46" i="35"/>
  <c r="H46" i="35"/>
  <c r="G46" i="35"/>
  <c r="F46" i="35" a="1"/>
  <c r="F46" i="35" s="1"/>
  <c r="E46" i="35"/>
  <c r="C46" i="35"/>
  <c r="AH45" i="35"/>
  <c r="AA45" i="35"/>
  <c r="Z45" i="35"/>
  <c r="X45" i="35"/>
  <c r="W45" i="35"/>
  <c r="V45" i="35"/>
  <c r="J45" i="35" a="1"/>
  <c r="J45" i="35" s="1"/>
  <c r="I45" i="35"/>
  <c r="H45" i="35"/>
  <c r="G45" i="35"/>
  <c r="F45" i="35" a="1"/>
  <c r="F45" i="35" s="1"/>
  <c r="E45" i="35"/>
  <c r="C45" i="35"/>
  <c r="AH44" i="35"/>
  <c r="AA44" i="35"/>
  <c r="Z44" i="35"/>
  <c r="X44" i="35"/>
  <c r="W44" i="35"/>
  <c r="V44" i="35"/>
  <c r="J44" i="35" a="1"/>
  <c r="J44" i="35" s="1"/>
  <c r="I44" i="35"/>
  <c r="H44" i="35"/>
  <c r="G44" i="35"/>
  <c r="F44" i="35" a="1"/>
  <c r="F44" i="35" s="1"/>
  <c r="E44" i="35"/>
  <c r="C44" i="35"/>
  <c r="AH43" i="35"/>
  <c r="AA43" i="35"/>
  <c r="Z43" i="35"/>
  <c r="X43" i="35"/>
  <c r="W43" i="35"/>
  <c r="V43" i="35"/>
  <c r="J43" i="35" a="1"/>
  <c r="J43" i="35" s="1"/>
  <c r="I43" i="35"/>
  <c r="H43" i="35"/>
  <c r="G43" i="35"/>
  <c r="F43" i="35" a="1"/>
  <c r="F43" i="35" s="1"/>
  <c r="E43" i="35"/>
  <c r="C43" i="35"/>
  <c r="AH42" i="35"/>
  <c r="AA42" i="35"/>
  <c r="Z42" i="35"/>
  <c r="X42" i="35"/>
  <c r="W42" i="35"/>
  <c r="V42" i="35"/>
  <c r="J42" i="35" a="1"/>
  <c r="J42" i="35" s="1"/>
  <c r="I42" i="35"/>
  <c r="H42" i="35"/>
  <c r="G42" i="35"/>
  <c r="F42" i="35" a="1"/>
  <c r="F42" i="35" s="1"/>
  <c r="E42" i="35"/>
  <c r="C42" i="35"/>
  <c r="AH41" i="35"/>
  <c r="AA41" i="35"/>
  <c r="Z41" i="35"/>
  <c r="X41" i="35"/>
  <c r="W41" i="35"/>
  <c r="V41" i="35"/>
  <c r="J41" i="35" a="1"/>
  <c r="J41" i="35" s="1"/>
  <c r="I41" i="35"/>
  <c r="H41" i="35"/>
  <c r="G41" i="35"/>
  <c r="F41" i="35" a="1"/>
  <c r="F41" i="35" s="1"/>
  <c r="E41" i="35"/>
  <c r="C41" i="35"/>
  <c r="AH40" i="35"/>
  <c r="AA40" i="35"/>
  <c r="Z40" i="35"/>
  <c r="X40" i="35"/>
  <c r="W40" i="35"/>
  <c r="V40" i="35"/>
  <c r="J40" i="35" a="1"/>
  <c r="J40" i="35" s="1"/>
  <c r="I40" i="35"/>
  <c r="H40" i="35"/>
  <c r="G40" i="35"/>
  <c r="F40" i="35" a="1"/>
  <c r="F40" i="35" s="1"/>
  <c r="E40" i="35"/>
  <c r="C40" i="35"/>
  <c r="AH39" i="35"/>
  <c r="AA39" i="35"/>
  <c r="Z39" i="35"/>
  <c r="X39" i="35"/>
  <c r="W39" i="35"/>
  <c r="V39" i="35"/>
  <c r="J39" i="35" a="1"/>
  <c r="J39" i="35" s="1"/>
  <c r="I39" i="35"/>
  <c r="H39" i="35"/>
  <c r="G39" i="35"/>
  <c r="F39" i="35" a="1"/>
  <c r="F39" i="35" s="1"/>
  <c r="E39" i="35"/>
  <c r="C39" i="35"/>
  <c r="AH38" i="35"/>
  <c r="AA38" i="35"/>
  <c r="Z38" i="35"/>
  <c r="X38" i="35"/>
  <c r="W38" i="35"/>
  <c r="V38" i="35"/>
  <c r="J38" i="35" a="1"/>
  <c r="J38" i="35" s="1"/>
  <c r="I38" i="35"/>
  <c r="H38" i="35"/>
  <c r="G38" i="35"/>
  <c r="F38" i="35" a="1"/>
  <c r="F38" i="35" s="1"/>
  <c r="E38" i="35"/>
  <c r="C38" i="35"/>
  <c r="AH37" i="35"/>
  <c r="AA37" i="35"/>
  <c r="Z37" i="35"/>
  <c r="X37" i="35"/>
  <c r="W37" i="35"/>
  <c r="V37" i="35"/>
  <c r="J37" i="35" a="1"/>
  <c r="J37" i="35" s="1"/>
  <c r="I37" i="35"/>
  <c r="H37" i="35"/>
  <c r="G37" i="35"/>
  <c r="F37" i="35" a="1"/>
  <c r="F37" i="35" s="1"/>
  <c r="E37" i="35"/>
  <c r="C37" i="35"/>
  <c r="AH36" i="35"/>
  <c r="AA36" i="35"/>
  <c r="Z36" i="35"/>
  <c r="X36" i="35"/>
  <c r="W36" i="35"/>
  <c r="V36" i="35"/>
  <c r="J36" i="35" a="1"/>
  <c r="J36" i="35" s="1"/>
  <c r="I36" i="35"/>
  <c r="H36" i="35"/>
  <c r="G36" i="35"/>
  <c r="F36" i="35" a="1"/>
  <c r="F36" i="35" s="1"/>
  <c r="E36" i="35"/>
  <c r="C36" i="35"/>
  <c r="AH35" i="35"/>
  <c r="AA35" i="35"/>
  <c r="Z35" i="35"/>
  <c r="X35" i="35"/>
  <c r="W35" i="35"/>
  <c r="V35" i="35"/>
  <c r="J35" i="35" a="1"/>
  <c r="J35" i="35" s="1"/>
  <c r="I35" i="35"/>
  <c r="H35" i="35"/>
  <c r="G35" i="35"/>
  <c r="F35" i="35" a="1"/>
  <c r="F35" i="35" s="1"/>
  <c r="E35" i="35"/>
  <c r="C35" i="35"/>
  <c r="AH34" i="35"/>
  <c r="AA34" i="35"/>
  <c r="Z34" i="35"/>
  <c r="X34" i="35"/>
  <c r="W34" i="35"/>
  <c r="V34" i="35"/>
  <c r="J34" i="35" a="1"/>
  <c r="J34" i="35" s="1"/>
  <c r="I34" i="35"/>
  <c r="H34" i="35"/>
  <c r="G34" i="35"/>
  <c r="F34" i="35" a="1"/>
  <c r="F34" i="35" s="1"/>
  <c r="E34" i="35"/>
  <c r="C34" i="35"/>
  <c r="AH33" i="35"/>
  <c r="AA33" i="35"/>
  <c r="Z33" i="35"/>
  <c r="X33" i="35"/>
  <c r="W33" i="35"/>
  <c r="V33" i="35"/>
  <c r="J33" i="35" a="1"/>
  <c r="J33" i="35" s="1"/>
  <c r="I33" i="35"/>
  <c r="H33" i="35"/>
  <c r="G33" i="35"/>
  <c r="F33" i="35" a="1"/>
  <c r="F33" i="35" s="1"/>
  <c r="E33" i="35"/>
  <c r="C33" i="35"/>
  <c r="AH32" i="35"/>
  <c r="AA32" i="35"/>
  <c r="Z32" i="35"/>
  <c r="X32" i="35"/>
  <c r="W32" i="35"/>
  <c r="V32" i="35"/>
  <c r="J32" i="35" a="1"/>
  <c r="J32" i="35" s="1"/>
  <c r="I32" i="35"/>
  <c r="H32" i="35"/>
  <c r="G32" i="35"/>
  <c r="F32" i="35" a="1"/>
  <c r="F32" i="35" s="1"/>
  <c r="E32" i="35"/>
  <c r="C32" i="35"/>
  <c r="AH31" i="35"/>
  <c r="AA31" i="35"/>
  <c r="Z31" i="35"/>
  <c r="X31" i="35"/>
  <c r="W31" i="35"/>
  <c r="V31" i="35"/>
  <c r="J31" i="35" a="1"/>
  <c r="J31" i="35" s="1"/>
  <c r="I31" i="35"/>
  <c r="H31" i="35"/>
  <c r="G31" i="35"/>
  <c r="F31" i="35" a="1"/>
  <c r="F31" i="35" s="1"/>
  <c r="E31" i="35"/>
  <c r="C31" i="35"/>
  <c r="AH30" i="35"/>
  <c r="AA30" i="35"/>
  <c r="Z30" i="35"/>
  <c r="X30" i="35"/>
  <c r="W30" i="35"/>
  <c r="V30" i="35"/>
  <c r="J30" i="35" a="1"/>
  <c r="J30" i="35" s="1"/>
  <c r="I30" i="35"/>
  <c r="H30" i="35"/>
  <c r="G30" i="35"/>
  <c r="F30" i="35" a="1"/>
  <c r="F30" i="35" s="1"/>
  <c r="E30" i="35"/>
  <c r="C30" i="35"/>
  <c r="AH29" i="35"/>
  <c r="AA29" i="35"/>
  <c r="Z29" i="35"/>
  <c r="X29" i="35"/>
  <c r="W29" i="35"/>
  <c r="V29" i="35"/>
  <c r="J29" i="35" a="1"/>
  <c r="J29" i="35" s="1"/>
  <c r="I29" i="35"/>
  <c r="H29" i="35"/>
  <c r="G29" i="35"/>
  <c r="F29" i="35" a="1"/>
  <c r="F29" i="35" s="1"/>
  <c r="E29" i="35"/>
  <c r="C29" i="35"/>
  <c r="AH28" i="35"/>
  <c r="AA28" i="35"/>
  <c r="Z28" i="35"/>
  <c r="X28" i="35"/>
  <c r="W28" i="35"/>
  <c r="V28" i="35"/>
  <c r="J28" i="35" a="1"/>
  <c r="J28" i="35" s="1"/>
  <c r="I28" i="35"/>
  <c r="H28" i="35"/>
  <c r="G28" i="35"/>
  <c r="F28" i="35" a="1"/>
  <c r="F28" i="35" s="1"/>
  <c r="E28" i="35"/>
  <c r="C28" i="35"/>
  <c r="AH27" i="35"/>
  <c r="AA27" i="35"/>
  <c r="Z27" i="35"/>
  <c r="X27" i="35"/>
  <c r="W27" i="35"/>
  <c r="V27" i="35"/>
  <c r="J27" i="35" a="1"/>
  <c r="J27" i="35" s="1"/>
  <c r="I27" i="35"/>
  <c r="H27" i="35"/>
  <c r="G27" i="35"/>
  <c r="F27" i="35" a="1"/>
  <c r="F27" i="35" s="1"/>
  <c r="E27" i="35"/>
  <c r="C27" i="35"/>
  <c r="AH26" i="35"/>
  <c r="AA26" i="35"/>
  <c r="Z26" i="35"/>
  <c r="X26" i="35"/>
  <c r="W26" i="35"/>
  <c r="V26" i="35"/>
  <c r="J26" i="35" a="1"/>
  <c r="J26" i="35" s="1"/>
  <c r="I26" i="35"/>
  <c r="H26" i="35"/>
  <c r="G26" i="35"/>
  <c r="F26" i="35" a="1"/>
  <c r="F26" i="35" s="1"/>
  <c r="E26" i="35"/>
  <c r="C26" i="35"/>
  <c r="AH25" i="35"/>
  <c r="AA25" i="35"/>
  <c r="Z25" i="35"/>
  <c r="X25" i="35"/>
  <c r="W25" i="35"/>
  <c r="V25" i="35"/>
  <c r="J25" i="35" a="1"/>
  <c r="J25" i="35" s="1"/>
  <c r="I25" i="35"/>
  <c r="H25" i="35"/>
  <c r="G25" i="35"/>
  <c r="F25" i="35" a="1"/>
  <c r="F25" i="35" s="1"/>
  <c r="E25" i="35"/>
  <c r="C25" i="35"/>
  <c r="AH24" i="35"/>
  <c r="AA24" i="35"/>
  <c r="Z24" i="35"/>
  <c r="X24" i="35"/>
  <c r="W24" i="35"/>
  <c r="V24" i="35"/>
  <c r="J24" i="35" a="1"/>
  <c r="J24" i="35" s="1"/>
  <c r="I24" i="35"/>
  <c r="H24" i="35"/>
  <c r="G24" i="35"/>
  <c r="F24" i="35" a="1"/>
  <c r="F24" i="35" s="1"/>
  <c r="E24" i="35"/>
  <c r="C24" i="35"/>
  <c r="AH23" i="35"/>
  <c r="AA23" i="35"/>
  <c r="Z23" i="35"/>
  <c r="X23" i="35"/>
  <c r="W23" i="35"/>
  <c r="V23" i="35"/>
  <c r="J23" i="35" a="1"/>
  <c r="J23" i="35" s="1"/>
  <c r="I23" i="35"/>
  <c r="H23" i="35"/>
  <c r="G23" i="35"/>
  <c r="F23" i="35" a="1"/>
  <c r="F23" i="35" s="1"/>
  <c r="E23" i="35"/>
  <c r="C23" i="35"/>
  <c r="AH22" i="35"/>
  <c r="AA22" i="35"/>
  <c r="Z22" i="35"/>
  <c r="X22" i="35"/>
  <c r="W22" i="35"/>
  <c r="V22" i="35"/>
  <c r="J22" i="35" a="1"/>
  <c r="J22" i="35" s="1"/>
  <c r="I22" i="35"/>
  <c r="H22" i="35"/>
  <c r="G22" i="35"/>
  <c r="F22" i="35" a="1"/>
  <c r="F22" i="35" s="1"/>
  <c r="E22" i="35"/>
  <c r="C22" i="35"/>
  <c r="AH21" i="35"/>
  <c r="AA21" i="35"/>
  <c r="Z21" i="35"/>
  <c r="X21" i="35"/>
  <c r="W21" i="35"/>
  <c r="V21" i="35"/>
  <c r="J21" i="35" a="1"/>
  <c r="J21" i="35" s="1"/>
  <c r="I21" i="35"/>
  <c r="H21" i="35"/>
  <c r="G21" i="35"/>
  <c r="F21" i="35" a="1"/>
  <c r="F21" i="35" s="1"/>
  <c r="E21" i="35"/>
  <c r="C21" i="35"/>
  <c r="AH20" i="35"/>
  <c r="AA20" i="35"/>
  <c r="Z20" i="35"/>
  <c r="X20" i="35"/>
  <c r="W20" i="35"/>
  <c r="V20" i="35"/>
  <c r="J20" i="35" a="1"/>
  <c r="J20" i="35" s="1"/>
  <c r="I20" i="35"/>
  <c r="H20" i="35"/>
  <c r="G20" i="35"/>
  <c r="F20" i="35" a="1"/>
  <c r="F20" i="35" s="1"/>
  <c r="E20" i="35"/>
  <c r="C20" i="35"/>
  <c r="AH19" i="35"/>
  <c r="AA19" i="35"/>
  <c r="Z19" i="35"/>
  <c r="X19" i="35"/>
  <c r="W19" i="35"/>
  <c r="V19" i="35"/>
  <c r="J19" i="35" a="1"/>
  <c r="J19" i="35" s="1"/>
  <c r="I19" i="35"/>
  <c r="H19" i="35"/>
  <c r="G19" i="35"/>
  <c r="F19" i="35" a="1"/>
  <c r="F19" i="35" s="1"/>
  <c r="E19" i="35"/>
  <c r="C19" i="35"/>
  <c r="AH18" i="35"/>
  <c r="AA18" i="35"/>
  <c r="Z18" i="35"/>
  <c r="X18" i="35"/>
  <c r="W18" i="35"/>
  <c r="V18" i="35"/>
  <c r="J18" i="35" a="1"/>
  <c r="J18" i="35" s="1"/>
  <c r="I18" i="35"/>
  <c r="H18" i="35"/>
  <c r="G18" i="35"/>
  <c r="F18" i="35" a="1"/>
  <c r="F18" i="35" s="1"/>
  <c r="E18" i="35"/>
  <c r="C18" i="35"/>
  <c r="AH17" i="35"/>
  <c r="AA17" i="35"/>
  <c r="Z17" i="35"/>
  <c r="X17" i="35"/>
  <c r="W17" i="35"/>
  <c r="V17" i="35"/>
  <c r="J17" i="35" a="1"/>
  <c r="J17" i="35" s="1"/>
  <c r="I17" i="35"/>
  <c r="H17" i="35"/>
  <c r="G17" i="35"/>
  <c r="F17" i="35" a="1"/>
  <c r="F17" i="35" s="1"/>
  <c r="E17" i="35"/>
  <c r="C17" i="35"/>
  <c r="AH16" i="35"/>
  <c r="AA16" i="35"/>
  <c r="Z16" i="35"/>
  <c r="X16" i="35"/>
  <c r="W16" i="35"/>
  <c r="V16" i="35"/>
  <c r="J16" i="35" a="1"/>
  <c r="J16" i="35" s="1"/>
  <c r="I16" i="35"/>
  <c r="H16" i="35"/>
  <c r="G16" i="35"/>
  <c r="F16" i="35" a="1"/>
  <c r="F16" i="35" s="1"/>
  <c r="E16" i="35"/>
  <c r="C16" i="35"/>
  <c r="AH15" i="35"/>
  <c r="AA15" i="35"/>
  <c r="Z15" i="35"/>
  <c r="X15" i="35"/>
  <c r="W15" i="35"/>
  <c r="V15" i="35"/>
  <c r="J15" i="35" a="1"/>
  <c r="J15" i="35" s="1"/>
  <c r="I15" i="35"/>
  <c r="H15" i="35"/>
  <c r="G15" i="35"/>
  <c r="F15" i="35" a="1"/>
  <c r="F15" i="35" s="1"/>
  <c r="E15" i="35"/>
  <c r="C15" i="35"/>
  <c r="AH14" i="35"/>
  <c r="AA14" i="35"/>
  <c r="Z14" i="35"/>
  <c r="X14" i="35"/>
  <c r="W14" i="35"/>
  <c r="V14" i="35"/>
  <c r="J14" i="35" a="1"/>
  <c r="J14" i="35" s="1"/>
  <c r="I14" i="35"/>
  <c r="H14" i="35"/>
  <c r="G14" i="35"/>
  <c r="F14" i="35" a="1"/>
  <c r="F14" i="35" s="1"/>
  <c r="E14" i="35"/>
  <c r="C14" i="35"/>
  <c r="AH13" i="35"/>
  <c r="AA13" i="35"/>
  <c r="Z13" i="35"/>
  <c r="X13" i="35"/>
  <c r="W13" i="35"/>
  <c r="V13" i="35"/>
  <c r="J13" i="35" a="1"/>
  <c r="J13" i="35" s="1"/>
  <c r="I13" i="35"/>
  <c r="H13" i="35"/>
  <c r="G13" i="35"/>
  <c r="F13" i="35" a="1"/>
  <c r="F13" i="35" s="1"/>
  <c r="E13" i="35"/>
  <c r="C13" i="35"/>
  <c r="AH12" i="35"/>
  <c r="AA12" i="35"/>
  <c r="Z12" i="35"/>
  <c r="X12" i="35"/>
  <c r="W12" i="35"/>
  <c r="V12" i="35"/>
  <c r="J12" i="35" a="1"/>
  <c r="J12" i="35" s="1"/>
  <c r="I12" i="35"/>
  <c r="H12" i="35"/>
  <c r="G12" i="35"/>
  <c r="F12" i="35" a="1"/>
  <c r="F12" i="35" s="1"/>
  <c r="E12" i="35"/>
  <c r="C12" i="35"/>
  <c r="AH11" i="35"/>
  <c r="AA11" i="35"/>
  <c r="Z11" i="35"/>
  <c r="X11" i="35"/>
  <c r="W11" i="35"/>
  <c r="V11" i="35"/>
  <c r="J11" i="35" a="1"/>
  <c r="J11" i="35" s="1"/>
  <c r="I11" i="35"/>
  <c r="H11" i="35"/>
  <c r="G11" i="35"/>
  <c r="F11" i="35" a="1"/>
  <c r="F11" i="35" s="1"/>
  <c r="E11" i="35"/>
  <c r="C11" i="35"/>
  <c r="AH10" i="35"/>
  <c r="AA10" i="35"/>
  <c r="Z10" i="35"/>
  <c r="X10" i="35"/>
  <c r="W10" i="35"/>
  <c r="V10" i="35"/>
  <c r="J10" i="35" a="1"/>
  <c r="J10" i="35" s="1"/>
  <c r="I10" i="35"/>
  <c r="H10" i="35"/>
  <c r="G10" i="35"/>
  <c r="F10" i="35" a="1"/>
  <c r="F10" i="35" s="1"/>
  <c r="E10" i="35"/>
  <c r="C10" i="35"/>
  <c r="AH9" i="35"/>
  <c r="AA9" i="35"/>
  <c r="Z9" i="35"/>
  <c r="X9" i="35"/>
  <c r="W9" i="35"/>
  <c r="V9" i="35"/>
  <c r="J9" i="35" a="1"/>
  <c r="J9" i="35" s="1"/>
  <c r="I9" i="35"/>
  <c r="H9" i="35"/>
  <c r="G9" i="35"/>
  <c r="F9" i="35" a="1"/>
  <c r="F9" i="35" s="1"/>
  <c r="E9" i="35"/>
  <c r="C9" i="35"/>
  <c r="AH8" i="35"/>
  <c r="AA8" i="35"/>
  <c r="Z8" i="35"/>
  <c r="X8" i="35"/>
  <c r="W8" i="35"/>
  <c r="V8" i="35"/>
  <c r="J8" i="35" a="1"/>
  <c r="J8" i="35" s="1"/>
  <c r="I8" i="35"/>
  <c r="H8" i="35"/>
  <c r="G8" i="35"/>
  <c r="F8" i="35" a="1"/>
  <c r="F8" i="35" s="1"/>
  <c r="E8" i="35"/>
  <c r="C8" i="35"/>
  <c r="AH7" i="35"/>
  <c r="AA7" i="35"/>
  <c r="Z7" i="35"/>
  <c r="X7" i="35"/>
  <c r="W7" i="35"/>
  <c r="V7" i="35"/>
  <c r="J7" i="35" a="1"/>
  <c r="J7" i="35" s="1"/>
  <c r="I7" i="35"/>
  <c r="H7" i="35"/>
  <c r="G7" i="35"/>
  <c r="F7" i="35" a="1"/>
  <c r="F7" i="35" s="1"/>
  <c r="E7" i="35"/>
  <c r="C7" i="35"/>
  <c r="AH6" i="35"/>
  <c r="AA6" i="35"/>
  <c r="Z6" i="35"/>
  <c r="X6" i="35"/>
  <c r="W6" i="35"/>
  <c r="V6" i="35"/>
  <c r="J6" i="35" a="1"/>
  <c r="J6" i="35" s="1"/>
  <c r="I6" i="35"/>
  <c r="H6" i="35"/>
  <c r="G6" i="35"/>
  <c r="F6" i="35" a="1"/>
  <c r="F6" i="35" s="1"/>
  <c r="E6" i="35"/>
  <c r="C6" i="35"/>
  <c r="AH5" i="35"/>
  <c r="AA5" i="35"/>
  <c r="Z5" i="35"/>
  <c r="X5" i="35"/>
  <c r="W5" i="35"/>
  <c r="V5" i="35"/>
  <c r="J5" i="35" a="1"/>
  <c r="J5" i="35" s="1"/>
  <c r="I5" i="35"/>
  <c r="H5" i="35"/>
  <c r="G5" i="35"/>
  <c r="F5" i="35" a="1"/>
  <c r="F5" i="35" s="1"/>
  <c r="E5" i="35"/>
  <c r="C5" i="35"/>
  <c r="AH4" i="35"/>
  <c r="AA4" i="35"/>
  <c r="Z4" i="35"/>
  <c r="X4" i="35"/>
  <c r="W4" i="35"/>
  <c r="V4" i="35"/>
  <c r="J4" i="35" a="1"/>
  <c r="J4" i="35" s="1"/>
  <c r="I4" i="35"/>
  <c r="H4" i="35"/>
  <c r="G4" i="35"/>
  <c r="F4" i="35" a="1"/>
  <c r="F4" i="35" s="1"/>
  <c r="E4" i="35"/>
  <c r="C4" i="35"/>
  <c r="AH3" i="35"/>
  <c r="AA3" i="35"/>
  <c r="Z3" i="35"/>
  <c r="X3" i="35"/>
  <c r="W3" i="35"/>
  <c r="V3" i="35"/>
  <c r="J3" i="35" a="1"/>
  <c r="J3" i="35" s="1"/>
  <c r="I3" i="35"/>
  <c r="H3" i="35"/>
  <c r="G3" i="35"/>
  <c r="F3" i="35" a="1"/>
  <c r="F3" i="35" s="1"/>
  <c r="E3" i="35"/>
  <c r="C3" i="35"/>
  <c r="AH2" i="35"/>
  <c r="AA2" i="35"/>
  <c r="Z2" i="35"/>
  <c r="X2" i="35"/>
  <c r="W2" i="35"/>
  <c r="V2" i="35"/>
  <c r="J2" i="35" a="1"/>
  <c r="J2" i="35" s="1"/>
  <c r="I2" i="35"/>
  <c r="H2" i="35"/>
  <c r="G2" i="35"/>
  <c r="F2" i="35" a="1"/>
  <c r="F2" i="35" s="1"/>
  <c r="E2" i="35"/>
  <c r="C2" i="35"/>
  <c r="D59" i="33"/>
  <c r="E59" i="33" s="1"/>
  <c r="F59" i="33"/>
  <c r="D60" i="33"/>
  <c r="E60" i="33" s="1"/>
  <c r="F60" i="33"/>
  <c r="D61" i="33"/>
  <c r="E61" i="33" s="1"/>
  <c r="F61" i="33"/>
  <c r="D62" i="33"/>
  <c r="E62" i="33" s="1"/>
  <c r="F62" i="33"/>
  <c r="D63" i="33"/>
  <c r="E63" i="33" s="1"/>
  <c r="F63" i="33"/>
  <c r="D64" i="33"/>
  <c r="E64" i="33" s="1"/>
  <c r="F64" i="33"/>
  <c r="D65" i="33"/>
  <c r="E65" i="33" s="1"/>
  <c r="F65" i="33"/>
  <c r="D66" i="33"/>
  <c r="E66" i="33" s="1"/>
  <c r="F66" i="33"/>
  <c r="D67" i="33"/>
  <c r="E67" i="33" s="1"/>
  <c r="F67" i="33"/>
  <c r="D68" i="33"/>
  <c r="E68" i="33" s="1"/>
  <c r="F68" i="33"/>
  <c r="D69" i="33"/>
  <c r="E69" i="33" s="1"/>
  <c r="F69" i="33"/>
  <c r="D70" i="33"/>
  <c r="E70" i="33" s="1"/>
  <c r="F70" i="33"/>
  <c r="D71" i="33"/>
  <c r="E71" i="33" s="1"/>
  <c r="F71" i="33"/>
  <c r="D72" i="33"/>
  <c r="E72" i="33" s="1"/>
  <c r="F72" i="33"/>
  <c r="D73" i="33"/>
  <c r="E73" i="33" s="1"/>
  <c r="F73" i="33"/>
  <c r="D74" i="33"/>
  <c r="E74" i="33" s="1"/>
  <c r="F74" i="33"/>
  <c r="D75" i="33"/>
  <c r="E75" i="33" s="1"/>
  <c r="F75" i="33"/>
  <c r="D76" i="33"/>
  <c r="E76" i="33" s="1"/>
  <c r="F76" i="33"/>
  <c r="D77" i="33"/>
  <c r="E77" i="33" s="1"/>
  <c r="F77" i="33"/>
  <c r="D78" i="33"/>
  <c r="E78" i="33" s="1"/>
  <c r="F78" i="33"/>
  <c r="D79" i="33"/>
  <c r="E79" i="33" s="1"/>
  <c r="F79" i="33"/>
  <c r="D80" i="33"/>
  <c r="E80" i="33" s="1"/>
  <c r="F80" i="33"/>
  <c r="D81" i="33"/>
  <c r="E81" i="33" s="1"/>
  <c r="F81" i="33"/>
  <c r="D82" i="33"/>
  <c r="E82" i="33" s="1"/>
  <c r="F82" i="33"/>
  <c r="D83" i="33"/>
  <c r="E83" i="33" s="1"/>
  <c r="F83" i="33"/>
  <c r="D84" i="33"/>
  <c r="E84" i="33" s="1"/>
  <c r="F84" i="33"/>
  <c r="D85" i="33"/>
  <c r="E85" i="33" s="1"/>
  <c r="F85" i="33"/>
  <c r="D86" i="33"/>
  <c r="E86" i="33" s="1"/>
  <c r="F86" i="33"/>
  <c r="D87" i="33"/>
  <c r="E87" i="33" s="1"/>
  <c r="F87" i="33"/>
  <c r="D88" i="33"/>
  <c r="E88" i="33" s="1"/>
  <c r="F88" i="33"/>
  <c r="D89" i="33"/>
  <c r="E89" i="33" s="1"/>
  <c r="F89" i="33"/>
  <c r="D90" i="33"/>
  <c r="E90" i="33" s="1"/>
  <c r="F90" i="33"/>
  <c r="D91" i="33"/>
  <c r="E91" i="33" s="1"/>
  <c r="F91" i="33"/>
  <c r="D92" i="33"/>
  <c r="E92" i="33" s="1"/>
  <c r="F92" i="33"/>
  <c r="D93" i="33"/>
  <c r="E93" i="33" s="1"/>
  <c r="F93" i="33"/>
  <c r="D94" i="33"/>
  <c r="E94" i="33" s="1"/>
  <c r="F94" i="33"/>
  <c r="D95" i="33"/>
  <c r="E95" i="33" s="1"/>
  <c r="F95" i="33"/>
  <c r="D8" i="33"/>
  <c r="E8" i="33" s="1"/>
  <c r="D9" i="33"/>
  <c r="E9" i="33" s="1"/>
  <c r="D10" i="33"/>
  <c r="E10" i="33" s="1"/>
  <c r="D11" i="33"/>
  <c r="E11" i="33" s="1"/>
  <c r="D12" i="33"/>
  <c r="E12" i="33" s="1"/>
  <c r="D13" i="33"/>
  <c r="E13" i="33" s="1"/>
  <c r="D14" i="33"/>
  <c r="E14" i="33" s="1"/>
  <c r="D15" i="33"/>
  <c r="E15" i="33" s="1"/>
  <c r="D16" i="33"/>
  <c r="E16" i="33" s="1"/>
  <c r="D17" i="33"/>
  <c r="E17" i="33" s="1"/>
  <c r="D18" i="33"/>
  <c r="E18" i="33" s="1"/>
  <c r="D19" i="33"/>
  <c r="E19" i="33" s="1"/>
  <c r="D20" i="33"/>
  <c r="E20" i="33" s="1"/>
  <c r="D21" i="33"/>
  <c r="E21" i="33" s="1"/>
  <c r="D22" i="33"/>
  <c r="E22" i="33" s="1"/>
  <c r="D23" i="33"/>
  <c r="E23" i="33" s="1"/>
  <c r="D24" i="33"/>
  <c r="E24" i="33" s="1"/>
  <c r="D25" i="33"/>
  <c r="E25" i="33" s="1"/>
  <c r="D26" i="33"/>
  <c r="E26" i="33" s="1"/>
  <c r="D27" i="33"/>
  <c r="E27" i="33" s="1"/>
  <c r="D28" i="33"/>
  <c r="E28" i="33" s="1"/>
  <c r="D29" i="33"/>
  <c r="E29" i="33" s="1"/>
  <c r="D30" i="33"/>
  <c r="E30" i="33" s="1"/>
  <c r="D31" i="33"/>
  <c r="E31" i="33" s="1"/>
  <c r="D32" i="33"/>
  <c r="E32" i="33" s="1"/>
  <c r="D33" i="33"/>
  <c r="E33" i="33" s="1"/>
  <c r="D34" i="33"/>
  <c r="E34" i="33" s="1"/>
  <c r="D35" i="33"/>
  <c r="E35" i="33" s="1"/>
  <c r="D36" i="33"/>
  <c r="E36" i="33" s="1"/>
  <c r="D37" i="33"/>
  <c r="E37" i="33" s="1"/>
  <c r="D38" i="33"/>
  <c r="E38" i="33" s="1"/>
  <c r="D39" i="33"/>
  <c r="E39" i="33" s="1"/>
  <c r="D40" i="33"/>
  <c r="E40" i="33" s="1"/>
  <c r="D41" i="33"/>
  <c r="E41" i="33" s="1"/>
  <c r="D42" i="33"/>
  <c r="E42" i="33" s="1"/>
  <c r="D43" i="33"/>
  <c r="E43" i="33" s="1"/>
  <c r="D44" i="33"/>
  <c r="E44" i="33" s="1"/>
  <c r="D45" i="33"/>
  <c r="E45" i="33" s="1"/>
  <c r="D46" i="33"/>
  <c r="E46" i="33" s="1"/>
  <c r="D47" i="33"/>
  <c r="E47" i="33" s="1"/>
  <c r="D48" i="33"/>
  <c r="E48" i="33" s="1"/>
  <c r="D49" i="33"/>
  <c r="E49" i="33" s="1"/>
  <c r="D50" i="33"/>
  <c r="E50" i="33" s="1"/>
  <c r="D51" i="33"/>
  <c r="E51" i="33" s="1"/>
  <c r="D52" i="33"/>
  <c r="E52" i="33" s="1"/>
  <c r="D53" i="33"/>
  <c r="E53" i="33" s="1"/>
  <c r="D54" i="33"/>
  <c r="E54" i="33" s="1"/>
  <c r="D55" i="33"/>
  <c r="E55" i="33" s="1"/>
  <c r="D56" i="33"/>
  <c r="E56" i="33" s="1"/>
  <c r="D57" i="33"/>
  <c r="E57" i="33" s="1"/>
  <c r="D58" i="33"/>
  <c r="E58" i="33" s="1"/>
  <c r="D7" i="33"/>
  <c r="E7" i="33" s="1"/>
  <c r="F8" i="33"/>
  <c r="F9" i="33"/>
  <c r="F10" i="33"/>
  <c r="F11" i="33"/>
  <c r="F12" i="33"/>
  <c r="F13" i="33"/>
  <c r="F14" i="33"/>
  <c r="F15" i="33"/>
  <c r="F16" i="33"/>
  <c r="F17" i="33"/>
  <c r="F18" i="33"/>
  <c r="F19" i="33"/>
  <c r="F20" i="33"/>
  <c r="F21" i="33"/>
  <c r="F22" i="33"/>
  <c r="F23" i="33"/>
  <c r="F24" i="33"/>
  <c r="F25" i="33"/>
  <c r="F26" i="33"/>
  <c r="F27" i="33"/>
  <c r="F28" i="33"/>
  <c r="F29" i="33"/>
  <c r="F30" i="33"/>
  <c r="F31" i="33"/>
  <c r="F32" i="33"/>
  <c r="F33" i="33"/>
  <c r="F34" i="33"/>
  <c r="F35" i="33"/>
  <c r="F36" i="33"/>
  <c r="F37" i="33"/>
  <c r="F38" i="33"/>
  <c r="F39" i="33"/>
  <c r="F40" i="33"/>
  <c r="F41" i="33"/>
  <c r="F42" i="33"/>
  <c r="F43" i="33"/>
  <c r="F44" i="33"/>
  <c r="F45" i="33"/>
  <c r="F46" i="33"/>
  <c r="F47" i="33"/>
  <c r="F48" i="33"/>
  <c r="F49" i="33"/>
  <c r="F50" i="33"/>
  <c r="F51" i="33"/>
  <c r="F52" i="33"/>
  <c r="F53" i="33"/>
  <c r="F54" i="33"/>
  <c r="F55" i="33"/>
  <c r="F56" i="33"/>
  <c r="F57" i="33"/>
  <c r="F58" i="33"/>
  <c r="F7" i="33"/>
  <c r="D96" i="33" l="1"/>
  <c r="E96" i="33"/>
  <c r="C399" i="6" l="1"/>
  <c r="T399" i="6"/>
  <c r="U399" i="6"/>
  <c r="D237" i="4"/>
  <c r="C398" i="6" l="1"/>
  <c r="T398" i="6"/>
  <c r="U398" i="6"/>
  <c r="D236" i="4"/>
  <c r="E2" i="4"/>
  <c r="U3" i="6"/>
  <c r="U4" i="6"/>
  <c r="U15" i="6"/>
  <c r="U20" i="6"/>
  <c r="U24" i="6"/>
  <c r="U28" i="6"/>
  <c r="U30" i="6"/>
  <c r="U31" i="6"/>
  <c r="U34" i="6"/>
  <c r="U35" i="6"/>
  <c r="U36" i="6"/>
  <c r="U37" i="6"/>
  <c r="U39" i="6"/>
  <c r="U40" i="6"/>
  <c r="U41" i="6"/>
  <c r="U42" i="6"/>
  <c r="U44" i="6"/>
  <c r="U47" i="6"/>
  <c r="U50" i="6"/>
  <c r="U51" i="6"/>
  <c r="U53" i="6"/>
  <c r="U54" i="6"/>
  <c r="U56" i="6"/>
  <c r="U60" i="6"/>
  <c r="U64" i="6"/>
  <c r="U68" i="6"/>
  <c r="U69" i="6"/>
  <c r="U71" i="6"/>
  <c r="U72" i="6"/>
  <c r="U73" i="6"/>
  <c r="U74" i="6"/>
  <c r="U75" i="6"/>
  <c r="U76" i="6"/>
  <c r="U77" i="6"/>
  <c r="U79" i="6"/>
  <c r="U80" i="6"/>
  <c r="U81" i="6"/>
  <c r="U82" i="6"/>
  <c r="U83" i="6"/>
  <c r="U84" i="6"/>
  <c r="U85" i="6"/>
  <c r="U86" i="6"/>
  <c r="U87" i="6"/>
  <c r="U88" i="6"/>
  <c r="U89" i="6"/>
  <c r="U90" i="6"/>
  <c r="U91" i="6"/>
  <c r="U92" i="6"/>
  <c r="U93" i="6"/>
  <c r="U94" i="6"/>
  <c r="U95" i="6"/>
  <c r="U96" i="6"/>
  <c r="U97" i="6"/>
  <c r="U98" i="6"/>
  <c r="U100" i="6"/>
  <c r="U101" i="6"/>
  <c r="U102" i="6"/>
  <c r="U104" i="6"/>
  <c r="U106" i="6"/>
  <c r="U109" i="6"/>
  <c r="U112" i="6"/>
  <c r="U115" i="6"/>
  <c r="U116" i="6"/>
  <c r="U118" i="6"/>
  <c r="U121" i="6"/>
  <c r="U122" i="6"/>
  <c r="U123" i="6"/>
  <c r="U124" i="6"/>
  <c r="U125" i="6"/>
  <c r="U126" i="6"/>
  <c r="U127" i="6"/>
  <c r="U128" i="6"/>
  <c r="U130" i="6"/>
  <c r="U131" i="6"/>
  <c r="U132" i="6"/>
  <c r="U133" i="6"/>
  <c r="U134" i="6"/>
  <c r="U135" i="6"/>
  <c r="U136" i="6"/>
  <c r="U137" i="6"/>
  <c r="U138" i="6"/>
  <c r="U139" i="6"/>
  <c r="U140" i="6"/>
  <c r="U141" i="6"/>
  <c r="U142" i="6"/>
  <c r="U143" i="6"/>
  <c r="U144" i="6"/>
  <c r="U145" i="6"/>
  <c r="U146" i="6"/>
  <c r="U147" i="6"/>
  <c r="U148" i="6"/>
  <c r="U149" i="6"/>
  <c r="U151" i="6"/>
  <c r="U153" i="6"/>
  <c r="U160" i="6"/>
  <c r="U161" i="6"/>
  <c r="U162" i="6"/>
  <c r="U163" i="6"/>
  <c r="U164" i="6"/>
  <c r="U165" i="6"/>
  <c r="U166" i="6"/>
  <c r="U167" i="6"/>
  <c r="U168" i="6"/>
  <c r="U169" i="6"/>
  <c r="U170" i="6"/>
  <c r="U171" i="6"/>
  <c r="U172" i="6"/>
  <c r="U173" i="6"/>
  <c r="U174" i="6"/>
  <c r="U175" i="6"/>
  <c r="U176" i="6"/>
  <c r="U178" i="6"/>
  <c r="U179" i="6"/>
  <c r="U180" i="6"/>
  <c r="U181" i="6"/>
  <c r="U182" i="6"/>
  <c r="U183" i="6"/>
  <c r="U184" i="6"/>
  <c r="U185" i="6"/>
  <c r="U186" i="6"/>
  <c r="U190" i="6"/>
  <c r="U191" i="6"/>
  <c r="U193" i="6"/>
  <c r="U194" i="6"/>
  <c r="U197" i="6"/>
  <c r="U200" i="6"/>
  <c r="U223" i="6"/>
  <c r="U230" i="6"/>
  <c r="U231" i="6"/>
  <c r="U323" i="6"/>
  <c r="U365" i="6"/>
  <c r="U366" i="6"/>
  <c r="U367" i="6"/>
  <c r="U369" i="6"/>
  <c r="U370" i="6"/>
  <c r="U371" i="6"/>
  <c r="U372" i="6"/>
  <c r="U373" i="6"/>
  <c r="U374" i="6"/>
  <c r="U375" i="6"/>
  <c r="U381" i="6"/>
  <c r="U387" i="6"/>
  <c r="U389" i="6"/>
  <c r="U390" i="6"/>
  <c r="U391" i="6"/>
  <c r="U392" i="6"/>
  <c r="T3" i="6"/>
  <c r="T4" i="6"/>
  <c r="T15" i="6"/>
  <c r="T20" i="6"/>
  <c r="T24" i="6"/>
  <c r="T28" i="6"/>
  <c r="T30" i="6"/>
  <c r="T31" i="6"/>
  <c r="T34" i="6"/>
  <c r="T35" i="6"/>
  <c r="T36" i="6"/>
  <c r="T37" i="6"/>
  <c r="T39" i="6"/>
  <c r="T40" i="6"/>
  <c r="T41" i="6"/>
  <c r="T42" i="6"/>
  <c r="T44" i="6"/>
  <c r="T47" i="6"/>
  <c r="T50" i="6"/>
  <c r="T51" i="6"/>
  <c r="T53" i="6"/>
  <c r="T54" i="6"/>
  <c r="T56" i="6"/>
  <c r="T60" i="6"/>
  <c r="T64" i="6"/>
  <c r="T68" i="6"/>
  <c r="T69" i="6"/>
  <c r="T71" i="6"/>
  <c r="T72" i="6"/>
  <c r="T73" i="6"/>
  <c r="T74" i="6"/>
  <c r="T75" i="6"/>
  <c r="T76" i="6"/>
  <c r="T77" i="6"/>
  <c r="T79" i="6"/>
  <c r="T80" i="6"/>
  <c r="T81" i="6"/>
  <c r="T82" i="6"/>
  <c r="T83" i="6"/>
  <c r="T84" i="6"/>
  <c r="T85" i="6"/>
  <c r="T86" i="6"/>
  <c r="T87" i="6"/>
  <c r="T88" i="6"/>
  <c r="T89" i="6"/>
  <c r="T90" i="6"/>
  <c r="T91" i="6"/>
  <c r="T92" i="6"/>
  <c r="T93" i="6"/>
  <c r="T94" i="6"/>
  <c r="T95" i="6"/>
  <c r="T96" i="6"/>
  <c r="T97" i="6"/>
  <c r="T98" i="6"/>
  <c r="T100" i="6"/>
  <c r="T101" i="6"/>
  <c r="T102" i="6"/>
  <c r="T104" i="6"/>
  <c r="T106" i="6"/>
  <c r="T109" i="6"/>
  <c r="T112" i="6"/>
  <c r="T115" i="6"/>
  <c r="T116" i="6"/>
  <c r="T118" i="6"/>
  <c r="T121" i="6"/>
  <c r="T122" i="6"/>
  <c r="T123" i="6"/>
  <c r="T124" i="6"/>
  <c r="T125" i="6"/>
  <c r="T126" i="6"/>
  <c r="T127" i="6"/>
  <c r="T128" i="6"/>
  <c r="T130" i="6"/>
  <c r="T131" i="6"/>
  <c r="T132" i="6"/>
  <c r="T133" i="6"/>
  <c r="T134" i="6"/>
  <c r="T135" i="6"/>
  <c r="T136" i="6"/>
  <c r="T137" i="6"/>
  <c r="T138" i="6"/>
  <c r="T139" i="6"/>
  <c r="T140" i="6"/>
  <c r="T141" i="6"/>
  <c r="T142" i="6"/>
  <c r="T143" i="6"/>
  <c r="T144" i="6"/>
  <c r="T145" i="6"/>
  <c r="T146" i="6"/>
  <c r="T147" i="6"/>
  <c r="T148" i="6"/>
  <c r="T149" i="6"/>
  <c r="T151" i="6"/>
  <c r="T153" i="6"/>
  <c r="T160" i="6"/>
  <c r="T161" i="6"/>
  <c r="T162" i="6"/>
  <c r="T163" i="6"/>
  <c r="T164" i="6"/>
  <c r="T165" i="6"/>
  <c r="T166" i="6"/>
  <c r="T167" i="6"/>
  <c r="T168" i="6"/>
  <c r="T169" i="6"/>
  <c r="T170" i="6"/>
  <c r="T171" i="6"/>
  <c r="T172" i="6"/>
  <c r="T173" i="6"/>
  <c r="T174" i="6"/>
  <c r="T175" i="6"/>
  <c r="T176" i="6"/>
  <c r="T178" i="6"/>
  <c r="T179" i="6"/>
  <c r="T180" i="6"/>
  <c r="T181" i="6"/>
  <c r="T182" i="6"/>
  <c r="T183" i="6"/>
  <c r="T184" i="6"/>
  <c r="T185" i="6"/>
  <c r="T186" i="6"/>
  <c r="T190" i="6"/>
  <c r="T191" i="6"/>
  <c r="T193" i="6"/>
  <c r="T194" i="6"/>
  <c r="T197" i="6"/>
  <c r="T200" i="6"/>
  <c r="T223" i="6"/>
  <c r="T230" i="6"/>
  <c r="T231" i="6"/>
  <c r="T323" i="6"/>
  <c r="T365" i="6"/>
  <c r="T366" i="6"/>
  <c r="T367" i="6"/>
  <c r="T369" i="6"/>
  <c r="T370" i="6"/>
  <c r="T371" i="6"/>
  <c r="T372" i="6"/>
  <c r="T373" i="6"/>
  <c r="T374" i="6"/>
  <c r="T375" i="6"/>
  <c r="T381" i="6"/>
  <c r="T387" i="6"/>
  <c r="T389" i="6"/>
  <c r="T390" i="6"/>
  <c r="T391" i="6"/>
  <c r="T392" i="6"/>
  <c r="C3" i="6" l="1"/>
  <c r="C4" i="6"/>
  <c r="C5" i="6"/>
  <c r="C6" i="6"/>
  <c r="C7" i="6"/>
  <c r="C8" i="6"/>
  <c r="C9" i="6"/>
  <c r="C10" i="6"/>
  <c r="C11" i="6"/>
  <c r="C13" i="6"/>
  <c r="C14" i="6"/>
  <c r="C15" i="6"/>
  <c r="C16" i="6"/>
  <c r="C17"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9" i="6"/>
  <c r="C80" i="6"/>
  <c r="C81" i="6"/>
  <c r="C82" i="6"/>
  <c r="C83" i="6"/>
  <c r="C84" i="6"/>
  <c r="C85" i="6"/>
  <c r="C86" i="6"/>
  <c r="C87" i="6"/>
  <c r="C88" i="6"/>
  <c r="C89" i="6"/>
  <c r="C90" i="6"/>
  <c r="C91" i="6"/>
  <c r="C92" i="6"/>
  <c r="C93" i="6"/>
  <c r="C94" i="6"/>
  <c r="C95" i="6"/>
  <c r="C96" i="6"/>
  <c r="C97" i="6"/>
  <c r="C98" i="6"/>
  <c r="C99" i="6"/>
  <c r="C100" i="6"/>
  <c r="C101" i="6"/>
  <c r="C102" i="6"/>
  <c r="C104" i="6"/>
  <c r="C106" i="6"/>
  <c r="C107" i="6"/>
  <c r="C108" i="6"/>
  <c r="C109" i="6"/>
  <c r="C110" i="6"/>
  <c r="C111" i="6"/>
  <c r="C112" i="6"/>
  <c r="C113"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229" i="6"/>
  <c r="C230" i="6"/>
  <c r="C231" i="6"/>
  <c r="C252" i="6"/>
  <c r="C334" i="6"/>
  <c r="C335" i="6"/>
  <c r="C365" i="6"/>
  <c r="C366" i="6"/>
  <c r="C367" i="6"/>
  <c r="C368" i="6"/>
  <c r="C369" i="6"/>
  <c r="C370" i="6"/>
  <c r="C378" i="6"/>
  <c r="C379" i="6"/>
  <c r="C380" i="6"/>
  <c r="C381" i="6"/>
  <c r="C388" i="6"/>
  <c r="C389" i="6"/>
  <c r="C390" i="6"/>
  <c r="C391" i="6"/>
  <c r="C394" i="6"/>
  <c r="C395" i="6"/>
  <c r="C396" i="6"/>
  <c r="R67" i="23" l="1"/>
  <c r="R19" i="23"/>
  <c r="R5" i="23"/>
  <c r="R38" i="23"/>
  <c r="R54" i="23"/>
  <c r="R86" i="23"/>
  <c r="R102" i="23"/>
  <c r="S9" i="23"/>
  <c r="S57" i="23"/>
  <c r="S73" i="23"/>
  <c r="S105" i="23"/>
  <c r="R6" i="23"/>
  <c r="R55" i="23"/>
  <c r="R87" i="23"/>
  <c r="S26" i="23"/>
  <c r="S58" i="23"/>
  <c r="S106" i="23"/>
  <c r="R51" i="23"/>
  <c r="S86" i="23"/>
  <c r="R116" i="23"/>
  <c r="R21" i="23"/>
  <c r="R70" i="23"/>
  <c r="R118" i="23"/>
  <c r="S25" i="23"/>
  <c r="S41" i="23"/>
  <c r="S89" i="23"/>
  <c r="S121" i="23"/>
  <c r="R22" i="23"/>
  <c r="R71" i="23"/>
  <c r="R103" i="23"/>
  <c r="S10" i="23"/>
  <c r="S42" i="23"/>
  <c r="S90" i="23"/>
  <c r="S70" i="23"/>
  <c r="S7" i="23"/>
  <c r="R39" i="23"/>
  <c r="R119" i="23"/>
  <c r="S74" i="23"/>
  <c r="S122" i="23"/>
  <c r="R115" i="23"/>
  <c r="S39" i="23"/>
  <c r="R62" i="23"/>
  <c r="S17" i="23"/>
  <c r="S81" i="23"/>
  <c r="R47" i="23"/>
  <c r="S34" i="23"/>
  <c r="S82" i="23"/>
  <c r="R80" i="23"/>
  <c r="R112" i="23"/>
  <c r="S67" i="23"/>
  <c r="S5" i="23"/>
  <c r="S54" i="23"/>
  <c r="R52" i="23"/>
  <c r="R46" i="23"/>
  <c r="R110" i="23"/>
  <c r="S97" i="23"/>
  <c r="R31" i="23"/>
  <c r="S18" i="23"/>
  <c r="S98" i="23"/>
  <c r="R64" i="23"/>
  <c r="R96" i="23"/>
  <c r="S51" i="23"/>
  <c r="S115" i="23"/>
  <c r="S69" i="23"/>
  <c r="R83" i="23"/>
  <c r="R36" i="23"/>
  <c r="S87" i="23"/>
  <c r="R30" i="23"/>
  <c r="R126" i="23"/>
  <c r="S65" i="23"/>
  <c r="R14" i="23"/>
  <c r="S2" i="23"/>
  <c r="S66" i="23"/>
  <c r="R48" i="23"/>
  <c r="S3" i="23"/>
  <c r="S83" i="23"/>
  <c r="S99" i="23"/>
  <c r="S85" i="23"/>
  <c r="R99" i="23"/>
  <c r="R84" i="23"/>
  <c r="S103" i="23"/>
  <c r="R78" i="23"/>
  <c r="S49" i="23"/>
  <c r="S113" i="23"/>
  <c r="R111" i="23"/>
  <c r="S50" i="23"/>
  <c r="R32" i="23"/>
  <c r="S101" i="23"/>
  <c r="R2" i="23"/>
  <c r="S102" i="23"/>
  <c r="S71" i="23"/>
  <c r="R13" i="23"/>
  <c r="S33" i="23"/>
  <c r="R95" i="23"/>
  <c r="S114" i="23"/>
  <c r="R35" i="23"/>
  <c r="R100" i="23"/>
  <c r="R94" i="23"/>
  <c r="R79" i="23"/>
  <c r="S19" i="23"/>
  <c r="R18" i="23"/>
  <c r="S55" i="23"/>
  <c r="R63" i="23"/>
  <c r="S6" i="23"/>
  <c r="R3" i="23"/>
  <c r="R15" i="23"/>
  <c r="S35" i="23"/>
  <c r="S37" i="23"/>
  <c r="S117" i="23"/>
  <c r="S38" i="23"/>
  <c r="R68" i="23"/>
  <c r="S119" i="23"/>
  <c r="S4" i="23"/>
  <c r="S20" i="23"/>
  <c r="S36" i="23"/>
  <c r="S52" i="23"/>
  <c r="S68" i="23"/>
  <c r="S84" i="23"/>
  <c r="S100" i="23"/>
  <c r="S116" i="23"/>
  <c r="R17" i="23"/>
  <c r="R34" i="23"/>
  <c r="R50" i="23"/>
  <c r="R66" i="23"/>
  <c r="R82" i="23"/>
  <c r="R98" i="23"/>
  <c r="R114" i="23"/>
  <c r="S21" i="23"/>
  <c r="S53" i="23"/>
  <c r="S22" i="23"/>
  <c r="S118" i="23"/>
  <c r="S23" i="23"/>
  <c r="R25" i="23"/>
  <c r="S79" i="23"/>
  <c r="R12" i="23"/>
  <c r="S93" i="23"/>
  <c r="R77" i="23"/>
  <c r="R89" i="23"/>
  <c r="R88" i="23"/>
  <c r="R85" i="23"/>
  <c r="R124" i="23"/>
  <c r="S31" i="23"/>
  <c r="R53" i="23"/>
  <c r="S45" i="23"/>
  <c r="R41" i="23"/>
  <c r="R37" i="23"/>
  <c r="R60" i="23"/>
  <c r="R20" i="23"/>
  <c r="R109" i="23"/>
  <c r="R113" i="23"/>
  <c r="S47" i="23"/>
  <c r="S63" i="23"/>
  <c r="S77" i="23"/>
  <c r="R29" i="23"/>
  <c r="R73" i="23"/>
  <c r="R72" i="23"/>
  <c r="R69" i="23"/>
  <c r="S61" i="23"/>
  <c r="R57" i="23"/>
  <c r="R56" i="23"/>
  <c r="R108" i="23"/>
  <c r="R40" i="23"/>
  <c r="R24" i="23"/>
  <c r="R105" i="23"/>
  <c r="R97" i="23"/>
  <c r="S15" i="23"/>
  <c r="R23" i="23"/>
  <c r="R81" i="23"/>
  <c r="R92" i="23"/>
  <c r="R76" i="23"/>
  <c r="R101" i="23"/>
  <c r="R65" i="23"/>
  <c r="R44" i="23"/>
  <c r="R11" i="23"/>
  <c r="S29" i="23"/>
  <c r="R49" i="23"/>
  <c r="S126" i="23"/>
  <c r="S94" i="23"/>
  <c r="S13" i="23"/>
  <c r="R28" i="23"/>
  <c r="R8" i="23"/>
  <c r="R7" i="23"/>
  <c r="R4" i="23"/>
  <c r="S120" i="23"/>
  <c r="R74" i="23"/>
  <c r="R75" i="23"/>
  <c r="S44" i="23"/>
  <c r="R43" i="23"/>
  <c r="S24" i="23"/>
  <c r="R33" i="23"/>
  <c r="S110" i="23"/>
  <c r="S78" i="23"/>
  <c r="R122" i="23"/>
  <c r="S124" i="23"/>
  <c r="S123" i="23"/>
  <c r="R107" i="23"/>
  <c r="S72" i="23"/>
  <c r="S60" i="23"/>
  <c r="R59" i="23"/>
  <c r="S112" i="23"/>
  <c r="R16" i="23"/>
  <c r="S62" i="23"/>
  <c r="S46" i="23"/>
  <c r="R106" i="23"/>
  <c r="S108" i="23"/>
  <c r="S107" i="23"/>
  <c r="S104" i="23"/>
  <c r="R123" i="23"/>
  <c r="S75" i="23"/>
  <c r="S59" i="23"/>
  <c r="R42" i="23"/>
  <c r="R26" i="23"/>
  <c r="S48" i="23"/>
  <c r="S30" i="23"/>
  <c r="S14" i="23"/>
  <c r="R90" i="23"/>
  <c r="S92" i="23"/>
  <c r="S91" i="23"/>
  <c r="S88" i="23"/>
  <c r="S76" i="23"/>
  <c r="R58" i="23"/>
  <c r="S56" i="23"/>
  <c r="S40" i="23"/>
  <c r="S28" i="23"/>
  <c r="R104" i="23"/>
  <c r="S111" i="23"/>
  <c r="S43" i="23"/>
  <c r="S96" i="23"/>
  <c r="R91" i="23"/>
  <c r="S27" i="23"/>
  <c r="S32" i="23"/>
  <c r="R27" i="23"/>
  <c r="R125" i="23"/>
  <c r="R61" i="23"/>
  <c r="S64" i="23"/>
  <c r="R10" i="23"/>
  <c r="R9" i="23"/>
  <c r="S12" i="23"/>
  <c r="S11" i="23"/>
  <c r="S8" i="23"/>
  <c r="R117" i="23"/>
  <c r="S109" i="23"/>
  <c r="R45" i="23"/>
  <c r="S16" i="23"/>
  <c r="S125" i="23"/>
  <c r="S80" i="23"/>
  <c r="R121" i="23"/>
  <c r="R120" i="23"/>
  <c r="R93" i="23"/>
  <c r="S95" i="23"/>
  <c r="D235" i="4"/>
  <c r="D234" i="4"/>
  <c r="D233" i="4"/>
  <c r="D232" i="4"/>
  <c r="T89" i="23" l="1"/>
  <c r="T57" i="23"/>
  <c r="T41" i="23"/>
  <c r="T34" i="23"/>
  <c r="T120" i="23"/>
  <c r="T74" i="23"/>
  <c r="T9" i="23"/>
  <c r="T101" i="23"/>
  <c r="T7" i="23"/>
  <c r="T25" i="23"/>
  <c r="T121" i="23"/>
  <c r="T105" i="23"/>
  <c r="T114" i="23"/>
  <c r="T66" i="23"/>
  <c r="T93" i="23"/>
  <c r="T97" i="23"/>
  <c r="T106" i="23"/>
  <c r="T33" i="23"/>
  <c r="T73" i="23"/>
  <c r="T122" i="23"/>
  <c r="T65" i="23"/>
  <c r="T117" i="23"/>
  <c r="T50" i="23"/>
  <c r="T45" i="23"/>
  <c r="T42" i="23"/>
  <c r="T24" i="23"/>
  <c r="T82" i="23"/>
  <c r="T4" i="23"/>
  <c r="T10" i="23"/>
  <c r="T26" i="23"/>
  <c r="T27" i="23"/>
  <c r="T81" i="23"/>
  <c r="T83" i="23"/>
  <c r="T58" i="23"/>
  <c r="T69" i="23"/>
  <c r="T43" i="23"/>
  <c r="T72" i="23"/>
  <c r="T85" i="23"/>
  <c r="T61" i="23"/>
  <c r="T29" i="23"/>
  <c r="T15" i="23"/>
  <c r="T2" i="23"/>
  <c r="T59" i="23"/>
  <c r="T12" i="23"/>
  <c r="T63" i="23"/>
  <c r="T107" i="23"/>
  <c r="T28" i="23"/>
  <c r="T20" i="23"/>
  <c r="T39" i="23"/>
  <c r="T60" i="23"/>
  <c r="T79" i="23"/>
  <c r="T104" i="23"/>
  <c r="T108" i="23"/>
  <c r="T112" i="23"/>
  <c r="T67" i="23"/>
  <c r="T123" i="23"/>
  <c r="T49" i="23"/>
  <c r="T56" i="23"/>
  <c r="T35" i="23"/>
  <c r="T84" i="23"/>
  <c r="T80" i="23"/>
  <c r="T100" i="23"/>
  <c r="T53" i="23"/>
  <c r="T68" i="23"/>
  <c r="T99" i="23"/>
  <c r="T11" i="23"/>
  <c r="T98" i="23"/>
  <c r="T95" i="23"/>
  <c r="T103" i="23"/>
  <c r="T87" i="23"/>
  <c r="T44" i="23"/>
  <c r="T96" i="23"/>
  <c r="T47" i="23"/>
  <c r="T71" i="23"/>
  <c r="T55" i="23"/>
  <c r="T13" i="23"/>
  <c r="T64" i="23"/>
  <c r="T22" i="23"/>
  <c r="T6" i="23"/>
  <c r="T75" i="23"/>
  <c r="T48" i="23"/>
  <c r="T62" i="23"/>
  <c r="T88" i="23"/>
  <c r="T125" i="23"/>
  <c r="T16" i="23"/>
  <c r="T92" i="23"/>
  <c r="T77" i="23"/>
  <c r="T17" i="23"/>
  <c r="T3" i="23"/>
  <c r="T31" i="23"/>
  <c r="T76" i="23"/>
  <c r="T90" i="23"/>
  <c r="T115" i="23"/>
  <c r="T32" i="23"/>
  <c r="T14" i="23"/>
  <c r="T110" i="23"/>
  <c r="T118" i="23"/>
  <c r="T102" i="23"/>
  <c r="T23" i="23"/>
  <c r="T113" i="23"/>
  <c r="T46" i="23"/>
  <c r="T70" i="23"/>
  <c r="T86" i="23"/>
  <c r="T91" i="23"/>
  <c r="T8" i="23"/>
  <c r="T109" i="23"/>
  <c r="T18" i="23"/>
  <c r="T111" i="23"/>
  <c r="T126" i="23"/>
  <c r="T52" i="23"/>
  <c r="T119" i="23"/>
  <c r="T21" i="23"/>
  <c r="T54" i="23"/>
  <c r="T30" i="23"/>
  <c r="T116" i="23"/>
  <c r="T38" i="23"/>
  <c r="T5" i="23"/>
  <c r="T40" i="23"/>
  <c r="T37" i="23"/>
  <c r="T94" i="23"/>
  <c r="T78" i="23"/>
  <c r="T36" i="23"/>
  <c r="T51" i="23"/>
  <c r="T19" i="23"/>
  <c r="P126" i="23"/>
  <c r="AG569" i="6" s="1"/>
  <c r="I126" i="23"/>
  <c r="Z569" i="6" s="1"/>
  <c r="F126" i="23"/>
  <c r="W569" i="6" s="1"/>
  <c r="P125" i="23"/>
  <c r="I125" i="23"/>
  <c r="F125" i="23"/>
  <c r="P124" i="23"/>
  <c r="AG590" i="6" s="1"/>
  <c r="I124" i="23"/>
  <c r="Z590" i="6" s="1"/>
  <c r="F124" i="23"/>
  <c r="W590" i="6" s="1"/>
  <c r="P123" i="23"/>
  <c r="AG677" i="6" s="1"/>
  <c r="I123" i="23"/>
  <c r="Z677" i="6" s="1"/>
  <c r="F123" i="23"/>
  <c r="W677" i="6" s="1"/>
  <c r="P122" i="23"/>
  <c r="I122" i="23"/>
  <c r="F122" i="23"/>
  <c r="P121" i="23"/>
  <c r="AG670" i="6" s="1"/>
  <c r="I121" i="23"/>
  <c r="Z670" i="6" s="1"/>
  <c r="F121" i="23"/>
  <c r="W670" i="6" s="1"/>
  <c r="P120" i="23"/>
  <c r="AG521" i="6" s="1"/>
  <c r="I120" i="23"/>
  <c r="Z521" i="6" s="1"/>
  <c r="F120" i="23"/>
  <c r="W521" i="6" s="1"/>
  <c r="P119" i="23"/>
  <c r="I119" i="23"/>
  <c r="F119" i="23"/>
  <c r="P118" i="23"/>
  <c r="AG578" i="6" s="1"/>
  <c r="I118" i="23"/>
  <c r="Z578" i="6" s="1"/>
  <c r="F118" i="23"/>
  <c r="W578" i="6" s="1"/>
  <c r="P117" i="23"/>
  <c r="AG587" i="6" s="1"/>
  <c r="I117" i="23"/>
  <c r="Z587" i="6" s="1"/>
  <c r="F117" i="23"/>
  <c r="W587" i="6" s="1"/>
  <c r="P116" i="23"/>
  <c r="AG699" i="6" s="1"/>
  <c r="I116" i="23"/>
  <c r="Z699" i="6" s="1"/>
  <c r="F116" i="23"/>
  <c r="W699" i="6" s="1"/>
  <c r="P115" i="23"/>
  <c r="AG130" i="6" s="1"/>
  <c r="I115" i="23"/>
  <c r="Z130" i="6" s="1"/>
  <c r="F115" i="23"/>
  <c r="W130" i="6" s="1"/>
  <c r="P114" i="23"/>
  <c r="AG698" i="6" s="1"/>
  <c r="I114" i="23"/>
  <c r="Z698" i="6" s="1"/>
  <c r="F114" i="23"/>
  <c r="W698" i="6" s="1"/>
  <c r="P113" i="23"/>
  <c r="I113" i="23"/>
  <c r="F113" i="23"/>
  <c r="P112" i="23"/>
  <c r="AG600" i="6" s="1"/>
  <c r="I112" i="23"/>
  <c r="Z600" i="6" s="1"/>
  <c r="F112" i="23"/>
  <c r="W600" i="6" s="1"/>
  <c r="P111" i="23"/>
  <c r="I111" i="23"/>
  <c r="F111" i="23"/>
  <c r="P110" i="23"/>
  <c r="I110" i="23"/>
  <c r="F110" i="23"/>
  <c r="P109" i="23"/>
  <c r="AG505" i="6" s="1"/>
  <c r="I109" i="23"/>
  <c r="Z505" i="6" s="1"/>
  <c r="F109" i="23"/>
  <c r="W505" i="6" s="1"/>
  <c r="P108" i="23"/>
  <c r="I108" i="23"/>
  <c r="F108" i="23"/>
  <c r="P107" i="23"/>
  <c r="I107" i="23"/>
  <c r="F107" i="23"/>
  <c r="P106" i="23"/>
  <c r="AG66" i="6" s="1"/>
  <c r="I106" i="23"/>
  <c r="Z66" i="6" s="1"/>
  <c r="F106" i="23"/>
  <c r="W66" i="6" s="1"/>
  <c r="P105" i="23"/>
  <c r="AG570" i="6" s="1"/>
  <c r="I105" i="23"/>
  <c r="Z570" i="6" s="1"/>
  <c r="F105" i="23"/>
  <c r="W570" i="6" s="1"/>
  <c r="P104" i="23"/>
  <c r="AG27" i="6" s="1"/>
  <c r="I104" i="23"/>
  <c r="Z27" i="6" s="1"/>
  <c r="F104" i="23"/>
  <c r="W27" i="6" s="1"/>
  <c r="P103" i="23"/>
  <c r="AG689" i="6" s="1"/>
  <c r="I103" i="23"/>
  <c r="Z689" i="6" s="1"/>
  <c r="F103" i="23"/>
  <c r="W689" i="6" s="1"/>
  <c r="P102" i="23"/>
  <c r="AG591" i="6" s="1"/>
  <c r="I102" i="23"/>
  <c r="Z591" i="6" s="1"/>
  <c r="F102" i="23"/>
  <c r="W591" i="6" s="1"/>
  <c r="P101" i="23"/>
  <c r="I101" i="23"/>
  <c r="F101" i="23"/>
  <c r="P100" i="23"/>
  <c r="AG651" i="6" s="1"/>
  <c r="I100" i="23"/>
  <c r="Z651" i="6" s="1"/>
  <c r="F100" i="23"/>
  <c r="W651" i="6" s="1"/>
  <c r="P99" i="23"/>
  <c r="I99" i="23"/>
  <c r="F99" i="23"/>
  <c r="P98" i="23"/>
  <c r="AG619" i="6" s="1"/>
  <c r="I98" i="23"/>
  <c r="Z619" i="6" s="1"/>
  <c r="F98" i="23"/>
  <c r="W619" i="6" s="1"/>
  <c r="P97" i="23"/>
  <c r="I97" i="23"/>
  <c r="F97" i="23"/>
  <c r="P96" i="23"/>
  <c r="I96" i="23"/>
  <c r="F96" i="23"/>
  <c r="P95" i="23"/>
  <c r="AG678" i="6" s="1"/>
  <c r="I95" i="23"/>
  <c r="Z678" i="6" s="1"/>
  <c r="F95" i="23"/>
  <c r="W678" i="6" s="1"/>
  <c r="P94" i="23"/>
  <c r="I94" i="23"/>
  <c r="F94" i="23"/>
  <c r="P93" i="23"/>
  <c r="I93" i="23"/>
  <c r="F93" i="23"/>
  <c r="P92" i="23"/>
  <c r="I92" i="23"/>
  <c r="F92" i="23"/>
  <c r="P91" i="23"/>
  <c r="I91" i="23"/>
  <c r="F91" i="23"/>
  <c r="P90" i="23"/>
  <c r="I90" i="23"/>
  <c r="F90" i="23"/>
  <c r="P89" i="23"/>
  <c r="AG566" i="6" s="1"/>
  <c r="I89" i="23"/>
  <c r="Z566" i="6" s="1"/>
  <c r="F89" i="23"/>
  <c r="W566" i="6" s="1"/>
  <c r="P88" i="23"/>
  <c r="AG123" i="6" s="1"/>
  <c r="I88" i="23"/>
  <c r="Z123" i="6" s="1"/>
  <c r="F88" i="23"/>
  <c r="W123" i="6" s="1"/>
  <c r="P87" i="23"/>
  <c r="I87" i="23"/>
  <c r="F87" i="23"/>
  <c r="P86" i="23"/>
  <c r="I86" i="23"/>
  <c r="F86" i="23"/>
  <c r="P85" i="23"/>
  <c r="I85" i="23"/>
  <c r="F85" i="23"/>
  <c r="P84" i="23"/>
  <c r="I84" i="23"/>
  <c r="F84" i="23"/>
  <c r="Q83" i="23"/>
  <c r="AH634" i="6" s="1"/>
  <c r="P83" i="23"/>
  <c r="AG634" i="6" s="1"/>
  <c r="I83" i="23"/>
  <c r="Z634" i="6" s="1"/>
  <c r="F83" i="23"/>
  <c r="W634" i="6" s="1"/>
  <c r="P82" i="23"/>
  <c r="I82" i="23"/>
  <c r="F82" i="23"/>
  <c r="Q81" i="23"/>
  <c r="AH647" i="6" s="1"/>
  <c r="P81" i="23"/>
  <c r="AG647" i="6" s="1"/>
  <c r="I81" i="23"/>
  <c r="Z647" i="6" s="1"/>
  <c r="F81" i="23"/>
  <c r="W647" i="6" s="1"/>
  <c r="P80" i="23"/>
  <c r="AG539" i="6" s="1"/>
  <c r="I80" i="23"/>
  <c r="Z539" i="6" s="1"/>
  <c r="F80" i="23"/>
  <c r="W539" i="6" s="1"/>
  <c r="P79" i="23"/>
  <c r="AG563" i="6" s="1"/>
  <c r="I79" i="23"/>
  <c r="Z563" i="6" s="1"/>
  <c r="F79" i="23"/>
  <c r="W563" i="6" s="1"/>
  <c r="P78" i="23"/>
  <c r="AG636" i="6" s="1"/>
  <c r="I78" i="23"/>
  <c r="Z636" i="6" s="1"/>
  <c r="F78" i="23"/>
  <c r="W636" i="6" s="1"/>
  <c r="P77" i="23"/>
  <c r="I77" i="23"/>
  <c r="F77" i="23"/>
  <c r="P76" i="23"/>
  <c r="I76" i="23"/>
  <c r="F76" i="23"/>
  <c r="P75" i="23"/>
  <c r="AG685" i="6" s="1"/>
  <c r="I75" i="23"/>
  <c r="Z685" i="6" s="1"/>
  <c r="F75" i="23"/>
  <c r="W685" i="6" s="1"/>
  <c r="P74" i="23"/>
  <c r="I74" i="23"/>
  <c r="F74" i="23"/>
  <c r="P73" i="23"/>
  <c r="I73" i="23"/>
  <c r="F73" i="23"/>
  <c r="P72" i="23"/>
  <c r="AG520" i="6" s="1"/>
  <c r="I72" i="23"/>
  <c r="Z520" i="6" s="1"/>
  <c r="F72" i="23"/>
  <c r="W520" i="6" s="1"/>
  <c r="P71" i="23"/>
  <c r="AG478" i="6" s="1"/>
  <c r="I71" i="23"/>
  <c r="Z478" i="6" s="1"/>
  <c r="F71" i="23"/>
  <c r="W478" i="6" s="1"/>
  <c r="P70" i="23"/>
  <c r="I70" i="23"/>
  <c r="F70" i="23"/>
  <c r="P69" i="23"/>
  <c r="AG690" i="6" s="1"/>
  <c r="I69" i="23"/>
  <c r="Z690" i="6" s="1"/>
  <c r="F69" i="23"/>
  <c r="W690" i="6" s="1"/>
  <c r="P68" i="23"/>
  <c r="AG473" i="6" s="1"/>
  <c r="I68" i="23"/>
  <c r="Z473" i="6" s="1"/>
  <c r="F68" i="23"/>
  <c r="W473" i="6" s="1"/>
  <c r="P67" i="23"/>
  <c r="I67" i="23"/>
  <c r="F67" i="23"/>
  <c r="P66" i="23"/>
  <c r="AG658" i="6" s="1"/>
  <c r="I66" i="23"/>
  <c r="Z658" i="6" s="1"/>
  <c r="F66" i="23"/>
  <c r="W658" i="6" s="1"/>
  <c r="P65" i="23"/>
  <c r="I65" i="23"/>
  <c r="F65" i="23"/>
  <c r="P64" i="23"/>
  <c r="I64" i="23"/>
  <c r="F64" i="23"/>
  <c r="P63" i="23"/>
  <c r="I63" i="23"/>
  <c r="F63" i="23"/>
  <c r="P62" i="23"/>
  <c r="I62" i="23"/>
  <c r="F62" i="23"/>
  <c r="Q61" i="23"/>
  <c r="P61" i="23"/>
  <c r="I61" i="23"/>
  <c r="F61" i="23"/>
  <c r="Q60" i="23"/>
  <c r="AH466" i="6" s="1"/>
  <c r="P60" i="23"/>
  <c r="AG466" i="6" s="1"/>
  <c r="I60" i="23"/>
  <c r="Z466" i="6" s="1"/>
  <c r="F60" i="23"/>
  <c r="W466" i="6" s="1"/>
  <c r="P59" i="23"/>
  <c r="AG284" i="6" s="1"/>
  <c r="I59" i="23"/>
  <c r="Z284" i="6" s="1"/>
  <c r="F59" i="23"/>
  <c r="W284" i="6" s="1"/>
  <c r="P58" i="23"/>
  <c r="I58" i="23"/>
  <c r="F58" i="23"/>
  <c r="P57" i="23"/>
  <c r="I57" i="23"/>
  <c r="F57" i="23"/>
  <c r="P56" i="23"/>
  <c r="I56" i="23"/>
  <c r="F56" i="23"/>
  <c r="P55" i="23"/>
  <c r="AG550" i="6" s="1"/>
  <c r="I55" i="23"/>
  <c r="Z550" i="6" s="1"/>
  <c r="F55" i="23"/>
  <c r="W550" i="6" s="1"/>
  <c r="P54" i="23"/>
  <c r="I54" i="23"/>
  <c r="F54" i="23"/>
  <c r="P53" i="23"/>
  <c r="AG622" i="6" s="1"/>
  <c r="I53" i="23"/>
  <c r="Z622" i="6" s="1"/>
  <c r="F53" i="23"/>
  <c r="W622" i="6" s="1"/>
  <c r="P52" i="23"/>
  <c r="I52" i="23"/>
  <c r="F52" i="23"/>
  <c r="P51" i="23"/>
  <c r="I51" i="23"/>
  <c r="F51" i="23"/>
  <c r="P50" i="23"/>
  <c r="AG392" i="6" s="1"/>
  <c r="I50" i="23"/>
  <c r="F50" i="23"/>
  <c r="W392" i="6" s="1"/>
  <c r="P49" i="23"/>
  <c r="AG687" i="6" s="1"/>
  <c r="I49" i="23"/>
  <c r="Z687" i="6" s="1"/>
  <c r="F49" i="23"/>
  <c r="W687" i="6" s="1"/>
  <c r="P48" i="23"/>
  <c r="AG688" i="6" s="1"/>
  <c r="I48" i="23"/>
  <c r="Z688" i="6" s="1"/>
  <c r="F48" i="23"/>
  <c r="W688" i="6" s="1"/>
  <c r="P47" i="23"/>
  <c r="I47" i="23"/>
  <c r="F47" i="23"/>
  <c r="P46" i="23"/>
  <c r="I46" i="23"/>
  <c r="F46" i="23"/>
  <c r="P45" i="23"/>
  <c r="I45" i="23"/>
  <c r="F45" i="23"/>
  <c r="P44" i="23"/>
  <c r="AG559" i="6" s="1"/>
  <c r="I44" i="23"/>
  <c r="Z559" i="6" s="1"/>
  <c r="F44" i="23"/>
  <c r="W559" i="6" s="1"/>
  <c r="P43" i="23"/>
  <c r="AG683" i="6" s="1"/>
  <c r="I43" i="23"/>
  <c r="Z683" i="6" s="1"/>
  <c r="F43" i="23"/>
  <c r="W683" i="6" s="1"/>
  <c r="P42" i="23"/>
  <c r="I42" i="23"/>
  <c r="F42" i="23"/>
  <c r="P41" i="23"/>
  <c r="I41" i="23"/>
  <c r="F41" i="23"/>
  <c r="P40" i="23"/>
  <c r="AG580" i="6" s="1"/>
  <c r="I40" i="23"/>
  <c r="Z580" i="6" s="1"/>
  <c r="F40" i="23"/>
  <c r="W580" i="6" s="1"/>
  <c r="P39" i="23"/>
  <c r="I39" i="23"/>
  <c r="F39" i="23"/>
  <c r="P38" i="23"/>
  <c r="AG632" i="6" s="1"/>
  <c r="I38" i="23"/>
  <c r="Z632" i="6" s="1"/>
  <c r="F38" i="23"/>
  <c r="W632" i="6" s="1"/>
  <c r="P37" i="23"/>
  <c r="AG642" i="6" s="1"/>
  <c r="I37" i="23"/>
  <c r="Z642" i="6" s="1"/>
  <c r="F37" i="23"/>
  <c r="W642" i="6" s="1"/>
  <c r="P36" i="23"/>
  <c r="AG693" i="6" s="1"/>
  <c r="I36" i="23"/>
  <c r="Z693" i="6" s="1"/>
  <c r="F36" i="23"/>
  <c r="W693" i="6" s="1"/>
  <c r="P35" i="23"/>
  <c r="I35" i="23"/>
  <c r="F35" i="23"/>
  <c r="P34" i="23"/>
  <c r="I34" i="23"/>
  <c r="F34" i="23"/>
  <c r="P33" i="23"/>
  <c r="I33" i="23"/>
  <c r="F33" i="23"/>
  <c r="Q32" i="23"/>
  <c r="P32" i="23"/>
  <c r="I32" i="23"/>
  <c r="F32" i="23"/>
  <c r="P31" i="23"/>
  <c r="AG598" i="6" s="1"/>
  <c r="I31" i="23"/>
  <c r="Z598" i="6" s="1"/>
  <c r="F31" i="23"/>
  <c r="W598" i="6" s="1"/>
  <c r="Q30" i="23"/>
  <c r="AH691" i="6" s="1"/>
  <c r="P30" i="23"/>
  <c r="AG691" i="6" s="1"/>
  <c r="I30" i="23"/>
  <c r="Z691" i="6" s="1"/>
  <c r="F30" i="23"/>
  <c r="W691" i="6" s="1"/>
  <c r="P29" i="23"/>
  <c r="I29" i="23"/>
  <c r="F29" i="23"/>
  <c r="P28" i="23"/>
  <c r="I28" i="23"/>
  <c r="F28" i="23"/>
  <c r="P27" i="23"/>
  <c r="AG523" i="6" s="1"/>
  <c r="I27" i="23"/>
  <c r="Z523" i="6" s="1"/>
  <c r="F27" i="23"/>
  <c r="W523" i="6" s="1"/>
  <c r="P26" i="23"/>
  <c r="AG335" i="6" s="1"/>
  <c r="I26" i="23"/>
  <c r="Z335" i="6" s="1"/>
  <c r="F26" i="23"/>
  <c r="W335" i="6" s="1"/>
  <c r="P25" i="23"/>
  <c r="I25" i="23"/>
  <c r="F25" i="23"/>
  <c r="P24" i="23"/>
  <c r="AG525" i="6" s="1"/>
  <c r="I24" i="23"/>
  <c r="Z525" i="6" s="1"/>
  <c r="F24" i="23"/>
  <c r="W525" i="6" s="1"/>
  <c r="P23" i="23"/>
  <c r="I23" i="23"/>
  <c r="F23" i="23"/>
  <c r="P22" i="23"/>
  <c r="AG659" i="6" s="1"/>
  <c r="I22" i="23"/>
  <c r="Z659" i="6" s="1"/>
  <c r="F22" i="23"/>
  <c r="W659" i="6" s="1"/>
  <c r="P21" i="23"/>
  <c r="I21" i="23"/>
  <c r="F21" i="23"/>
  <c r="P20" i="23"/>
  <c r="I20" i="23"/>
  <c r="F20" i="23"/>
  <c r="P19" i="23"/>
  <c r="I19" i="23"/>
  <c r="F19" i="23"/>
  <c r="P18" i="23"/>
  <c r="I18" i="23"/>
  <c r="F18" i="23"/>
  <c r="P17" i="23"/>
  <c r="I17" i="23"/>
  <c r="F17" i="23"/>
  <c r="P16" i="23"/>
  <c r="AG11" i="6" s="1"/>
  <c r="I16" i="23"/>
  <c r="Z11" i="6" s="1"/>
  <c r="F16" i="23"/>
  <c r="W11" i="6" s="1"/>
  <c r="P15" i="23"/>
  <c r="AG562" i="6" s="1"/>
  <c r="I15" i="23"/>
  <c r="Z562" i="6" s="1"/>
  <c r="F15" i="23"/>
  <c r="W562" i="6" s="1"/>
  <c r="P14" i="23"/>
  <c r="I14" i="23"/>
  <c r="F14" i="23"/>
  <c r="P13" i="23"/>
  <c r="I13" i="23"/>
  <c r="F13" i="23"/>
  <c r="P12" i="23"/>
  <c r="I12" i="23"/>
  <c r="F12" i="23"/>
  <c r="P11" i="23"/>
  <c r="I11" i="23"/>
  <c r="F11" i="23"/>
  <c r="P10" i="23"/>
  <c r="I10" i="23"/>
  <c r="F10" i="23"/>
  <c r="Q9" i="23"/>
  <c r="P9" i="23"/>
  <c r="I9" i="23"/>
  <c r="F9" i="23"/>
  <c r="P8" i="23"/>
  <c r="I8" i="23"/>
  <c r="F8" i="23"/>
  <c r="Q7" i="23"/>
  <c r="P7" i="23"/>
  <c r="I7" i="23"/>
  <c r="F7" i="23"/>
  <c r="P6" i="23"/>
  <c r="I6" i="23"/>
  <c r="F6" i="23"/>
  <c r="P5" i="23"/>
  <c r="I5" i="23"/>
  <c r="F5" i="23"/>
  <c r="P4" i="23"/>
  <c r="I4" i="23"/>
  <c r="F4" i="23"/>
  <c r="P3" i="23"/>
  <c r="I3" i="23"/>
  <c r="F3" i="23"/>
  <c r="P2" i="23"/>
  <c r="AG265" i="6" s="1"/>
  <c r="I2" i="23"/>
  <c r="Z265" i="6" s="1"/>
  <c r="F2" i="23"/>
  <c r="W265" i="6" s="1"/>
  <c r="W672" i="6" l="1"/>
  <c r="W673" i="6"/>
  <c r="Z673" i="6"/>
  <c r="Z672" i="6"/>
  <c r="Z674" i="6"/>
  <c r="Z676" i="6"/>
  <c r="W701" i="6"/>
  <c r="W664" i="6"/>
  <c r="W575" i="6"/>
  <c r="W669" i="6"/>
  <c r="Z701" i="6"/>
  <c r="Z664" i="6"/>
  <c r="W676" i="6"/>
  <c r="W674" i="6"/>
  <c r="AG701" i="6"/>
  <c r="AG664" i="6"/>
  <c r="W609" i="6"/>
  <c r="W695" i="6"/>
  <c r="AG653" i="6"/>
  <c r="AG665" i="6"/>
  <c r="AG682" i="6"/>
  <c r="Z680" i="6"/>
  <c r="Z681" i="6"/>
  <c r="W531" i="6"/>
  <c r="W694" i="6"/>
  <c r="W671" i="6"/>
  <c r="W663" i="6"/>
  <c r="Z609" i="6"/>
  <c r="Z695" i="6"/>
  <c r="AG681" i="6"/>
  <c r="AG680" i="6"/>
  <c r="Z531" i="6"/>
  <c r="Z671" i="6"/>
  <c r="Z663" i="6"/>
  <c r="Z694" i="6"/>
  <c r="AG609" i="6"/>
  <c r="AG695" i="6"/>
  <c r="AG531" i="6"/>
  <c r="AG663" i="6"/>
  <c r="AG671" i="6"/>
  <c r="AG694" i="6"/>
  <c r="W653" i="6"/>
  <c r="W665" i="6"/>
  <c r="W682" i="6"/>
  <c r="AG575" i="6"/>
  <c r="AG669" i="6"/>
  <c r="W680" i="6"/>
  <c r="W681" i="6"/>
  <c r="Z575" i="6"/>
  <c r="Z669" i="6"/>
  <c r="Z653" i="6"/>
  <c r="Z665" i="6"/>
  <c r="Z682" i="6"/>
  <c r="W589" i="6"/>
  <c r="W684" i="6"/>
  <c r="W472" i="6"/>
  <c r="W662" i="6"/>
  <c r="Z589" i="6"/>
  <c r="Z684" i="6"/>
  <c r="Z472" i="6"/>
  <c r="Z662" i="6"/>
  <c r="AG589" i="6"/>
  <c r="AG684" i="6"/>
  <c r="W660" i="6"/>
  <c r="W667" i="6"/>
  <c r="AG674" i="6"/>
  <c r="AG676" i="6"/>
  <c r="AG643" i="6"/>
  <c r="AG675" i="6"/>
  <c r="W692" i="6"/>
  <c r="W697" i="6"/>
  <c r="Z692" i="6"/>
  <c r="Z697" i="6"/>
  <c r="AG697" i="6"/>
  <c r="AG692" i="6"/>
  <c r="W443" i="6"/>
  <c r="W666" i="6"/>
  <c r="Z443" i="6"/>
  <c r="Z666" i="6"/>
  <c r="W686" i="6"/>
  <c r="W668" i="6"/>
  <c r="W679" i="6"/>
  <c r="AG472" i="6"/>
  <c r="AG662" i="6"/>
  <c r="AG660" i="6"/>
  <c r="AG667" i="6"/>
  <c r="AG443" i="6"/>
  <c r="AG666" i="6"/>
  <c r="W626" i="6"/>
  <c r="W696" i="6"/>
  <c r="Z668" i="6"/>
  <c r="Z679" i="6"/>
  <c r="Z686" i="6"/>
  <c r="AG672" i="6"/>
  <c r="AG673" i="6"/>
  <c r="W643" i="6"/>
  <c r="W675" i="6"/>
  <c r="Z643" i="6"/>
  <c r="Z675" i="6"/>
  <c r="Z626" i="6"/>
  <c r="Z696" i="6"/>
  <c r="AG686" i="6"/>
  <c r="AG668" i="6"/>
  <c r="AG679" i="6"/>
  <c r="AG626" i="6"/>
  <c r="AG696" i="6"/>
  <c r="Z660" i="6"/>
  <c r="Z667" i="6"/>
  <c r="W465" i="6"/>
  <c r="W656" i="6"/>
  <c r="Z465" i="6"/>
  <c r="Z656" i="6"/>
  <c r="W623" i="6"/>
  <c r="W661" i="6"/>
  <c r="AG465" i="6"/>
  <c r="AG656" i="6"/>
  <c r="W654" i="6"/>
  <c r="W652" i="6"/>
  <c r="Z623" i="6"/>
  <c r="Z661" i="6"/>
  <c r="AG623" i="6"/>
  <c r="AG661" i="6"/>
  <c r="W561" i="6"/>
  <c r="W655" i="6"/>
  <c r="Z561" i="6"/>
  <c r="Z655" i="6"/>
  <c r="W618" i="6"/>
  <c r="W657" i="6"/>
  <c r="Z652" i="6"/>
  <c r="Z654" i="6"/>
  <c r="Z618" i="6"/>
  <c r="Z657" i="6"/>
  <c r="AG618" i="6"/>
  <c r="AG657" i="6"/>
  <c r="AG654" i="6"/>
  <c r="AG652" i="6"/>
  <c r="AG561" i="6"/>
  <c r="AG655" i="6"/>
  <c r="AG650" i="6"/>
  <c r="AG646" i="6"/>
  <c r="AG649" i="6"/>
  <c r="Z601" i="6"/>
  <c r="Z645" i="6"/>
  <c r="Z551" i="6"/>
  <c r="Z637" i="6"/>
  <c r="AG601" i="6"/>
  <c r="AG645" i="6"/>
  <c r="AG551" i="6"/>
  <c r="AG637" i="6"/>
  <c r="Z625" i="6"/>
  <c r="Z631" i="6"/>
  <c r="Z517" i="6"/>
  <c r="Z638" i="6"/>
  <c r="W450" i="6"/>
  <c r="W648" i="6"/>
  <c r="AG450" i="6"/>
  <c r="AG648" i="6"/>
  <c r="AG627" i="6"/>
  <c r="AG630" i="6"/>
  <c r="Z450" i="6"/>
  <c r="Z648" i="6"/>
  <c r="AG607" i="6"/>
  <c r="AG639" i="6"/>
  <c r="AG606" i="6"/>
  <c r="AG640" i="6"/>
  <c r="AG644" i="6"/>
  <c r="Z536" i="6"/>
  <c r="Z641" i="6"/>
  <c r="W606" i="6"/>
  <c r="W644" i="6"/>
  <c r="W640" i="6"/>
  <c r="W633" i="6"/>
  <c r="W635" i="6"/>
  <c r="W627" i="6"/>
  <c r="W630" i="6"/>
  <c r="AG536" i="6"/>
  <c r="AG641" i="6"/>
  <c r="Z606" i="6"/>
  <c r="Z644" i="6"/>
  <c r="Z640" i="6"/>
  <c r="AG625" i="6"/>
  <c r="AG631" i="6"/>
  <c r="Z627" i="6"/>
  <c r="Z630" i="6"/>
  <c r="Z633" i="6"/>
  <c r="Z635" i="6"/>
  <c r="AG633" i="6"/>
  <c r="AG635" i="6"/>
  <c r="Z607" i="6"/>
  <c r="Z639" i="6"/>
  <c r="W625" i="6"/>
  <c r="W631" i="6"/>
  <c r="W536" i="6"/>
  <c r="W641" i="6"/>
  <c r="W517" i="6"/>
  <c r="W638" i="6"/>
  <c r="AG517" i="6"/>
  <c r="AG638" i="6"/>
  <c r="W607" i="6"/>
  <c r="W639" i="6"/>
  <c r="W646" i="6"/>
  <c r="W649" i="6"/>
  <c r="W650" i="6"/>
  <c r="Z650" i="6"/>
  <c r="Z646" i="6"/>
  <c r="Z649" i="6"/>
  <c r="W601" i="6"/>
  <c r="W645" i="6"/>
  <c r="W551" i="6"/>
  <c r="W637" i="6"/>
  <c r="Z375" i="6"/>
  <c r="Z629" i="6"/>
  <c r="AG375" i="6"/>
  <c r="AG629" i="6"/>
  <c r="W375" i="6"/>
  <c r="W629" i="6"/>
  <c r="W236" i="6"/>
  <c r="W620" i="6"/>
  <c r="W595" i="6"/>
  <c r="W621" i="6"/>
  <c r="Z236" i="6"/>
  <c r="Z620" i="6"/>
  <c r="Z595" i="6"/>
  <c r="Z621" i="6"/>
  <c r="AG236" i="6"/>
  <c r="AG620" i="6"/>
  <c r="AG595" i="6"/>
  <c r="AG621" i="6"/>
  <c r="W594" i="6"/>
  <c r="W613" i="6"/>
  <c r="W537" i="6"/>
  <c r="W628" i="6"/>
  <c r="W610" i="6"/>
  <c r="AH236" i="6"/>
  <c r="AH620" i="6"/>
  <c r="Z594" i="6"/>
  <c r="Z613" i="6"/>
  <c r="Z537" i="6"/>
  <c r="Z610" i="6"/>
  <c r="Z628" i="6"/>
  <c r="AG594" i="6"/>
  <c r="AG613" i="6"/>
  <c r="AG537" i="6"/>
  <c r="AG610" i="6"/>
  <c r="AG628" i="6"/>
  <c r="W538" i="6"/>
  <c r="W624" i="6"/>
  <c r="Z538" i="6"/>
  <c r="Z624" i="6"/>
  <c r="Z611" i="6"/>
  <c r="Z612" i="6"/>
  <c r="AG612" i="6"/>
  <c r="AG611" i="6"/>
  <c r="Z459" i="6"/>
  <c r="Z608" i="6"/>
  <c r="W616" i="6"/>
  <c r="W605" i="6"/>
  <c r="W614" i="6"/>
  <c r="W604" i="6"/>
  <c r="W617" i="6"/>
  <c r="W615" i="6"/>
  <c r="AG538" i="6"/>
  <c r="AG624" i="6"/>
  <c r="W459" i="6"/>
  <c r="W608" i="6"/>
  <c r="AG459" i="6"/>
  <c r="AG608" i="6"/>
  <c r="Z617" i="6"/>
  <c r="Z614" i="6"/>
  <c r="Z604" i="6"/>
  <c r="Z616" i="6"/>
  <c r="Z615" i="6"/>
  <c r="Z605" i="6"/>
  <c r="W611" i="6"/>
  <c r="W612" i="6"/>
  <c r="AG614" i="6"/>
  <c r="AG605" i="6"/>
  <c r="AG615" i="6"/>
  <c r="AG616" i="6"/>
  <c r="AG604" i="6"/>
  <c r="AG617" i="6"/>
  <c r="W603" i="6"/>
  <c r="W602" i="6"/>
  <c r="Z602" i="6"/>
  <c r="Z603" i="6"/>
  <c r="AG603" i="6"/>
  <c r="AG602" i="6"/>
  <c r="W504" i="6"/>
  <c r="W599" i="6"/>
  <c r="Z504" i="6"/>
  <c r="Z599" i="6"/>
  <c r="AG504" i="6"/>
  <c r="AG599" i="6"/>
  <c r="W592" i="6"/>
  <c r="W581" i="6"/>
  <c r="Z592" i="6"/>
  <c r="Z581" i="6"/>
  <c r="AG574" i="6"/>
  <c r="AG583" i="6"/>
  <c r="AG252" i="6"/>
  <c r="AG588" i="6"/>
  <c r="W577" i="6"/>
  <c r="W593" i="6"/>
  <c r="W586" i="6"/>
  <c r="Z577" i="6"/>
  <c r="Z593" i="6"/>
  <c r="Z586" i="6"/>
  <c r="AG577" i="6"/>
  <c r="AG586" i="6"/>
  <c r="AG593" i="6"/>
  <c r="W573" i="6"/>
  <c r="W596" i="6"/>
  <c r="W582" i="6"/>
  <c r="W584" i="6"/>
  <c r="W585" i="6"/>
  <c r="W574" i="6"/>
  <c r="W583" i="6"/>
  <c r="Z573" i="6"/>
  <c r="Z596" i="6"/>
  <c r="Z585" i="6"/>
  <c r="Z582" i="6"/>
  <c r="Z584" i="6"/>
  <c r="W252" i="6"/>
  <c r="W588" i="6"/>
  <c r="AG592" i="6"/>
  <c r="AG581" i="6"/>
  <c r="Z574" i="6"/>
  <c r="Z583" i="6"/>
  <c r="AG573" i="6"/>
  <c r="AG596" i="6"/>
  <c r="AG584" i="6"/>
  <c r="AG582" i="6"/>
  <c r="AG585" i="6"/>
  <c r="Z252" i="6"/>
  <c r="Z588" i="6"/>
  <c r="W568" i="6"/>
  <c r="W576" i="6"/>
  <c r="W502" i="6"/>
  <c r="W579" i="6"/>
  <c r="Z568" i="6"/>
  <c r="Z576" i="6"/>
  <c r="Z502" i="6"/>
  <c r="Z579" i="6"/>
  <c r="AG568" i="6"/>
  <c r="AG576" i="6"/>
  <c r="AG502" i="6"/>
  <c r="AG579" i="6"/>
  <c r="W564" i="6"/>
  <c r="W565" i="6"/>
  <c r="Z564" i="6"/>
  <c r="Z565" i="6"/>
  <c r="AG564" i="6"/>
  <c r="AG565" i="6"/>
  <c r="W503" i="6"/>
  <c r="W567" i="6"/>
  <c r="AG454" i="6"/>
  <c r="AG571" i="6"/>
  <c r="W494" i="6"/>
  <c r="W572" i="6"/>
  <c r="Z503" i="6"/>
  <c r="Z567" i="6"/>
  <c r="W454" i="6"/>
  <c r="W571" i="6"/>
  <c r="Z494" i="6"/>
  <c r="Z572" i="6"/>
  <c r="AG503" i="6"/>
  <c r="AG567" i="6"/>
  <c r="Z454" i="6"/>
  <c r="Z571" i="6"/>
  <c r="AG494" i="6"/>
  <c r="AG572" i="6"/>
  <c r="W518" i="6"/>
  <c r="W489" i="6"/>
  <c r="W490" i="6"/>
  <c r="AG518" i="6"/>
  <c r="AG490" i="6"/>
  <c r="AG489" i="6"/>
  <c r="Z518" i="6"/>
  <c r="Z489" i="6"/>
  <c r="Z490" i="6"/>
  <c r="W556" i="6"/>
  <c r="W557" i="6"/>
  <c r="W555" i="6"/>
  <c r="Z555" i="6"/>
  <c r="Z556" i="6"/>
  <c r="Z557" i="6"/>
  <c r="AG557" i="6"/>
  <c r="AG555" i="6"/>
  <c r="AG556" i="6"/>
  <c r="AH557" i="6"/>
  <c r="AH555" i="6"/>
  <c r="AH556" i="6"/>
  <c r="W508" i="6"/>
  <c r="W558" i="6"/>
  <c r="Z508" i="6"/>
  <c r="Z558" i="6"/>
  <c r="AG508" i="6"/>
  <c r="AG558" i="6"/>
  <c r="W509" i="6"/>
  <c r="W560" i="6"/>
  <c r="Z509" i="6"/>
  <c r="Z560" i="6"/>
  <c r="AG509" i="6"/>
  <c r="AG560" i="6"/>
  <c r="W553" i="6"/>
  <c r="W554" i="6"/>
  <c r="Z554" i="6"/>
  <c r="Z553" i="6"/>
  <c r="AG553" i="6"/>
  <c r="AG554" i="6"/>
  <c r="W541" i="6"/>
  <c r="Z541" i="6"/>
  <c r="W542" i="6"/>
  <c r="AG541" i="6"/>
  <c r="Z479" i="6"/>
  <c r="Z546" i="6"/>
  <c r="AG479" i="6"/>
  <c r="AG546" i="6"/>
  <c r="Z542" i="6"/>
  <c r="AG542" i="6"/>
  <c r="W547" i="6"/>
  <c r="W548" i="6"/>
  <c r="W549" i="6"/>
  <c r="Z547" i="6"/>
  <c r="Z549" i="6"/>
  <c r="Z548" i="6"/>
  <c r="W479" i="6"/>
  <c r="W546" i="6"/>
  <c r="AG549" i="6"/>
  <c r="AG548" i="6"/>
  <c r="AG547" i="6"/>
  <c r="W62" i="6"/>
  <c r="W545" i="6"/>
  <c r="W115" i="6"/>
  <c r="W543" i="6"/>
  <c r="W534" i="6"/>
  <c r="W544" i="6"/>
  <c r="Z62" i="6"/>
  <c r="Z545" i="6"/>
  <c r="W516" i="6"/>
  <c r="W552" i="6"/>
  <c r="Z115" i="6"/>
  <c r="Z543" i="6"/>
  <c r="AG62" i="6"/>
  <c r="AG545" i="6"/>
  <c r="Z516" i="6"/>
  <c r="Z552" i="6"/>
  <c r="AG115" i="6"/>
  <c r="AG543" i="6"/>
  <c r="AG534" i="6"/>
  <c r="AG544" i="6"/>
  <c r="AG516" i="6"/>
  <c r="AG552" i="6"/>
  <c r="Z534" i="6"/>
  <c r="Z544" i="6"/>
  <c r="W597" i="6"/>
  <c r="W540" i="6"/>
  <c r="Z597" i="6"/>
  <c r="Z540" i="6"/>
  <c r="AG597" i="6"/>
  <c r="AG540" i="6"/>
  <c r="W55" i="6"/>
  <c r="W535" i="6"/>
  <c r="Z55" i="6"/>
  <c r="Z535" i="6"/>
  <c r="AG55" i="6"/>
  <c r="AG535" i="6"/>
  <c r="W522" i="6"/>
  <c r="W524" i="6"/>
  <c r="AG524" i="6"/>
  <c r="AG522" i="6"/>
  <c r="W528" i="6"/>
  <c r="W530" i="6"/>
  <c r="W532" i="6"/>
  <c r="W533" i="6"/>
  <c r="W529" i="6"/>
  <c r="Z529" i="6"/>
  <c r="Z532" i="6"/>
  <c r="Z533" i="6"/>
  <c r="Z528" i="6"/>
  <c r="Z530" i="6"/>
  <c r="AG532" i="6"/>
  <c r="AG533" i="6"/>
  <c r="AG529" i="6"/>
  <c r="AG528" i="6"/>
  <c r="AG530" i="6"/>
  <c r="W526" i="6"/>
  <c r="W527" i="6"/>
  <c r="Z526" i="6"/>
  <c r="Z527" i="6"/>
  <c r="AG527" i="6"/>
  <c r="AG526" i="6"/>
  <c r="Z522" i="6"/>
  <c r="Z524" i="6"/>
  <c r="AG380" i="6"/>
  <c r="AG519" i="6"/>
  <c r="W261" i="6"/>
  <c r="Z261" i="6"/>
  <c r="AG261" i="6"/>
  <c r="W380" i="6"/>
  <c r="W519" i="6"/>
  <c r="Z380" i="6"/>
  <c r="Z519" i="6"/>
  <c r="Z501" i="6"/>
  <c r="Z500" i="6"/>
  <c r="Z499" i="6"/>
  <c r="Z497" i="6"/>
  <c r="Z498" i="6"/>
  <c r="W493" i="6"/>
  <c r="W491" i="6"/>
  <c r="W492" i="6"/>
  <c r="Z474" i="6"/>
  <c r="Z475" i="6"/>
  <c r="Z476" i="6"/>
  <c r="Z477" i="6"/>
  <c r="AG700" i="6"/>
  <c r="AG482" i="6"/>
  <c r="Z492" i="6"/>
  <c r="Z493" i="6"/>
  <c r="Z491" i="6"/>
  <c r="W474" i="6"/>
  <c r="W475" i="6"/>
  <c r="W476" i="6"/>
  <c r="W477" i="6"/>
  <c r="AG480" i="6"/>
  <c r="AG481" i="6"/>
  <c r="Z700" i="6"/>
  <c r="Z482" i="6"/>
  <c r="AG474" i="6"/>
  <c r="AG475" i="6"/>
  <c r="AG476" i="6"/>
  <c r="AG477" i="6"/>
  <c r="AG493" i="6"/>
  <c r="AG491" i="6"/>
  <c r="AG492" i="6"/>
  <c r="W512" i="6"/>
  <c r="W510" i="6"/>
  <c r="W511" i="6"/>
  <c r="AG500" i="6"/>
  <c r="AG501" i="6"/>
  <c r="AG497" i="6"/>
  <c r="AG498" i="6"/>
  <c r="AG499" i="6"/>
  <c r="Z481" i="6"/>
  <c r="Z480" i="6"/>
  <c r="W702" i="6"/>
  <c r="W506" i="6"/>
  <c r="W507" i="6"/>
  <c r="Z512" i="6"/>
  <c r="Z510" i="6"/>
  <c r="Z511" i="6"/>
  <c r="W484" i="6"/>
  <c r="W485" i="6"/>
  <c r="W483" i="6"/>
  <c r="W486" i="6"/>
  <c r="W487" i="6"/>
  <c r="W488" i="6"/>
  <c r="Z702" i="6"/>
  <c r="Z507" i="6"/>
  <c r="Z506" i="6"/>
  <c r="AG511" i="6"/>
  <c r="AG512" i="6"/>
  <c r="AG510" i="6"/>
  <c r="AG471" i="6"/>
  <c r="AG470" i="6"/>
  <c r="AG469" i="6"/>
  <c r="AG468" i="6"/>
  <c r="AG467" i="6"/>
  <c r="W451" i="6"/>
  <c r="W452" i="6"/>
  <c r="W453" i="6"/>
  <c r="Z487" i="6"/>
  <c r="Z483" i="6"/>
  <c r="Z485" i="6"/>
  <c r="Z484" i="6"/>
  <c r="Z486" i="6"/>
  <c r="Z488" i="6"/>
  <c r="AG702" i="6"/>
  <c r="AG506" i="6"/>
  <c r="AG507" i="6"/>
  <c r="W447" i="6"/>
  <c r="W448" i="6"/>
  <c r="W445" i="6"/>
  <c r="W446" i="6"/>
  <c r="W444" i="6"/>
  <c r="W449" i="6"/>
  <c r="Z451" i="6"/>
  <c r="Z452" i="6"/>
  <c r="Z453" i="6"/>
  <c r="W455" i="6"/>
  <c r="W456" i="6"/>
  <c r="W457" i="6"/>
  <c r="W458" i="6"/>
  <c r="AG484" i="6"/>
  <c r="AG485" i="6"/>
  <c r="AG486" i="6"/>
  <c r="AG483" i="6"/>
  <c r="AG487" i="6"/>
  <c r="AG488" i="6"/>
  <c r="W700" i="6"/>
  <c r="W482" i="6"/>
  <c r="AG451" i="6"/>
  <c r="AG452" i="6"/>
  <c r="AG453" i="6"/>
  <c r="Z455" i="6"/>
  <c r="Z456" i="6"/>
  <c r="Z457" i="6"/>
  <c r="Z458" i="6"/>
  <c r="Z448" i="6"/>
  <c r="Z449" i="6"/>
  <c r="Z444" i="6"/>
  <c r="Z446" i="6"/>
  <c r="Z447" i="6"/>
  <c r="Z445" i="6"/>
  <c r="AG445" i="6"/>
  <c r="AG448" i="6"/>
  <c r="AG444" i="6"/>
  <c r="AG446" i="6"/>
  <c r="AG447" i="6"/>
  <c r="AG449" i="6"/>
  <c r="AG458" i="6"/>
  <c r="AG455" i="6"/>
  <c r="AG456" i="6"/>
  <c r="AG457" i="6"/>
  <c r="W462" i="6"/>
  <c r="W460" i="6"/>
  <c r="W461" i="6"/>
  <c r="W463" i="6"/>
  <c r="W464" i="6"/>
  <c r="W515" i="6"/>
  <c r="W513" i="6"/>
  <c r="W514" i="6"/>
  <c r="Z513" i="6"/>
  <c r="Z515" i="6"/>
  <c r="Z514" i="6"/>
  <c r="W495" i="6"/>
  <c r="W496" i="6"/>
  <c r="AG460" i="6"/>
  <c r="AG464" i="6"/>
  <c r="AG461" i="6"/>
  <c r="AG463" i="6"/>
  <c r="AG462" i="6"/>
  <c r="Z495" i="6"/>
  <c r="Z496" i="6"/>
  <c r="AG515" i="6"/>
  <c r="AG513" i="6"/>
  <c r="AG514" i="6"/>
  <c r="W480" i="6"/>
  <c r="W481" i="6"/>
  <c r="W468" i="6"/>
  <c r="W467" i="6"/>
  <c r="W471" i="6"/>
  <c r="W469" i="6"/>
  <c r="W470" i="6"/>
  <c r="AG495" i="6"/>
  <c r="AG496" i="6"/>
  <c r="Z461" i="6"/>
  <c r="Z462" i="6"/>
  <c r="Z463" i="6"/>
  <c r="Z464" i="6"/>
  <c r="Z460" i="6"/>
  <c r="Z469" i="6"/>
  <c r="Z467" i="6"/>
  <c r="Z468" i="6"/>
  <c r="Z470" i="6"/>
  <c r="Z471" i="6"/>
  <c r="W500" i="6"/>
  <c r="W501" i="6"/>
  <c r="W497" i="6"/>
  <c r="W498" i="6"/>
  <c r="W499" i="6"/>
  <c r="AG114" i="6"/>
  <c r="AG118" i="6"/>
  <c r="AG345" i="6"/>
  <c r="AG346" i="6"/>
  <c r="AG283" i="6"/>
  <c r="AG92" i="6"/>
  <c r="AG132" i="6"/>
  <c r="AG282" i="6"/>
  <c r="AG78" i="6"/>
  <c r="AG398" i="6"/>
  <c r="W177" i="6"/>
  <c r="W227" i="6"/>
  <c r="W56" i="6"/>
  <c r="W231" i="6"/>
  <c r="W301" i="6"/>
  <c r="W317" i="6"/>
  <c r="W302" i="6"/>
  <c r="AG388" i="6"/>
  <c r="AG106" i="6"/>
  <c r="AG108" i="6"/>
  <c r="W83" i="6"/>
  <c r="W36" i="6"/>
  <c r="W22" i="6"/>
  <c r="W120" i="6"/>
  <c r="W141" i="6"/>
  <c r="W127" i="6"/>
  <c r="W7" i="6"/>
  <c r="Z135" i="6"/>
  <c r="Z169" i="6"/>
  <c r="Z411" i="6"/>
  <c r="W278" i="6"/>
  <c r="W279" i="6"/>
  <c r="W104" i="6"/>
  <c r="W73" i="6"/>
  <c r="W396" i="6"/>
  <c r="W143" i="6"/>
  <c r="Z119" i="6"/>
  <c r="Z185" i="6"/>
  <c r="Z110" i="6"/>
  <c r="Z305" i="6"/>
  <c r="W14" i="6"/>
  <c r="W15" i="6"/>
  <c r="W244" i="6"/>
  <c r="W189" i="6"/>
  <c r="W239" i="6"/>
  <c r="W240" i="6"/>
  <c r="Z327" i="6"/>
  <c r="Z328" i="6"/>
  <c r="Z329" i="6"/>
  <c r="Z330" i="6"/>
  <c r="Z429" i="6"/>
  <c r="Z285" i="6"/>
  <c r="Z190" i="6"/>
  <c r="Z208" i="6"/>
  <c r="Z33" i="6"/>
  <c r="Z187" i="6"/>
  <c r="W188" i="6"/>
  <c r="W233" i="6"/>
  <c r="AG231" i="6"/>
  <c r="AG301" i="6"/>
  <c r="AG317" i="6"/>
  <c r="AG302" i="6"/>
  <c r="AG135" i="6"/>
  <c r="AG169" i="6"/>
  <c r="AG411" i="6"/>
  <c r="W71" i="6"/>
  <c r="W186" i="6"/>
  <c r="Z278" i="6"/>
  <c r="Z279" i="6"/>
  <c r="Z104" i="6"/>
  <c r="Z73" i="6"/>
  <c r="W435" i="6"/>
  <c r="W395" i="6"/>
  <c r="Z143" i="6"/>
  <c r="Z396" i="6"/>
  <c r="AG233" i="6"/>
  <c r="AG188" i="6"/>
  <c r="W211" i="6"/>
  <c r="W432" i="6"/>
  <c r="W3" i="6"/>
  <c r="W26" i="6"/>
  <c r="W29" i="6"/>
  <c r="W430" i="6"/>
  <c r="W210" i="6"/>
  <c r="W431" i="6"/>
  <c r="Z342" i="6"/>
  <c r="Z343" i="6"/>
  <c r="Z152" i="6"/>
  <c r="Z87" i="6"/>
  <c r="Z220" i="6"/>
  <c r="Z242" i="6"/>
  <c r="Z412" i="6"/>
  <c r="Z57" i="6"/>
  <c r="AG145" i="6"/>
  <c r="AG232" i="6"/>
  <c r="AG289" i="6"/>
  <c r="AG363" i="6"/>
  <c r="AG205" i="6"/>
  <c r="AG52" i="6"/>
  <c r="AG109" i="6"/>
  <c r="AG288" i="6"/>
  <c r="W264" i="6"/>
  <c r="W269" i="6"/>
  <c r="Z121" i="6"/>
  <c r="Z140" i="6"/>
  <c r="Z126" i="6"/>
  <c r="AG186" i="6"/>
  <c r="AG71" i="6"/>
  <c r="AG435" i="6"/>
  <c r="AG395" i="6"/>
  <c r="W82" i="6"/>
  <c r="W230" i="6"/>
  <c r="W442" i="6"/>
  <c r="W416" i="6"/>
  <c r="W417" i="6"/>
  <c r="Z163" i="6"/>
  <c r="Z129" i="6"/>
  <c r="AG262" i="6"/>
  <c r="AG137" i="6"/>
  <c r="Z131" i="6"/>
  <c r="Z218" i="6"/>
  <c r="Z364" i="6"/>
  <c r="Z124" i="6"/>
  <c r="Z222" i="6"/>
  <c r="Z25" i="6"/>
  <c r="AG204" i="6"/>
  <c r="AG303" i="6"/>
  <c r="W323" i="6"/>
  <c r="W18" i="6"/>
  <c r="W422" i="6"/>
  <c r="W423" i="6"/>
  <c r="W425" i="6"/>
  <c r="W427" i="6"/>
  <c r="Z295" i="6"/>
  <c r="Z150" i="6"/>
  <c r="Z408" i="6"/>
  <c r="Z125" i="6"/>
  <c r="Z193" i="6"/>
  <c r="Z237" i="6"/>
  <c r="W69" i="6"/>
  <c r="W318" i="6"/>
  <c r="W13" i="6"/>
  <c r="W40" i="6"/>
  <c r="Z199" i="6"/>
  <c r="Z102" i="6"/>
  <c r="Z319" i="6"/>
  <c r="Z321" i="6"/>
  <c r="Z320" i="6"/>
  <c r="AG64" i="6"/>
  <c r="AG84" i="6"/>
  <c r="AG352" i="6"/>
  <c r="Z292" i="6"/>
  <c r="Z293" i="6"/>
  <c r="Z294" i="6"/>
  <c r="Z38" i="6"/>
  <c r="Z410" i="6"/>
  <c r="Z88" i="6"/>
  <c r="Z107" i="6"/>
  <c r="Z394" i="6"/>
  <c r="Z348" i="6"/>
  <c r="Z173" i="6"/>
  <c r="AG121" i="6"/>
  <c r="AG140" i="6"/>
  <c r="AG126" i="6"/>
  <c r="Z82" i="6"/>
  <c r="Z230" i="6"/>
  <c r="Z442" i="6"/>
  <c r="Z416" i="6"/>
  <c r="Z417" i="6"/>
  <c r="W324" i="6"/>
  <c r="W325" i="6"/>
  <c r="W291" i="6"/>
  <c r="W136" i="6"/>
  <c r="W209" i="6"/>
  <c r="Z280" i="6"/>
  <c r="Z281" i="6"/>
  <c r="W63" i="6"/>
  <c r="W178" i="6"/>
  <c r="W65" i="6"/>
  <c r="W257" i="6"/>
  <c r="W300" i="6"/>
  <c r="Z96" i="6"/>
  <c r="Z144" i="6"/>
  <c r="Z243" i="6"/>
  <c r="AG325" i="6"/>
  <c r="AG324" i="6"/>
  <c r="Z338" i="6"/>
  <c r="Z383" i="6"/>
  <c r="Z75" i="6"/>
  <c r="Z136" i="6"/>
  <c r="Z209" i="6"/>
  <c r="Z291" i="6"/>
  <c r="AG280" i="6"/>
  <c r="AG281" i="6"/>
  <c r="W276" i="6"/>
  <c r="W116" i="6"/>
  <c r="W51" i="6"/>
  <c r="W39" i="6"/>
  <c r="W28" i="6"/>
  <c r="Z178" i="6"/>
  <c r="Z65" i="6"/>
  <c r="Z300" i="6"/>
  <c r="Z257" i="6"/>
  <c r="Z63" i="6"/>
  <c r="AG144" i="6"/>
  <c r="AG243" i="6"/>
  <c r="AG96" i="6"/>
  <c r="W418" i="6"/>
  <c r="W48" i="6"/>
  <c r="W134" i="6"/>
  <c r="W91" i="6"/>
  <c r="W241" i="6"/>
  <c r="W154" i="6"/>
  <c r="AG131" i="6"/>
  <c r="AG218" i="6"/>
  <c r="AG364" i="6"/>
  <c r="AG124" i="6"/>
  <c r="AG222" i="6"/>
  <c r="AG25" i="6"/>
  <c r="AG82" i="6"/>
  <c r="AG416" i="6"/>
  <c r="AG417" i="6"/>
  <c r="AG230" i="6"/>
  <c r="AG442" i="6"/>
  <c r="AG168" i="6"/>
  <c r="AG68" i="6"/>
  <c r="AG70" i="6"/>
  <c r="AG209" i="6"/>
  <c r="AG291" i="6"/>
  <c r="AG136" i="6"/>
  <c r="W5" i="6"/>
  <c r="W226" i="6"/>
  <c r="Z276" i="6"/>
  <c r="Z116" i="6"/>
  <c r="Z51" i="6"/>
  <c r="Z39" i="6"/>
  <c r="Z28" i="6"/>
  <c r="AG257" i="6"/>
  <c r="AG178" i="6"/>
  <c r="AG63" i="6"/>
  <c r="AG65" i="6"/>
  <c r="AG300" i="6"/>
  <c r="W32" i="6"/>
  <c r="W311" i="6"/>
  <c r="W407" i="6"/>
  <c r="W203" i="6"/>
  <c r="W351" i="6"/>
  <c r="Z48" i="6"/>
  <c r="Z134" i="6"/>
  <c r="Z154" i="6"/>
  <c r="Z91" i="6"/>
  <c r="Z241" i="6"/>
  <c r="Z418" i="6"/>
  <c r="Z68" i="6"/>
  <c r="Z70" i="6"/>
  <c r="Z168" i="6"/>
  <c r="AG394" i="6"/>
  <c r="AG348" i="6"/>
  <c r="AG173" i="6"/>
  <c r="W221" i="6"/>
  <c r="W253" i="6"/>
  <c r="W192" i="6"/>
  <c r="W255" i="6"/>
  <c r="AG274" i="6"/>
  <c r="AG275" i="6"/>
  <c r="AG6" i="6"/>
  <c r="AG139" i="6"/>
  <c r="AB388" i="35"/>
  <c r="Z392" i="6"/>
  <c r="Z32" i="6"/>
  <c r="Z311" i="6"/>
  <c r="Z407" i="6"/>
  <c r="Z203" i="6"/>
  <c r="Z351" i="6"/>
  <c r="AG48" i="6"/>
  <c r="AG241" i="6"/>
  <c r="AG418" i="6"/>
  <c r="AG134" i="6"/>
  <c r="AG154" i="6"/>
  <c r="AG91" i="6"/>
  <c r="AG161" i="6"/>
  <c r="AG309" i="6"/>
  <c r="AG341" i="6"/>
  <c r="AG148" i="6"/>
  <c r="AG53" i="6"/>
  <c r="W388" i="6"/>
  <c r="W106" i="6"/>
  <c r="W108" i="6"/>
  <c r="AG147" i="6"/>
  <c r="AG61" i="6"/>
  <c r="AG296" i="6"/>
  <c r="AG297" i="6"/>
  <c r="AG21" i="6"/>
  <c r="AG24" i="6"/>
  <c r="Z356" i="6"/>
  <c r="Z403" i="6"/>
  <c r="Z434" i="6"/>
  <c r="Z358" i="6"/>
  <c r="Z359" i="6"/>
  <c r="Z360" i="6"/>
  <c r="Z238" i="6"/>
  <c r="Z401" i="6"/>
  <c r="Z402" i="6"/>
  <c r="Z388" i="6"/>
  <c r="Z108" i="6"/>
  <c r="Z106" i="6"/>
  <c r="W75" i="6"/>
  <c r="W383" i="6"/>
  <c r="W338" i="6"/>
  <c r="Z264" i="6"/>
  <c r="Z269" i="6"/>
  <c r="W68" i="6"/>
  <c r="W70" i="6"/>
  <c r="W168" i="6"/>
  <c r="AG295" i="6"/>
  <c r="AG150" i="6"/>
  <c r="AG408" i="6"/>
  <c r="AG237" i="6"/>
  <c r="AG193" i="6"/>
  <c r="AG125" i="6"/>
  <c r="Z69" i="6"/>
  <c r="Z40" i="6"/>
  <c r="Z318" i="6"/>
  <c r="Z13" i="6"/>
  <c r="AG264" i="6"/>
  <c r="AG269" i="6"/>
  <c r="AG18" i="6"/>
  <c r="AG323" i="6"/>
  <c r="AG422" i="6"/>
  <c r="AG423" i="6"/>
  <c r="AG425" i="6"/>
  <c r="AG427" i="6"/>
  <c r="W280" i="6"/>
  <c r="W281" i="6"/>
  <c r="W243" i="6"/>
  <c r="W96" i="6"/>
  <c r="W144" i="6"/>
  <c r="AG338" i="6"/>
  <c r="AG75" i="6"/>
  <c r="AG383" i="6"/>
  <c r="AG293" i="6"/>
  <c r="AG38" i="6"/>
  <c r="AG294" i="6"/>
  <c r="AG292" i="6"/>
  <c r="W344" i="6"/>
  <c r="W377" i="6"/>
  <c r="W76" i="6"/>
  <c r="W93" i="6"/>
  <c r="Z389" i="6"/>
  <c r="Z72" i="6"/>
  <c r="W99" i="6"/>
  <c r="W133" i="6"/>
  <c r="W263" i="6"/>
  <c r="AG389" i="6"/>
  <c r="AG72" i="6"/>
  <c r="W31" i="6"/>
  <c r="W308" i="6"/>
  <c r="W37" i="6"/>
  <c r="W349" i="6"/>
  <c r="W304" i="6"/>
  <c r="Z100" i="6"/>
  <c r="Z315" i="6"/>
  <c r="W98" i="6"/>
  <c r="W246" i="6"/>
  <c r="W85" i="6"/>
  <c r="Z167" i="6"/>
  <c r="Z316" i="6"/>
  <c r="W436" i="6"/>
  <c r="W298" i="6"/>
  <c r="Z308" i="6"/>
  <c r="Z37" i="6"/>
  <c r="Z31" i="6"/>
  <c r="Z304" i="6"/>
  <c r="Z349" i="6"/>
  <c r="AG44" i="6"/>
  <c r="AG54" i="6"/>
  <c r="Z98" i="6"/>
  <c r="Z246" i="6"/>
  <c r="Z85" i="6"/>
  <c r="W223" i="6"/>
  <c r="W77" i="6"/>
  <c r="Z5" i="6"/>
  <c r="Z226" i="6"/>
  <c r="AG246" i="6"/>
  <c r="AG98" i="6"/>
  <c r="AG85" i="6"/>
  <c r="W207" i="6"/>
  <c r="W369" i="6"/>
  <c r="AG47" i="6"/>
  <c r="AG391" i="6"/>
  <c r="Z97" i="6"/>
  <c r="Z409" i="6"/>
  <c r="Z400" i="6"/>
  <c r="W212" i="6"/>
  <c r="W387" i="6"/>
  <c r="W213" i="6"/>
  <c r="W404" i="6"/>
  <c r="W200" i="6"/>
  <c r="W155" i="6"/>
  <c r="W156" i="6"/>
  <c r="W286" i="6"/>
  <c r="W397" i="6"/>
  <c r="W157" i="6"/>
  <c r="W287" i="6"/>
  <c r="W158" i="6"/>
  <c r="W336" i="6"/>
  <c r="W160" i="6"/>
  <c r="W310" i="6"/>
  <c r="W378" i="6"/>
  <c r="W381" i="6"/>
  <c r="W117" i="6"/>
  <c r="W368" i="6"/>
  <c r="W273" i="6"/>
  <c r="W46" i="6"/>
  <c r="Z164" i="6"/>
  <c r="Z217" i="6"/>
  <c r="Z254" i="6"/>
  <c r="AG436" i="6"/>
  <c r="AG298" i="6"/>
  <c r="AH304" i="6"/>
  <c r="AH31" i="6"/>
  <c r="AH308" i="6"/>
  <c r="AH37" i="6"/>
  <c r="AH349" i="6"/>
  <c r="AG4" i="6"/>
  <c r="AG41" i="6"/>
  <c r="AG20" i="6"/>
  <c r="W95" i="6"/>
  <c r="W162" i="6"/>
  <c r="W179" i="6"/>
  <c r="W180" i="6"/>
  <c r="W299" i="6"/>
  <c r="W45" i="6"/>
  <c r="W290" i="6"/>
  <c r="Z223" i="6"/>
  <c r="Z77" i="6"/>
  <c r="AG226" i="6"/>
  <c r="AG5" i="6"/>
  <c r="W49" i="6"/>
  <c r="W35" i="6"/>
  <c r="W390" i="6"/>
  <c r="W202" i="6"/>
  <c r="W272" i="6"/>
  <c r="AG32" i="6"/>
  <c r="AG311" i="6"/>
  <c r="AG407" i="6"/>
  <c r="AG203" i="6"/>
  <c r="AG351" i="6"/>
  <c r="W19" i="6"/>
  <c r="W181" i="6"/>
  <c r="W234" i="6"/>
  <c r="W235" i="6"/>
  <c r="W353" i="6"/>
  <c r="Z266" i="6"/>
  <c r="Z382" i="6"/>
  <c r="Z79" i="6"/>
  <c r="Z386" i="6"/>
  <c r="W389" i="6"/>
  <c r="W72" i="6"/>
  <c r="AG13" i="6"/>
  <c r="AG40" i="6"/>
  <c r="AG69" i="6"/>
  <c r="AG318" i="6"/>
  <c r="Z324" i="6"/>
  <c r="Z325" i="6"/>
  <c r="AG386" i="6"/>
  <c r="AG79" i="6"/>
  <c r="AG266" i="6"/>
  <c r="AG382" i="6"/>
  <c r="Z372" i="6"/>
  <c r="Z373" i="6"/>
  <c r="Z374" i="6"/>
  <c r="Z122" i="6"/>
  <c r="Z10" i="6"/>
  <c r="Z371" i="6"/>
  <c r="Z103" i="6"/>
  <c r="AG410" i="6"/>
  <c r="AG88" i="6"/>
  <c r="AG107" i="6"/>
  <c r="Z6" i="6"/>
  <c r="Z274" i="6"/>
  <c r="Z275" i="6"/>
  <c r="Z139" i="6"/>
  <c r="Z54" i="6"/>
  <c r="Z44" i="6"/>
  <c r="Z192" i="6"/>
  <c r="Z255" i="6"/>
  <c r="Z221" i="6"/>
  <c r="Z253" i="6"/>
  <c r="W47" i="6"/>
  <c r="W391" i="6"/>
  <c r="AG93" i="6"/>
  <c r="AG76" i="6"/>
  <c r="AG344" i="6"/>
  <c r="AG377" i="6"/>
  <c r="AG100" i="6"/>
  <c r="AG315" i="6"/>
  <c r="AG221" i="6"/>
  <c r="AG253" i="6"/>
  <c r="AG255" i="6"/>
  <c r="AG192" i="6"/>
  <c r="Z391" i="6"/>
  <c r="Z47" i="6"/>
  <c r="AG167" i="6"/>
  <c r="AG316" i="6"/>
  <c r="W97" i="6"/>
  <c r="W409" i="6"/>
  <c r="W400" i="6"/>
  <c r="AG195" i="6"/>
  <c r="AG58" i="6"/>
  <c r="AG245" i="6"/>
  <c r="AG420" i="6"/>
  <c r="AG31" i="6"/>
  <c r="AG37" i="6"/>
  <c r="AG349" i="6"/>
  <c r="AG304" i="6"/>
  <c r="AG308" i="6"/>
  <c r="Z20" i="6"/>
  <c r="Z4" i="6"/>
  <c r="Z41" i="6"/>
  <c r="AG28" i="6"/>
  <c r="AG51" i="6"/>
  <c r="AG116" i="6"/>
  <c r="AG39" i="6"/>
  <c r="AG276" i="6"/>
  <c r="W260" i="6"/>
  <c r="W224" i="6"/>
  <c r="W184" i="6"/>
  <c r="W337" i="6"/>
  <c r="W339" i="6"/>
  <c r="W340" i="6"/>
  <c r="W421" i="6"/>
  <c r="W86" i="6"/>
  <c r="W250" i="6"/>
  <c r="W424" i="6"/>
  <c r="W251" i="6"/>
  <c r="W89" i="6"/>
  <c r="W367" i="6"/>
  <c r="W426" i="6"/>
  <c r="Z438" i="6"/>
  <c r="Z334" i="6"/>
  <c r="Z175" i="6"/>
  <c r="Z176" i="6"/>
  <c r="Z174" i="6"/>
  <c r="Z260" i="6"/>
  <c r="Z224" i="6"/>
  <c r="Z184" i="6"/>
  <c r="Z337" i="6"/>
  <c r="Z340" i="6"/>
  <c r="Z86" i="6"/>
  <c r="Z250" i="6"/>
  <c r="Z424" i="6"/>
  <c r="Z251" i="6"/>
  <c r="Z426" i="6"/>
  <c r="Z367" i="6"/>
  <c r="Z339" i="6"/>
  <c r="Z421" i="6"/>
  <c r="Z89" i="6"/>
  <c r="AG175" i="6"/>
  <c r="AG176" i="6"/>
  <c r="AG438" i="6"/>
  <c r="AG334" i="6"/>
  <c r="AG174" i="6"/>
  <c r="W406" i="6"/>
  <c r="W437" i="6"/>
  <c r="W439" i="6"/>
  <c r="W440" i="6"/>
  <c r="W413" i="6"/>
  <c r="W414" i="6"/>
  <c r="W256" i="6"/>
  <c r="W170" i="6"/>
  <c r="Z207" i="6"/>
  <c r="Z369" i="6"/>
  <c r="W198" i="6"/>
  <c r="W365" i="6"/>
  <c r="W366" i="6"/>
  <c r="W384" i="6"/>
  <c r="AG400" i="6"/>
  <c r="AG97" i="6"/>
  <c r="AG409" i="6"/>
  <c r="W16" i="6"/>
  <c r="W312" i="6"/>
  <c r="W313" i="6"/>
  <c r="W59" i="6"/>
  <c r="W159" i="6"/>
  <c r="W306" i="6"/>
  <c r="W379" i="6"/>
  <c r="Z212" i="6"/>
  <c r="Z387" i="6"/>
  <c r="Z213" i="6"/>
  <c r="Z404" i="6"/>
  <c r="Z200" i="6"/>
  <c r="Z156" i="6"/>
  <c r="Z286" i="6"/>
  <c r="Z397" i="6"/>
  <c r="Z157" i="6"/>
  <c r="Z287" i="6"/>
  <c r="Z160" i="6"/>
  <c r="Z155" i="6"/>
  <c r="Z158" i="6"/>
  <c r="Z336" i="6"/>
  <c r="Z310" i="6"/>
  <c r="Z378" i="6"/>
  <c r="Z381" i="6"/>
  <c r="Z117" i="6"/>
  <c r="Z273" i="6"/>
  <c r="Z46" i="6"/>
  <c r="Z368" i="6"/>
  <c r="AG164" i="6"/>
  <c r="AG217" i="6"/>
  <c r="AG254" i="6"/>
  <c r="W80" i="6"/>
  <c r="W247" i="6"/>
  <c r="W182" i="6"/>
  <c r="W376" i="6"/>
  <c r="W183" i="6"/>
  <c r="Z162" i="6"/>
  <c r="Z179" i="6"/>
  <c r="Z180" i="6"/>
  <c r="Z299" i="6"/>
  <c r="Z45" i="6"/>
  <c r="Z290" i="6"/>
  <c r="Z95" i="6"/>
  <c r="AG77" i="6"/>
  <c r="AG223" i="6"/>
  <c r="W81" i="6"/>
  <c r="W393" i="6"/>
  <c r="W171" i="6"/>
  <c r="W172" i="6"/>
  <c r="W206" i="6"/>
  <c r="W74" i="6"/>
  <c r="Z49" i="6"/>
  <c r="Z35" i="6"/>
  <c r="Z390" i="6"/>
  <c r="Z202" i="6"/>
  <c r="Z272" i="6"/>
  <c r="W146" i="6"/>
  <c r="W2" i="6"/>
  <c r="W9" i="6"/>
  <c r="Z19" i="6"/>
  <c r="Z181" i="6"/>
  <c r="Z234" i="6"/>
  <c r="Z235" i="6"/>
  <c r="Z353" i="6"/>
  <c r="Z147" i="6"/>
  <c r="Z296" i="6"/>
  <c r="Z21" i="6"/>
  <c r="Z297" i="6"/>
  <c r="Z24" i="6"/>
  <c r="Z61" i="6"/>
  <c r="W214" i="6"/>
  <c r="W215" i="6"/>
  <c r="W216" i="6"/>
  <c r="W101" i="6"/>
  <c r="W249" i="6"/>
  <c r="W8" i="6"/>
  <c r="W111" i="6"/>
  <c r="W259" i="6"/>
  <c r="W331" i="6"/>
  <c r="W333" i="6"/>
  <c r="W270" i="6"/>
  <c r="W271" i="6"/>
  <c r="W128" i="6"/>
  <c r="W258" i="6"/>
  <c r="W268" i="6"/>
  <c r="W332" i="6"/>
  <c r="AG60" i="6"/>
  <c r="AG385" i="6"/>
  <c r="AG113" i="6"/>
  <c r="AG277" i="6"/>
  <c r="AG191" i="6"/>
  <c r="Z214" i="6"/>
  <c r="Z215" i="6"/>
  <c r="Z216" i="6"/>
  <c r="Z101" i="6"/>
  <c r="Z249" i="6"/>
  <c r="Z111" i="6"/>
  <c r="Z8" i="6"/>
  <c r="Z3" i="6"/>
  <c r="Z26" i="6"/>
  <c r="Z29" i="6"/>
  <c r="Z430" i="6"/>
  <c r="Z210" i="6"/>
  <c r="Z431" i="6"/>
  <c r="Z211" i="6"/>
  <c r="Z432" i="6"/>
  <c r="AG129" i="6"/>
  <c r="AG163" i="6"/>
  <c r="W394" i="6"/>
  <c r="W173" i="6"/>
  <c r="W348" i="6"/>
  <c r="Z422" i="6"/>
  <c r="Z18" i="6"/>
  <c r="Z423" i="6"/>
  <c r="Z425" i="6"/>
  <c r="Z323" i="6"/>
  <c r="Z427" i="6"/>
  <c r="AG3" i="6"/>
  <c r="AG29" i="6"/>
  <c r="AG430" i="6"/>
  <c r="AG210" i="6"/>
  <c r="AG431" i="6"/>
  <c r="AG211" i="6"/>
  <c r="AG432" i="6"/>
  <c r="AG26" i="6"/>
  <c r="Z245" i="6"/>
  <c r="Z420" i="6"/>
  <c r="Z58" i="6"/>
  <c r="Z195" i="6"/>
  <c r="AG99" i="6"/>
  <c r="AG133" i="6"/>
  <c r="AG263" i="6"/>
  <c r="W20" i="6"/>
  <c r="W4" i="6"/>
  <c r="W41" i="6"/>
  <c r="W438" i="6"/>
  <c r="W334" i="6"/>
  <c r="W174" i="6"/>
  <c r="W175" i="6"/>
  <c r="W176" i="6"/>
  <c r="W164" i="6"/>
  <c r="W217" i="6"/>
  <c r="W254" i="6"/>
  <c r="Z298" i="6"/>
  <c r="Z436" i="6"/>
  <c r="AG224" i="6"/>
  <c r="AG260" i="6"/>
  <c r="AG337" i="6"/>
  <c r="AG184" i="6"/>
  <c r="AG339" i="6"/>
  <c r="AG421" i="6"/>
  <c r="AG250" i="6"/>
  <c r="AG424" i="6"/>
  <c r="AG86" i="6"/>
  <c r="AG251" i="6"/>
  <c r="AG426" i="6"/>
  <c r="AG89" i="6"/>
  <c r="AG340" i="6"/>
  <c r="AG367" i="6"/>
  <c r="W161" i="6"/>
  <c r="W309" i="6"/>
  <c r="W341" i="6"/>
  <c r="W148" i="6"/>
  <c r="W53" i="6"/>
  <c r="Z406" i="6"/>
  <c r="Z437" i="6"/>
  <c r="Z439" i="6"/>
  <c r="Z440" i="6"/>
  <c r="Z170" i="6"/>
  <c r="Z413" i="6"/>
  <c r="Z414" i="6"/>
  <c r="Z256" i="6"/>
  <c r="AG369" i="6"/>
  <c r="AG207" i="6"/>
  <c r="Z198" i="6"/>
  <c r="Z366" i="6"/>
  <c r="Z384" i="6"/>
  <c r="Z365" i="6"/>
  <c r="W118" i="6"/>
  <c r="W345" i="6"/>
  <c r="W346" i="6"/>
  <c r="W283" i="6"/>
  <c r="W114" i="6"/>
  <c r="Z16" i="6"/>
  <c r="Z312" i="6"/>
  <c r="Z313" i="6"/>
  <c r="Z379" i="6"/>
  <c r="Z59" i="6"/>
  <c r="Z159" i="6"/>
  <c r="Z306" i="6"/>
  <c r="AG160" i="6"/>
  <c r="AG212" i="6"/>
  <c r="AG213" i="6"/>
  <c r="AG404" i="6"/>
  <c r="AG200" i="6"/>
  <c r="AG155" i="6"/>
  <c r="AG156" i="6"/>
  <c r="AG286" i="6"/>
  <c r="AG397" i="6"/>
  <c r="AG158" i="6"/>
  <c r="AG336" i="6"/>
  <c r="AG287" i="6"/>
  <c r="AG157" i="6"/>
  <c r="AG387" i="6"/>
  <c r="AG310" i="6"/>
  <c r="AG378" i="6"/>
  <c r="AG381" i="6"/>
  <c r="AG273" i="6"/>
  <c r="AG117" i="6"/>
  <c r="AG46" i="6"/>
  <c r="AG368" i="6"/>
  <c r="W132" i="6"/>
  <c r="W282" i="6"/>
  <c r="W398" i="6"/>
  <c r="W78" i="6"/>
  <c r="W92" i="6"/>
  <c r="Z80" i="6"/>
  <c r="Z247" i="6"/>
  <c r="Z182" i="6"/>
  <c r="Z376" i="6"/>
  <c r="Z183" i="6"/>
  <c r="AG290" i="6"/>
  <c r="AG95" i="6"/>
  <c r="AG162" i="6"/>
  <c r="AG179" i="6"/>
  <c r="AG180" i="6"/>
  <c r="AG45" i="6"/>
  <c r="AG299" i="6"/>
  <c r="W229" i="6"/>
  <c r="W357" i="6"/>
  <c r="W17" i="6"/>
  <c r="W34" i="6"/>
  <c r="W248" i="6"/>
  <c r="W42" i="6"/>
  <c r="W350" i="6"/>
  <c r="W428" i="6"/>
  <c r="W43" i="6"/>
  <c r="W399" i="6"/>
  <c r="W225" i="6"/>
  <c r="W30" i="6"/>
  <c r="Z81" i="6"/>
  <c r="Z393" i="6"/>
  <c r="Z172" i="6"/>
  <c r="Z206" i="6"/>
  <c r="Z74" i="6"/>
  <c r="Z171" i="6"/>
  <c r="AG35" i="6"/>
  <c r="AG390" i="6"/>
  <c r="AG202" i="6"/>
  <c r="AG49" i="6"/>
  <c r="AG272" i="6"/>
  <c r="W149" i="6"/>
  <c r="W361" i="6"/>
  <c r="W362" i="6"/>
  <c r="W23" i="6"/>
  <c r="W194" i="6"/>
  <c r="W105" i="6"/>
  <c r="W138" i="6"/>
  <c r="Z146" i="6"/>
  <c r="Z2" i="6"/>
  <c r="Z9" i="6"/>
  <c r="AG19" i="6"/>
  <c r="AG353" i="6"/>
  <c r="AG181" i="6"/>
  <c r="AG234" i="6"/>
  <c r="AG235" i="6"/>
  <c r="Z113" i="6"/>
  <c r="Z277" i="6"/>
  <c r="Z191" i="6"/>
  <c r="Z385" i="6"/>
  <c r="Z60" i="6"/>
  <c r="Z419" i="6"/>
  <c r="Z267" i="6"/>
  <c r="Z370" i="6"/>
  <c r="AG242" i="6"/>
  <c r="AG57" i="6"/>
  <c r="AG342" i="6"/>
  <c r="AG343" i="6"/>
  <c r="AG152" i="6"/>
  <c r="AG87" i="6"/>
  <c r="AG220" i="6"/>
  <c r="AG412" i="6"/>
  <c r="W79" i="6"/>
  <c r="W386" i="6"/>
  <c r="W266" i="6"/>
  <c r="W382" i="6"/>
  <c r="W292" i="6"/>
  <c r="W293" i="6"/>
  <c r="W294" i="6"/>
  <c r="W38" i="6"/>
  <c r="W410" i="6"/>
  <c r="W107" i="6"/>
  <c r="W88" i="6"/>
  <c r="AG321" i="6"/>
  <c r="AG199" i="6"/>
  <c r="AG102" i="6"/>
  <c r="AG320" i="6"/>
  <c r="AG319" i="6"/>
  <c r="W371" i="6"/>
  <c r="W372" i="6"/>
  <c r="W373" i="6"/>
  <c r="W374" i="6"/>
  <c r="W10" i="6"/>
  <c r="W103" i="6"/>
  <c r="W122" i="6"/>
  <c r="W275" i="6"/>
  <c r="W6" i="6"/>
  <c r="W139" i="6"/>
  <c r="W274" i="6"/>
  <c r="W100" i="6"/>
  <c r="W315" i="6"/>
  <c r="W54" i="6"/>
  <c r="W44" i="6"/>
  <c r="AG10" i="6"/>
  <c r="AG371" i="6"/>
  <c r="AG373" i="6"/>
  <c r="AG374" i="6"/>
  <c r="AG122" i="6"/>
  <c r="AG103" i="6"/>
  <c r="AG372" i="6"/>
  <c r="W167" i="6"/>
  <c r="W316" i="6"/>
  <c r="Z344" i="6"/>
  <c r="Z377" i="6"/>
  <c r="Z76" i="6"/>
  <c r="Z93" i="6"/>
  <c r="W195" i="6"/>
  <c r="W245" i="6"/>
  <c r="W420" i="6"/>
  <c r="W58" i="6"/>
  <c r="Z99" i="6"/>
  <c r="Z133" i="6"/>
  <c r="Z263" i="6"/>
  <c r="W147" i="6"/>
  <c r="W296" i="6"/>
  <c r="W21" i="6"/>
  <c r="W297" i="6"/>
  <c r="W61" i="6"/>
  <c r="W24" i="6"/>
  <c r="AH184" i="6"/>
  <c r="AH337" i="6"/>
  <c r="W113" i="6"/>
  <c r="W277" i="6"/>
  <c r="W191" i="6"/>
  <c r="W60" i="6"/>
  <c r="W385" i="6"/>
  <c r="Z309" i="6"/>
  <c r="Z341" i="6"/>
  <c r="Z148" i="6"/>
  <c r="Z53" i="6"/>
  <c r="Z161" i="6"/>
  <c r="AG406" i="6"/>
  <c r="AG437" i="6"/>
  <c r="AG439" i="6"/>
  <c r="AG440" i="6"/>
  <c r="AG170" i="6"/>
  <c r="AG413" i="6"/>
  <c r="AG256" i="6"/>
  <c r="AG414" i="6"/>
  <c r="AH207" i="6"/>
  <c r="AH369" i="6"/>
  <c r="AG384" i="6"/>
  <c r="AG198" i="6"/>
  <c r="AG365" i="6"/>
  <c r="AG366" i="6"/>
  <c r="W419" i="6"/>
  <c r="W267" i="6"/>
  <c r="W370" i="6"/>
  <c r="Z118" i="6"/>
  <c r="Z345" i="6"/>
  <c r="Z346" i="6"/>
  <c r="Z283" i="6"/>
  <c r="Z114" i="6"/>
  <c r="AG159" i="6"/>
  <c r="AG306" i="6"/>
  <c r="AG59" i="6"/>
  <c r="AG312" i="6"/>
  <c r="AG16" i="6"/>
  <c r="AG313" i="6"/>
  <c r="AG379" i="6"/>
  <c r="AH381" i="6"/>
  <c r="AH310" i="6"/>
  <c r="AH378" i="6"/>
  <c r="Z132" i="6"/>
  <c r="Z282" i="6"/>
  <c r="Z398" i="6"/>
  <c r="Z78" i="6"/>
  <c r="Z92" i="6"/>
  <c r="AG80" i="6"/>
  <c r="AG247" i="6"/>
  <c r="AG182" i="6"/>
  <c r="AG376" i="6"/>
  <c r="AG183" i="6"/>
  <c r="W151" i="6"/>
  <c r="W201" i="6"/>
  <c r="W153" i="6"/>
  <c r="W219" i="6"/>
  <c r="W322" i="6"/>
  <c r="Z229" i="6"/>
  <c r="Z357" i="6"/>
  <c r="Z17" i="6"/>
  <c r="Z34" i="6"/>
  <c r="Z248" i="6"/>
  <c r="Z42" i="6"/>
  <c r="Z350" i="6"/>
  <c r="Z428" i="6"/>
  <c r="Z43" i="6"/>
  <c r="Z225" i="6"/>
  <c r="Z30" i="6"/>
  <c r="Z399" i="6"/>
  <c r="AG74" i="6"/>
  <c r="AG81" i="6"/>
  <c r="AG393" i="6"/>
  <c r="AG171" i="6"/>
  <c r="AG172" i="6"/>
  <c r="AG206" i="6"/>
  <c r="W197" i="6"/>
  <c r="W50" i="6"/>
  <c r="W165" i="6"/>
  <c r="W166" i="6"/>
  <c r="W314" i="6"/>
  <c r="W12" i="6"/>
  <c r="W94" i="6"/>
  <c r="Z149" i="6"/>
  <c r="Z361" i="6"/>
  <c r="Z362" i="6"/>
  <c r="Z23" i="6"/>
  <c r="Z138" i="6"/>
  <c r="Z194" i="6"/>
  <c r="Z105" i="6"/>
  <c r="AG2" i="6"/>
  <c r="AG146" i="6"/>
  <c r="AG9" i="6"/>
  <c r="Z151" i="6"/>
  <c r="Z201" i="6"/>
  <c r="Z153" i="6"/>
  <c r="Z219" i="6"/>
  <c r="Z322" i="6"/>
  <c r="AG43" i="6"/>
  <c r="AG17" i="6"/>
  <c r="AG34" i="6"/>
  <c r="AG225" i="6"/>
  <c r="AG30" i="6"/>
  <c r="AG229" i="6"/>
  <c r="AG357" i="6"/>
  <c r="AG248" i="6"/>
  <c r="AG42" i="6"/>
  <c r="AG350" i="6"/>
  <c r="AG428" i="6"/>
  <c r="AG399" i="6"/>
  <c r="Z197" i="6"/>
  <c r="Z50" i="6"/>
  <c r="Z165" i="6"/>
  <c r="Z166" i="6"/>
  <c r="Z314" i="6"/>
  <c r="Z12" i="6"/>
  <c r="Z94" i="6"/>
  <c r="AG194" i="6"/>
  <c r="AG105" i="6"/>
  <c r="AG149" i="6"/>
  <c r="AG361" i="6"/>
  <c r="AG362" i="6"/>
  <c r="AG138" i="6"/>
  <c r="AG23" i="6"/>
  <c r="W307" i="6"/>
  <c r="W196" i="6"/>
  <c r="W228" i="6"/>
  <c r="W142" i="6"/>
  <c r="W402" i="6"/>
  <c r="W356" i="6"/>
  <c r="W403" i="6"/>
  <c r="W434" i="6"/>
  <c r="W358" i="6"/>
  <c r="W359" i="6"/>
  <c r="W360" i="6"/>
  <c r="W238" i="6"/>
  <c r="W401" i="6"/>
  <c r="Z433" i="6"/>
  <c r="Z326" i="6"/>
  <c r="Z67" i="6"/>
  <c r="Z347" i="6"/>
  <c r="Z415" i="6"/>
  <c r="Z441" i="6"/>
  <c r="AG50" i="6"/>
  <c r="AG94" i="6"/>
  <c r="AG197" i="6"/>
  <c r="AG12" i="6"/>
  <c r="AG165" i="6"/>
  <c r="AG166" i="6"/>
  <c r="AG314" i="6"/>
  <c r="Z196" i="6"/>
  <c r="Z228" i="6"/>
  <c r="Z307" i="6"/>
  <c r="Z142" i="6"/>
  <c r="AG370" i="6"/>
  <c r="AG419" i="6"/>
  <c r="AG267" i="6"/>
  <c r="W135" i="6"/>
  <c r="W169" i="6"/>
  <c r="W411" i="6"/>
  <c r="Z331" i="6"/>
  <c r="Z268" i="6"/>
  <c r="Z332" i="6"/>
  <c r="Z270" i="6"/>
  <c r="Z271" i="6"/>
  <c r="Z128" i="6"/>
  <c r="Z258" i="6"/>
  <c r="Z259" i="6"/>
  <c r="Z333" i="6"/>
  <c r="AG401" i="6"/>
  <c r="AG402" i="6"/>
  <c r="AG434" i="6"/>
  <c r="AG358" i="6"/>
  <c r="AG359" i="6"/>
  <c r="AG360" i="6"/>
  <c r="AG238" i="6"/>
  <c r="AG356" i="6"/>
  <c r="AG403" i="6"/>
  <c r="AG67" i="6"/>
  <c r="AG326" i="6"/>
  <c r="AG347" i="6"/>
  <c r="AG441" i="6"/>
  <c r="AG415" i="6"/>
  <c r="AG433" i="6"/>
  <c r="AG307" i="6"/>
  <c r="AG196" i="6"/>
  <c r="AG228" i="6"/>
  <c r="AG142" i="6"/>
  <c r="W112" i="6"/>
  <c r="W355" i="6"/>
  <c r="W405" i="6"/>
  <c r="W90" i="6"/>
  <c r="W354" i="6"/>
  <c r="W187" i="6"/>
  <c r="W33" i="6"/>
  <c r="AG128" i="6"/>
  <c r="AG258" i="6"/>
  <c r="AG259" i="6"/>
  <c r="AG331" i="6"/>
  <c r="AG268" i="6"/>
  <c r="AG332" i="6"/>
  <c r="AG333" i="6"/>
  <c r="AG270" i="6"/>
  <c r="AG271" i="6"/>
  <c r="AG56" i="6"/>
  <c r="AG177" i="6"/>
  <c r="AG227" i="6"/>
  <c r="W64" i="6"/>
  <c r="W84" i="6"/>
  <c r="W352" i="6"/>
  <c r="Z405" i="6"/>
  <c r="Z90" i="6"/>
  <c r="Z354" i="6"/>
  <c r="Z112" i="6"/>
  <c r="Z355" i="6"/>
  <c r="W433" i="6"/>
  <c r="W326" i="6"/>
  <c r="W67" i="6"/>
  <c r="W347" i="6"/>
  <c r="W441" i="6"/>
  <c r="W415" i="6"/>
  <c r="W119" i="6"/>
  <c r="W185" i="6"/>
  <c r="W110" i="6"/>
  <c r="W305" i="6"/>
  <c r="Z56" i="6"/>
  <c r="Z177" i="6"/>
  <c r="Z227" i="6"/>
  <c r="AG322" i="6"/>
  <c r="AG151" i="6"/>
  <c r="AG201" i="6"/>
  <c r="AG153" i="6"/>
  <c r="AG219" i="6"/>
  <c r="W327" i="6"/>
  <c r="W328" i="6"/>
  <c r="W329" i="6"/>
  <c r="W330" i="6"/>
  <c r="W190" i="6"/>
  <c r="W285" i="6"/>
  <c r="W429" i="6"/>
  <c r="W208" i="6"/>
  <c r="Z231" i="6"/>
  <c r="Z302" i="6"/>
  <c r="Z301" i="6"/>
  <c r="Z317" i="6"/>
  <c r="AG8" i="6"/>
  <c r="AG111" i="6"/>
  <c r="AG214" i="6"/>
  <c r="AG215" i="6"/>
  <c r="AG216" i="6"/>
  <c r="AG101" i="6"/>
  <c r="AG249" i="6"/>
  <c r="W145" i="6"/>
  <c r="W232" i="6"/>
  <c r="W52" i="6"/>
  <c r="W363" i="6"/>
  <c r="W205" i="6"/>
  <c r="W109" i="6"/>
  <c r="W288" i="6"/>
  <c r="W289" i="6"/>
  <c r="Z83" i="6"/>
  <c r="Z36" i="6"/>
  <c r="Z22" i="6"/>
  <c r="Z120" i="6"/>
  <c r="Z7" i="6"/>
  <c r="Z141" i="6"/>
  <c r="Z127" i="6"/>
  <c r="AG110" i="6"/>
  <c r="AG305" i="6"/>
  <c r="AG119" i="6"/>
  <c r="AG185" i="6"/>
  <c r="W262" i="6"/>
  <c r="W137" i="6"/>
  <c r="AH56" i="6"/>
  <c r="AH177" i="6"/>
  <c r="AH227" i="6"/>
  <c r="W303" i="6"/>
  <c r="W204" i="6"/>
  <c r="Z15" i="6"/>
  <c r="Z244" i="6"/>
  <c r="Z189" i="6"/>
  <c r="Z239" i="6"/>
  <c r="Z14" i="6"/>
  <c r="Z240" i="6"/>
  <c r="AG327" i="6"/>
  <c r="AG328" i="6"/>
  <c r="AG329" i="6"/>
  <c r="AG330" i="6"/>
  <c r="AG190" i="6"/>
  <c r="AG285" i="6"/>
  <c r="AG208" i="6"/>
  <c r="AG429" i="6"/>
  <c r="AG33" i="6"/>
  <c r="AG187" i="6"/>
  <c r="Z188" i="6"/>
  <c r="Z233" i="6"/>
  <c r="W342" i="6"/>
  <c r="W343" i="6"/>
  <c r="W152" i="6"/>
  <c r="W87" i="6"/>
  <c r="W57" i="6"/>
  <c r="W412" i="6"/>
  <c r="W242" i="6"/>
  <c r="W220" i="6"/>
  <c r="Z232" i="6"/>
  <c r="Z145" i="6"/>
  <c r="Z52" i="6"/>
  <c r="Z363" i="6"/>
  <c r="Z289" i="6"/>
  <c r="Z288" i="6"/>
  <c r="Z205" i="6"/>
  <c r="Z109" i="6"/>
  <c r="AG83" i="6"/>
  <c r="AG127" i="6"/>
  <c r="AG36" i="6"/>
  <c r="AG7" i="6"/>
  <c r="AG120" i="6"/>
  <c r="AG22" i="6"/>
  <c r="AG141" i="6"/>
  <c r="W121" i="6"/>
  <c r="W140" i="6"/>
  <c r="W126" i="6"/>
  <c r="Z71" i="6"/>
  <c r="Z186" i="6"/>
  <c r="AG278" i="6"/>
  <c r="AG279" i="6"/>
  <c r="AG104" i="6"/>
  <c r="AG73" i="6"/>
  <c r="Z435" i="6"/>
  <c r="Z395" i="6"/>
  <c r="AG143" i="6"/>
  <c r="AG396" i="6"/>
  <c r="W129" i="6"/>
  <c r="W163" i="6"/>
  <c r="Z262" i="6"/>
  <c r="Z137" i="6"/>
  <c r="W131" i="6"/>
  <c r="W218" i="6"/>
  <c r="W25" i="6"/>
  <c r="W124" i="6"/>
  <c r="W222" i="6"/>
  <c r="W364" i="6"/>
  <c r="Z204" i="6"/>
  <c r="Z303" i="6"/>
  <c r="AG14" i="6"/>
  <c r="AG15" i="6"/>
  <c r="AG189" i="6"/>
  <c r="AG240" i="6"/>
  <c r="AG239" i="6"/>
  <c r="AG244" i="6"/>
  <c r="W295" i="6"/>
  <c r="W150" i="6"/>
  <c r="W408" i="6"/>
  <c r="W237" i="6"/>
  <c r="W125" i="6"/>
  <c r="W193" i="6"/>
  <c r="W199" i="6"/>
  <c r="W102" i="6"/>
  <c r="W319" i="6"/>
  <c r="W320" i="6"/>
  <c r="W321" i="6"/>
  <c r="Z64" i="6"/>
  <c r="Z84" i="6"/>
  <c r="Z352" i="6"/>
  <c r="AG354" i="6"/>
  <c r="AG112" i="6"/>
  <c r="AG355" i="6"/>
  <c r="AG405" i="6"/>
  <c r="AG90" i="6"/>
  <c r="N90" i="23"/>
  <c r="K75" i="23"/>
  <c r="J85" i="23"/>
  <c r="Q90" i="23"/>
  <c r="Q75" i="23"/>
  <c r="AH685" i="6" s="1"/>
  <c r="Q85" i="23"/>
  <c r="K18" i="23"/>
  <c r="M18" i="23" s="1"/>
  <c r="Q18" i="23"/>
  <c r="N113" i="23"/>
  <c r="Q113" i="23"/>
  <c r="AB396" i="35"/>
  <c r="N87" i="23"/>
  <c r="AI396" i="35"/>
  <c r="Q87" i="23"/>
  <c r="N57" i="23"/>
  <c r="Q57" i="23"/>
  <c r="J62" i="23"/>
  <c r="Q67" i="23"/>
  <c r="Q62" i="23"/>
  <c r="AB451" i="35"/>
  <c r="AB338" i="35"/>
  <c r="AB237" i="35"/>
  <c r="AB337" i="35"/>
  <c r="AB149" i="35"/>
  <c r="AB215" i="35"/>
  <c r="AB56" i="35"/>
  <c r="AB86" i="35"/>
  <c r="AB137" i="35"/>
  <c r="AB123" i="35"/>
  <c r="AB118" i="35"/>
  <c r="AB400" i="35"/>
  <c r="AB126" i="35"/>
  <c r="AB160" i="35"/>
  <c r="AI442" i="35"/>
  <c r="AI376" i="35"/>
  <c r="Y397" i="35"/>
  <c r="Y313" i="35"/>
  <c r="Y39" i="35"/>
  <c r="Y13" i="35"/>
  <c r="Y68" i="35"/>
  <c r="AI347" i="35"/>
  <c r="AI63" i="35"/>
  <c r="AI83" i="35"/>
  <c r="AI459" i="35"/>
  <c r="AI425" i="35"/>
  <c r="AI298" i="35"/>
  <c r="AI199" i="35"/>
  <c r="Y453" i="35"/>
  <c r="Y318" i="35"/>
  <c r="AB408" i="35"/>
  <c r="AB466" i="35"/>
  <c r="AB290" i="35"/>
  <c r="AB232" i="35"/>
  <c r="AB122" i="35"/>
  <c r="AB187" i="35"/>
  <c r="AB147" i="35"/>
  <c r="AB73" i="35"/>
  <c r="AB441" i="35"/>
  <c r="AB315" i="35"/>
  <c r="AB314" i="35"/>
  <c r="AB316" i="35"/>
  <c r="AB101" i="35"/>
  <c r="AB194" i="35"/>
  <c r="Y260" i="35"/>
  <c r="AB455" i="35"/>
  <c r="AB231" i="35"/>
  <c r="Y412" i="35"/>
  <c r="Y379" i="35"/>
  <c r="Y333" i="35"/>
  <c r="Y75" i="35"/>
  <c r="AB430" i="35"/>
  <c r="AB398" i="35"/>
  <c r="AB206" i="35"/>
  <c r="AB205" i="35"/>
  <c r="AB28" i="35"/>
  <c r="AB3" i="35"/>
  <c r="AB25" i="35"/>
  <c r="AI451" i="35"/>
  <c r="AI338" i="35"/>
  <c r="AI337" i="35"/>
  <c r="AI215" i="35"/>
  <c r="AI237" i="35"/>
  <c r="AI149" i="35"/>
  <c r="AI56" i="35"/>
  <c r="AI86" i="35"/>
  <c r="Y435" i="35"/>
  <c r="Y382" i="35"/>
  <c r="Y378" i="35"/>
  <c r="Y261" i="35"/>
  <c r="Y78" i="35"/>
  <c r="AJ425" i="35"/>
  <c r="AJ459" i="35"/>
  <c r="Y288" i="35"/>
  <c r="Y287" i="35"/>
  <c r="Y289" i="35"/>
  <c r="Y37" i="35"/>
  <c r="AB419" i="35"/>
  <c r="AB259" i="35"/>
  <c r="AB264" i="35"/>
  <c r="AI123" i="35"/>
  <c r="AI118" i="35"/>
  <c r="AI137" i="35"/>
  <c r="Y395" i="35"/>
  <c r="Y105" i="35"/>
  <c r="Y87" i="35"/>
  <c r="AB416" i="35"/>
  <c r="AB279" i="35"/>
  <c r="Y407" i="35"/>
  <c r="Y67" i="35"/>
  <c r="Y69" i="35"/>
  <c r="Y165" i="35"/>
  <c r="AB225" i="35"/>
  <c r="AB81" i="35"/>
  <c r="AI400" i="35"/>
  <c r="AI160" i="35"/>
  <c r="AI126" i="35"/>
  <c r="Y390" i="35"/>
  <c r="Y343" i="35"/>
  <c r="Y170" i="35"/>
  <c r="AI475" i="35"/>
  <c r="AI424" i="35"/>
  <c r="AI359" i="35"/>
  <c r="AI213" i="35"/>
  <c r="AI217" i="35"/>
  <c r="AI121" i="35"/>
  <c r="AI128" i="35"/>
  <c r="AI24" i="35"/>
  <c r="N95" i="23"/>
  <c r="AE678" i="6" s="1"/>
  <c r="AB453" i="35"/>
  <c r="AB318" i="35"/>
  <c r="AI408" i="35"/>
  <c r="AI466" i="35"/>
  <c r="AI290" i="35"/>
  <c r="AI232" i="35"/>
  <c r="AI187" i="35"/>
  <c r="AI147" i="35"/>
  <c r="AI122" i="35"/>
  <c r="AI73" i="35"/>
  <c r="Y65" i="35"/>
  <c r="AB397" i="35"/>
  <c r="AB313" i="35"/>
  <c r="AB13" i="35"/>
  <c r="AB68" i="35"/>
  <c r="AB39" i="35"/>
  <c r="AI441" i="35"/>
  <c r="AI314" i="35"/>
  <c r="AI316" i="35"/>
  <c r="AI315" i="35"/>
  <c r="AI194" i="35"/>
  <c r="AI101" i="35"/>
  <c r="Y469" i="35"/>
  <c r="Y320" i="35"/>
  <c r="Y319" i="35"/>
  <c r="AI227" i="35"/>
  <c r="AI142" i="35"/>
  <c r="Y225" i="35"/>
  <c r="Y81" i="35"/>
  <c r="AI455" i="35"/>
  <c r="AI231" i="35"/>
  <c r="AB412" i="35"/>
  <c r="AB379" i="35"/>
  <c r="AB333" i="35"/>
  <c r="AB75" i="35"/>
  <c r="AI398" i="35"/>
  <c r="AI430" i="35"/>
  <c r="AI205" i="35"/>
  <c r="AI206" i="35"/>
  <c r="AI25" i="35"/>
  <c r="AI28" i="35"/>
  <c r="AI3" i="35"/>
  <c r="Y256" i="35"/>
  <c r="AB435" i="35"/>
  <c r="AB382" i="35"/>
  <c r="AB378" i="35"/>
  <c r="AB261" i="35"/>
  <c r="AB78" i="35"/>
  <c r="Y460" i="35"/>
  <c r="Y452" i="35"/>
  <c r="Y366" i="35"/>
  <c r="Y368" i="35"/>
  <c r="Y367" i="35"/>
  <c r="Y369" i="35"/>
  <c r="Y119" i="35"/>
  <c r="Y10" i="35"/>
  <c r="AB287" i="35"/>
  <c r="AB288" i="35"/>
  <c r="AB289" i="35"/>
  <c r="AB37" i="35"/>
  <c r="AI419" i="35"/>
  <c r="AI264" i="35"/>
  <c r="AI259" i="35"/>
  <c r="Y428" i="35"/>
  <c r="Y461" i="35"/>
  <c r="Y385" i="35"/>
  <c r="Y71" i="35"/>
  <c r="AB395" i="35"/>
  <c r="AB105" i="35"/>
  <c r="AB87" i="35"/>
  <c r="AI416" i="35"/>
  <c r="AI279" i="35"/>
  <c r="AB407" i="35"/>
  <c r="AB165" i="35"/>
  <c r="AB67" i="35"/>
  <c r="AB69" i="35"/>
  <c r="AI225" i="35"/>
  <c r="AI81" i="35"/>
  <c r="AB343" i="35"/>
  <c r="AB390" i="35"/>
  <c r="AB170" i="35"/>
  <c r="AI453" i="35"/>
  <c r="AI318" i="35"/>
  <c r="Y413" i="35"/>
  <c r="Y276" i="35"/>
  <c r="Y275" i="35"/>
  <c r="AB65" i="35"/>
  <c r="AI397" i="35"/>
  <c r="AI313" i="35"/>
  <c r="AI68" i="35"/>
  <c r="AI39" i="35"/>
  <c r="AI13" i="35"/>
  <c r="Y449" i="35"/>
  <c r="Y238" i="35"/>
  <c r="Y95" i="35"/>
  <c r="Y141" i="35"/>
  <c r="AB469" i="35"/>
  <c r="AB320" i="35"/>
  <c r="AB319" i="35"/>
  <c r="AI257" i="35"/>
  <c r="AI134" i="35"/>
  <c r="AI378" i="35"/>
  <c r="AI435" i="35"/>
  <c r="AI261" i="35"/>
  <c r="AI78" i="35"/>
  <c r="AI382" i="35"/>
  <c r="AB460" i="35"/>
  <c r="AB452" i="35"/>
  <c r="AB368" i="35"/>
  <c r="AB367" i="35"/>
  <c r="AB369" i="35"/>
  <c r="AB366" i="35"/>
  <c r="AB119" i="35"/>
  <c r="AB10" i="35"/>
  <c r="AI288" i="35"/>
  <c r="AI287" i="35"/>
  <c r="AI289" i="35"/>
  <c r="AI37" i="35"/>
  <c r="Y373" i="35"/>
  <c r="Y446" i="35"/>
  <c r="Y372" i="35"/>
  <c r="Y339" i="35"/>
  <c r="Y76" i="35"/>
  <c r="Y92" i="35"/>
  <c r="K49" i="23"/>
  <c r="AB687" i="6" s="1"/>
  <c r="AB428" i="35"/>
  <c r="AB385" i="35"/>
  <c r="AB461" i="35"/>
  <c r="AB71" i="35"/>
  <c r="AI395" i="35"/>
  <c r="AI105" i="35"/>
  <c r="AI87" i="35"/>
  <c r="Y434" i="35"/>
  <c r="AI407" i="35"/>
  <c r="AI165" i="35"/>
  <c r="AI67" i="35"/>
  <c r="AI69" i="35"/>
  <c r="Y258" i="35"/>
  <c r="Y130" i="35"/>
  <c r="Y98" i="35"/>
  <c r="AI390" i="35"/>
  <c r="AI343" i="35"/>
  <c r="AI170" i="35"/>
  <c r="Y286" i="35"/>
  <c r="Y204" i="35"/>
  <c r="Y133" i="35"/>
  <c r="AB413" i="35"/>
  <c r="AB276" i="35"/>
  <c r="AB275" i="35"/>
  <c r="AI65" i="35"/>
  <c r="Y252" i="35"/>
  <c r="Y175" i="35"/>
  <c r="Y295" i="35"/>
  <c r="Y62" i="35"/>
  <c r="Y64" i="35"/>
  <c r="AB449" i="35"/>
  <c r="AB238" i="35"/>
  <c r="AB95" i="35"/>
  <c r="AB141" i="35"/>
  <c r="AI469" i="35"/>
  <c r="AI319" i="35"/>
  <c r="AI320" i="35"/>
  <c r="AI183" i="35"/>
  <c r="AI70" i="35"/>
  <c r="AB424" i="35"/>
  <c r="AB475" i="35"/>
  <c r="AB359" i="35"/>
  <c r="AB213" i="35"/>
  <c r="AB128" i="35"/>
  <c r="AB121" i="35"/>
  <c r="AB217" i="35"/>
  <c r="AB24" i="35"/>
  <c r="AB260" i="35"/>
  <c r="AI256" i="35"/>
  <c r="AI452" i="35"/>
  <c r="AI367" i="35"/>
  <c r="AI460" i="35"/>
  <c r="AI369" i="35"/>
  <c r="AI366" i="35"/>
  <c r="AI368" i="35"/>
  <c r="AI119" i="35"/>
  <c r="AI10" i="35"/>
  <c r="Y164" i="35"/>
  <c r="Y311" i="35"/>
  <c r="AB372" i="35"/>
  <c r="AB446" i="35"/>
  <c r="AB339" i="35"/>
  <c r="AB373" i="35"/>
  <c r="AB76" i="35"/>
  <c r="AB92" i="35"/>
  <c r="AI461" i="35"/>
  <c r="AI428" i="35"/>
  <c r="AI385" i="35"/>
  <c r="AI71" i="35"/>
  <c r="Y240" i="35"/>
  <c r="Y190" i="35"/>
  <c r="Y57" i="35"/>
  <c r="AB434" i="35"/>
  <c r="Y61" i="35"/>
  <c r="AB258" i="35"/>
  <c r="AB130" i="35"/>
  <c r="AB98" i="35"/>
  <c r="Y303" i="35"/>
  <c r="Y344" i="35"/>
  <c r="Y299" i="35"/>
  <c r="Y36" i="35"/>
  <c r="Y30" i="35"/>
  <c r="Y112" i="35"/>
  <c r="AB286" i="35"/>
  <c r="AB204" i="35"/>
  <c r="AB133" i="35"/>
  <c r="AI413" i="35"/>
  <c r="AI276" i="35"/>
  <c r="AI275" i="35"/>
  <c r="Y467" i="35"/>
  <c r="Y411" i="35"/>
  <c r="Y271" i="35"/>
  <c r="Y113" i="35"/>
  <c r="Y50" i="35"/>
  <c r="Y38" i="35"/>
  <c r="Y27" i="35"/>
  <c r="AB295" i="35"/>
  <c r="AB252" i="35"/>
  <c r="AB175" i="35"/>
  <c r="AB62" i="35"/>
  <c r="AB64" i="35"/>
  <c r="AI449" i="35"/>
  <c r="AI238" i="35"/>
  <c r="AI141" i="35"/>
  <c r="AI95" i="35"/>
  <c r="Y471" i="35"/>
  <c r="Y470" i="35"/>
  <c r="Y236" i="35"/>
  <c r="Y131" i="35"/>
  <c r="Y151" i="35"/>
  <c r="Y90" i="35"/>
  <c r="Y47" i="35"/>
  <c r="Y455" i="35"/>
  <c r="Y231" i="35"/>
  <c r="AI412" i="35"/>
  <c r="AI333" i="35"/>
  <c r="AI379" i="35"/>
  <c r="AI75" i="35"/>
  <c r="AB256" i="35"/>
  <c r="Y454" i="35"/>
  <c r="Y270" i="35"/>
  <c r="Y269" i="35"/>
  <c r="Y6" i="35"/>
  <c r="Y136" i="35"/>
  <c r="Y310" i="35"/>
  <c r="Y403" i="35"/>
  <c r="Y99" i="35"/>
  <c r="Y53" i="35"/>
  <c r="Y43" i="35"/>
  <c r="Y248" i="35"/>
  <c r="Y250" i="35"/>
  <c r="Y216" i="35"/>
  <c r="Y186" i="35"/>
  <c r="AB454" i="35"/>
  <c r="AB270" i="35"/>
  <c r="AB269" i="35"/>
  <c r="AB136" i="35"/>
  <c r="AB6" i="35"/>
  <c r="AB403" i="35"/>
  <c r="AB310" i="35"/>
  <c r="AB99" i="35"/>
  <c r="AB43" i="35"/>
  <c r="AB53" i="35"/>
  <c r="Y473" i="35"/>
  <c r="Y474" i="35"/>
  <c r="Y241" i="35"/>
  <c r="Y443" i="35"/>
  <c r="Y97" i="35"/>
  <c r="Y84" i="35"/>
  <c r="AB250" i="35"/>
  <c r="AB216" i="35"/>
  <c r="AB248" i="35"/>
  <c r="AB186" i="35"/>
  <c r="Y387" i="35"/>
  <c r="Y46" i="35"/>
  <c r="AB311" i="35"/>
  <c r="AB164" i="35"/>
  <c r="AI446" i="35"/>
  <c r="AI373" i="35"/>
  <c r="AI372" i="35"/>
  <c r="AI339" i="35"/>
  <c r="AI92" i="35"/>
  <c r="AI76" i="35"/>
  <c r="Y388" i="35"/>
  <c r="AB240" i="35"/>
  <c r="AB190" i="35"/>
  <c r="AB57" i="35"/>
  <c r="AI434" i="35"/>
  <c r="AB61" i="35"/>
  <c r="AI258" i="35"/>
  <c r="AI130" i="35"/>
  <c r="AI98" i="35"/>
  <c r="Y293" i="35"/>
  <c r="K81" i="23"/>
  <c r="AB647" i="6" s="1"/>
  <c r="AB344" i="35"/>
  <c r="AB299" i="35"/>
  <c r="AB303" i="35"/>
  <c r="AB36" i="35"/>
  <c r="AB30" i="35"/>
  <c r="Y4" i="35"/>
  <c r="Y19" i="35"/>
  <c r="Y40" i="35"/>
  <c r="AB112" i="35"/>
  <c r="AI286" i="35"/>
  <c r="AI204" i="35"/>
  <c r="AI133" i="35"/>
  <c r="Y221" i="35"/>
  <c r="Y5" i="35"/>
  <c r="AB467" i="35"/>
  <c r="AB411" i="35"/>
  <c r="AB271" i="35"/>
  <c r="AB113" i="35"/>
  <c r="AB50" i="35"/>
  <c r="AB38" i="35"/>
  <c r="AB27" i="35"/>
  <c r="AI295" i="35"/>
  <c r="AI252" i="35"/>
  <c r="AI175" i="35"/>
  <c r="AI62" i="35"/>
  <c r="AI64" i="35"/>
  <c r="Y417" i="35"/>
  <c r="Y346" i="35"/>
  <c r="Y306" i="35"/>
  <c r="Y198" i="35"/>
  <c r="Y31" i="35"/>
  <c r="AB470" i="35"/>
  <c r="AB471" i="35"/>
  <c r="AB236" i="35"/>
  <c r="AB131" i="35"/>
  <c r="AB151" i="35"/>
  <c r="AB90" i="35"/>
  <c r="AB47" i="35"/>
  <c r="Y416" i="35"/>
  <c r="Y279" i="35"/>
  <c r="AJ455" i="35"/>
  <c r="AJ231" i="35"/>
  <c r="AJ434" i="35"/>
  <c r="AI61" i="35"/>
  <c r="Y212" i="35"/>
  <c r="Y161" i="35"/>
  <c r="Y249" i="35"/>
  <c r="AB293" i="35"/>
  <c r="AI299" i="35"/>
  <c r="AI303" i="35"/>
  <c r="AI344" i="35"/>
  <c r="AI30" i="35"/>
  <c r="AI36" i="35"/>
  <c r="AB19" i="35"/>
  <c r="AB40" i="35"/>
  <c r="AB4" i="35"/>
  <c r="AI112" i="35"/>
  <c r="Y218" i="35"/>
  <c r="Y77" i="35"/>
  <c r="AB221" i="35"/>
  <c r="AB5" i="35"/>
  <c r="AI467" i="35"/>
  <c r="AI411" i="35"/>
  <c r="AI271" i="35"/>
  <c r="AI113" i="35"/>
  <c r="AI27" i="35"/>
  <c r="AI50" i="35"/>
  <c r="AI38" i="35"/>
  <c r="AB417" i="35"/>
  <c r="AB346" i="35"/>
  <c r="AB306" i="35"/>
  <c r="AB198" i="35"/>
  <c r="AB31" i="35"/>
  <c r="AI471" i="35"/>
  <c r="AI470" i="35"/>
  <c r="AI236" i="35"/>
  <c r="AI131" i="35"/>
  <c r="AI151" i="35"/>
  <c r="AI47" i="35"/>
  <c r="AI90" i="35"/>
  <c r="AI450" i="35"/>
  <c r="AI228" i="35"/>
  <c r="Y419" i="35"/>
  <c r="Y259" i="35"/>
  <c r="Y264" i="35"/>
  <c r="AI260" i="35"/>
  <c r="AI403" i="35"/>
  <c r="AI310" i="35"/>
  <c r="AI99" i="35"/>
  <c r="AI248" i="35"/>
  <c r="AI216" i="35"/>
  <c r="AI186" i="35"/>
  <c r="AI250" i="35"/>
  <c r="AB387" i="35"/>
  <c r="AB46" i="35"/>
  <c r="AI240" i="35"/>
  <c r="AI190" i="35"/>
  <c r="AI57" i="35"/>
  <c r="Y255" i="35"/>
  <c r="Y219" i="35"/>
  <c r="Y456" i="35"/>
  <c r="Y332" i="35"/>
  <c r="Y181" i="35"/>
  <c r="Y437" i="35"/>
  <c r="Y335" i="35"/>
  <c r="Y334" i="35"/>
  <c r="Y245" i="35"/>
  <c r="Y246" i="35"/>
  <c r="Y362" i="35"/>
  <c r="Y88" i="35"/>
  <c r="Y85" i="35"/>
  <c r="AB429" i="35"/>
  <c r="AB329" i="35"/>
  <c r="AB172" i="35"/>
  <c r="AB171" i="35"/>
  <c r="AB173" i="35"/>
  <c r="AI387" i="35"/>
  <c r="AI46" i="35"/>
  <c r="Y54" i="35"/>
  <c r="AB96" i="35"/>
  <c r="AI388" i="35"/>
  <c r="Y431" i="35"/>
  <c r="Y383" i="35"/>
  <c r="Y393" i="35"/>
  <c r="Y331" i="35"/>
  <c r="Y281" i="35"/>
  <c r="Y207" i="35"/>
  <c r="Y282" i="35"/>
  <c r="Y153" i="35"/>
  <c r="Y155" i="35"/>
  <c r="Y157" i="35"/>
  <c r="Y195" i="35"/>
  <c r="Y208" i="35"/>
  <c r="Y154" i="35"/>
  <c r="Y152" i="35"/>
  <c r="Y418" i="35"/>
  <c r="Y377" i="35"/>
  <c r="Y374" i="35"/>
  <c r="Y305" i="35"/>
  <c r="Y462" i="35"/>
  <c r="Y363" i="35"/>
  <c r="Y268" i="35"/>
  <c r="Y45" i="35"/>
  <c r="Y114" i="35"/>
  <c r="AB249" i="35"/>
  <c r="AB212" i="35"/>
  <c r="AB161" i="35"/>
  <c r="AI293" i="35"/>
  <c r="AJ299" i="35"/>
  <c r="AJ303" i="35"/>
  <c r="AJ344" i="35"/>
  <c r="AJ30" i="35"/>
  <c r="AJ36" i="35"/>
  <c r="AI40" i="35"/>
  <c r="AI4" i="35"/>
  <c r="AI19" i="35"/>
  <c r="Y464" i="35"/>
  <c r="Y285" i="35"/>
  <c r="Y177" i="35"/>
  <c r="Y159" i="35"/>
  <c r="Y176" i="35"/>
  <c r="Y294" i="35"/>
  <c r="Y94" i="35"/>
  <c r="Y44" i="35"/>
  <c r="AB218" i="35"/>
  <c r="AB77" i="35"/>
  <c r="AI221" i="35"/>
  <c r="AI5" i="35"/>
  <c r="Y468" i="35"/>
  <c r="Y386" i="35"/>
  <c r="Y267" i="35"/>
  <c r="Y197" i="35"/>
  <c r="Y34" i="35"/>
  <c r="Y48" i="35"/>
  <c r="AI417" i="35"/>
  <c r="AI346" i="35"/>
  <c r="AI306" i="35"/>
  <c r="AI198" i="35"/>
  <c r="AI31" i="35"/>
  <c r="Y402" i="35"/>
  <c r="Y423" i="35"/>
  <c r="Y348" i="35"/>
  <c r="Y230" i="35"/>
  <c r="Y178" i="35"/>
  <c r="Y229" i="35"/>
  <c r="Y18" i="35"/>
  <c r="AI391" i="35"/>
  <c r="AI448" i="35"/>
  <c r="AI454" i="35"/>
  <c r="AI269" i="35"/>
  <c r="AI270" i="35"/>
  <c r="AI136" i="35"/>
  <c r="AI6" i="35"/>
  <c r="AI53" i="35"/>
  <c r="AI43" i="35"/>
  <c r="Y429" i="35"/>
  <c r="Y329" i="35"/>
  <c r="Y172" i="35"/>
  <c r="Y171" i="35"/>
  <c r="Y173" i="35"/>
  <c r="AB473" i="35"/>
  <c r="AB474" i="35"/>
  <c r="AB443" i="35"/>
  <c r="AB241" i="35"/>
  <c r="AB97" i="35"/>
  <c r="AB84" i="35"/>
  <c r="Q39" i="23"/>
  <c r="AI311" i="35"/>
  <c r="AI164" i="35"/>
  <c r="Y96" i="35"/>
  <c r="AI474" i="35"/>
  <c r="AI443" i="35"/>
  <c r="AI241" i="35"/>
  <c r="AI473" i="35"/>
  <c r="AI97" i="35"/>
  <c r="AI84" i="35"/>
  <c r="Y364" i="35"/>
  <c r="Y202" i="35"/>
  <c r="AB255" i="35"/>
  <c r="AB219" i="35"/>
  <c r="AB456" i="35"/>
  <c r="AB332" i="35"/>
  <c r="AB181" i="35"/>
  <c r="AB437" i="35"/>
  <c r="AB334" i="35"/>
  <c r="AB362" i="35"/>
  <c r="AB245" i="35"/>
  <c r="AB335" i="35"/>
  <c r="AB246" i="35"/>
  <c r="AB88" i="35"/>
  <c r="AB85" i="35"/>
  <c r="AI429" i="35"/>
  <c r="AI329" i="35"/>
  <c r="AI173" i="35"/>
  <c r="AI172" i="35"/>
  <c r="AI171" i="35"/>
  <c r="Y251" i="35"/>
  <c r="Y167" i="35"/>
  <c r="AB364" i="35"/>
  <c r="AB202" i="35"/>
  <c r="Y380" i="35"/>
  <c r="Y404" i="35"/>
  <c r="Y361" i="35"/>
  <c r="Y421" i="35"/>
  <c r="Y360" i="35"/>
  <c r="Y193" i="35"/>
  <c r="AB54" i="35"/>
  <c r="AI96" i="35"/>
  <c r="Y375" i="35"/>
  <c r="Y308" i="35"/>
  <c r="Y307" i="35"/>
  <c r="Y301" i="35"/>
  <c r="Y58" i="35"/>
  <c r="Y156" i="35"/>
  <c r="Y16" i="35"/>
  <c r="AB383" i="35"/>
  <c r="AB431" i="35"/>
  <c r="AB393" i="35"/>
  <c r="AB331" i="35"/>
  <c r="AB195" i="35"/>
  <c r="AB208" i="35"/>
  <c r="AB281" i="35"/>
  <c r="AB153" i="35"/>
  <c r="AB155" i="35"/>
  <c r="AB157" i="35"/>
  <c r="AB282" i="35"/>
  <c r="AB152" i="35"/>
  <c r="AB154" i="35"/>
  <c r="AB207" i="35"/>
  <c r="AB305" i="35"/>
  <c r="AB418" i="35"/>
  <c r="AB374" i="35"/>
  <c r="AB377" i="35"/>
  <c r="AB462" i="35"/>
  <c r="AB363" i="35"/>
  <c r="AB268" i="35"/>
  <c r="AB114" i="35"/>
  <c r="AB45" i="35"/>
  <c r="AI249" i="35"/>
  <c r="AI212" i="35"/>
  <c r="AI161" i="35"/>
  <c r="Y444" i="35"/>
  <c r="Y371" i="35"/>
  <c r="Y242" i="35"/>
  <c r="Y180" i="35"/>
  <c r="Y179" i="35"/>
  <c r="Y79" i="35"/>
  <c r="Y396" i="35"/>
  <c r="AB464" i="35"/>
  <c r="AB285" i="35"/>
  <c r="AB294" i="35"/>
  <c r="AB177" i="35"/>
  <c r="AB159" i="35"/>
  <c r="AB176" i="35"/>
  <c r="AB44" i="35"/>
  <c r="AB94" i="35"/>
  <c r="AI218" i="35"/>
  <c r="AI77" i="35"/>
  <c r="Y389" i="35"/>
  <c r="Y201" i="35"/>
  <c r="Y169" i="35"/>
  <c r="Y168" i="35"/>
  <c r="Y74" i="35"/>
  <c r="Y80" i="35"/>
  <c r="AB468" i="35"/>
  <c r="AB386" i="35"/>
  <c r="AB267" i="35"/>
  <c r="AB197" i="35"/>
  <c r="AB48" i="35"/>
  <c r="AB34" i="35"/>
  <c r="Y422" i="35"/>
  <c r="Y2" i="35"/>
  <c r="Y143" i="35"/>
  <c r="Y9" i="35"/>
  <c r="AB402" i="35"/>
  <c r="AB423" i="35"/>
  <c r="AB348" i="35"/>
  <c r="AB229" i="35"/>
  <c r="AB230" i="35"/>
  <c r="AB178" i="35"/>
  <c r="AB18" i="35"/>
  <c r="AI362" i="35"/>
  <c r="AI335" i="35"/>
  <c r="AI437" i="35"/>
  <c r="AI334" i="35"/>
  <c r="AI246" i="35"/>
  <c r="AI245" i="35"/>
  <c r="AI88" i="35"/>
  <c r="AI85" i="35"/>
  <c r="AI418" i="35"/>
  <c r="AI377" i="35"/>
  <c r="AI374" i="35"/>
  <c r="AI305" i="35"/>
  <c r="AI462" i="35"/>
  <c r="AI363" i="35"/>
  <c r="AI268" i="35"/>
  <c r="AI114" i="35"/>
  <c r="AI45" i="35"/>
  <c r="Y409" i="35"/>
  <c r="Y394" i="35"/>
  <c r="Y277" i="35"/>
  <c r="Y129" i="35"/>
  <c r="Y91" i="35"/>
  <c r="AB444" i="35"/>
  <c r="AB371" i="35"/>
  <c r="AB242" i="35"/>
  <c r="AB179" i="35"/>
  <c r="AB79" i="35"/>
  <c r="AB180" i="35"/>
  <c r="AI464" i="35"/>
  <c r="AI294" i="35"/>
  <c r="AI285" i="35"/>
  <c r="AI176" i="35"/>
  <c r="AI177" i="35"/>
  <c r="AI159" i="35"/>
  <c r="AI44" i="35"/>
  <c r="AI94" i="35"/>
  <c r="Y438" i="35"/>
  <c r="Y472" i="35"/>
  <c r="Y352" i="35"/>
  <c r="Y243" i="35"/>
  <c r="Y220" i="35"/>
  <c r="Y345" i="35"/>
  <c r="Y224" i="35"/>
  <c r="Y29" i="35"/>
  <c r="Y41" i="35"/>
  <c r="Y17" i="35"/>
  <c r="Y33" i="35"/>
  <c r="Y42" i="35"/>
  <c r="AB201" i="35"/>
  <c r="AB389" i="35"/>
  <c r="AB169" i="35"/>
  <c r="AB168" i="35"/>
  <c r="AB80" i="35"/>
  <c r="AB74" i="35"/>
  <c r="AI386" i="35"/>
  <c r="AI468" i="35"/>
  <c r="AI267" i="35"/>
  <c r="AI197" i="35"/>
  <c r="AI34" i="35"/>
  <c r="AI48" i="35"/>
  <c r="Y420" i="35"/>
  <c r="Y356" i="35"/>
  <c r="Y357" i="35"/>
  <c r="Y188" i="35"/>
  <c r="Y135" i="35"/>
  <c r="Y146" i="35"/>
  <c r="Y103" i="35"/>
  <c r="Y22" i="35"/>
  <c r="AB422" i="35"/>
  <c r="AB143" i="35"/>
  <c r="AB9" i="35"/>
  <c r="AB2" i="35"/>
  <c r="AI423" i="35"/>
  <c r="AI402" i="35"/>
  <c r="AI348" i="35"/>
  <c r="AI230" i="35"/>
  <c r="AI229" i="35"/>
  <c r="AI178" i="35"/>
  <c r="AI18" i="35"/>
  <c r="AI410" i="35"/>
  <c r="AI200" i="35"/>
  <c r="AI283" i="35"/>
  <c r="AI358" i="35"/>
  <c r="AI284" i="35"/>
  <c r="AI107" i="35"/>
  <c r="AI51" i="35"/>
  <c r="Q25" i="23"/>
  <c r="AI251" i="35"/>
  <c r="AI167" i="35"/>
  <c r="Y436" i="35"/>
  <c r="Y317" i="35"/>
  <c r="Y214" i="35"/>
  <c r="Y196" i="35"/>
  <c r="Y148" i="35"/>
  <c r="Y150" i="35"/>
  <c r="AB472" i="35"/>
  <c r="AB438" i="35"/>
  <c r="AB345" i="35"/>
  <c r="AB224" i="35"/>
  <c r="AB243" i="35"/>
  <c r="AB220" i="35"/>
  <c r="AB352" i="35"/>
  <c r="AB41" i="35"/>
  <c r="AB17" i="35"/>
  <c r="AB33" i="35"/>
  <c r="AB42" i="35"/>
  <c r="AB29" i="35"/>
  <c r="Q103" i="23"/>
  <c r="AH689" i="6" s="1"/>
  <c r="AI389" i="35"/>
  <c r="AI168" i="35"/>
  <c r="AI169" i="35"/>
  <c r="AI201" i="35"/>
  <c r="AI74" i="35"/>
  <c r="AI80" i="35"/>
  <c r="Y309" i="35"/>
  <c r="Y162" i="35"/>
  <c r="Y192" i="35"/>
  <c r="Y163" i="35"/>
  <c r="Y93" i="35"/>
  <c r="Y12" i="35"/>
  <c r="Y49" i="35"/>
  <c r="AB356" i="35"/>
  <c r="AB420" i="35"/>
  <c r="AB357" i="35"/>
  <c r="AB188" i="35"/>
  <c r="AB135" i="35"/>
  <c r="AB146" i="35"/>
  <c r="AB103" i="35"/>
  <c r="AB22" i="35"/>
  <c r="AI422" i="35"/>
  <c r="AI143" i="35"/>
  <c r="AI9" i="35"/>
  <c r="AI2" i="35"/>
  <c r="Y247" i="35"/>
  <c r="AI431" i="35"/>
  <c r="AI393" i="35"/>
  <c r="AI383" i="35"/>
  <c r="AI331" i="35"/>
  <c r="AI195" i="35"/>
  <c r="AI208" i="35"/>
  <c r="AI282" i="35"/>
  <c r="AI281" i="35"/>
  <c r="AI207" i="35"/>
  <c r="AI152" i="35"/>
  <c r="AI154" i="35"/>
  <c r="AI153" i="35"/>
  <c r="AI155" i="35"/>
  <c r="AI157" i="35"/>
  <c r="AJ456" i="35"/>
  <c r="AJ332" i="35"/>
  <c r="AJ181" i="35"/>
  <c r="Y478" i="35"/>
  <c r="Y381" i="35"/>
  <c r="Y272" i="35"/>
  <c r="Y185" i="35"/>
  <c r="Y111" i="35"/>
  <c r="Y59" i="35"/>
  <c r="AB399" i="35"/>
  <c r="AB336" i="35"/>
  <c r="AB304" i="35"/>
  <c r="AB145" i="35"/>
  <c r="AB158" i="35"/>
  <c r="AB52" i="35"/>
  <c r="AJ418" i="35"/>
  <c r="AJ374" i="35"/>
  <c r="AJ377" i="35"/>
  <c r="AJ305" i="35"/>
  <c r="AB409" i="35"/>
  <c r="AB394" i="35"/>
  <c r="AB277" i="35"/>
  <c r="AB129" i="35"/>
  <c r="AB91" i="35"/>
  <c r="AB477" i="35"/>
  <c r="AB291" i="35"/>
  <c r="AB144" i="35"/>
  <c r="AB292" i="35"/>
  <c r="AB23" i="35"/>
  <c r="AB60" i="35"/>
  <c r="AB20" i="35"/>
  <c r="Y457" i="35"/>
  <c r="Y354" i="35"/>
  <c r="Y351" i="35"/>
  <c r="Y353" i="35"/>
  <c r="Y355" i="35"/>
  <c r="Y233" i="35"/>
  <c r="Y189" i="35"/>
  <c r="AB478" i="35"/>
  <c r="AB381" i="35"/>
  <c r="AB272" i="35"/>
  <c r="AB185" i="35"/>
  <c r="AB59" i="35"/>
  <c r="AB111" i="35"/>
  <c r="AI399" i="35"/>
  <c r="AI304" i="35"/>
  <c r="AI336" i="35"/>
  <c r="AI145" i="35"/>
  <c r="AI158" i="35"/>
  <c r="AI52" i="35"/>
  <c r="Y458" i="35"/>
  <c r="Y330" i="35"/>
  <c r="Y209" i="35"/>
  <c r="Y211" i="35"/>
  <c r="Y244" i="35"/>
  <c r="Y210" i="35"/>
  <c r="Y100" i="35"/>
  <c r="Y8" i="35"/>
  <c r="Y109" i="35"/>
  <c r="Y384" i="35"/>
  <c r="Y104" i="35"/>
  <c r="Y106" i="35"/>
  <c r="AB365" i="35"/>
  <c r="AB433" i="35"/>
  <c r="AB262" i="35"/>
  <c r="AI340" i="35"/>
  <c r="AI278" i="35"/>
  <c r="AI341" i="35"/>
  <c r="AI115" i="35"/>
  <c r="Y328" i="35"/>
  <c r="Y327" i="35"/>
  <c r="Y266" i="35"/>
  <c r="Y263" i="35"/>
  <c r="Y253" i="35"/>
  <c r="Y265" i="35"/>
  <c r="Y326" i="35"/>
  <c r="Y254" i="35"/>
  <c r="Y125" i="35"/>
  <c r="AI394" i="35"/>
  <c r="AI277" i="35"/>
  <c r="AI409" i="35"/>
  <c r="AI129" i="35"/>
  <c r="AI91" i="35"/>
  <c r="Y406" i="35"/>
  <c r="Y405" i="35"/>
  <c r="Y342" i="35"/>
  <c r="Y321" i="35"/>
  <c r="Y66" i="35"/>
  <c r="Y476" i="35"/>
  <c r="Y222" i="35"/>
  <c r="Y174" i="35"/>
  <c r="Y55" i="35"/>
  <c r="Y120" i="35"/>
  <c r="AB436" i="35"/>
  <c r="AB317" i="35"/>
  <c r="AB214" i="35"/>
  <c r="AB196" i="35"/>
  <c r="AB148" i="35"/>
  <c r="AB150" i="35"/>
  <c r="AI472" i="35"/>
  <c r="AI438" i="35"/>
  <c r="AI345" i="35"/>
  <c r="AI352" i="35"/>
  <c r="AI243" i="35"/>
  <c r="AI220" i="35"/>
  <c r="AI224" i="35"/>
  <c r="AI42" i="35"/>
  <c r="AI29" i="35"/>
  <c r="AI41" i="35"/>
  <c r="AI33" i="35"/>
  <c r="AI17" i="35"/>
  <c r="Y465" i="35"/>
  <c r="Y427" i="35"/>
  <c r="Y26" i="35"/>
  <c r="AB309" i="35"/>
  <c r="AB192" i="35"/>
  <c r="AB163" i="35"/>
  <c r="AB93" i="35"/>
  <c r="AB162" i="35"/>
  <c r="AB12" i="35"/>
  <c r="AB49" i="35"/>
  <c r="AI420" i="35"/>
  <c r="AI357" i="35"/>
  <c r="AI356" i="35"/>
  <c r="AI103" i="35"/>
  <c r="AI188" i="35"/>
  <c r="AI135" i="35"/>
  <c r="AI146" i="35"/>
  <c r="AI22" i="35"/>
  <c r="Y439" i="35"/>
  <c r="Y302" i="35"/>
  <c r="Y191" i="35"/>
  <c r="Y223" i="35"/>
  <c r="Y139" i="35"/>
  <c r="AB247" i="35"/>
  <c r="AI456" i="35"/>
  <c r="AI332" i="35"/>
  <c r="AI181" i="35"/>
  <c r="AB251" i="35"/>
  <c r="AB167" i="35"/>
  <c r="AB404" i="35"/>
  <c r="AB421" i="35"/>
  <c r="AB361" i="35"/>
  <c r="AB380" i="35"/>
  <c r="AB360" i="35"/>
  <c r="AB193" i="35"/>
  <c r="AI380" i="35"/>
  <c r="AI360" i="35"/>
  <c r="AI421" i="35"/>
  <c r="AI361" i="35"/>
  <c r="AI404" i="35"/>
  <c r="AI193" i="35"/>
  <c r="Y433" i="35"/>
  <c r="Y365" i="35"/>
  <c r="Y262" i="35"/>
  <c r="AI433" i="35"/>
  <c r="AI365" i="35"/>
  <c r="AI262" i="35"/>
  <c r="Y463" i="35"/>
  <c r="Y166" i="35"/>
  <c r="Y132" i="35"/>
  <c r="AB327" i="35"/>
  <c r="AB326" i="35"/>
  <c r="AB328" i="35"/>
  <c r="AB265" i="35"/>
  <c r="AB254" i="35"/>
  <c r="AB266" i="35"/>
  <c r="AB263" i="35"/>
  <c r="AB253" i="35"/>
  <c r="AB125" i="35"/>
  <c r="Y300" i="35"/>
  <c r="Y182" i="35"/>
  <c r="Y108" i="35"/>
  <c r="Y116" i="35"/>
  <c r="AB406" i="35"/>
  <c r="AB321" i="35"/>
  <c r="AB405" i="35"/>
  <c r="AB342" i="35"/>
  <c r="AB66" i="35"/>
  <c r="AB476" i="35"/>
  <c r="AB222" i="35"/>
  <c r="AB174" i="35"/>
  <c r="AB55" i="35"/>
  <c r="AB120" i="35"/>
  <c r="AI436" i="35"/>
  <c r="AI317" i="35"/>
  <c r="AI214" i="35"/>
  <c r="AI148" i="35"/>
  <c r="AI150" i="35"/>
  <c r="AI196" i="35"/>
  <c r="Y415" i="35"/>
  <c r="Y325" i="35"/>
  <c r="Y322" i="35"/>
  <c r="Y324" i="35"/>
  <c r="Y280" i="35"/>
  <c r="Y323" i="35"/>
  <c r="Y203" i="35"/>
  <c r="Y184" i="35"/>
  <c r="AB465" i="35"/>
  <c r="AB427" i="35"/>
  <c r="AB26" i="35"/>
  <c r="AI309" i="35"/>
  <c r="AI192" i="35"/>
  <c r="AI163" i="35"/>
  <c r="AI162" i="35"/>
  <c r="AI12" i="35"/>
  <c r="AI49" i="35"/>
  <c r="AI93" i="35"/>
  <c r="Y432" i="35"/>
  <c r="Y127" i="35"/>
  <c r="AB439" i="35"/>
  <c r="AB302" i="35"/>
  <c r="AB223" i="35"/>
  <c r="AB191" i="35"/>
  <c r="AB139" i="35"/>
  <c r="AI247" i="35"/>
  <c r="AI364" i="35"/>
  <c r="AI202" i="35"/>
  <c r="Y341" i="35"/>
  <c r="Y278" i="35"/>
  <c r="Y340" i="35"/>
  <c r="Y115" i="35"/>
  <c r="AI444" i="35"/>
  <c r="AI371" i="35"/>
  <c r="AI242" i="35"/>
  <c r="AI180" i="35"/>
  <c r="AI79" i="35"/>
  <c r="AI179" i="35"/>
  <c r="AI457" i="35"/>
  <c r="AI355" i="35"/>
  <c r="AI354" i="35"/>
  <c r="AI233" i="35"/>
  <c r="AI351" i="35"/>
  <c r="AI189" i="35"/>
  <c r="AI353" i="35"/>
  <c r="Y11" i="35"/>
  <c r="AB296" i="35"/>
  <c r="AB226" i="35"/>
  <c r="AB297" i="35"/>
  <c r="AB312" i="35"/>
  <c r="AI384" i="35"/>
  <c r="AI106" i="35"/>
  <c r="AI104" i="35"/>
  <c r="Y426" i="35"/>
  <c r="Y138" i="35"/>
  <c r="Y124" i="35"/>
  <c r="Y117" i="35"/>
  <c r="Y35" i="35"/>
  <c r="Y82" i="35"/>
  <c r="Y21" i="35"/>
  <c r="Y7" i="35"/>
  <c r="AI326" i="35"/>
  <c r="AI328" i="35"/>
  <c r="AI254" i="35"/>
  <c r="AI266" i="35"/>
  <c r="AI263" i="35"/>
  <c r="AI253" i="35"/>
  <c r="AI265" i="35"/>
  <c r="AI327" i="35"/>
  <c r="AI125" i="35"/>
  <c r="Y414" i="35"/>
  <c r="Y274" i="35"/>
  <c r="Y273" i="35"/>
  <c r="Y102" i="35"/>
  <c r="Y72" i="35"/>
  <c r="Y440" i="35"/>
  <c r="Y392" i="35"/>
  <c r="Y140" i="35"/>
  <c r="J73" i="23"/>
  <c r="AB300" i="35"/>
  <c r="AB182" i="35"/>
  <c r="AB108" i="35"/>
  <c r="AB116" i="35"/>
  <c r="AI406" i="35"/>
  <c r="AI405" i="35"/>
  <c r="AI321" i="35"/>
  <c r="AI342" i="35"/>
  <c r="AI66" i="35"/>
  <c r="AI476" i="35"/>
  <c r="AI222" i="35"/>
  <c r="AI174" i="35"/>
  <c r="AI55" i="35"/>
  <c r="AI120" i="35"/>
  <c r="Y234" i="35"/>
  <c r="Y239" i="35"/>
  <c r="Y235" i="35"/>
  <c r="Y15" i="35"/>
  <c r="Y14" i="35"/>
  <c r="AB325" i="35"/>
  <c r="AB280" i="35"/>
  <c r="AB415" i="35"/>
  <c r="AB322" i="35"/>
  <c r="AB324" i="35"/>
  <c r="AB323" i="35"/>
  <c r="AB184" i="35"/>
  <c r="AB203" i="35"/>
  <c r="AI427" i="35"/>
  <c r="AI465" i="35"/>
  <c r="AI26" i="35"/>
  <c r="Y447" i="35"/>
  <c r="Y370" i="35"/>
  <c r="AB432" i="35"/>
  <c r="AB127" i="35"/>
  <c r="AI439" i="35"/>
  <c r="AI223" i="35"/>
  <c r="AI302" i="35"/>
  <c r="AI139" i="35"/>
  <c r="AI191" i="35"/>
  <c r="Y445" i="35"/>
  <c r="Y349" i="35"/>
  <c r="Y350" i="35"/>
  <c r="Y110" i="35"/>
  <c r="Y89" i="35"/>
  <c r="AI255" i="35"/>
  <c r="AI219" i="35"/>
  <c r="Y399" i="35"/>
  <c r="Y336" i="35"/>
  <c r="Y304" i="35"/>
  <c r="Y158" i="35"/>
  <c r="Y145" i="35"/>
  <c r="Y52" i="35"/>
  <c r="AI308" i="35"/>
  <c r="AI307" i="35"/>
  <c r="AI375" i="35"/>
  <c r="AI301" i="35"/>
  <c r="AI156" i="35"/>
  <c r="AI16" i="35"/>
  <c r="AI58" i="35"/>
  <c r="AI381" i="35"/>
  <c r="AI478" i="35"/>
  <c r="AI272" i="35"/>
  <c r="AI111" i="35"/>
  <c r="AI185" i="35"/>
  <c r="AI59" i="35"/>
  <c r="Y312" i="35"/>
  <c r="Y226" i="35"/>
  <c r="Y297" i="35"/>
  <c r="Y296" i="35"/>
  <c r="AB458" i="35"/>
  <c r="AB330" i="35"/>
  <c r="AB209" i="35"/>
  <c r="AB211" i="35"/>
  <c r="AB244" i="35"/>
  <c r="AB210" i="35"/>
  <c r="AB109" i="35"/>
  <c r="AB100" i="35"/>
  <c r="AB8" i="35"/>
  <c r="AB384" i="35"/>
  <c r="AB104" i="35"/>
  <c r="AB106" i="35"/>
  <c r="Y401" i="35"/>
  <c r="Y32" i="35"/>
  <c r="AI244" i="35"/>
  <c r="AI210" i="35"/>
  <c r="AI211" i="35"/>
  <c r="AI209" i="35"/>
  <c r="AI109" i="35"/>
  <c r="AI100" i="35"/>
  <c r="AI8" i="35"/>
  <c r="AB463" i="35"/>
  <c r="AB166" i="35"/>
  <c r="AB132" i="35"/>
  <c r="AB401" i="35"/>
  <c r="AB32" i="35"/>
  <c r="Y450" i="35"/>
  <c r="Y228" i="35"/>
  <c r="AB11" i="35"/>
  <c r="AI296" i="35"/>
  <c r="AI297" i="35"/>
  <c r="AI312" i="35"/>
  <c r="AI226" i="35"/>
  <c r="Y227" i="35"/>
  <c r="Y142" i="35"/>
  <c r="Y425" i="35"/>
  <c r="Y459" i="35"/>
  <c r="Y410" i="35"/>
  <c r="Y283" i="35"/>
  <c r="Y358" i="35"/>
  <c r="Y284" i="35"/>
  <c r="Y107" i="35"/>
  <c r="Y200" i="35"/>
  <c r="Y51" i="35"/>
  <c r="AB426" i="35"/>
  <c r="AB124" i="35"/>
  <c r="AB117" i="35"/>
  <c r="AB138" i="35"/>
  <c r="AB35" i="35"/>
  <c r="AB82" i="35"/>
  <c r="AB21" i="35"/>
  <c r="AB7" i="35"/>
  <c r="AI463" i="35"/>
  <c r="AI132" i="35"/>
  <c r="AI166" i="35"/>
  <c r="Y183" i="35"/>
  <c r="Y70" i="35"/>
  <c r="AB414" i="35"/>
  <c r="AB273" i="35"/>
  <c r="AB274" i="35"/>
  <c r="AB72" i="35"/>
  <c r="AB102" i="35"/>
  <c r="Y448" i="35"/>
  <c r="Y391" i="35"/>
  <c r="AB392" i="35"/>
  <c r="AB440" i="35"/>
  <c r="AB140" i="35"/>
  <c r="Q73" i="23"/>
  <c r="AI300" i="35"/>
  <c r="AI116" i="35"/>
  <c r="AI182" i="35"/>
  <c r="AI108" i="35"/>
  <c r="Y257" i="35"/>
  <c r="Y134" i="35"/>
  <c r="AJ476" i="35"/>
  <c r="AJ174" i="35"/>
  <c r="AJ55" i="35"/>
  <c r="AJ222" i="35"/>
  <c r="Y199" i="35"/>
  <c r="Y298" i="35"/>
  <c r="AB234" i="35"/>
  <c r="AB239" i="35"/>
  <c r="AB235" i="35"/>
  <c r="AB15" i="35"/>
  <c r="AB14" i="35"/>
  <c r="AI415" i="35"/>
  <c r="AI323" i="35"/>
  <c r="AI325" i="35"/>
  <c r="AI280" i="35"/>
  <c r="AI322" i="35"/>
  <c r="AI324" i="35"/>
  <c r="AI203" i="35"/>
  <c r="AI184" i="35"/>
  <c r="Y442" i="35"/>
  <c r="Y376" i="35"/>
  <c r="AB447" i="35"/>
  <c r="AB370" i="35"/>
  <c r="AI432" i="35"/>
  <c r="AI127" i="35"/>
  <c r="Y347" i="35"/>
  <c r="Y83" i="35"/>
  <c r="Y63" i="35"/>
  <c r="AB445" i="35"/>
  <c r="AB349" i="35"/>
  <c r="AB350" i="35"/>
  <c r="AB110" i="35"/>
  <c r="AB89" i="35"/>
  <c r="Y430" i="35"/>
  <c r="Y398" i="35"/>
  <c r="Y206" i="35"/>
  <c r="Y28" i="35"/>
  <c r="Y3" i="35"/>
  <c r="Y205" i="35"/>
  <c r="Y25" i="35"/>
  <c r="AI54" i="35"/>
  <c r="AB375" i="35"/>
  <c r="AB301" i="35"/>
  <c r="AB308" i="35"/>
  <c r="AB307" i="35"/>
  <c r="AB156" i="35"/>
  <c r="AB16" i="35"/>
  <c r="AB58" i="35"/>
  <c r="Y292" i="35"/>
  <c r="Y477" i="35"/>
  <c r="Y291" i="35"/>
  <c r="Y144" i="35"/>
  <c r="Y60" i="35"/>
  <c r="Y20" i="35"/>
  <c r="Y23" i="35"/>
  <c r="AJ364" i="35"/>
  <c r="AJ202" i="35"/>
  <c r="AB341" i="35"/>
  <c r="AB340" i="35"/>
  <c r="AB278" i="35"/>
  <c r="AB115" i="35"/>
  <c r="AI477" i="35"/>
  <c r="AI291" i="35"/>
  <c r="AI292" i="35"/>
  <c r="AI144" i="35"/>
  <c r="AI23" i="35"/>
  <c r="AI60" i="35"/>
  <c r="AI20" i="35"/>
  <c r="AB457" i="35"/>
  <c r="AB351" i="35"/>
  <c r="AB353" i="35"/>
  <c r="AB355" i="35"/>
  <c r="AB233" i="35"/>
  <c r="AB354" i="35"/>
  <c r="AB189" i="35"/>
  <c r="AI458" i="35"/>
  <c r="AI330" i="35"/>
  <c r="AI401" i="35"/>
  <c r="AI32" i="35"/>
  <c r="AB450" i="35"/>
  <c r="AB228" i="35"/>
  <c r="AI11" i="35"/>
  <c r="Y451" i="35"/>
  <c r="Y337" i="35"/>
  <c r="Y338" i="35"/>
  <c r="Y237" i="35"/>
  <c r="Y215" i="35"/>
  <c r="Y149" i="35"/>
  <c r="Y86" i="35"/>
  <c r="Y56" i="35"/>
  <c r="AB227" i="35"/>
  <c r="AB142" i="35"/>
  <c r="AB459" i="35"/>
  <c r="AB425" i="35"/>
  <c r="AB410" i="35"/>
  <c r="AB358" i="35"/>
  <c r="AB284" i="35"/>
  <c r="AB200" i="35"/>
  <c r="AB283" i="35"/>
  <c r="AB107" i="35"/>
  <c r="AB51" i="35"/>
  <c r="AI426" i="35"/>
  <c r="AI138" i="35"/>
  <c r="AI124" i="35"/>
  <c r="AI82" i="35"/>
  <c r="AI21" i="35"/>
  <c r="AI7" i="35"/>
  <c r="AI117" i="35"/>
  <c r="AI35" i="35"/>
  <c r="Y118" i="35"/>
  <c r="Y137" i="35"/>
  <c r="Y123" i="35"/>
  <c r="AB183" i="35"/>
  <c r="AB70" i="35"/>
  <c r="AI414" i="35"/>
  <c r="AI274" i="35"/>
  <c r="AI273" i="35"/>
  <c r="AI102" i="35"/>
  <c r="AI72" i="35"/>
  <c r="AB391" i="35"/>
  <c r="AB448" i="35"/>
  <c r="AI440" i="35"/>
  <c r="AI392" i="35"/>
  <c r="AI140" i="35"/>
  <c r="Y400" i="35"/>
  <c r="Y160" i="35"/>
  <c r="Y126" i="35"/>
  <c r="AB257" i="35"/>
  <c r="AB134" i="35"/>
  <c r="Y424" i="35"/>
  <c r="Y475" i="35"/>
  <c r="Y359" i="35"/>
  <c r="Y217" i="35"/>
  <c r="Y128" i="35"/>
  <c r="Y213" i="35"/>
  <c r="Y121" i="35"/>
  <c r="Y24" i="35"/>
  <c r="AB298" i="35"/>
  <c r="AB199" i="35"/>
  <c r="AI235" i="35"/>
  <c r="AI239" i="35"/>
  <c r="AI234" i="35"/>
  <c r="AI14" i="35"/>
  <c r="AI15" i="35"/>
  <c r="Y408" i="35"/>
  <c r="Y466" i="35"/>
  <c r="Y232" i="35"/>
  <c r="Y290" i="35"/>
  <c r="Y147" i="35"/>
  <c r="Y122" i="35"/>
  <c r="Y187" i="35"/>
  <c r="Y73" i="35"/>
  <c r="J105" i="23"/>
  <c r="AA570" i="6" s="1"/>
  <c r="AB442" i="35"/>
  <c r="AB376" i="35"/>
  <c r="AI447" i="35"/>
  <c r="AI370" i="35"/>
  <c r="Y441" i="35"/>
  <c r="Y194" i="35"/>
  <c r="Y314" i="35"/>
  <c r="Y316" i="35"/>
  <c r="Y315" i="35"/>
  <c r="Y101" i="35"/>
  <c r="AB347" i="35"/>
  <c r="AB83" i="35"/>
  <c r="AB63" i="35"/>
  <c r="AI445" i="35"/>
  <c r="AI350" i="35"/>
  <c r="AI349" i="35"/>
  <c r="AI110" i="35"/>
  <c r="AI89" i="35"/>
  <c r="N114" i="23"/>
  <c r="AE698" i="6" s="1"/>
  <c r="N75" i="23"/>
  <c r="AE685" i="6" s="1"/>
  <c r="K15" i="23"/>
  <c r="AB562" i="6" s="1"/>
  <c r="J75" i="23"/>
  <c r="AA685" i="6" s="1"/>
  <c r="K82" i="23"/>
  <c r="Q82" i="23"/>
  <c r="J33" i="23"/>
  <c r="K95" i="23"/>
  <c r="AB678" i="6" s="1"/>
  <c r="N41" i="23"/>
  <c r="K105" i="23"/>
  <c r="AB570" i="6" s="1"/>
  <c r="N105" i="23"/>
  <c r="AE570" i="6" s="1"/>
  <c r="N66" i="23"/>
  <c r="AE658" i="6" s="1"/>
  <c r="N32" i="23"/>
  <c r="N116" i="23"/>
  <c r="AE699" i="6" s="1"/>
  <c r="K97" i="23"/>
  <c r="J11" i="23"/>
  <c r="J59" i="23"/>
  <c r="AA284" i="6" s="1"/>
  <c r="K61" i="23"/>
  <c r="K13" i="23"/>
  <c r="N93" i="23"/>
  <c r="N107" i="23"/>
  <c r="N47" i="23"/>
  <c r="N52" i="23"/>
  <c r="J61" i="23"/>
  <c r="N29" i="23"/>
  <c r="K52" i="23"/>
  <c r="J57" i="23"/>
  <c r="N61" i="23"/>
  <c r="K79" i="23"/>
  <c r="AB563" i="6" s="1"/>
  <c r="J123" i="23"/>
  <c r="AA677" i="6" s="1"/>
  <c r="J36" i="23"/>
  <c r="AA693" i="6" s="1"/>
  <c r="J4" i="23"/>
  <c r="K57" i="23"/>
  <c r="K89" i="23"/>
  <c r="AB566" i="6" s="1"/>
  <c r="K118" i="23"/>
  <c r="AB578" i="6" s="1"/>
  <c r="N68" i="23"/>
  <c r="AE473" i="6" s="1"/>
  <c r="K31" i="23"/>
  <c r="AB598" i="6" s="1"/>
  <c r="Q51" i="23"/>
  <c r="J31" i="23"/>
  <c r="AA598" i="6" s="1"/>
  <c r="N13" i="23"/>
  <c r="J25" i="23"/>
  <c r="N20" i="23"/>
  <c r="K25" i="23"/>
  <c r="N43" i="23"/>
  <c r="AE683" i="6" s="1"/>
  <c r="N34" i="23"/>
  <c r="N109" i="23"/>
  <c r="AE505" i="6" s="1"/>
  <c r="Q119" i="23"/>
  <c r="K100" i="23"/>
  <c r="AB651" i="6" s="1"/>
  <c r="Q114" i="23"/>
  <c r="AH698" i="6" s="1"/>
  <c r="K73" i="23"/>
  <c r="N77" i="23"/>
  <c r="J91" i="23"/>
  <c r="J50" i="23"/>
  <c r="AA392" i="6" s="1"/>
  <c r="N73" i="23"/>
  <c r="J77" i="23"/>
  <c r="N91" i="23"/>
  <c r="N31" i="23"/>
  <c r="AE598" i="6" s="1"/>
  <c r="Q55" i="23"/>
  <c r="AH550" i="6" s="1"/>
  <c r="K121" i="23"/>
  <c r="AB670" i="6" s="1"/>
  <c r="N45" i="23"/>
  <c r="N123" i="23"/>
  <c r="AE677" i="6" s="1"/>
  <c r="N50" i="23"/>
  <c r="AE392" i="6" s="1"/>
  <c r="J89" i="23"/>
  <c r="AA566" i="6" s="1"/>
  <c r="K93" i="23"/>
  <c r="J97" i="23"/>
  <c r="Q115" i="23"/>
  <c r="AH130" i="6" s="1"/>
  <c r="K47" i="23"/>
  <c r="J107" i="23"/>
  <c r="K116" i="23"/>
  <c r="AB699" i="6" s="1"/>
  <c r="J34" i="23"/>
  <c r="J121" i="23"/>
  <c r="AA670" i="6" s="1"/>
  <c r="K125" i="23"/>
  <c r="J52" i="23"/>
  <c r="K2" i="23"/>
  <c r="AB265" i="6" s="1"/>
  <c r="Q24" i="23"/>
  <c r="AH525" i="6" s="1"/>
  <c r="Q63" i="23"/>
  <c r="Q5" i="23"/>
  <c r="N17" i="23"/>
  <c r="Q37" i="23"/>
  <c r="AH642" i="6" s="1"/>
  <c r="N2" i="23"/>
  <c r="AE265" i="6" s="1"/>
  <c r="K17" i="23"/>
  <c r="Q34" i="23"/>
  <c r="K50" i="23"/>
  <c r="AB392" i="6" s="1"/>
  <c r="N53" i="23"/>
  <c r="AE622" i="6" s="1"/>
  <c r="N64" i="23"/>
  <c r="J79" i="23"/>
  <c r="AA563" i="6" s="1"/>
  <c r="Q86" i="23"/>
  <c r="Q93" i="23"/>
  <c r="Q97" i="23"/>
  <c r="Q100" i="23"/>
  <c r="AH651" i="6" s="1"/>
  <c r="Q112" i="23"/>
  <c r="AH600" i="6" s="1"/>
  <c r="K68" i="23"/>
  <c r="AB473" i="6" s="1"/>
  <c r="Q72" i="23"/>
  <c r="AH520" i="6" s="1"/>
  <c r="N79" i="23"/>
  <c r="AE563" i="6" s="1"/>
  <c r="N94" i="23"/>
  <c r="K98" i="23"/>
  <c r="AB619" i="6" s="1"/>
  <c r="N101" i="23"/>
  <c r="J109" i="23"/>
  <c r="AA505" i="6" s="1"/>
  <c r="N120" i="23"/>
  <c r="AE521" i="6" s="1"/>
  <c r="Q13" i="23"/>
  <c r="Q42" i="23"/>
  <c r="N10" i="23"/>
  <c r="K21" i="23"/>
  <c r="Q50" i="23"/>
  <c r="AH392" i="6" s="1"/>
  <c r="Q94" i="23"/>
  <c r="Q101" i="23"/>
  <c r="K109" i="23"/>
  <c r="AB505" i="6" s="1"/>
  <c r="K117" i="23"/>
  <c r="AB587" i="6" s="1"/>
  <c r="Q120" i="23"/>
  <c r="AH521" i="6" s="1"/>
  <c r="Q123" i="23"/>
  <c r="AH677" i="6" s="1"/>
  <c r="Q17" i="23"/>
  <c r="J46" i="23"/>
  <c r="Q38" i="23"/>
  <c r="AH632" i="6" s="1"/>
  <c r="N54" i="23"/>
  <c r="N65" i="23"/>
  <c r="Q79" i="23"/>
  <c r="AH563" i="6" s="1"/>
  <c r="Q3" i="23"/>
  <c r="N7" i="23"/>
  <c r="Q10" i="23"/>
  <c r="N14" i="23"/>
  <c r="J18" i="23"/>
  <c r="Q21" i="23"/>
  <c r="N25" i="23"/>
  <c r="J29" i="23"/>
  <c r="Q35" i="23"/>
  <c r="N39" i="23"/>
  <c r="K43" i="23"/>
  <c r="AB683" i="6" s="1"/>
  <c r="J47" i="23"/>
  <c r="Q54" i="23"/>
  <c r="N58" i="23"/>
  <c r="J65" i="23"/>
  <c r="K91" i="23"/>
  <c r="N98" i="23"/>
  <c r="AE619" i="6" s="1"/>
  <c r="Q105" i="23"/>
  <c r="AH570" i="6" s="1"/>
  <c r="Q117" i="23"/>
  <c r="AH587" i="6" s="1"/>
  <c r="Q2" i="23"/>
  <c r="AH265" i="6" s="1"/>
  <c r="N38" i="23"/>
  <c r="AE632" i="6" s="1"/>
  <c r="Q6" i="23"/>
  <c r="Q46" i="23"/>
  <c r="Q14" i="23"/>
  <c r="N18" i="23"/>
  <c r="K29" i="23"/>
  <c r="Q58" i="23"/>
  <c r="K65" i="23"/>
  <c r="Q68" i="23"/>
  <c r="AH473" i="6" s="1"/>
  <c r="Q76" i="23"/>
  <c r="N80" i="23"/>
  <c r="AE539" i="6" s="1"/>
  <c r="J95" i="23"/>
  <c r="AA678" i="6" s="1"/>
  <c r="Q98" i="23"/>
  <c r="AH619" i="6" s="1"/>
  <c r="N102" i="23"/>
  <c r="AE591" i="6" s="1"/>
  <c r="K114" i="23"/>
  <c r="AB698" i="6" s="1"/>
  <c r="J124" i="23"/>
  <c r="AA590" i="6" s="1"/>
  <c r="Q124" i="23"/>
  <c r="AH590" i="6" s="1"/>
  <c r="Q20" i="23"/>
  <c r="N42" i="23"/>
  <c r="Q80" i="23"/>
  <c r="AH539" i="6" s="1"/>
  <c r="J84" i="23"/>
  <c r="N88" i="23"/>
  <c r="AE123" i="6" s="1"/>
  <c r="Q102" i="23"/>
  <c r="AH591" i="6" s="1"/>
  <c r="J15" i="23"/>
  <c r="AA562" i="6" s="1"/>
  <c r="Q22" i="23"/>
  <c r="AH659" i="6" s="1"/>
  <c r="Q29" i="23"/>
  <c r="N33" i="23"/>
  <c r="Q47" i="23"/>
  <c r="K59" i="23"/>
  <c r="AB284" i="6" s="1"/>
  <c r="Q65" i="23"/>
  <c r="J69" i="23"/>
  <c r="AA690" i="6" s="1"/>
  <c r="K84" i="23"/>
  <c r="Q88" i="23"/>
  <c r="AH123" i="6" s="1"/>
  <c r="Q91" i="23"/>
  <c r="Q106" i="23"/>
  <c r="AH66" i="6" s="1"/>
  <c r="Q109" i="23"/>
  <c r="AH505" i="6" s="1"/>
  <c r="J118" i="23"/>
  <c r="AA578" i="6" s="1"/>
  <c r="Q53" i="23"/>
  <c r="AH622" i="6" s="1"/>
  <c r="N72" i="23"/>
  <c r="AE520" i="6" s="1"/>
  <c r="K11" i="23"/>
  <c r="J22" i="23"/>
  <c r="AA659" i="6" s="1"/>
  <c r="Q43" i="23"/>
  <c r="AH683" i="6" s="1"/>
  <c r="N55" i="23"/>
  <c r="AE550" i="6" s="1"/>
  <c r="N11" i="23"/>
  <c r="Q69" i="23"/>
  <c r="AH690" i="6" s="1"/>
  <c r="N81" i="23"/>
  <c r="AE647" i="6" s="1"/>
  <c r="N103" i="23"/>
  <c r="AE689" i="6" s="1"/>
  <c r="Q64" i="23"/>
  <c r="K4" i="23"/>
  <c r="N8" i="23"/>
  <c r="N26" i="23"/>
  <c r="AE335" i="6" s="1"/>
  <c r="K36" i="23"/>
  <c r="AB693" i="6" s="1"/>
  <c r="N40" i="23"/>
  <c r="AE580" i="6" s="1"/>
  <c r="Q95" i="23"/>
  <c r="AH678" i="6" s="1"/>
  <c r="Q8" i="23"/>
  <c r="Q11" i="23"/>
  <c r="N15" i="23"/>
  <c r="AE562" i="6" s="1"/>
  <c r="Q19" i="23"/>
  <c r="N23" i="23"/>
  <c r="Q26" i="23"/>
  <c r="AH335" i="6" s="1"/>
  <c r="N30" i="23"/>
  <c r="AE691" i="6" s="1"/>
  <c r="K33" i="23"/>
  <c r="Q40" i="23"/>
  <c r="AH580" i="6" s="1"/>
  <c r="Q44" i="23"/>
  <c r="AH559" i="6" s="1"/>
  <c r="N48" i="23"/>
  <c r="AE688" i="6" s="1"/>
  <c r="N59" i="23"/>
  <c r="AE284" i="6" s="1"/>
  <c r="K66" i="23"/>
  <c r="AB658" i="6" s="1"/>
  <c r="K77" i="23"/>
  <c r="J81" i="23"/>
  <c r="AA647" i="6" s="1"/>
  <c r="N84" i="23"/>
  <c r="Q99" i="23"/>
  <c r="K107" i="23"/>
  <c r="N110" i="23"/>
  <c r="N121" i="23"/>
  <c r="AE670" i="6" s="1"/>
  <c r="J125" i="23"/>
  <c r="K6" i="23"/>
  <c r="Q59" i="23"/>
  <c r="AH284" i="6" s="1"/>
  <c r="Q121" i="23"/>
  <c r="AH670" i="6" s="1"/>
  <c r="Q28" i="23"/>
  <c r="J68" i="23"/>
  <c r="AA473" i="6" s="1"/>
  <c r="Q84" i="23"/>
  <c r="K27" i="23"/>
  <c r="AB523" i="6" s="1"/>
  <c r="Q56" i="23"/>
  <c r="J63" i="23"/>
  <c r="Q77" i="23"/>
  <c r="N118" i="23"/>
  <c r="AE578" i="6" s="1"/>
  <c r="N125" i="23"/>
  <c r="N70" i="23"/>
  <c r="Q110" i="23"/>
  <c r="N4" i="23"/>
  <c r="Q23" i="23"/>
  <c r="Q33" i="23"/>
  <c r="N36" i="23"/>
  <c r="AE693" i="6" s="1"/>
  <c r="Q66" i="23"/>
  <c r="AH658" i="6" s="1"/>
  <c r="Q4" i="23"/>
  <c r="J9" i="23"/>
  <c r="Q12" i="23"/>
  <c r="N16" i="23"/>
  <c r="AE11" i="6" s="1"/>
  <c r="J20" i="23"/>
  <c r="J27" i="23"/>
  <c r="AA523" i="6" s="1"/>
  <c r="Q36" i="23"/>
  <c r="AH693" i="6" s="1"/>
  <c r="J41" i="23"/>
  <c r="J45" i="23"/>
  <c r="N49" i="23"/>
  <c r="AE687" i="6" s="1"/>
  <c r="K63" i="23"/>
  <c r="N74" i="23"/>
  <c r="N104" i="23"/>
  <c r="AE27" i="6" s="1"/>
  <c r="Q107" i="23"/>
  <c r="N111" i="23"/>
  <c r="Q118" i="23"/>
  <c r="AH578" i="6" s="1"/>
  <c r="Q125" i="23"/>
  <c r="Q31" i="23"/>
  <c r="AH598" i="6" s="1"/>
  <c r="Q48" i="23"/>
  <c r="AH688" i="6" s="1"/>
  <c r="N56" i="23"/>
  <c r="Q92" i="23"/>
  <c r="N96" i="23"/>
  <c r="Q70" i="23"/>
  <c r="Q96" i="23"/>
  <c r="J100" i="23"/>
  <c r="AA651" i="6" s="1"/>
  <c r="K9" i="23"/>
  <c r="Q16" i="23"/>
  <c r="AH11" i="6" s="1"/>
  <c r="K20" i="23"/>
  <c r="N24" i="23"/>
  <c r="AE525" i="6" s="1"/>
  <c r="N27" i="23"/>
  <c r="AE523" i="6" s="1"/>
  <c r="K34" i="23"/>
  <c r="K41" i="23"/>
  <c r="K45" i="23"/>
  <c r="N63" i="23"/>
  <c r="N71" i="23"/>
  <c r="AE478" i="6" s="1"/>
  <c r="Q74" i="23"/>
  <c r="J78" i="23"/>
  <c r="AA636" i="6" s="1"/>
  <c r="N89" i="23"/>
  <c r="AE566" i="6" s="1"/>
  <c r="J93" i="23"/>
  <c r="N97" i="23"/>
  <c r="Q104" i="23"/>
  <c r="AH27" i="6" s="1"/>
  <c r="Q111" i="23"/>
  <c r="Q122" i="23"/>
  <c r="Q15" i="23"/>
  <c r="AH562" i="6" s="1"/>
  <c r="Q52" i="23"/>
  <c r="Q78" i="23"/>
  <c r="AH636" i="6" s="1"/>
  <c r="J108" i="23"/>
  <c r="J116" i="23"/>
  <c r="AA699" i="6" s="1"/>
  <c r="N119" i="23"/>
  <c r="N126" i="23"/>
  <c r="AE569" i="6" s="1"/>
  <c r="Q116" i="23"/>
  <c r="AH699" i="6" s="1"/>
  <c r="J5" i="23"/>
  <c r="Q27" i="23"/>
  <c r="AH523" i="6" s="1"/>
  <c r="J37" i="23"/>
  <c r="AA642" i="6" s="1"/>
  <c r="Q49" i="23"/>
  <c r="AH687" i="6" s="1"/>
  <c r="J2" i="23"/>
  <c r="AA265" i="6" s="1"/>
  <c r="N9" i="23"/>
  <c r="J13" i="23"/>
  <c r="Q41" i="23"/>
  <c r="Q45" i="23"/>
  <c r="Q71" i="23"/>
  <c r="AH478" i="6" s="1"/>
  <c r="N82" i="23"/>
  <c r="K86" i="23"/>
  <c r="Q89" i="23"/>
  <c r="AH566" i="6" s="1"/>
  <c r="N100" i="23"/>
  <c r="AE651" i="6" s="1"/>
  <c r="Q108" i="23"/>
  <c r="N112" i="23"/>
  <c r="AE600" i="6" s="1"/>
  <c r="K123" i="23"/>
  <c r="AB677" i="6" s="1"/>
  <c r="Q126" i="23"/>
  <c r="AH569" i="6" s="1"/>
  <c r="K58" i="23"/>
  <c r="J72" i="23"/>
  <c r="AA520" i="6" s="1"/>
  <c r="K74" i="23"/>
  <c r="K90" i="23"/>
  <c r="K88" i="23"/>
  <c r="AB123" i="6" s="1"/>
  <c r="J102" i="23"/>
  <c r="AA591" i="6" s="1"/>
  <c r="N122" i="23"/>
  <c r="K122" i="23"/>
  <c r="N35" i="23"/>
  <c r="K35" i="23"/>
  <c r="J38" i="23"/>
  <c r="AA632" i="6" s="1"/>
  <c r="K54" i="23"/>
  <c r="K111" i="23"/>
  <c r="J120" i="23"/>
  <c r="AA521" i="6" s="1"/>
  <c r="K104" i="23"/>
  <c r="AB27" i="6" s="1"/>
  <c r="J24" i="23"/>
  <c r="AA525" i="6" s="1"/>
  <c r="K56" i="23"/>
  <c r="K3" i="23"/>
  <c r="N3" i="23"/>
  <c r="N19" i="23"/>
  <c r="K19" i="23"/>
  <c r="K40" i="23"/>
  <c r="AB580" i="6" s="1"/>
  <c r="K51" i="23"/>
  <c r="N51" i="23"/>
  <c r="K67" i="23"/>
  <c r="N67" i="23"/>
  <c r="J6" i="23"/>
  <c r="J70" i="23"/>
  <c r="J54" i="23"/>
  <c r="J17" i="23"/>
  <c r="K38" i="23"/>
  <c r="AB632" i="6" s="1"/>
  <c r="J49" i="23"/>
  <c r="AA687" i="6" s="1"/>
  <c r="K120" i="23"/>
  <c r="AB521" i="6" s="1"/>
  <c r="J58" i="23"/>
  <c r="J74" i="23"/>
  <c r="K10" i="23"/>
  <c r="K42" i="23"/>
  <c r="J99" i="23"/>
  <c r="K99" i="23"/>
  <c r="N99" i="23"/>
  <c r="J3" i="23"/>
  <c r="J51" i="23"/>
  <c r="J67" i="23"/>
  <c r="K22" i="23"/>
  <c r="AB659" i="6" s="1"/>
  <c r="K70" i="23"/>
  <c r="N6" i="23"/>
  <c r="N22" i="23"/>
  <c r="AE659" i="6" s="1"/>
  <c r="N86" i="23"/>
  <c r="K26" i="23"/>
  <c r="AB335" i="6" s="1"/>
  <c r="J113" i="23"/>
  <c r="K8" i="23"/>
  <c r="K24" i="23"/>
  <c r="AB525" i="6" s="1"/>
  <c r="K83" i="23"/>
  <c r="AB634" i="6" s="1"/>
  <c r="N83" i="23"/>
  <c r="AE634" i="6" s="1"/>
  <c r="J19" i="23"/>
  <c r="J86" i="23"/>
  <c r="J122" i="23"/>
  <c r="J10" i="23"/>
  <c r="J26" i="23"/>
  <c r="AA335" i="6" s="1"/>
  <c r="J90" i="23"/>
  <c r="J42" i="23"/>
  <c r="J88" i="23"/>
  <c r="AA123" i="6" s="1"/>
  <c r="J56" i="23"/>
  <c r="K72" i="23"/>
  <c r="AB520" i="6" s="1"/>
  <c r="K113" i="23"/>
  <c r="K106" i="23"/>
  <c r="AB66" i="6" s="1"/>
  <c r="N106" i="23"/>
  <c r="AE66" i="6" s="1"/>
  <c r="J115" i="23"/>
  <c r="AA130" i="6" s="1"/>
  <c r="K115" i="23"/>
  <c r="AB130" i="6" s="1"/>
  <c r="N115" i="23"/>
  <c r="AE130" i="6" s="1"/>
  <c r="J104" i="23"/>
  <c r="AA27" i="6" s="1"/>
  <c r="J8" i="23"/>
  <c r="J40" i="23"/>
  <c r="AA580" i="6" s="1"/>
  <c r="K102" i="23"/>
  <c r="AB591" i="6" s="1"/>
  <c r="J83" i="23"/>
  <c r="AA634" i="6" s="1"/>
  <c r="J35" i="23"/>
  <c r="J111" i="23"/>
  <c r="K12" i="23"/>
  <c r="J12" i="23"/>
  <c r="N12" i="23"/>
  <c r="J28" i="23"/>
  <c r="K28" i="23"/>
  <c r="N28" i="23"/>
  <c r="K44" i="23"/>
  <c r="AB559" i="6" s="1"/>
  <c r="J44" i="23"/>
  <c r="AA559" i="6" s="1"/>
  <c r="N44" i="23"/>
  <c r="AE559" i="6" s="1"/>
  <c r="J60" i="23"/>
  <c r="AA466" i="6" s="1"/>
  <c r="K60" i="23"/>
  <c r="AB466" i="6" s="1"/>
  <c r="N60" i="23"/>
  <c r="AE466" i="6" s="1"/>
  <c r="N76" i="23"/>
  <c r="K76" i="23"/>
  <c r="J76" i="23"/>
  <c r="J92" i="23"/>
  <c r="K92" i="23"/>
  <c r="N92" i="23"/>
  <c r="J106" i="23"/>
  <c r="AA66" i="6" s="1"/>
  <c r="J101" i="23"/>
  <c r="K5" i="23"/>
  <c r="J14" i="23"/>
  <c r="J30" i="23"/>
  <c r="AA691" i="6" s="1"/>
  <c r="K53" i="23"/>
  <c r="AB622" i="6" s="1"/>
  <c r="J7" i="23"/>
  <c r="K14" i="23"/>
  <c r="J23" i="23"/>
  <c r="K30" i="23"/>
  <c r="AB691" i="6" s="1"/>
  <c r="J39" i="23"/>
  <c r="K46" i="23"/>
  <c r="J55" i="23"/>
  <c r="AA550" i="6" s="1"/>
  <c r="K62" i="23"/>
  <c r="J71" i="23"/>
  <c r="AA478" i="6" s="1"/>
  <c r="K78" i="23"/>
  <c r="AB636" i="6" s="1"/>
  <c r="J87" i="23"/>
  <c r="K94" i="23"/>
  <c r="J103" i="23"/>
  <c r="AA689" i="6" s="1"/>
  <c r="K110" i="23"/>
  <c r="J119" i="23"/>
  <c r="K126" i="23"/>
  <c r="AB569" i="6" s="1"/>
  <c r="J53" i="23"/>
  <c r="AA622" i="6" s="1"/>
  <c r="K108" i="23"/>
  <c r="K124" i="23"/>
  <c r="AB590" i="6" s="1"/>
  <c r="K69" i="23"/>
  <c r="AB690" i="6" s="1"/>
  <c r="K7" i="23"/>
  <c r="J16" i="23"/>
  <c r="AA11" i="6" s="1"/>
  <c r="K23" i="23"/>
  <c r="J32" i="23"/>
  <c r="K39" i="23"/>
  <c r="J48" i="23"/>
  <c r="AA688" i="6" s="1"/>
  <c r="K55" i="23"/>
  <c r="AB550" i="6" s="1"/>
  <c r="J64" i="23"/>
  <c r="K71" i="23"/>
  <c r="AB478" i="6" s="1"/>
  <c r="J80" i="23"/>
  <c r="AA539" i="6" s="1"/>
  <c r="K87" i="23"/>
  <c r="J96" i="23"/>
  <c r="K103" i="23"/>
  <c r="AB689" i="6" s="1"/>
  <c r="N108" i="23"/>
  <c r="J112" i="23"/>
  <c r="AA600" i="6" s="1"/>
  <c r="K119" i="23"/>
  <c r="N124" i="23"/>
  <c r="AE590" i="6" s="1"/>
  <c r="K85" i="23"/>
  <c r="K101" i="23"/>
  <c r="J110" i="23"/>
  <c r="J126" i="23"/>
  <c r="AA569" i="6" s="1"/>
  <c r="N5" i="23"/>
  <c r="K16" i="23"/>
  <c r="AB11" i="6" s="1"/>
  <c r="N21" i="23"/>
  <c r="K32" i="23"/>
  <c r="N37" i="23"/>
  <c r="AE642" i="6" s="1"/>
  <c r="K48" i="23"/>
  <c r="AB688" i="6" s="1"/>
  <c r="K64" i="23"/>
  <c r="N69" i="23"/>
  <c r="AE690" i="6" s="1"/>
  <c r="K80" i="23"/>
  <c r="AB539" i="6" s="1"/>
  <c r="N85" i="23"/>
  <c r="K96" i="23"/>
  <c r="K112" i="23"/>
  <c r="AB600" i="6" s="1"/>
  <c r="N117" i="23"/>
  <c r="AE587" i="6" s="1"/>
  <c r="J117" i="23"/>
  <c r="AA587" i="6" s="1"/>
  <c r="K37" i="23"/>
  <c r="AB642" i="6" s="1"/>
  <c r="J94" i="23"/>
  <c r="N46" i="23"/>
  <c r="N62" i="23"/>
  <c r="J66" i="23"/>
  <c r="AA658" i="6" s="1"/>
  <c r="N78" i="23"/>
  <c r="AE636" i="6" s="1"/>
  <c r="J82" i="23"/>
  <c r="J98" i="23"/>
  <c r="AA619" i="6" s="1"/>
  <c r="J114" i="23"/>
  <c r="AA698" i="6" s="1"/>
  <c r="J21" i="23"/>
  <c r="J43" i="23"/>
  <c r="AA683" i="6" s="1"/>
  <c r="AH681" i="6" l="1"/>
  <c r="AH680" i="6"/>
  <c r="AB674" i="6"/>
  <c r="AB676" i="6"/>
  <c r="AE660" i="6"/>
  <c r="AE667" i="6"/>
  <c r="AA676" i="6"/>
  <c r="AA674" i="6"/>
  <c r="AB680" i="6"/>
  <c r="AB681" i="6"/>
  <c r="AH589" i="6"/>
  <c r="AH684" i="6"/>
  <c r="AE472" i="6"/>
  <c r="AE662" i="6"/>
  <c r="AE673" i="6"/>
  <c r="AE672" i="6"/>
  <c r="AH531" i="6"/>
  <c r="AH671" i="6"/>
  <c r="AH694" i="6"/>
  <c r="AH663" i="6"/>
  <c r="AB472" i="6"/>
  <c r="AB662" i="6"/>
  <c r="AH653" i="6"/>
  <c r="AH682" i="6"/>
  <c r="AH665" i="6"/>
  <c r="AE589" i="6"/>
  <c r="AE684" i="6"/>
  <c r="AE531" i="6"/>
  <c r="AE694" i="6"/>
  <c r="AE663" i="6"/>
  <c r="AE671" i="6"/>
  <c r="AE609" i="6"/>
  <c r="AE695" i="6"/>
  <c r="AA668" i="6"/>
  <c r="AA679" i="6"/>
  <c r="AA686" i="6"/>
  <c r="AE668" i="6"/>
  <c r="AE679" i="6"/>
  <c r="AE686" i="6"/>
  <c r="AH443" i="6"/>
  <c r="AH666" i="6"/>
  <c r="AH692" i="6"/>
  <c r="AH697" i="6"/>
  <c r="AA643" i="6"/>
  <c r="AA675" i="6"/>
  <c r="AH626" i="6"/>
  <c r="AH696" i="6"/>
  <c r="AA589" i="6"/>
  <c r="AA684" i="6"/>
  <c r="AH609" i="6"/>
  <c r="AH695" i="6"/>
  <c r="AH668" i="6"/>
  <c r="AH679" i="6"/>
  <c r="AH686" i="6"/>
  <c r="AE681" i="6"/>
  <c r="AE680" i="6"/>
  <c r="AE674" i="6"/>
  <c r="AE676" i="6"/>
  <c r="AE626" i="6"/>
  <c r="AE696" i="6"/>
  <c r="AB589" i="6"/>
  <c r="AB684" i="6"/>
  <c r="AA701" i="6"/>
  <c r="AA664" i="6"/>
  <c r="AA531" i="6"/>
  <c r="AA671" i="6"/>
  <c r="AA694" i="6"/>
  <c r="AA663" i="6"/>
  <c r="AB575" i="6"/>
  <c r="AB669" i="6"/>
  <c r="AH701" i="6"/>
  <c r="AH664" i="6"/>
  <c r="AH676" i="6"/>
  <c r="AH674" i="6"/>
  <c r="AE697" i="6"/>
  <c r="AE692" i="6"/>
  <c r="AE701" i="6"/>
  <c r="AE664" i="6"/>
  <c r="AA673" i="6"/>
  <c r="AA672" i="6"/>
  <c r="AH472" i="6"/>
  <c r="AH662" i="6"/>
  <c r="AA626" i="6"/>
  <c r="AA696" i="6"/>
  <c r="AH575" i="6"/>
  <c r="AH669" i="6"/>
  <c r="AB609" i="6"/>
  <c r="AB695" i="6"/>
  <c r="AH673" i="6"/>
  <c r="AH672" i="6"/>
  <c r="AA443" i="6"/>
  <c r="AA666" i="6"/>
  <c r="AE643" i="6"/>
  <c r="AE675" i="6"/>
  <c r="AA609" i="6"/>
  <c r="AA695" i="6"/>
  <c r="AB643" i="6"/>
  <c r="AB675" i="6"/>
  <c r="AA697" i="6"/>
  <c r="AA692" i="6"/>
  <c r="AE575" i="6"/>
  <c r="AE669" i="6"/>
  <c r="AB701" i="6"/>
  <c r="AB664" i="6"/>
  <c r="AE443" i="6"/>
  <c r="AE666" i="6"/>
  <c r="AB672" i="6"/>
  <c r="AB673" i="6"/>
  <c r="AB626" i="6"/>
  <c r="AB696" i="6"/>
  <c r="AH660" i="6"/>
  <c r="AH667" i="6"/>
  <c r="AB653" i="6"/>
  <c r="AB665" i="6"/>
  <c r="AB682" i="6"/>
  <c r="AH643" i="6"/>
  <c r="AH675" i="6"/>
  <c r="AB660" i="6"/>
  <c r="AB667" i="6"/>
  <c r="AB443" i="6"/>
  <c r="AB666" i="6"/>
  <c r="AB692" i="6"/>
  <c r="AB697" i="6"/>
  <c r="AA472" i="6"/>
  <c r="AA662" i="6"/>
  <c r="AB531" i="6"/>
  <c r="AB671" i="6"/>
  <c r="AB663" i="6"/>
  <c r="AB694" i="6"/>
  <c r="AE653" i="6"/>
  <c r="AE665" i="6"/>
  <c r="AE682" i="6"/>
  <c r="AA660" i="6"/>
  <c r="AA667" i="6"/>
  <c r="AA575" i="6"/>
  <c r="AA669" i="6"/>
  <c r="AA681" i="6"/>
  <c r="AA680" i="6"/>
  <c r="AB613" i="6"/>
  <c r="AB685" i="6"/>
  <c r="AB668" i="6"/>
  <c r="AB679" i="6"/>
  <c r="AB686" i="6"/>
  <c r="AA653" i="6"/>
  <c r="AA682" i="6"/>
  <c r="AA665" i="6"/>
  <c r="AA618" i="6"/>
  <c r="AA657" i="6"/>
  <c r="AE618" i="6"/>
  <c r="AE657" i="6"/>
  <c r="AH652" i="6"/>
  <c r="AH654" i="6"/>
  <c r="AA465" i="6"/>
  <c r="AA656" i="6"/>
  <c r="AH618" i="6"/>
  <c r="AH657" i="6"/>
  <c r="AE623" i="6"/>
  <c r="AE661" i="6"/>
  <c r="AA561" i="6"/>
  <c r="AA655" i="6"/>
  <c r="AB465" i="6"/>
  <c r="AB656" i="6"/>
  <c r="AH623" i="6"/>
  <c r="AH661" i="6"/>
  <c r="AE465" i="6"/>
  <c r="AE656" i="6"/>
  <c r="AH561" i="6"/>
  <c r="AH655" i="6"/>
  <c r="AE654" i="6"/>
  <c r="AE652" i="6"/>
  <c r="AA652" i="6"/>
  <c r="AA654" i="6"/>
  <c r="AA623" i="6"/>
  <c r="AA661" i="6"/>
  <c r="AB618" i="6"/>
  <c r="AB657" i="6"/>
  <c r="AB623" i="6"/>
  <c r="AB661" i="6"/>
  <c r="AB654" i="6"/>
  <c r="AB652" i="6"/>
  <c r="AB561" i="6"/>
  <c r="AB655" i="6"/>
  <c r="AH465" i="6"/>
  <c r="AH656" i="6"/>
  <c r="AE561" i="6"/>
  <c r="AE655" i="6"/>
  <c r="AA607" i="6"/>
  <c r="AA639" i="6"/>
  <c r="AB517" i="6"/>
  <c r="AB638" i="6"/>
  <c r="AH536" i="6"/>
  <c r="AH641" i="6"/>
  <c r="AB551" i="6"/>
  <c r="AB637" i="6"/>
  <c r="AB633" i="6"/>
  <c r="AB635" i="6"/>
  <c r="AA650" i="6"/>
  <c r="AA649" i="6"/>
  <c r="AA646" i="6"/>
  <c r="AH607" i="6"/>
  <c r="AH639" i="6"/>
  <c r="AH606" i="6"/>
  <c r="AH644" i="6"/>
  <c r="AH640" i="6"/>
  <c r="AA635" i="6"/>
  <c r="AA633" i="6"/>
  <c r="AH551" i="6"/>
  <c r="AH637" i="6"/>
  <c r="AH450" i="6"/>
  <c r="AH648" i="6"/>
  <c r="AH650" i="6"/>
  <c r="AH646" i="6"/>
  <c r="AH649" i="6"/>
  <c r="AE646" i="6"/>
  <c r="AE649" i="6"/>
  <c r="AE650" i="6"/>
  <c r="AE606" i="6"/>
  <c r="AE644" i="6"/>
  <c r="AE640" i="6"/>
  <c r="AB536" i="6"/>
  <c r="AB641" i="6"/>
  <c r="AH517" i="6"/>
  <c r="AH638" i="6"/>
  <c r="AE517" i="6"/>
  <c r="AE638" i="6"/>
  <c r="AA625" i="6"/>
  <c r="AA631" i="6"/>
  <c r="AA606" i="6"/>
  <c r="AA644" i="6"/>
  <c r="AA640" i="6"/>
  <c r="AE536" i="6"/>
  <c r="AE641" i="6"/>
  <c r="AE450" i="6"/>
  <c r="AE648" i="6"/>
  <c r="AB607" i="6"/>
  <c r="AB639" i="6"/>
  <c r="AE633" i="6"/>
  <c r="AE635" i="6"/>
  <c r="AA536" i="6"/>
  <c r="AA641" i="6"/>
  <c r="AH625" i="6"/>
  <c r="AH631" i="6"/>
  <c r="AB606" i="6"/>
  <c r="AB640" i="6"/>
  <c r="AB644" i="6"/>
  <c r="AA450" i="6"/>
  <c r="AA648" i="6"/>
  <c r="AE627" i="6"/>
  <c r="AE630" i="6"/>
  <c r="AB627" i="6"/>
  <c r="AB630" i="6"/>
  <c r="AH635" i="6"/>
  <c r="AH633" i="6"/>
  <c r="AA517" i="6"/>
  <c r="AA638" i="6"/>
  <c r="AA601" i="6"/>
  <c r="AA645" i="6"/>
  <c r="AB625" i="6"/>
  <c r="AB631" i="6"/>
  <c r="AE551" i="6"/>
  <c r="AE637" i="6"/>
  <c r="AA627" i="6"/>
  <c r="AA630" i="6"/>
  <c r="AE625" i="6"/>
  <c r="AE631" i="6"/>
  <c r="AB450" i="6"/>
  <c r="AB648" i="6"/>
  <c r="AB601" i="6"/>
  <c r="AB645" i="6"/>
  <c r="AH601" i="6"/>
  <c r="AH645" i="6"/>
  <c r="AE601" i="6"/>
  <c r="AE645" i="6"/>
  <c r="AH627" i="6"/>
  <c r="AH630" i="6"/>
  <c r="AE607" i="6"/>
  <c r="AE639" i="6"/>
  <c r="AB649" i="6"/>
  <c r="AB650" i="6"/>
  <c r="AB646" i="6"/>
  <c r="AA551" i="6"/>
  <c r="AA637" i="6"/>
  <c r="AB375" i="6"/>
  <c r="AB629" i="6"/>
  <c r="AE375" i="6"/>
  <c r="AE629" i="6"/>
  <c r="AH375" i="6"/>
  <c r="AH629" i="6"/>
  <c r="AA375" i="6"/>
  <c r="AA629" i="6"/>
  <c r="AE611" i="6"/>
  <c r="AE612" i="6"/>
  <c r="AB537" i="6"/>
  <c r="AB628" i="6"/>
  <c r="AB610" i="6"/>
  <c r="AB538" i="6"/>
  <c r="AB624" i="6"/>
  <c r="AB604" i="6"/>
  <c r="AB616" i="6"/>
  <c r="AB605" i="6"/>
  <c r="AB617" i="6"/>
  <c r="AB614" i="6"/>
  <c r="AB615" i="6"/>
  <c r="AE236" i="6"/>
  <c r="AE620" i="6"/>
  <c r="AH459" i="6"/>
  <c r="AH608" i="6"/>
  <c r="AB236" i="6"/>
  <c r="AB620" i="6"/>
  <c r="AA459" i="6"/>
  <c r="AA608" i="6"/>
  <c r="AA594" i="6"/>
  <c r="AA613" i="6"/>
  <c r="AE459" i="6"/>
  <c r="AE608" i="6"/>
  <c r="AA595" i="6"/>
  <c r="AA621" i="6"/>
  <c r="AB611" i="6"/>
  <c r="AB612" i="6"/>
  <c r="AB459" i="6"/>
  <c r="AB608" i="6"/>
  <c r="AH538" i="6"/>
  <c r="AH624" i="6"/>
  <c r="AH595" i="6"/>
  <c r="AH621" i="6"/>
  <c r="AE594" i="6"/>
  <c r="AE613" i="6"/>
  <c r="AA236" i="6"/>
  <c r="AA620" i="6"/>
  <c r="AE537" i="6"/>
  <c r="AE610" i="6"/>
  <c r="AE628" i="6"/>
  <c r="AH615" i="6"/>
  <c r="AH605" i="6"/>
  <c r="AH617" i="6"/>
  <c r="AH616" i="6"/>
  <c r="AH614" i="6"/>
  <c r="AH604" i="6"/>
  <c r="AE617" i="6"/>
  <c r="AE604" i="6"/>
  <c r="AE615" i="6"/>
  <c r="AE616" i="6"/>
  <c r="AE605" i="6"/>
  <c r="AE614" i="6"/>
  <c r="AA614" i="6"/>
  <c r="AA616" i="6"/>
  <c r="AA617" i="6"/>
  <c r="AA604" i="6"/>
  <c r="AA615" i="6"/>
  <c r="AA605" i="6"/>
  <c r="AA538" i="6"/>
  <c r="AA624" i="6"/>
  <c r="AB595" i="6"/>
  <c r="AB621" i="6"/>
  <c r="AA612" i="6"/>
  <c r="AA611" i="6"/>
  <c r="AH594" i="6"/>
  <c r="AH613" i="6"/>
  <c r="AA537" i="6"/>
  <c r="AA610" i="6"/>
  <c r="AA628" i="6"/>
  <c r="AH612" i="6"/>
  <c r="AH611" i="6"/>
  <c r="AE538" i="6"/>
  <c r="AE624" i="6"/>
  <c r="AE595" i="6"/>
  <c r="AE621" i="6"/>
  <c r="AH537" i="6"/>
  <c r="AH628" i="6"/>
  <c r="AH610" i="6"/>
  <c r="AH603" i="6"/>
  <c r="AH602" i="6"/>
  <c r="AE603" i="6"/>
  <c r="AE602" i="6"/>
  <c r="AA602" i="6"/>
  <c r="AA603" i="6"/>
  <c r="AB603" i="6"/>
  <c r="AB602" i="6"/>
  <c r="AB504" i="6"/>
  <c r="AB599" i="6"/>
  <c r="AE504" i="6"/>
  <c r="AE599" i="6"/>
  <c r="AH504" i="6"/>
  <c r="AH599" i="6"/>
  <c r="AA504" i="6"/>
  <c r="AA599" i="6"/>
  <c r="AA574" i="6"/>
  <c r="AA583" i="6"/>
  <c r="AH577" i="6"/>
  <c r="AH593" i="6"/>
  <c r="AH586" i="6"/>
  <c r="AB540" i="6"/>
  <c r="AB594" i="6"/>
  <c r="AE577" i="6"/>
  <c r="AE586" i="6"/>
  <c r="AE593" i="6"/>
  <c r="AE592" i="6"/>
  <c r="AE581" i="6"/>
  <c r="AB577" i="6"/>
  <c r="AB593" i="6"/>
  <c r="AB586" i="6"/>
  <c r="AB581" i="6"/>
  <c r="AB592" i="6"/>
  <c r="AA577" i="6"/>
  <c r="AA593" i="6"/>
  <c r="AA586" i="6"/>
  <c r="AH574" i="6"/>
  <c r="AH583" i="6"/>
  <c r="AB252" i="6"/>
  <c r="AB588" i="6"/>
  <c r="AH252" i="6"/>
  <c r="AH588" i="6"/>
  <c r="AB573" i="6"/>
  <c r="AB596" i="6"/>
  <c r="AB584" i="6"/>
  <c r="AB582" i="6"/>
  <c r="AB585" i="6"/>
  <c r="AA252" i="6"/>
  <c r="AA588" i="6"/>
  <c r="AE574" i="6"/>
  <c r="AE583" i="6"/>
  <c r="AA581" i="6"/>
  <c r="AA592" i="6"/>
  <c r="AH573" i="6"/>
  <c r="AH596" i="6"/>
  <c r="AH582" i="6"/>
  <c r="AH584" i="6"/>
  <c r="AH585" i="6"/>
  <c r="AE573" i="6"/>
  <c r="AE596" i="6"/>
  <c r="AE584" i="6"/>
  <c r="AE582" i="6"/>
  <c r="AE585" i="6"/>
  <c r="AA573" i="6"/>
  <c r="AA596" i="6"/>
  <c r="AA584" i="6"/>
  <c r="AA585" i="6"/>
  <c r="AA582" i="6"/>
  <c r="AB574" i="6"/>
  <c r="AB583" i="6"/>
  <c r="AE252" i="6"/>
  <c r="AE588" i="6"/>
  <c r="AH592" i="6"/>
  <c r="AH581" i="6"/>
  <c r="AE502" i="6"/>
  <c r="AE579" i="6"/>
  <c r="AA568" i="6"/>
  <c r="AA576" i="6"/>
  <c r="AH568" i="6"/>
  <c r="AH576" i="6"/>
  <c r="AB502" i="6"/>
  <c r="AB579" i="6"/>
  <c r="AB568" i="6"/>
  <c r="AB576" i="6"/>
  <c r="AH502" i="6"/>
  <c r="AH579" i="6"/>
  <c r="AE568" i="6"/>
  <c r="AE576" i="6"/>
  <c r="AA502" i="6"/>
  <c r="AA579" i="6"/>
  <c r="AH454" i="6"/>
  <c r="AH571" i="6"/>
  <c r="AH503" i="6"/>
  <c r="AH567" i="6"/>
  <c r="AB503" i="6"/>
  <c r="AB567" i="6"/>
  <c r="AB494" i="6"/>
  <c r="AB572" i="6"/>
  <c r="AA494" i="6"/>
  <c r="AA572" i="6"/>
  <c r="AE564" i="6"/>
  <c r="AE565" i="6"/>
  <c r="AA454" i="6"/>
  <c r="AA571" i="6"/>
  <c r="AA503" i="6"/>
  <c r="AA567" i="6"/>
  <c r="AB564" i="6"/>
  <c r="AB565" i="6"/>
  <c r="AA564" i="6"/>
  <c r="AA565" i="6"/>
  <c r="AE454" i="6"/>
  <c r="AE571" i="6"/>
  <c r="AH564" i="6"/>
  <c r="AH565" i="6"/>
  <c r="AE503" i="6"/>
  <c r="AE567" i="6"/>
  <c r="AB454" i="6"/>
  <c r="AB571" i="6"/>
  <c r="AH494" i="6"/>
  <c r="AH572" i="6"/>
  <c r="AE494" i="6"/>
  <c r="AE572" i="6"/>
  <c r="AH518" i="6"/>
  <c r="AH489" i="6"/>
  <c r="AH490" i="6"/>
  <c r="AA518" i="6"/>
  <c r="AA489" i="6"/>
  <c r="AA490" i="6"/>
  <c r="AE518" i="6"/>
  <c r="AE489" i="6"/>
  <c r="AE490" i="6"/>
  <c r="AB518" i="6"/>
  <c r="AB489" i="6"/>
  <c r="AB490" i="6"/>
  <c r="AA508" i="6"/>
  <c r="AA558" i="6"/>
  <c r="AA509" i="6"/>
  <c r="AA560" i="6"/>
  <c r="AE509" i="6"/>
  <c r="AE560" i="6"/>
  <c r="AE557" i="6"/>
  <c r="AE555" i="6"/>
  <c r="AE556" i="6"/>
  <c r="AB555" i="6"/>
  <c r="AB556" i="6"/>
  <c r="AB557" i="6"/>
  <c r="AA555" i="6"/>
  <c r="AA556" i="6"/>
  <c r="AA557" i="6"/>
  <c r="AB508" i="6"/>
  <c r="AB558" i="6"/>
  <c r="AH509" i="6"/>
  <c r="AH560" i="6"/>
  <c r="AB509" i="6"/>
  <c r="AB560" i="6"/>
  <c r="AH508" i="6"/>
  <c r="AH558" i="6"/>
  <c r="AE508" i="6"/>
  <c r="AE558" i="6"/>
  <c r="AH554" i="6"/>
  <c r="AH553" i="6"/>
  <c r="AB554" i="6"/>
  <c r="AB553" i="6"/>
  <c r="AA554" i="6"/>
  <c r="AA553" i="6"/>
  <c r="AE554" i="6"/>
  <c r="AE553" i="6"/>
  <c r="AA541" i="6"/>
  <c r="AB62" i="6"/>
  <c r="AB545" i="6"/>
  <c r="AB542" i="6"/>
  <c r="AB547" i="6"/>
  <c r="AB549" i="6"/>
  <c r="AB548" i="6"/>
  <c r="AH548" i="6"/>
  <c r="AH549" i="6"/>
  <c r="AH547" i="6"/>
  <c r="AE534" i="6"/>
  <c r="AE544" i="6"/>
  <c r="AA542" i="6"/>
  <c r="AB479" i="6"/>
  <c r="AB546" i="6"/>
  <c r="AH115" i="6"/>
  <c r="AH543" i="6"/>
  <c r="AE549" i="6"/>
  <c r="AE548" i="6"/>
  <c r="AE547" i="6"/>
  <c r="AH534" i="6"/>
  <c r="AH544" i="6"/>
  <c r="AE516" i="6"/>
  <c r="AE552" i="6"/>
  <c r="AA479" i="6"/>
  <c r="AA546" i="6"/>
  <c r="AH542" i="6"/>
  <c r="AE542" i="6"/>
  <c r="AE479" i="6"/>
  <c r="AE546" i="6"/>
  <c r="AE115" i="6"/>
  <c r="AE543" i="6"/>
  <c r="AA547" i="6"/>
  <c r="AA549" i="6"/>
  <c r="AA548" i="6"/>
  <c r="AH516" i="6"/>
  <c r="AH552" i="6"/>
  <c r="AB516" i="6"/>
  <c r="AB552" i="6"/>
  <c r="AH62" i="6"/>
  <c r="AH545" i="6"/>
  <c r="AA534" i="6"/>
  <c r="AA544" i="6"/>
  <c r="AH479" i="6"/>
  <c r="AH546" i="6"/>
  <c r="AB115" i="6"/>
  <c r="AB543" i="6"/>
  <c r="AA115" i="6"/>
  <c r="AA543" i="6"/>
  <c r="AB534" i="6"/>
  <c r="AB544" i="6"/>
  <c r="AA516" i="6"/>
  <c r="AA552" i="6"/>
  <c r="AA62" i="6"/>
  <c r="AA545" i="6"/>
  <c r="AE62" i="6"/>
  <c r="AE545" i="6"/>
  <c r="AE597" i="6"/>
  <c r="AE540" i="6"/>
  <c r="AH597" i="6"/>
  <c r="AH540" i="6"/>
  <c r="AH541" i="6"/>
  <c r="AE541" i="6"/>
  <c r="AB541" i="6"/>
  <c r="AA597" i="6"/>
  <c r="AA540" i="6"/>
  <c r="AE55" i="6"/>
  <c r="AE535" i="6"/>
  <c r="AH55" i="6"/>
  <c r="AH535" i="6"/>
  <c r="AA55" i="6"/>
  <c r="AA535" i="6"/>
  <c r="AB55" i="6"/>
  <c r="AB535" i="6"/>
  <c r="AE527" i="6"/>
  <c r="AE526" i="6"/>
  <c r="AB527" i="6"/>
  <c r="AB526" i="6"/>
  <c r="AH527" i="6"/>
  <c r="AH526" i="6"/>
  <c r="AA522" i="6"/>
  <c r="AA524" i="6"/>
  <c r="AB522" i="6"/>
  <c r="AB524" i="6"/>
  <c r="AB529" i="6"/>
  <c r="AB532" i="6"/>
  <c r="AB533" i="6"/>
  <c r="AB528" i="6"/>
  <c r="AB530" i="6"/>
  <c r="AA529" i="6"/>
  <c r="AA532" i="6"/>
  <c r="AA533" i="6"/>
  <c r="AA528" i="6"/>
  <c r="AA530" i="6"/>
  <c r="AH532" i="6"/>
  <c r="AH533" i="6"/>
  <c r="AH529" i="6"/>
  <c r="AH528" i="6"/>
  <c r="AH530" i="6"/>
  <c r="AE529" i="6"/>
  <c r="AE528" i="6"/>
  <c r="AE530" i="6"/>
  <c r="AE532" i="6"/>
  <c r="AE533" i="6"/>
  <c r="AE524" i="6"/>
  <c r="AE522" i="6"/>
  <c r="AH524" i="6"/>
  <c r="AH522" i="6"/>
  <c r="AA527" i="6"/>
  <c r="AA526" i="6"/>
  <c r="AH380" i="6"/>
  <c r="AH519" i="6"/>
  <c r="AH261" i="6"/>
  <c r="AE261" i="6"/>
  <c r="AA261" i="6"/>
  <c r="AA380" i="6"/>
  <c r="AA519" i="6"/>
  <c r="AE380" i="6"/>
  <c r="AE519" i="6"/>
  <c r="AB380" i="6"/>
  <c r="AB519" i="6"/>
  <c r="AB261" i="6"/>
  <c r="AA484" i="6"/>
  <c r="AA485" i="6"/>
  <c r="AA486" i="6"/>
  <c r="AA487" i="6"/>
  <c r="AA488" i="6"/>
  <c r="AA483" i="6"/>
  <c r="AA515" i="6"/>
  <c r="AA513" i="6"/>
  <c r="AA514" i="6"/>
  <c r="AH512" i="6"/>
  <c r="AH511" i="6"/>
  <c r="AH510" i="6"/>
  <c r="AB492" i="6"/>
  <c r="AB493" i="6"/>
  <c r="AB491" i="6"/>
  <c r="AH702" i="6"/>
  <c r="AH507" i="6"/>
  <c r="AH506" i="6"/>
  <c r="AB467" i="6"/>
  <c r="AB468" i="6"/>
  <c r="AB469" i="6"/>
  <c r="AB470" i="6"/>
  <c r="AB471" i="6"/>
  <c r="AA493" i="6"/>
  <c r="AA491" i="6"/>
  <c r="AA492" i="6"/>
  <c r="AA495" i="6"/>
  <c r="AA496" i="6"/>
  <c r="AB501" i="6"/>
  <c r="AB497" i="6"/>
  <c r="AB498" i="6"/>
  <c r="AB499" i="6"/>
  <c r="AB500" i="6"/>
  <c r="AE700" i="6"/>
  <c r="AE482" i="6"/>
  <c r="AE515" i="6"/>
  <c r="AE513" i="6"/>
  <c r="AE514" i="6"/>
  <c r="AE702" i="6"/>
  <c r="AE507" i="6"/>
  <c r="AE506" i="6"/>
  <c r="AE476" i="6"/>
  <c r="AE474" i="6"/>
  <c r="AE475" i="6"/>
  <c r="AE477" i="6"/>
  <c r="AA500" i="6"/>
  <c r="AA501" i="6"/>
  <c r="AA499" i="6"/>
  <c r="AA498" i="6"/>
  <c r="AA497" i="6"/>
  <c r="AH495" i="6"/>
  <c r="AH496" i="6"/>
  <c r="AH700" i="6"/>
  <c r="AH482" i="6"/>
  <c r="AE495" i="6"/>
  <c r="AE496" i="6"/>
  <c r="AA458" i="6"/>
  <c r="AA456" i="6"/>
  <c r="AA457" i="6"/>
  <c r="AA455" i="6"/>
  <c r="AA480" i="6"/>
  <c r="AA481" i="6"/>
  <c r="AA702" i="6"/>
  <c r="AA507" i="6"/>
  <c r="AA506" i="6"/>
  <c r="AH492" i="6"/>
  <c r="AH493" i="6"/>
  <c r="AH491" i="6"/>
  <c r="AE510" i="6"/>
  <c r="AE511" i="6"/>
  <c r="AE512" i="6"/>
  <c r="AB480" i="6"/>
  <c r="AB481" i="6"/>
  <c r="AH460" i="6"/>
  <c r="AH461" i="6"/>
  <c r="AH464" i="6"/>
  <c r="AH462" i="6"/>
  <c r="AH463" i="6"/>
  <c r="AB512" i="6"/>
  <c r="AB510" i="6"/>
  <c r="AB511" i="6"/>
  <c r="AB702" i="6"/>
  <c r="AB506" i="6"/>
  <c r="AB507" i="6"/>
  <c r="AB514" i="6"/>
  <c r="AB515" i="6"/>
  <c r="AB513" i="6"/>
  <c r="AE493" i="6"/>
  <c r="AE491" i="6"/>
  <c r="AE492" i="6"/>
  <c r="AA469" i="6"/>
  <c r="AA470" i="6"/>
  <c r="AA467" i="6"/>
  <c r="AA468" i="6"/>
  <c r="AA471" i="6"/>
  <c r="AH480" i="6"/>
  <c r="AH481" i="6"/>
  <c r="AH467" i="6"/>
  <c r="AH471" i="6"/>
  <c r="AH470" i="6"/>
  <c r="AH469" i="6"/>
  <c r="AH468" i="6"/>
  <c r="AH451" i="6"/>
  <c r="AH452" i="6"/>
  <c r="AH453" i="6"/>
  <c r="AA700" i="6"/>
  <c r="AA482" i="6"/>
  <c r="AH513" i="6"/>
  <c r="AH514" i="6"/>
  <c r="AH515" i="6"/>
  <c r="AE451" i="6"/>
  <c r="AE453" i="6"/>
  <c r="AE452" i="6"/>
  <c r="AB452" i="6"/>
  <c r="AB453" i="6"/>
  <c r="AB451" i="6"/>
  <c r="AB487" i="6"/>
  <c r="AB485" i="6"/>
  <c r="AB484" i="6"/>
  <c r="AB483" i="6"/>
  <c r="AB486" i="6"/>
  <c r="AB488" i="6"/>
  <c r="AH445" i="6"/>
  <c r="AH446" i="6"/>
  <c r="AH448" i="6"/>
  <c r="AH449" i="6"/>
  <c r="AH447" i="6"/>
  <c r="AH444" i="6"/>
  <c r="AH501" i="6"/>
  <c r="AH497" i="6"/>
  <c r="AH498" i="6"/>
  <c r="AH499" i="6"/>
  <c r="AH500" i="6"/>
  <c r="AE444" i="6"/>
  <c r="AE445" i="6"/>
  <c r="AE447" i="6"/>
  <c r="AE448" i="6"/>
  <c r="AE449" i="6"/>
  <c r="AE446" i="6"/>
  <c r="AB464" i="6"/>
  <c r="AB461" i="6"/>
  <c r="AB462" i="6"/>
  <c r="AB460" i="6"/>
  <c r="AB463" i="6"/>
  <c r="AH477" i="6"/>
  <c r="AH475" i="6"/>
  <c r="AH476" i="6"/>
  <c r="AH474" i="6"/>
  <c r="AE455" i="6"/>
  <c r="AE457" i="6"/>
  <c r="AE458" i="6"/>
  <c r="AE456" i="6"/>
  <c r="AA444" i="6"/>
  <c r="AA446" i="6"/>
  <c r="AA447" i="6"/>
  <c r="AA448" i="6"/>
  <c r="AA449" i="6"/>
  <c r="AA445" i="6"/>
  <c r="AA451" i="6"/>
  <c r="AA452" i="6"/>
  <c r="AA453" i="6"/>
  <c r="AB495" i="6"/>
  <c r="AB496" i="6"/>
  <c r="AA510" i="6"/>
  <c r="AA511" i="6"/>
  <c r="AA512" i="6"/>
  <c r="AH487" i="6"/>
  <c r="AH483" i="6"/>
  <c r="AH485" i="6"/>
  <c r="AH486" i="6"/>
  <c r="AH484" i="6"/>
  <c r="AH488" i="6"/>
  <c r="AH455" i="6"/>
  <c r="AH458" i="6"/>
  <c r="AH456" i="6"/>
  <c r="AH457" i="6"/>
  <c r="AA464" i="6"/>
  <c r="AA461" i="6"/>
  <c r="AA462" i="6"/>
  <c r="AA463" i="6"/>
  <c r="AA460" i="6"/>
  <c r="AB475" i="6"/>
  <c r="AB474" i="6"/>
  <c r="AB477" i="6"/>
  <c r="AB476" i="6"/>
  <c r="AE467" i="6"/>
  <c r="AE470" i="6"/>
  <c r="AE468" i="6"/>
  <c r="AE471" i="6"/>
  <c r="AE469" i="6"/>
  <c r="AE481" i="6"/>
  <c r="AE480" i="6"/>
  <c r="AB444" i="6"/>
  <c r="AB446" i="6"/>
  <c r="AB447" i="6"/>
  <c r="AB448" i="6"/>
  <c r="AB445" i="6"/>
  <c r="AB449" i="6"/>
  <c r="AE484" i="6"/>
  <c r="AE485" i="6"/>
  <c r="AE483" i="6"/>
  <c r="AE488" i="6"/>
  <c r="AE486" i="6"/>
  <c r="AE487" i="6"/>
  <c r="AB700" i="6"/>
  <c r="AB482" i="6"/>
  <c r="AB456" i="6"/>
  <c r="AB457" i="6"/>
  <c r="AB458" i="6"/>
  <c r="AB455" i="6"/>
  <c r="AA474" i="6"/>
  <c r="AA475" i="6"/>
  <c r="AA476" i="6"/>
  <c r="AA477" i="6"/>
  <c r="AE500" i="6"/>
  <c r="AE501" i="6"/>
  <c r="AE497" i="6"/>
  <c r="AE498" i="6"/>
  <c r="AE499" i="6"/>
  <c r="AE460" i="6"/>
  <c r="AE462" i="6"/>
  <c r="AE463" i="6"/>
  <c r="AE464" i="6"/>
  <c r="AE461" i="6"/>
  <c r="AE344" i="6"/>
  <c r="AE377" i="6"/>
  <c r="AE76" i="6"/>
  <c r="AE93" i="6"/>
  <c r="AH334" i="6"/>
  <c r="AH174" i="6"/>
  <c r="AH175" i="6"/>
  <c r="AH176" i="6"/>
  <c r="AH438" i="6"/>
  <c r="AB238" i="6"/>
  <c r="AB401" i="6"/>
  <c r="AB356" i="6"/>
  <c r="AB403" i="6"/>
  <c r="AB358" i="6"/>
  <c r="AB359" i="6"/>
  <c r="AB360" i="6"/>
  <c r="AB402" i="6"/>
  <c r="AB434" i="6"/>
  <c r="AE438" i="6"/>
  <c r="AE334" i="6"/>
  <c r="AE174" i="6"/>
  <c r="AE175" i="6"/>
  <c r="AE176" i="6"/>
  <c r="AE184" i="6"/>
  <c r="AE337" i="6"/>
  <c r="AA97" i="6"/>
  <c r="AA400" i="6"/>
  <c r="AA409" i="6"/>
  <c r="AA74" i="6"/>
  <c r="AA81" i="6"/>
  <c r="AA171" i="6"/>
  <c r="AA172" i="6"/>
  <c r="AA206" i="6"/>
  <c r="AA393" i="6"/>
  <c r="AE311" i="6"/>
  <c r="AE407" i="6"/>
  <c r="AE203" i="6"/>
  <c r="AE351" i="6"/>
  <c r="AE32" i="6"/>
  <c r="AA151" i="6"/>
  <c r="AA201" i="6"/>
  <c r="AA219" i="6"/>
  <c r="AA153" i="6"/>
  <c r="AA322" i="6"/>
  <c r="AH92" i="6"/>
  <c r="AH132" i="6"/>
  <c r="AH78" i="6"/>
  <c r="AH398" i="6"/>
  <c r="AH282" i="6"/>
  <c r="AE406" i="6"/>
  <c r="AE437" i="6"/>
  <c r="AE439" i="6"/>
  <c r="AE440" i="6"/>
  <c r="AE170" i="6"/>
  <c r="AE413" i="6"/>
  <c r="AE414" i="6"/>
  <c r="AE256" i="6"/>
  <c r="M75" i="23"/>
  <c r="AD685" i="6" s="1"/>
  <c r="AB597" i="6"/>
  <c r="AH253" i="6"/>
  <c r="AH255" i="6"/>
  <c r="AH192" i="6"/>
  <c r="AH221" i="6"/>
  <c r="AE118" i="6"/>
  <c r="AE345" i="6"/>
  <c r="AE346" i="6"/>
  <c r="AE283" i="6"/>
  <c r="AE114" i="6"/>
  <c r="AE296" i="6"/>
  <c r="AE21" i="6"/>
  <c r="AE297" i="6"/>
  <c r="AE24" i="6"/>
  <c r="AE61" i="6"/>
  <c r="AE147" i="6"/>
  <c r="AA126" i="6"/>
  <c r="AA140" i="6"/>
  <c r="AA121" i="6"/>
  <c r="AB441" i="6"/>
  <c r="AB415" i="6"/>
  <c r="AB433" i="6"/>
  <c r="AB326" i="6"/>
  <c r="AB67" i="6"/>
  <c r="AB347" i="6"/>
  <c r="AE180" i="6"/>
  <c r="AE299" i="6"/>
  <c r="AE45" i="6"/>
  <c r="AE95" i="6"/>
  <c r="AE162" i="6"/>
  <c r="AE179" i="6"/>
  <c r="AE290" i="6"/>
  <c r="AA75" i="6"/>
  <c r="AA383" i="6"/>
  <c r="AA338" i="6"/>
  <c r="AA157" i="6"/>
  <c r="AA287" i="6"/>
  <c r="AA158" i="6"/>
  <c r="AA336" i="6"/>
  <c r="AA155" i="6"/>
  <c r="AA156" i="6"/>
  <c r="AA160" i="6"/>
  <c r="AA200" i="6"/>
  <c r="AA397" i="6"/>
  <c r="AA212" i="6"/>
  <c r="AA213" i="6"/>
  <c r="AA286" i="6"/>
  <c r="AA387" i="6"/>
  <c r="AA404" i="6"/>
  <c r="AE20" i="6"/>
  <c r="AE4" i="6"/>
  <c r="AE41" i="6"/>
  <c r="AA72" i="6"/>
  <c r="AA389" i="6"/>
  <c r="AA98" i="6"/>
  <c r="AA85" i="6"/>
  <c r="AA246" i="6"/>
  <c r="AH90" i="6"/>
  <c r="AH354" i="6"/>
  <c r="AH112" i="6"/>
  <c r="AH355" i="6"/>
  <c r="AH405" i="6"/>
  <c r="AH145" i="6"/>
  <c r="AH232" i="6"/>
  <c r="AA441" i="6"/>
  <c r="AA415" i="6"/>
  <c r="AA326" i="6"/>
  <c r="AA347" i="6"/>
  <c r="AA433" i="6"/>
  <c r="AA67" i="6"/>
  <c r="AH45" i="6"/>
  <c r="AH290" i="6"/>
  <c r="AH95" i="6"/>
  <c r="AH162" i="6"/>
  <c r="AH179" i="6"/>
  <c r="AH180" i="6"/>
  <c r="AH299" i="6"/>
  <c r="AA161" i="6"/>
  <c r="AA148" i="6"/>
  <c r="AA53" i="6"/>
  <c r="AA309" i="6"/>
  <c r="AA341" i="6"/>
  <c r="AH156" i="6"/>
  <c r="AH286" i="6"/>
  <c r="AH397" i="6"/>
  <c r="AH158" i="6"/>
  <c r="AH336" i="6"/>
  <c r="AH160" i="6"/>
  <c r="AH212" i="6"/>
  <c r="AH387" i="6"/>
  <c r="AH213" i="6"/>
  <c r="AH404" i="6"/>
  <c r="AH200" i="6"/>
  <c r="AH287" i="6"/>
  <c r="AH155" i="6"/>
  <c r="AH157" i="6"/>
  <c r="AB368" i="6"/>
  <c r="AB273" i="6"/>
  <c r="AB46" i="6"/>
  <c r="AB117" i="6"/>
  <c r="AE83" i="6"/>
  <c r="AE36" i="6"/>
  <c r="AE22" i="6"/>
  <c r="AE120" i="6"/>
  <c r="AE7" i="6"/>
  <c r="AE141" i="6"/>
  <c r="AE127" i="6"/>
  <c r="AH114" i="6"/>
  <c r="AH118" i="6"/>
  <c r="AH345" i="6"/>
  <c r="AH283" i="6"/>
  <c r="AH346" i="6"/>
  <c r="AB12" i="6"/>
  <c r="AB94" i="6"/>
  <c r="AB50" i="6"/>
  <c r="AB165" i="6"/>
  <c r="AB166" i="6"/>
  <c r="AB314" i="6"/>
  <c r="AB197" i="6"/>
  <c r="AH300" i="6"/>
  <c r="AH63" i="6"/>
  <c r="AH178" i="6"/>
  <c r="AH65" i="6"/>
  <c r="AH257" i="6"/>
  <c r="AH98" i="6"/>
  <c r="AH246" i="6"/>
  <c r="AH85" i="6"/>
  <c r="AB352" i="6"/>
  <c r="AB64" i="6"/>
  <c r="AB84" i="6"/>
  <c r="AB170" i="6"/>
  <c r="AB413" i="6"/>
  <c r="AB414" i="6"/>
  <c r="AB256" i="6"/>
  <c r="AB406" i="6"/>
  <c r="AB437" i="6"/>
  <c r="AB439" i="6"/>
  <c r="AB440" i="6"/>
  <c r="AA239" i="6"/>
  <c r="AA240" i="6"/>
  <c r="AA14" i="6"/>
  <c r="AA15" i="6"/>
  <c r="AA189" i="6"/>
  <c r="AA244" i="6"/>
  <c r="AA112" i="6"/>
  <c r="AA355" i="6"/>
  <c r="AA90" i="6"/>
  <c r="AA405" i="6"/>
  <c r="AA354" i="6"/>
  <c r="AB316" i="6"/>
  <c r="AB167" i="6"/>
  <c r="AA164" i="6"/>
  <c r="AA217" i="6"/>
  <c r="AA254" i="6"/>
  <c r="AB45" i="6"/>
  <c r="AB290" i="6"/>
  <c r="AB162" i="6"/>
  <c r="AB179" i="6"/>
  <c r="AB180" i="6"/>
  <c r="AB299" i="6"/>
  <c r="AB95" i="6"/>
  <c r="AB75" i="6"/>
  <c r="AB383" i="6"/>
  <c r="AB338" i="6"/>
  <c r="AE342" i="6"/>
  <c r="AE343" i="6"/>
  <c r="AE152" i="6"/>
  <c r="AE87" i="6"/>
  <c r="AE220" i="6"/>
  <c r="AE57" i="6"/>
  <c r="AE412" i="6"/>
  <c r="AE242" i="6"/>
  <c r="AB292" i="6"/>
  <c r="AB294" i="6"/>
  <c r="AB38" i="6"/>
  <c r="AB293" i="6"/>
  <c r="AB154" i="6"/>
  <c r="AB91" i="6"/>
  <c r="AB241" i="6"/>
  <c r="AB48" i="6"/>
  <c r="AB134" i="6"/>
  <c r="AB418" i="6"/>
  <c r="AA61" i="6"/>
  <c r="AA21" i="6"/>
  <c r="AA24" i="6"/>
  <c r="AA147" i="6"/>
  <c r="AA296" i="6"/>
  <c r="AA297" i="6"/>
  <c r="AH129" i="6"/>
  <c r="AH163" i="6"/>
  <c r="AE200" i="6"/>
  <c r="AE155" i="6"/>
  <c r="AE156" i="6"/>
  <c r="AE286" i="6"/>
  <c r="AE397" i="6"/>
  <c r="AE157" i="6"/>
  <c r="AE287" i="6"/>
  <c r="AE158" i="6"/>
  <c r="AE336" i="6"/>
  <c r="AE212" i="6"/>
  <c r="AE213" i="6"/>
  <c r="AE404" i="6"/>
  <c r="AE387" i="6"/>
  <c r="AE160" i="6"/>
  <c r="AB232" i="6"/>
  <c r="AB145" i="6"/>
  <c r="AE100" i="6"/>
  <c r="AE315" i="6"/>
  <c r="AH161" i="6"/>
  <c r="AH309" i="6"/>
  <c r="AH341" i="6"/>
  <c r="AH148" i="6"/>
  <c r="AH53" i="6"/>
  <c r="AH187" i="6"/>
  <c r="AH33" i="6"/>
  <c r="AH302" i="6"/>
  <c r="AH231" i="6"/>
  <c r="AH317" i="6"/>
  <c r="AH301" i="6"/>
  <c r="AH280" i="6"/>
  <c r="AH281" i="6"/>
  <c r="AH193" i="6"/>
  <c r="AH295" i="6"/>
  <c r="AH150" i="6"/>
  <c r="AH408" i="6"/>
  <c r="AH125" i="6"/>
  <c r="AH237" i="6"/>
  <c r="AH58" i="6"/>
  <c r="AH195" i="6"/>
  <c r="AH245" i="6"/>
  <c r="AH420" i="6"/>
  <c r="AE148" i="6"/>
  <c r="AE53" i="6"/>
  <c r="AE161" i="6"/>
  <c r="AE309" i="6"/>
  <c r="AE341" i="6"/>
  <c r="AB268" i="6"/>
  <c r="AB332" i="6"/>
  <c r="AB333" i="6"/>
  <c r="AB270" i="6"/>
  <c r="AB271" i="6"/>
  <c r="AB128" i="6"/>
  <c r="AB258" i="6"/>
  <c r="AB331" i="6"/>
  <c r="AB259" i="6"/>
  <c r="AE52" i="6"/>
  <c r="AE363" i="6"/>
  <c r="AE205" i="6"/>
  <c r="AE109" i="6"/>
  <c r="AE288" i="6"/>
  <c r="AE289" i="6"/>
  <c r="AA173" i="6"/>
  <c r="AA348" i="6"/>
  <c r="AA394" i="6"/>
  <c r="AB254" i="6"/>
  <c r="AB164" i="6"/>
  <c r="AB217" i="6"/>
  <c r="AA273" i="6"/>
  <c r="AA46" i="6"/>
  <c r="AA117" i="6"/>
  <c r="AA368" i="6"/>
  <c r="AB139" i="6"/>
  <c r="AB274" i="6"/>
  <c r="AB6" i="6"/>
  <c r="AB275" i="6"/>
  <c r="AA131" i="6"/>
  <c r="AA25" i="6"/>
  <c r="AA124" i="6"/>
  <c r="AA222" i="6"/>
  <c r="AA364" i="6"/>
  <c r="AA218" i="6"/>
  <c r="AA69" i="6"/>
  <c r="AA40" i="6"/>
  <c r="AA318" i="6"/>
  <c r="AA13" i="6"/>
  <c r="AA141" i="6"/>
  <c r="AA127" i="6"/>
  <c r="AA22" i="6"/>
  <c r="AA120" i="6"/>
  <c r="AA7" i="6"/>
  <c r="AA36" i="6"/>
  <c r="AA83" i="6"/>
  <c r="AA29" i="6"/>
  <c r="AA211" i="6"/>
  <c r="AA26" i="6"/>
  <c r="AA430" i="6"/>
  <c r="AA431" i="6"/>
  <c r="AA210" i="6"/>
  <c r="AA432" i="6"/>
  <c r="AA3" i="6"/>
  <c r="AE300" i="6"/>
  <c r="AE257" i="6"/>
  <c r="AE63" i="6"/>
  <c r="AE178" i="6"/>
  <c r="AE65" i="6"/>
  <c r="AH320" i="6"/>
  <c r="AH199" i="6"/>
  <c r="AH319" i="6"/>
  <c r="AH321" i="6"/>
  <c r="AH102" i="6"/>
  <c r="AH140" i="6"/>
  <c r="AH126" i="6"/>
  <c r="AH121" i="6"/>
  <c r="AH75" i="6"/>
  <c r="AH383" i="6"/>
  <c r="AH338" i="6"/>
  <c r="AH364" i="6"/>
  <c r="AH25" i="6"/>
  <c r="AH124" i="6"/>
  <c r="AH222" i="6"/>
  <c r="AH131" i="6"/>
  <c r="AH218" i="6"/>
  <c r="AE121" i="6"/>
  <c r="AE140" i="6"/>
  <c r="AE126" i="6"/>
  <c r="AB224" i="6"/>
  <c r="AB260" i="6"/>
  <c r="AH19" i="6"/>
  <c r="AH181" i="6"/>
  <c r="AH235" i="6"/>
  <c r="AH353" i="6"/>
  <c r="AH234" i="6"/>
  <c r="AE294" i="6"/>
  <c r="AE38" i="6"/>
  <c r="AE292" i="6"/>
  <c r="AE293" i="6"/>
  <c r="AH77" i="6"/>
  <c r="AH223" i="6"/>
  <c r="AA271" i="6"/>
  <c r="AA259" i="6"/>
  <c r="AA333" i="6"/>
  <c r="AA258" i="6"/>
  <c r="AA332" i="6"/>
  <c r="AA268" i="6"/>
  <c r="AA270" i="6"/>
  <c r="AA128" i="6"/>
  <c r="AA331" i="6"/>
  <c r="AE214" i="6"/>
  <c r="AE215" i="6"/>
  <c r="AE216" i="6"/>
  <c r="AE101" i="6"/>
  <c r="AE249" i="6"/>
  <c r="AE8" i="6"/>
  <c r="AE111" i="6"/>
  <c r="AA256" i="6"/>
  <c r="AA170" i="6"/>
  <c r="AA414" i="6"/>
  <c r="AA437" i="6"/>
  <c r="AA406" i="6"/>
  <c r="AA439" i="6"/>
  <c r="AA440" i="6"/>
  <c r="AA413" i="6"/>
  <c r="AE221" i="6"/>
  <c r="AE253" i="6"/>
  <c r="AE192" i="6"/>
  <c r="AE255" i="6"/>
  <c r="AE267" i="6"/>
  <c r="AE419" i="6"/>
  <c r="AE370" i="6"/>
  <c r="AE18" i="6"/>
  <c r="AE422" i="6"/>
  <c r="AE423" i="6"/>
  <c r="AE425" i="6"/>
  <c r="AE427" i="6"/>
  <c r="AE323" i="6"/>
  <c r="AB379" i="6"/>
  <c r="AB59" i="6"/>
  <c r="AB159" i="6"/>
  <c r="AB306" i="6"/>
  <c r="AB16" i="6"/>
  <c r="AB312" i="6"/>
  <c r="AB313" i="6"/>
  <c r="AE325" i="6"/>
  <c r="AE324" i="6"/>
  <c r="AE224" i="6"/>
  <c r="AE260" i="6"/>
  <c r="AE410" i="6"/>
  <c r="AE88" i="6"/>
  <c r="AE107" i="6"/>
  <c r="AE6" i="6"/>
  <c r="AE139" i="6"/>
  <c r="AE275" i="6"/>
  <c r="AE274" i="6"/>
  <c r="AH209" i="6"/>
  <c r="AH291" i="6"/>
  <c r="AH136" i="6"/>
  <c r="AA419" i="6"/>
  <c r="AA267" i="6"/>
  <c r="AA370" i="6"/>
  <c r="AE218" i="6"/>
  <c r="AE364" i="6"/>
  <c r="AE25" i="6"/>
  <c r="AE124" i="6"/>
  <c r="AE222" i="6"/>
  <c r="AE131" i="6"/>
  <c r="AH186" i="6"/>
  <c r="AH71" i="6"/>
  <c r="AB221" i="6"/>
  <c r="AB253" i="6"/>
  <c r="AB192" i="6"/>
  <c r="AB255" i="6"/>
  <c r="AH154" i="6"/>
  <c r="AH418" i="6"/>
  <c r="AH48" i="6"/>
  <c r="AH134" i="6"/>
  <c r="AH91" i="6"/>
  <c r="AH241" i="6"/>
  <c r="AE262" i="6"/>
  <c r="AE137" i="6"/>
  <c r="AE3" i="6"/>
  <c r="AE26" i="6"/>
  <c r="AE29" i="6"/>
  <c r="AE430" i="6"/>
  <c r="AE211" i="6"/>
  <c r="AE432" i="6"/>
  <c r="AE210" i="6"/>
  <c r="AE431" i="6"/>
  <c r="AE50" i="6"/>
  <c r="AE165" i="6"/>
  <c r="AE166" i="6"/>
  <c r="AE314" i="6"/>
  <c r="AE12" i="6"/>
  <c r="AE197" i="6"/>
  <c r="AE94" i="6"/>
  <c r="AA91" i="6"/>
  <c r="AA241" i="6"/>
  <c r="AA48" i="6"/>
  <c r="AA154" i="6"/>
  <c r="AA418" i="6"/>
  <c r="AA134" i="6"/>
  <c r="AA70" i="6"/>
  <c r="AA168" i="6"/>
  <c r="AA68" i="6"/>
  <c r="AH388" i="6"/>
  <c r="AH106" i="6"/>
  <c r="AH108" i="6"/>
  <c r="AH240" i="6"/>
  <c r="AH14" i="6"/>
  <c r="AH15" i="6"/>
  <c r="AH244" i="6"/>
  <c r="AH189" i="6"/>
  <c r="AH239" i="6"/>
  <c r="AA243" i="6"/>
  <c r="AA96" i="6"/>
  <c r="AA144" i="6"/>
  <c r="AB280" i="6"/>
  <c r="AB281" i="6"/>
  <c r="AA195" i="6"/>
  <c r="AA58" i="6"/>
  <c r="AA245" i="6"/>
  <c r="AA420" i="6"/>
  <c r="AA298" i="6"/>
  <c r="AA436" i="6"/>
  <c r="AA365" i="6"/>
  <c r="AA366" i="6"/>
  <c r="AA384" i="6"/>
  <c r="AA198" i="6"/>
  <c r="AH272" i="6"/>
  <c r="AH49" i="6"/>
  <c r="AH35" i="6"/>
  <c r="AH390" i="6"/>
  <c r="AH202" i="6"/>
  <c r="AE405" i="6"/>
  <c r="AE90" i="6"/>
  <c r="AE112" i="6"/>
  <c r="AE355" i="6"/>
  <c r="AE354" i="6"/>
  <c r="AH8" i="6"/>
  <c r="AH111" i="6"/>
  <c r="AH214" i="6"/>
  <c r="AH215" i="6"/>
  <c r="AH216" i="6"/>
  <c r="AH101" i="6"/>
  <c r="AH249" i="6"/>
  <c r="AA184" i="6"/>
  <c r="AA337" i="6"/>
  <c r="AA143" i="6"/>
  <c r="AA396" i="6"/>
  <c r="AH76" i="6"/>
  <c r="AH93" i="6"/>
  <c r="AH344" i="6"/>
  <c r="AH377" i="6"/>
  <c r="AH68" i="6"/>
  <c r="AH168" i="6"/>
  <c r="AH70" i="6"/>
  <c r="AB364" i="6"/>
  <c r="AB25" i="6"/>
  <c r="AB124" i="6"/>
  <c r="AB222" i="6"/>
  <c r="AB131" i="6"/>
  <c r="AB218" i="6"/>
  <c r="AA19" i="6"/>
  <c r="AA234" i="6"/>
  <c r="AA235" i="6"/>
  <c r="AA353" i="6"/>
  <c r="AA181" i="6"/>
  <c r="AE421" i="6"/>
  <c r="AE86" i="6"/>
  <c r="AE250" i="6"/>
  <c r="AE424" i="6"/>
  <c r="AE251" i="6"/>
  <c r="AE426" i="6"/>
  <c r="AE89" i="6"/>
  <c r="AE367" i="6"/>
  <c r="AE339" i="6"/>
  <c r="AE340" i="6"/>
  <c r="AH322" i="6"/>
  <c r="AH151" i="6"/>
  <c r="AH201" i="6"/>
  <c r="AH153" i="6"/>
  <c r="AH219" i="6"/>
  <c r="AE54" i="6"/>
  <c r="AE44" i="6"/>
  <c r="AA378" i="6"/>
  <c r="AA381" i="6"/>
  <c r="AA310" i="6"/>
  <c r="AB18" i="6"/>
  <c r="AB427" i="6"/>
  <c r="AB422" i="6"/>
  <c r="AB423" i="6"/>
  <c r="AB425" i="6"/>
  <c r="AB323" i="6"/>
  <c r="AA129" i="6"/>
  <c r="AA163" i="6"/>
  <c r="AB163" i="6"/>
  <c r="AB129" i="6"/>
  <c r="AE223" i="6"/>
  <c r="AE77" i="6"/>
  <c r="AH18" i="6"/>
  <c r="AH323" i="6"/>
  <c r="AH422" i="6"/>
  <c r="AH423" i="6"/>
  <c r="AH425" i="6"/>
  <c r="AH427" i="6"/>
  <c r="AE167" i="6"/>
  <c r="AE316" i="6"/>
  <c r="AA92" i="6"/>
  <c r="AA132" i="6"/>
  <c r="AA398" i="6"/>
  <c r="AA282" i="6"/>
  <c r="AA78" i="6"/>
  <c r="AH80" i="6"/>
  <c r="AH247" i="6"/>
  <c r="AH182" i="6"/>
  <c r="AH376" i="6"/>
  <c r="AH183" i="6"/>
  <c r="AH142" i="6"/>
  <c r="AH307" i="6"/>
  <c r="AH196" i="6"/>
  <c r="AH228" i="6"/>
  <c r="AB205" i="6"/>
  <c r="AB109" i="6"/>
  <c r="AB288" i="6"/>
  <c r="AB289" i="6"/>
  <c r="AB52" i="6"/>
  <c r="AB363" i="6"/>
  <c r="AA45" i="6"/>
  <c r="AA95" i="6"/>
  <c r="AA162" i="6"/>
  <c r="AA180" i="6"/>
  <c r="AA179" i="6"/>
  <c r="AA299" i="6"/>
  <c r="AA290" i="6"/>
  <c r="AE187" i="6"/>
  <c r="AE33" i="6"/>
  <c r="AA142" i="6"/>
  <c r="AA307" i="6"/>
  <c r="AA196" i="6"/>
  <c r="AA228" i="6"/>
  <c r="AE164" i="6"/>
  <c r="AE217" i="6"/>
  <c r="AE254" i="6"/>
  <c r="AB99" i="6"/>
  <c r="AB133" i="6"/>
  <c r="AB263" i="6"/>
  <c r="AA88" i="6"/>
  <c r="AA107" i="6"/>
  <c r="AA410" i="6"/>
  <c r="AB40" i="6"/>
  <c r="AB318" i="6"/>
  <c r="AB13" i="6"/>
  <c r="AB69" i="6"/>
  <c r="AE435" i="6"/>
  <c r="AE395" i="6"/>
  <c r="AE243" i="6"/>
  <c r="AE96" i="6"/>
  <c r="AE144" i="6"/>
  <c r="AB114" i="6"/>
  <c r="AB118" i="6"/>
  <c r="AB345" i="6"/>
  <c r="AB346" i="6"/>
  <c r="AB283" i="6"/>
  <c r="AB436" i="6"/>
  <c r="AB298" i="6"/>
  <c r="AA177" i="6"/>
  <c r="AA227" i="6"/>
  <c r="AA56" i="6"/>
  <c r="AB220" i="6"/>
  <c r="AB57" i="6"/>
  <c r="AB412" i="6"/>
  <c r="AB242" i="6"/>
  <c r="AB342" i="6"/>
  <c r="AB343" i="6"/>
  <c r="AB87" i="6"/>
  <c r="AB152" i="6"/>
  <c r="AA99" i="6"/>
  <c r="AA263" i="6"/>
  <c r="AA133" i="6"/>
  <c r="AB88" i="6"/>
  <c r="AB107" i="6"/>
  <c r="AB410" i="6"/>
  <c r="AE295" i="6"/>
  <c r="AE150" i="6"/>
  <c r="AE408" i="6"/>
  <c r="AE237" i="6"/>
  <c r="AE125" i="6"/>
  <c r="AE193" i="6"/>
  <c r="AE2" i="6"/>
  <c r="AE9" i="6"/>
  <c r="AE146" i="6"/>
  <c r="AB400" i="6"/>
  <c r="AB97" i="6"/>
  <c r="AB409" i="6"/>
  <c r="AH224" i="6"/>
  <c r="AH260" i="6"/>
  <c r="AH79" i="6"/>
  <c r="AH386" i="6"/>
  <c r="AH382" i="6"/>
  <c r="AH266" i="6"/>
  <c r="AE393" i="6"/>
  <c r="AE171" i="6"/>
  <c r="AE172" i="6"/>
  <c r="AE206" i="6"/>
  <c r="AE74" i="6"/>
  <c r="AE81" i="6"/>
  <c r="AA82" i="6"/>
  <c r="AA416" i="6"/>
  <c r="AA417" i="6"/>
  <c r="AA442" i="6"/>
  <c r="AA230" i="6"/>
  <c r="AB138" i="6"/>
  <c r="AB194" i="6"/>
  <c r="AB105" i="6"/>
  <c r="AB149" i="6"/>
  <c r="AB361" i="6"/>
  <c r="AB23" i="6"/>
  <c r="AB362" i="6"/>
  <c r="AH144" i="6"/>
  <c r="AH243" i="6"/>
  <c r="AH96" i="6"/>
  <c r="AH238" i="6"/>
  <c r="AH401" i="6"/>
  <c r="AH402" i="6"/>
  <c r="AH356" i="6"/>
  <c r="AH403" i="6"/>
  <c r="AH434" i="6"/>
  <c r="AH358" i="6"/>
  <c r="AH359" i="6"/>
  <c r="AH360" i="6"/>
  <c r="AB301" i="6"/>
  <c r="AB317" i="6"/>
  <c r="AB302" i="6"/>
  <c r="AB231" i="6"/>
  <c r="AH41" i="6"/>
  <c r="AH20" i="6"/>
  <c r="AH4" i="6"/>
  <c r="AA64" i="6"/>
  <c r="AA352" i="6"/>
  <c r="AA84" i="6"/>
  <c r="AA80" i="6"/>
  <c r="AA183" i="6"/>
  <c r="AA182" i="6"/>
  <c r="AA247" i="6"/>
  <c r="AA376" i="6"/>
  <c r="AA101" i="6"/>
  <c r="AA8" i="6"/>
  <c r="AA111" i="6"/>
  <c r="AA214" i="6"/>
  <c r="AA216" i="6"/>
  <c r="AA249" i="6"/>
  <c r="AA215" i="6"/>
  <c r="AE331" i="6"/>
  <c r="AE268" i="6"/>
  <c r="AE332" i="6"/>
  <c r="AE333" i="6"/>
  <c r="AE270" i="6"/>
  <c r="AE271" i="6"/>
  <c r="AE259" i="6"/>
  <c r="AE258" i="6"/>
  <c r="AE128" i="6"/>
  <c r="AA10" i="6"/>
  <c r="AA371" i="6"/>
  <c r="AA122" i="6"/>
  <c r="AA372" i="6"/>
  <c r="AA373" i="6"/>
  <c r="AA374" i="6"/>
  <c r="AA103" i="6"/>
  <c r="AA301" i="6"/>
  <c r="AA317" i="6"/>
  <c r="AA231" i="6"/>
  <c r="AA302" i="6"/>
  <c r="AA71" i="6"/>
  <c r="AA186" i="6"/>
  <c r="AB190" i="6"/>
  <c r="AB285" i="6"/>
  <c r="AB429" i="6"/>
  <c r="AB208" i="6"/>
  <c r="AB327" i="6"/>
  <c r="AB328" i="6"/>
  <c r="AB329" i="6"/>
  <c r="AB330" i="6"/>
  <c r="AH191" i="6"/>
  <c r="AH60" i="6"/>
  <c r="AH385" i="6"/>
  <c r="AH113" i="6"/>
  <c r="AH277" i="6"/>
  <c r="AE129" i="6"/>
  <c r="AE163" i="6"/>
  <c r="AH264" i="6"/>
  <c r="AH269" i="6"/>
  <c r="AE278" i="6"/>
  <c r="AE279" i="6"/>
  <c r="AE104" i="6"/>
  <c r="AE73" i="6"/>
  <c r="AA12" i="6"/>
  <c r="AA50" i="6"/>
  <c r="AA165" i="6"/>
  <c r="AA166" i="6"/>
  <c r="AA314" i="6"/>
  <c r="AA197" i="6"/>
  <c r="AA94" i="6"/>
  <c r="AB110" i="6"/>
  <c r="AB305" i="6"/>
  <c r="AB119" i="6"/>
  <c r="AB185" i="6"/>
  <c r="AB381" i="6"/>
  <c r="AB310" i="6"/>
  <c r="AB378" i="6"/>
  <c r="AB24" i="6"/>
  <c r="AB61" i="6"/>
  <c r="AB147" i="6"/>
  <c r="AB296" i="6"/>
  <c r="AB21" i="6"/>
  <c r="AB297" i="6"/>
  <c r="AA79" i="6"/>
  <c r="AA386" i="6"/>
  <c r="AA382" i="6"/>
  <c r="AA266" i="6"/>
  <c r="AH99" i="6"/>
  <c r="AH133" i="6"/>
  <c r="AH263" i="6"/>
  <c r="AE358" i="6"/>
  <c r="AE359" i="6"/>
  <c r="AE360" i="6"/>
  <c r="AE238" i="6"/>
  <c r="AE402" i="6"/>
  <c r="AE434" i="6"/>
  <c r="AE401" i="6"/>
  <c r="AE403" i="6"/>
  <c r="AE356" i="6"/>
  <c r="AA110" i="6"/>
  <c r="AA119" i="6"/>
  <c r="AA305" i="6"/>
  <c r="AA185" i="6"/>
  <c r="AB72" i="6"/>
  <c r="AB389" i="6"/>
  <c r="AE56" i="6"/>
  <c r="AE177" i="6"/>
  <c r="AE227" i="6"/>
  <c r="AA125" i="6"/>
  <c r="AA193" i="6"/>
  <c r="AA237" i="6"/>
  <c r="AA295" i="6"/>
  <c r="AA408" i="6"/>
  <c r="AA150" i="6"/>
  <c r="AE326" i="6"/>
  <c r="AE67" i="6"/>
  <c r="AE347" i="6"/>
  <c r="AE441" i="6"/>
  <c r="AE415" i="6"/>
  <c r="AE433" i="6"/>
  <c r="AB382" i="6"/>
  <c r="AB79" i="6"/>
  <c r="AB386" i="6"/>
  <c r="AB266" i="6"/>
  <c r="AB300" i="6"/>
  <c r="AB257" i="6"/>
  <c r="AB178" i="6"/>
  <c r="AB65" i="6"/>
  <c r="AB63" i="6"/>
  <c r="AE19" i="6"/>
  <c r="AE181" i="6"/>
  <c r="AE234" i="6"/>
  <c r="AE235" i="6"/>
  <c r="AE353" i="6"/>
  <c r="AE5" i="6"/>
  <c r="AE226" i="6"/>
  <c r="AA262" i="6"/>
  <c r="AA137" i="6"/>
  <c r="AA47" i="6"/>
  <c r="AA391" i="6"/>
  <c r="AE119" i="6"/>
  <c r="AE185" i="6"/>
  <c r="AE110" i="6"/>
  <c r="AE305" i="6"/>
  <c r="AH379" i="6"/>
  <c r="AH159" i="6"/>
  <c r="AH306" i="6"/>
  <c r="AH16" i="6"/>
  <c r="AH312" i="6"/>
  <c r="AH313" i="6"/>
  <c r="AH59" i="6"/>
  <c r="AE135" i="6"/>
  <c r="AE169" i="6"/>
  <c r="AE411" i="6"/>
  <c r="AA59" i="6"/>
  <c r="AA159" i="6"/>
  <c r="AA16" i="6"/>
  <c r="AA379" i="6"/>
  <c r="AA306" i="6"/>
  <c r="AA312" i="6"/>
  <c r="AA313" i="6"/>
  <c r="AE17" i="6"/>
  <c r="AE34" i="6"/>
  <c r="AE248" i="6"/>
  <c r="AE42" i="6"/>
  <c r="AE350" i="6"/>
  <c r="AE428" i="6"/>
  <c r="AE43" i="6"/>
  <c r="AE399" i="6"/>
  <c r="AE225" i="6"/>
  <c r="AE229" i="6"/>
  <c r="AE357" i="6"/>
  <c r="AE30" i="6"/>
  <c r="AH7" i="6"/>
  <c r="AH127" i="6"/>
  <c r="AH83" i="6"/>
  <c r="AH36" i="6"/>
  <c r="AH141" i="6"/>
  <c r="AH120" i="6"/>
  <c r="AH22" i="6"/>
  <c r="AE68" i="6"/>
  <c r="AE70" i="6"/>
  <c r="AE168" i="6"/>
  <c r="AB319" i="6"/>
  <c r="AB320" i="6"/>
  <c r="AB321" i="6"/>
  <c r="AB199" i="6"/>
  <c r="AB102" i="6"/>
  <c r="AE266" i="6"/>
  <c r="AE382" i="6"/>
  <c r="AE79" i="6"/>
  <c r="AE386" i="6"/>
  <c r="AA32" i="6"/>
  <c r="AA203" i="6"/>
  <c r="AA407" i="6"/>
  <c r="AA311" i="6"/>
  <c r="AA351" i="6"/>
  <c r="AH366" i="6"/>
  <c r="AH198" i="6"/>
  <c r="AH384" i="6"/>
  <c r="AH365" i="6"/>
  <c r="AH24" i="6"/>
  <c r="AH61" i="6"/>
  <c r="AH147" i="6"/>
  <c r="AH296" i="6"/>
  <c r="AH21" i="6"/>
  <c r="AH297" i="6"/>
  <c r="AE134" i="6"/>
  <c r="AE154" i="6"/>
  <c r="AE91" i="6"/>
  <c r="AE241" i="6"/>
  <c r="AE418" i="6"/>
  <c r="AE48" i="6"/>
  <c r="AE391" i="6"/>
  <c r="AE47" i="6"/>
  <c r="AB262" i="6"/>
  <c r="AB137" i="6"/>
  <c r="AA167" i="6"/>
  <c r="AA316" i="6"/>
  <c r="AE436" i="6"/>
  <c r="AE298" i="6"/>
  <c r="AB226" i="6"/>
  <c r="AB5" i="6"/>
  <c r="AA238" i="6"/>
  <c r="AA401" i="6"/>
  <c r="AA402" i="6"/>
  <c r="AA434" i="6"/>
  <c r="AA403" i="6"/>
  <c r="AA356" i="6"/>
  <c r="AA358" i="6"/>
  <c r="AA359" i="6"/>
  <c r="AA360" i="6"/>
  <c r="AA33" i="6"/>
  <c r="AA187" i="6"/>
  <c r="AA38" i="6"/>
  <c r="AA292" i="6"/>
  <c r="AA293" i="6"/>
  <c r="AA294" i="6"/>
  <c r="AH368" i="6"/>
  <c r="AH46" i="6"/>
  <c r="AH117" i="6"/>
  <c r="AH273" i="6"/>
  <c r="AB209" i="6"/>
  <c r="AB136" i="6"/>
  <c r="AB291" i="6"/>
  <c r="AB9" i="6"/>
  <c r="AB146" i="6"/>
  <c r="AB2" i="6"/>
  <c r="AB442" i="6"/>
  <c r="AB416" i="6"/>
  <c r="AB417" i="6"/>
  <c r="AB82" i="6"/>
  <c r="AB230" i="6"/>
  <c r="AA324" i="6"/>
  <c r="AA325" i="6"/>
  <c r="AE207" i="6"/>
  <c r="AE369" i="6"/>
  <c r="AH42" i="6"/>
  <c r="AH350" i="6"/>
  <c r="AH428" i="6"/>
  <c r="AH399" i="6"/>
  <c r="AH225" i="6"/>
  <c r="AH30" i="6"/>
  <c r="AH229" i="6"/>
  <c r="AH357" i="6"/>
  <c r="AH17" i="6"/>
  <c r="AH34" i="6"/>
  <c r="AH248" i="6"/>
  <c r="AH43" i="6"/>
  <c r="AB8" i="6"/>
  <c r="AB111" i="6"/>
  <c r="AB214" i="6"/>
  <c r="AB215" i="6"/>
  <c r="AB216" i="6"/>
  <c r="AB101" i="6"/>
  <c r="AB249" i="6"/>
  <c r="AE116" i="6"/>
  <c r="AE51" i="6"/>
  <c r="AE39" i="6"/>
  <c r="AE28" i="6"/>
  <c r="AE276" i="6"/>
  <c r="AA100" i="6"/>
  <c r="AA315" i="6"/>
  <c r="AA4" i="6"/>
  <c r="AA41" i="6"/>
  <c r="AA20" i="6"/>
  <c r="AA275" i="6"/>
  <c r="AA139" i="6"/>
  <c r="AA274" i="6"/>
  <c r="AA6" i="6"/>
  <c r="AE198" i="6"/>
  <c r="AE365" i="6"/>
  <c r="AE366" i="6"/>
  <c r="AE384" i="6"/>
  <c r="AH415" i="6"/>
  <c r="AH433" i="6"/>
  <c r="AH326" i="6"/>
  <c r="AH67" i="6"/>
  <c r="AH347" i="6"/>
  <c r="AH441" i="6"/>
  <c r="AE232" i="6"/>
  <c r="AE145" i="6"/>
  <c r="AH28" i="6"/>
  <c r="AH276" i="6"/>
  <c r="AH116" i="6"/>
  <c r="AH51" i="6"/>
  <c r="AH39" i="6"/>
  <c r="AH122" i="6"/>
  <c r="AH103" i="6"/>
  <c r="AH371" i="6"/>
  <c r="AH372" i="6"/>
  <c r="AH373" i="6"/>
  <c r="AH374" i="6"/>
  <c r="AH10" i="6"/>
  <c r="AB33" i="6"/>
  <c r="AB187" i="6"/>
  <c r="AE233" i="6"/>
  <c r="AE188" i="6"/>
  <c r="AH411" i="6"/>
  <c r="AH135" i="6"/>
  <c r="AH169" i="6"/>
  <c r="AA323" i="6"/>
  <c r="AA18" i="6"/>
  <c r="AA427" i="6"/>
  <c r="AA422" i="6"/>
  <c r="AA423" i="6"/>
  <c r="AA425" i="6"/>
  <c r="AH262" i="6"/>
  <c r="AH137" i="6"/>
  <c r="AH44" i="6"/>
  <c r="AH54" i="6"/>
  <c r="AE71" i="6"/>
  <c r="AE186" i="6"/>
  <c r="AA28" i="6"/>
  <c r="AA116" i="6"/>
  <c r="AA51" i="6"/>
  <c r="AA39" i="6"/>
  <c r="AA276" i="6"/>
  <c r="AE396" i="6"/>
  <c r="AE143" i="6"/>
  <c r="AE151" i="6"/>
  <c r="AE201" i="6"/>
  <c r="AE153" i="6"/>
  <c r="AE219" i="6"/>
  <c r="AE322" i="6"/>
  <c r="AB349" i="6"/>
  <c r="AB304" i="6"/>
  <c r="AB308" i="6"/>
  <c r="AB37" i="6"/>
  <c r="AB31" i="6"/>
  <c r="AE231" i="6"/>
  <c r="AE301" i="6"/>
  <c r="AE317" i="6"/>
  <c r="AE302" i="6"/>
  <c r="AB239" i="6"/>
  <c r="AB240" i="6"/>
  <c r="AB15" i="6"/>
  <c r="AB244" i="6"/>
  <c r="AB189" i="6"/>
  <c r="AB14" i="6"/>
  <c r="AA280" i="6"/>
  <c r="AA281" i="6"/>
  <c r="AA73" i="6"/>
  <c r="AA104" i="6"/>
  <c r="AA278" i="6"/>
  <c r="AA279" i="6"/>
  <c r="AH72" i="6"/>
  <c r="AH389" i="6"/>
  <c r="AA304" i="6"/>
  <c r="AA31" i="6"/>
  <c r="AA37" i="6"/>
  <c r="AA349" i="6"/>
  <c r="AA308" i="6"/>
  <c r="AH204" i="6"/>
  <c r="AH303" i="6"/>
  <c r="AA319" i="6"/>
  <c r="AA320" i="6"/>
  <c r="AA102" i="6"/>
  <c r="AA321" i="6"/>
  <c r="AA199" i="6"/>
  <c r="AB370" i="6"/>
  <c r="AB267" i="6"/>
  <c r="AB419" i="6"/>
  <c r="AH32" i="6"/>
  <c r="AH311" i="6"/>
  <c r="AH407" i="6"/>
  <c r="AH203" i="6"/>
  <c r="AH351" i="6"/>
  <c r="AH352" i="6"/>
  <c r="AH64" i="6"/>
  <c r="AH84" i="6"/>
  <c r="AB122" i="6"/>
  <c r="AB10" i="6"/>
  <c r="AB103" i="6"/>
  <c r="AB372" i="6"/>
  <c r="AB374" i="6"/>
  <c r="AB371" i="6"/>
  <c r="AB373" i="6"/>
  <c r="AE37" i="6"/>
  <c r="AE349" i="6"/>
  <c r="AE304" i="6"/>
  <c r="AE31" i="6"/>
  <c r="AE308" i="6"/>
  <c r="AB207" i="6"/>
  <c r="AB369" i="6"/>
  <c r="AB365" i="6"/>
  <c r="AB366" i="6"/>
  <c r="AB384" i="6"/>
  <c r="AB198" i="6"/>
  <c r="AB41" i="6"/>
  <c r="AB20" i="6"/>
  <c r="AB4" i="6"/>
  <c r="AA272" i="6"/>
  <c r="AA49" i="6"/>
  <c r="AA35" i="6"/>
  <c r="AA202" i="6"/>
  <c r="AA390" i="6"/>
  <c r="AB391" i="6"/>
  <c r="AB47" i="6"/>
  <c r="AE69" i="6"/>
  <c r="AE40" i="6"/>
  <c r="AE318" i="6"/>
  <c r="AE13" i="6"/>
  <c r="AE106" i="6"/>
  <c r="AE108" i="6"/>
  <c r="AE388" i="6"/>
  <c r="AH442" i="6"/>
  <c r="AH417" i="6"/>
  <c r="AH82" i="6"/>
  <c r="AH230" i="6"/>
  <c r="AH416" i="6"/>
  <c r="AH274" i="6"/>
  <c r="AH275" i="6"/>
  <c r="AH6" i="6"/>
  <c r="AH139" i="6"/>
  <c r="AA257" i="6"/>
  <c r="AA63" i="6"/>
  <c r="AA178" i="6"/>
  <c r="AA65" i="6"/>
  <c r="AA300" i="6"/>
  <c r="AB353" i="6"/>
  <c r="AB19" i="6"/>
  <c r="AB181" i="6"/>
  <c r="AB234" i="6"/>
  <c r="AB235" i="6"/>
  <c r="AA269" i="6"/>
  <c r="AA264" i="6"/>
  <c r="AB348" i="6"/>
  <c r="AB173" i="6"/>
  <c r="AB394" i="6"/>
  <c r="AE35" i="6"/>
  <c r="AE390" i="6"/>
  <c r="AE202" i="6"/>
  <c r="AE272" i="6"/>
  <c r="AE49" i="6"/>
  <c r="AB272" i="6"/>
  <c r="AB49" i="6"/>
  <c r="AB35" i="6"/>
  <c r="AB390" i="6"/>
  <c r="AB202" i="6"/>
  <c r="AB89" i="6"/>
  <c r="AB367" i="6"/>
  <c r="AB340" i="6"/>
  <c r="AB421" i="6"/>
  <c r="AB339" i="6"/>
  <c r="AB424" i="6"/>
  <c r="AB426" i="6"/>
  <c r="AB86" i="6"/>
  <c r="AB250" i="6"/>
  <c r="AB251" i="6"/>
  <c r="AA174" i="6"/>
  <c r="AA175" i="6"/>
  <c r="AA176" i="6"/>
  <c r="AA334" i="6"/>
  <c r="AA438" i="6"/>
  <c r="AE327" i="6"/>
  <c r="AE328" i="6"/>
  <c r="AE329" i="6"/>
  <c r="AE330" i="6"/>
  <c r="AE190" i="6"/>
  <c r="AE285" i="6"/>
  <c r="AE429" i="6"/>
  <c r="AE208" i="6"/>
  <c r="AE312" i="6"/>
  <c r="AE313" i="6"/>
  <c r="AE379" i="6"/>
  <c r="AE59" i="6"/>
  <c r="AE159" i="6"/>
  <c r="AE16" i="6"/>
  <c r="AE306" i="6"/>
  <c r="AB324" i="6"/>
  <c r="AB325" i="6"/>
  <c r="AH254" i="6"/>
  <c r="AH164" i="6"/>
  <c r="AH217" i="6"/>
  <c r="AH268" i="6"/>
  <c r="AH332" i="6"/>
  <c r="AH270" i="6"/>
  <c r="AH128" i="6"/>
  <c r="AH258" i="6"/>
  <c r="AH259" i="6"/>
  <c r="AH331" i="6"/>
  <c r="AH333" i="6"/>
  <c r="AH271" i="6"/>
  <c r="AE98" i="6"/>
  <c r="AE246" i="6"/>
  <c r="AE85" i="6"/>
  <c r="AE420" i="6"/>
  <c r="AE58" i="6"/>
  <c r="AE195" i="6"/>
  <c r="AE245" i="6"/>
  <c r="AE374" i="6"/>
  <c r="AE122" i="6"/>
  <c r="AE10" i="6"/>
  <c r="AE103" i="6"/>
  <c r="AE371" i="6"/>
  <c r="AE373" i="6"/>
  <c r="AE372" i="6"/>
  <c r="AE394" i="6"/>
  <c r="AE348" i="6"/>
  <c r="AE173" i="6"/>
  <c r="AE142" i="6"/>
  <c r="AE307" i="6"/>
  <c r="AE196" i="6"/>
  <c r="AE228" i="6"/>
  <c r="AB135" i="6"/>
  <c r="AB411" i="6"/>
  <c r="AB169" i="6"/>
  <c r="AE247" i="6"/>
  <c r="AE182" i="6"/>
  <c r="AE376" i="6"/>
  <c r="AE183" i="6"/>
  <c r="AE80" i="6"/>
  <c r="AB351" i="6"/>
  <c r="AB32" i="6"/>
  <c r="AB311" i="6"/>
  <c r="AB407" i="6"/>
  <c r="AB203" i="6"/>
  <c r="AB44" i="6"/>
  <c r="AB54" i="6"/>
  <c r="AB191" i="6"/>
  <c r="AB60" i="6"/>
  <c r="AB385" i="6"/>
  <c r="AB113" i="6"/>
  <c r="AB277" i="6"/>
  <c r="AH316" i="6"/>
  <c r="AH167" i="6"/>
  <c r="AE82" i="6"/>
  <c r="AE230" i="6"/>
  <c r="AE442" i="6"/>
  <c r="AE416" i="6"/>
  <c r="AE417" i="6"/>
  <c r="AH47" i="6"/>
  <c r="AH391" i="6"/>
  <c r="AA194" i="6"/>
  <c r="AA138" i="6"/>
  <c r="AA23" i="6"/>
  <c r="AA361" i="6"/>
  <c r="AA105" i="6"/>
  <c r="AA362" i="6"/>
  <c r="AA149" i="6"/>
  <c r="AB68" i="6"/>
  <c r="AB168" i="6"/>
  <c r="AB70" i="6"/>
  <c r="AA209" i="6"/>
  <c r="AA291" i="6"/>
  <c r="AA136" i="6"/>
  <c r="AB90" i="6"/>
  <c r="AB354" i="6"/>
  <c r="AB405" i="6"/>
  <c r="AB355" i="6"/>
  <c r="AB112" i="6"/>
  <c r="AB186" i="6"/>
  <c r="AB71" i="6"/>
  <c r="AA76" i="6"/>
  <c r="AA93" i="6"/>
  <c r="AA344" i="6"/>
  <c r="AA377" i="6"/>
  <c r="AB56" i="6"/>
  <c r="AB227" i="6"/>
  <c r="AB177" i="6"/>
  <c r="AA208" i="6"/>
  <c r="AA190" i="6"/>
  <c r="AA285" i="6"/>
  <c r="AA327" i="6"/>
  <c r="AA328" i="6"/>
  <c r="AA329" i="6"/>
  <c r="AA330" i="6"/>
  <c r="AA429" i="6"/>
  <c r="AA5" i="6"/>
  <c r="AA226" i="6"/>
  <c r="AH370" i="6"/>
  <c r="AH419" i="6"/>
  <c r="AH267" i="6"/>
  <c r="AH324" i="6"/>
  <c r="AH325" i="6"/>
  <c r="AB395" i="6"/>
  <c r="AB435" i="6"/>
  <c r="AE191" i="6"/>
  <c r="AE60" i="6"/>
  <c r="AE113" i="6"/>
  <c r="AE277" i="6"/>
  <c r="AE385" i="6"/>
  <c r="AA152" i="6"/>
  <c r="AA57" i="6"/>
  <c r="AA412" i="6"/>
  <c r="AA343" i="6"/>
  <c r="AA242" i="6"/>
  <c r="AA220" i="6"/>
  <c r="AA87" i="6"/>
  <c r="AA342" i="6"/>
  <c r="AH220" i="6"/>
  <c r="AH57" i="6"/>
  <c r="AH242" i="6"/>
  <c r="AH342" i="6"/>
  <c r="AH343" i="6"/>
  <c r="AH87" i="6"/>
  <c r="AH412" i="6"/>
  <c r="AH152" i="6"/>
  <c r="AH143" i="6"/>
  <c r="AH396" i="6"/>
  <c r="AH88" i="6"/>
  <c r="AH107" i="6"/>
  <c r="AH410" i="6"/>
  <c r="AH292" i="6"/>
  <c r="AH293" i="6"/>
  <c r="AH294" i="6"/>
  <c r="AH38" i="6"/>
  <c r="AE280" i="6"/>
  <c r="AE281" i="6"/>
  <c r="AB26" i="6"/>
  <c r="AB29" i="6"/>
  <c r="AB430" i="6"/>
  <c r="AB210" i="6"/>
  <c r="AB431" i="6"/>
  <c r="AB3" i="6"/>
  <c r="AB211" i="6"/>
  <c r="AB432" i="6"/>
  <c r="AA223" i="6"/>
  <c r="AA77" i="6"/>
  <c r="AH138" i="6"/>
  <c r="AH194" i="6"/>
  <c r="AH149" i="6"/>
  <c r="AH361" i="6"/>
  <c r="AH23" i="6"/>
  <c r="AH105" i="6"/>
  <c r="AH362" i="6"/>
  <c r="AE149" i="6"/>
  <c r="AE361" i="6"/>
  <c r="AE362" i="6"/>
  <c r="AE23" i="6"/>
  <c r="AE138" i="6"/>
  <c r="AE194" i="6"/>
  <c r="AE105" i="6"/>
  <c r="AH172" i="6"/>
  <c r="AH206" i="6"/>
  <c r="AH81" i="6"/>
  <c r="AH74" i="6"/>
  <c r="AH171" i="6"/>
  <c r="AH393" i="6"/>
  <c r="AA43" i="6"/>
  <c r="AA225" i="6"/>
  <c r="AA17" i="6"/>
  <c r="AA34" i="6"/>
  <c r="AA42" i="6"/>
  <c r="AA30" i="6"/>
  <c r="AA399" i="6"/>
  <c r="AA350" i="6"/>
  <c r="AA248" i="6"/>
  <c r="AA357" i="6"/>
  <c r="AA229" i="6"/>
  <c r="AA428" i="6"/>
  <c r="AB140" i="6"/>
  <c r="AB126" i="6"/>
  <c r="AB121" i="6"/>
  <c r="AA146" i="6"/>
  <c r="AA2" i="6"/>
  <c r="AA9" i="6"/>
  <c r="AA207" i="6"/>
  <c r="AA369" i="6"/>
  <c r="AB76" i="6"/>
  <c r="AB93" i="6"/>
  <c r="AB344" i="6"/>
  <c r="AB377" i="6"/>
  <c r="AB98" i="6"/>
  <c r="AB246" i="6"/>
  <c r="AB85" i="6"/>
  <c r="AB7" i="6"/>
  <c r="AB141" i="6"/>
  <c r="AB127" i="6"/>
  <c r="AB83" i="6"/>
  <c r="AB36" i="6"/>
  <c r="AB22" i="6"/>
  <c r="AB120" i="6"/>
  <c r="AB334" i="6"/>
  <c r="AB174" i="6"/>
  <c r="AB175" i="6"/>
  <c r="AB176" i="6"/>
  <c r="AB438" i="6"/>
  <c r="AA44" i="6"/>
  <c r="AA54" i="6"/>
  <c r="AH40" i="6"/>
  <c r="AH318" i="6"/>
  <c r="AH13" i="6"/>
  <c r="AH69" i="6"/>
  <c r="AB337" i="6"/>
  <c r="AB184" i="6"/>
  <c r="AE389" i="6"/>
  <c r="AE72" i="6"/>
  <c r="AE99" i="6"/>
  <c r="AE133" i="6"/>
  <c r="AE263" i="6"/>
  <c r="AB28" i="6"/>
  <c r="AB276" i="6"/>
  <c r="AB116" i="6"/>
  <c r="AB51" i="6"/>
  <c r="AB39" i="6"/>
  <c r="AH188" i="6"/>
  <c r="AH233" i="6"/>
  <c r="AB188" i="6"/>
  <c r="AB233" i="6"/>
  <c r="AA60" i="6"/>
  <c r="AA113" i="6"/>
  <c r="AA191" i="6"/>
  <c r="AA385" i="6"/>
  <c r="AA277" i="6"/>
  <c r="AA135" i="6"/>
  <c r="AA169" i="6"/>
  <c r="AA411" i="6"/>
  <c r="AA114" i="6"/>
  <c r="AA345" i="6"/>
  <c r="AA283" i="6"/>
  <c r="AA346" i="6"/>
  <c r="AA118" i="6"/>
  <c r="AB42" i="6"/>
  <c r="AB350" i="6"/>
  <c r="AB428" i="6"/>
  <c r="AB43" i="6"/>
  <c r="AB399" i="6"/>
  <c r="AB225" i="6"/>
  <c r="AB30" i="6"/>
  <c r="AB17" i="6"/>
  <c r="AB34" i="6"/>
  <c r="AB248" i="6"/>
  <c r="AB229" i="6"/>
  <c r="AB357" i="6"/>
  <c r="AB322" i="6"/>
  <c r="AB151" i="6"/>
  <c r="AB201" i="6"/>
  <c r="AB219" i="6"/>
  <c r="AB153" i="6"/>
  <c r="AB237" i="6"/>
  <c r="AB125" i="6"/>
  <c r="AB193" i="6"/>
  <c r="AB295" i="6"/>
  <c r="AB150" i="6"/>
  <c r="AB408" i="6"/>
  <c r="AA224" i="6"/>
  <c r="AA260" i="6"/>
  <c r="AA233" i="6"/>
  <c r="AA188" i="6"/>
  <c r="AB171" i="6"/>
  <c r="AB172" i="6"/>
  <c r="AB206" i="6"/>
  <c r="AB74" i="6"/>
  <c r="AB81" i="6"/>
  <c r="AB393" i="6"/>
  <c r="AH97" i="6"/>
  <c r="AH400" i="6"/>
  <c r="AH409" i="6"/>
  <c r="AE84" i="6"/>
  <c r="AE352" i="6"/>
  <c r="AE64" i="6"/>
  <c r="AH436" i="6"/>
  <c r="AH298" i="6"/>
  <c r="AB204" i="6"/>
  <c r="AB303" i="6"/>
  <c r="AA339" i="6"/>
  <c r="AA86" i="6"/>
  <c r="AA89" i="6"/>
  <c r="AA367" i="6"/>
  <c r="AA421" i="6"/>
  <c r="AA424" i="6"/>
  <c r="AA250" i="6"/>
  <c r="AA340" i="6"/>
  <c r="AA426" i="6"/>
  <c r="AA251" i="6"/>
  <c r="AH208" i="6"/>
  <c r="AH327" i="6"/>
  <c r="AH328" i="6"/>
  <c r="AH329" i="6"/>
  <c r="AH190" i="6"/>
  <c r="AH330" i="6"/>
  <c r="AH429" i="6"/>
  <c r="AH285" i="6"/>
  <c r="AH100" i="6"/>
  <c r="AH315" i="6"/>
  <c r="AE132" i="6"/>
  <c r="AE282" i="6"/>
  <c r="AE398" i="6"/>
  <c r="AE78" i="6"/>
  <c r="AE92" i="6"/>
  <c r="AH226" i="6"/>
  <c r="AH5" i="6"/>
  <c r="AH278" i="6"/>
  <c r="AH279" i="6"/>
  <c r="AH104" i="6"/>
  <c r="AH73" i="6"/>
  <c r="AB269" i="6"/>
  <c r="AB264" i="6"/>
  <c r="AH26" i="6"/>
  <c r="AH29" i="6"/>
  <c r="AH210" i="6"/>
  <c r="AH431" i="6"/>
  <c r="AH211" i="6"/>
  <c r="AH432" i="6"/>
  <c r="AH3" i="6"/>
  <c r="AH430" i="6"/>
  <c r="AE239" i="6"/>
  <c r="AE240" i="6"/>
  <c r="AE14" i="6"/>
  <c r="AE15" i="6"/>
  <c r="AE244" i="6"/>
  <c r="AE189" i="6"/>
  <c r="AH109" i="6"/>
  <c r="AH288" i="6"/>
  <c r="AH52" i="6"/>
  <c r="AH363" i="6"/>
  <c r="AH205" i="6"/>
  <c r="AH289" i="6"/>
  <c r="AA303" i="6"/>
  <c r="AA204" i="6"/>
  <c r="AH9" i="6"/>
  <c r="AH146" i="6"/>
  <c r="AH2" i="6"/>
  <c r="AA108" i="6"/>
  <c r="AA106" i="6"/>
  <c r="AA388" i="6"/>
  <c r="AB223" i="6"/>
  <c r="AB77" i="6"/>
  <c r="AH110" i="6"/>
  <c r="AH119" i="6"/>
  <c r="AH185" i="6"/>
  <c r="AH305" i="6"/>
  <c r="AB148" i="6"/>
  <c r="AB53" i="6"/>
  <c r="AB341" i="6"/>
  <c r="AB161" i="6"/>
  <c r="AB309" i="6"/>
  <c r="AB100" i="6"/>
  <c r="AB315" i="6"/>
  <c r="AE199" i="6"/>
  <c r="AE102" i="6"/>
  <c r="AE319" i="6"/>
  <c r="AE320" i="6"/>
  <c r="AE321" i="6"/>
  <c r="AB58" i="6"/>
  <c r="AB420" i="6"/>
  <c r="AB245" i="6"/>
  <c r="AB195" i="6"/>
  <c r="AE75" i="6"/>
  <c r="AE383" i="6"/>
  <c r="AE338" i="6"/>
  <c r="AB398" i="6"/>
  <c r="AB78" i="6"/>
  <c r="AB92" i="6"/>
  <c r="AB132" i="6"/>
  <c r="AB282" i="6"/>
  <c r="AB142" i="6"/>
  <c r="AB196" i="6"/>
  <c r="AB228" i="6"/>
  <c r="AB307" i="6"/>
  <c r="AB155" i="6"/>
  <c r="AB156" i="6"/>
  <c r="AB286" i="6"/>
  <c r="AB397" i="6"/>
  <c r="AB157" i="6"/>
  <c r="AB287" i="6"/>
  <c r="AB158" i="6"/>
  <c r="AB336" i="6"/>
  <c r="AB160" i="6"/>
  <c r="AB212" i="6"/>
  <c r="AB387" i="6"/>
  <c r="AB200" i="6"/>
  <c r="AB213" i="6"/>
  <c r="AB404" i="6"/>
  <c r="AB73" i="6"/>
  <c r="AB278" i="6"/>
  <c r="AB279" i="6"/>
  <c r="AB104" i="6"/>
  <c r="AA109" i="6"/>
  <c r="AA288" i="6"/>
  <c r="AA205" i="6"/>
  <c r="AA363" i="6"/>
  <c r="AA52" i="6"/>
  <c r="AA289" i="6"/>
  <c r="AE204" i="6"/>
  <c r="AE303" i="6"/>
  <c r="AE136" i="6"/>
  <c r="AE209" i="6"/>
  <c r="AE291" i="6"/>
  <c r="AA145" i="6"/>
  <c r="AA232" i="6"/>
  <c r="AA435" i="6"/>
  <c r="AA395" i="6"/>
  <c r="AB80" i="6"/>
  <c r="AB247" i="6"/>
  <c r="AB182" i="6"/>
  <c r="AB376" i="6"/>
  <c r="AB183" i="6"/>
  <c r="AB106" i="6"/>
  <c r="AB108" i="6"/>
  <c r="AB388" i="6"/>
  <c r="AH12" i="6"/>
  <c r="AH94" i="6"/>
  <c r="AH197" i="6"/>
  <c r="AH50" i="6"/>
  <c r="AH165" i="6"/>
  <c r="AH166" i="6"/>
  <c r="AH314" i="6"/>
  <c r="AH348" i="6"/>
  <c r="AH394" i="6"/>
  <c r="AH173" i="6"/>
  <c r="AH426" i="6"/>
  <c r="AH339" i="6"/>
  <c r="AH340" i="6"/>
  <c r="AH421" i="6"/>
  <c r="AH251" i="6"/>
  <c r="AH250" i="6"/>
  <c r="AH86" i="6"/>
  <c r="AH424" i="6"/>
  <c r="AH89" i="6"/>
  <c r="AH367" i="6"/>
  <c r="AA192" i="6"/>
  <c r="AA255" i="6"/>
  <c r="AA221" i="6"/>
  <c r="AA253" i="6"/>
  <c r="AB144" i="6"/>
  <c r="AB96" i="6"/>
  <c r="AB243" i="6"/>
  <c r="AB396" i="6"/>
  <c r="AB143" i="6"/>
  <c r="AH395" i="6"/>
  <c r="AH435" i="6"/>
  <c r="AE409" i="6"/>
  <c r="AE400" i="6"/>
  <c r="AE97" i="6"/>
  <c r="AE264" i="6"/>
  <c r="AE269" i="6"/>
  <c r="AE310" i="6"/>
  <c r="AE378" i="6"/>
  <c r="AE381" i="6"/>
  <c r="AE117" i="6"/>
  <c r="AE368" i="6"/>
  <c r="AE273" i="6"/>
  <c r="AE46" i="6"/>
  <c r="AH170" i="6"/>
  <c r="AH413" i="6"/>
  <c r="AH256" i="6"/>
  <c r="AH406" i="6"/>
  <c r="AH437" i="6"/>
  <c r="AH440" i="6"/>
  <c r="AH439" i="6"/>
  <c r="AH414" i="6"/>
  <c r="L49" i="23"/>
  <c r="AC687" i="6" s="1"/>
  <c r="M49" i="23"/>
  <c r="AD687" i="6" s="1"/>
  <c r="L118" i="23"/>
  <c r="AC578" i="6" s="1"/>
  <c r="AD96" i="35"/>
  <c r="M118" i="23"/>
  <c r="AD578" i="6" s="1"/>
  <c r="M81" i="23"/>
  <c r="AD647" i="6" s="1"/>
  <c r="M79" i="23"/>
  <c r="L31" i="23"/>
  <c r="AC598" i="6" s="1"/>
  <c r="AD247" i="35"/>
  <c r="L25" i="23"/>
  <c r="M57" i="23"/>
  <c r="L18" i="23"/>
  <c r="L75" i="23"/>
  <c r="AC685" i="6" s="1"/>
  <c r="L15" i="23"/>
  <c r="AC562" i="6" s="1"/>
  <c r="L81" i="23"/>
  <c r="AC647" i="6" s="1"/>
  <c r="M15" i="23"/>
  <c r="AD562" i="6" s="1"/>
  <c r="V18" i="23"/>
  <c r="X18" i="23"/>
  <c r="M31" i="23"/>
  <c r="AD598" i="6" s="1"/>
  <c r="L79" i="23"/>
  <c r="AC563" i="6" s="1"/>
  <c r="AG340" i="35"/>
  <c r="AG278" i="35"/>
  <c r="AG341" i="35"/>
  <c r="AG115" i="35"/>
  <c r="AG464" i="35"/>
  <c r="AG294" i="35"/>
  <c r="AG285" i="35"/>
  <c r="AG159" i="35"/>
  <c r="AG176" i="35"/>
  <c r="AG177" i="35"/>
  <c r="AG44" i="35"/>
  <c r="AG94" i="35"/>
  <c r="AJ381" i="35"/>
  <c r="AJ478" i="35"/>
  <c r="AJ272" i="35"/>
  <c r="AJ111" i="35"/>
  <c r="AJ185" i="35"/>
  <c r="AJ59" i="35"/>
  <c r="AG474" i="35"/>
  <c r="AG443" i="35"/>
  <c r="AG473" i="35"/>
  <c r="AG241" i="35"/>
  <c r="AG97" i="35"/>
  <c r="AG84" i="35"/>
  <c r="AJ416" i="35"/>
  <c r="AJ279" i="35"/>
  <c r="AG389" i="35"/>
  <c r="AG201" i="35"/>
  <c r="AG168" i="35"/>
  <c r="AG169" i="35"/>
  <c r="AG80" i="35"/>
  <c r="AG74" i="35"/>
  <c r="AC225" i="35"/>
  <c r="AC81" i="35"/>
  <c r="AG289" i="35"/>
  <c r="AG287" i="35"/>
  <c r="AG288" i="35"/>
  <c r="AG37" i="35"/>
  <c r="AJ218" i="35"/>
  <c r="AJ77" i="35"/>
  <c r="AC327" i="35"/>
  <c r="AC326" i="35"/>
  <c r="AC265" i="35"/>
  <c r="AC254" i="35"/>
  <c r="AC266" i="35"/>
  <c r="AC263" i="35"/>
  <c r="AC253" i="35"/>
  <c r="AC328" i="35"/>
  <c r="AC125" i="35"/>
  <c r="AC444" i="35"/>
  <c r="AC371" i="35"/>
  <c r="AC242" i="35"/>
  <c r="AC179" i="35"/>
  <c r="AC180" i="35"/>
  <c r="AC79" i="35"/>
  <c r="AC256" i="35"/>
  <c r="AC258" i="35"/>
  <c r="AC130" i="35"/>
  <c r="AC98" i="35"/>
  <c r="AC406" i="35"/>
  <c r="AC321" i="35"/>
  <c r="AC405" i="35"/>
  <c r="AC342" i="35"/>
  <c r="AC66" i="35"/>
  <c r="AJ387" i="35"/>
  <c r="AJ46" i="35"/>
  <c r="AG386" i="35"/>
  <c r="AG468" i="35"/>
  <c r="AG267" i="35"/>
  <c r="AG197" i="35"/>
  <c r="AG34" i="35"/>
  <c r="AG48" i="35"/>
  <c r="AC434" i="35"/>
  <c r="AC469" i="35"/>
  <c r="AC319" i="35"/>
  <c r="AC320" i="35"/>
  <c r="AC401" i="35"/>
  <c r="AC32" i="35"/>
  <c r="AG252" i="35"/>
  <c r="AG295" i="35"/>
  <c r="AG175" i="35"/>
  <c r="AG62" i="35"/>
  <c r="AG64" i="35"/>
  <c r="AC399" i="35"/>
  <c r="AC336" i="35"/>
  <c r="AC304" i="35"/>
  <c r="AC145" i="35"/>
  <c r="AC158" i="35"/>
  <c r="AC52" i="35"/>
  <c r="AD257" i="35"/>
  <c r="AD134" i="35"/>
  <c r="AC295" i="35"/>
  <c r="AC252" i="35"/>
  <c r="AC62" i="35"/>
  <c r="AC64" i="35"/>
  <c r="AC175" i="35"/>
  <c r="AC310" i="35"/>
  <c r="AC403" i="35"/>
  <c r="AC99" i="35"/>
  <c r="AD451" i="35"/>
  <c r="AD338" i="35"/>
  <c r="AD337" i="35"/>
  <c r="AD215" i="35"/>
  <c r="AD237" i="35"/>
  <c r="AD149" i="35"/>
  <c r="AD56" i="35"/>
  <c r="AD86" i="35"/>
  <c r="AD470" i="35"/>
  <c r="AD471" i="35"/>
  <c r="AD236" i="35"/>
  <c r="AD131" i="35"/>
  <c r="AD90" i="35"/>
  <c r="AD47" i="35"/>
  <c r="AD151" i="35"/>
  <c r="AG286" i="35"/>
  <c r="AG204" i="35"/>
  <c r="AG133" i="35"/>
  <c r="AJ440" i="35"/>
  <c r="AJ392" i="35"/>
  <c r="AJ140" i="35"/>
  <c r="AC309" i="35"/>
  <c r="AC192" i="35"/>
  <c r="AC163" i="35"/>
  <c r="AC162" i="35"/>
  <c r="AC93" i="35"/>
  <c r="AC12" i="35"/>
  <c r="AC49" i="35"/>
  <c r="AC419" i="35"/>
  <c r="AC259" i="35"/>
  <c r="AC264" i="35"/>
  <c r="AD437" i="35"/>
  <c r="AD334" i="35"/>
  <c r="AD362" i="35"/>
  <c r="AD335" i="35"/>
  <c r="AD246" i="35"/>
  <c r="AD245" i="35"/>
  <c r="AD85" i="35"/>
  <c r="AD88" i="35"/>
  <c r="AJ400" i="35"/>
  <c r="AJ160" i="35"/>
  <c r="AJ126" i="35"/>
  <c r="AG424" i="35"/>
  <c r="AG475" i="35"/>
  <c r="AG359" i="35"/>
  <c r="AG213" i="35"/>
  <c r="AG217" i="35"/>
  <c r="AG128" i="35"/>
  <c r="AG121" i="35"/>
  <c r="AG24" i="35"/>
  <c r="M25" i="23"/>
  <c r="AD251" i="35"/>
  <c r="AD167" i="35"/>
  <c r="AC377" i="35"/>
  <c r="AC374" i="35"/>
  <c r="AC418" i="35"/>
  <c r="AC305" i="35"/>
  <c r="AD423" i="35"/>
  <c r="AD348" i="35"/>
  <c r="AD402" i="35"/>
  <c r="AD229" i="35"/>
  <c r="AD178" i="35"/>
  <c r="AD230" i="35"/>
  <c r="AD18" i="35"/>
  <c r="AJ227" i="35"/>
  <c r="AJ142" i="35"/>
  <c r="AC142" i="35"/>
  <c r="AC227" i="35"/>
  <c r="AD450" i="35"/>
  <c r="AD228" i="35"/>
  <c r="AD343" i="35"/>
  <c r="AD390" i="35"/>
  <c r="AD170" i="35"/>
  <c r="AD386" i="35"/>
  <c r="AD468" i="35"/>
  <c r="AD267" i="35"/>
  <c r="AD197" i="35"/>
  <c r="AD48" i="35"/>
  <c r="AD34" i="35"/>
  <c r="AC465" i="35"/>
  <c r="AC427" i="35"/>
  <c r="AC26" i="35"/>
  <c r="AD395" i="35"/>
  <c r="AD105" i="35"/>
  <c r="AD87" i="35"/>
  <c r="AC292" i="35"/>
  <c r="AC477" i="35"/>
  <c r="AC291" i="35"/>
  <c r="AC144" i="35"/>
  <c r="AC23" i="35"/>
  <c r="AC60" i="35"/>
  <c r="AC20" i="35"/>
  <c r="AJ464" i="35"/>
  <c r="AJ294" i="35"/>
  <c r="AJ285" i="35"/>
  <c r="AJ176" i="35"/>
  <c r="AJ177" i="35"/>
  <c r="AJ159" i="35"/>
  <c r="AJ44" i="35"/>
  <c r="AJ94" i="35"/>
  <c r="AC448" i="35"/>
  <c r="AC391" i="35"/>
  <c r="AJ453" i="35"/>
  <c r="AJ318" i="35"/>
  <c r="AG394" i="35"/>
  <c r="AG277" i="35"/>
  <c r="AG129" i="35"/>
  <c r="AG91" i="35"/>
  <c r="AG409" i="35"/>
  <c r="AJ221" i="35"/>
  <c r="AJ5" i="35"/>
  <c r="AD61" i="35"/>
  <c r="AJ395" i="35"/>
  <c r="AJ105" i="35"/>
  <c r="AJ87" i="35"/>
  <c r="AJ289" i="35"/>
  <c r="AJ287" i="35"/>
  <c r="AJ288" i="35"/>
  <c r="AJ37" i="35"/>
  <c r="AG413" i="35"/>
  <c r="AG275" i="35"/>
  <c r="AG276" i="35"/>
  <c r="L17" i="23"/>
  <c r="AD398" i="35"/>
  <c r="AD430" i="35"/>
  <c r="AD206" i="35"/>
  <c r="AD205" i="35"/>
  <c r="AD28" i="35"/>
  <c r="AD3" i="35"/>
  <c r="AD25" i="35"/>
  <c r="AC218" i="35"/>
  <c r="AC77" i="35"/>
  <c r="AG225" i="35"/>
  <c r="AG81" i="35"/>
  <c r="AC183" i="35"/>
  <c r="AC70" i="35"/>
  <c r="AG446" i="35"/>
  <c r="AG373" i="35"/>
  <c r="AG339" i="35"/>
  <c r="AG372" i="35"/>
  <c r="AG92" i="35"/>
  <c r="AG76" i="35"/>
  <c r="AG432" i="35"/>
  <c r="AG127" i="35"/>
  <c r="AC307" i="35"/>
  <c r="AC375" i="35"/>
  <c r="AC301" i="35"/>
  <c r="AC308" i="35"/>
  <c r="AC156" i="35"/>
  <c r="AC16" i="35"/>
  <c r="AC58" i="35"/>
  <c r="AC288" i="35"/>
  <c r="AC287" i="35"/>
  <c r="AC289" i="35"/>
  <c r="AC37" i="35"/>
  <c r="AJ441" i="35"/>
  <c r="AJ314" i="35"/>
  <c r="AJ316" i="35"/>
  <c r="AJ315" i="35"/>
  <c r="AJ194" i="35"/>
  <c r="AJ101" i="35"/>
  <c r="AG431" i="35"/>
  <c r="AG393" i="35"/>
  <c r="AG383" i="35"/>
  <c r="AG282" i="35"/>
  <c r="AG331" i="35"/>
  <c r="AG195" i="35"/>
  <c r="AG208" i="35"/>
  <c r="AG281" i="35"/>
  <c r="AG152" i="35"/>
  <c r="AG154" i="35"/>
  <c r="AG207" i="35"/>
  <c r="AG155" i="35"/>
  <c r="AG157" i="35"/>
  <c r="AG153" i="35"/>
  <c r="AG11" i="35"/>
  <c r="AJ431" i="35"/>
  <c r="AJ393" i="35"/>
  <c r="AJ383" i="35"/>
  <c r="AJ281" i="35"/>
  <c r="AJ331" i="35"/>
  <c r="AJ208" i="35"/>
  <c r="AJ282" i="35"/>
  <c r="AJ152" i="35"/>
  <c r="AJ154" i="35"/>
  <c r="AJ195" i="35"/>
  <c r="AJ207" i="35"/>
  <c r="AJ153" i="35"/>
  <c r="AJ155" i="35"/>
  <c r="AJ157" i="35"/>
  <c r="AG54" i="35"/>
  <c r="AJ183" i="35"/>
  <c r="AJ70" i="35"/>
  <c r="AG120" i="35"/>
  <c r="AJ274" i="35"/>
  <c r="AJ273" i="35"/>
  <c r="AJ414" i="35"/>
  <c r="AJ102" i="35"/>
  <c r="AJ72" i="35"/>
  <c r="AC463" i="35"/>
  <c r="AC166" i="35"/>
  <c r="AC132" i="35"/>
  <c r="AC341" i="35"/>
  <c r="AC340" i="35"/>
  <c r="AC278" i="35"/>
  <c r="AC115" i="35"/>
  <c r="AD472" i="35"/>
  <c r="AD438" i="35"/>
  <c r="AD345" i="35"/>
  <c r="AD352" i="35"/>
  <c r="AD224" i="35"/>
  <c r="AD243" i="35"/>
  <c r="AD17" i="35"/>
  <c r="AD33" i="35"/>
  <c r="AD42" i="35"/>
  <c r="AD220" i="35"/>
  <c r="AD41" i="35"/>
  <c r="AD29" i="35"/>
  <c r="AG260" i="35"/>
  <c r="L93" i="23"/>
  <c r="AD436" i="35"/>
  <c r="AD317" i="35"/>
  <c r="AD148" i="35"/>
  <c r="AD196" i="35"/>
  <c r="AD150" i="35"/>
  <c r="AD214" i="35"/>
  <c r="AC420" i="35"/>
  <c r="AC356" i="35"/>
  <c r="AC357" i="35"/>
  <c r="AC188" i="35"/>
  <c r="AC135" i="35"/>
  <c r="AC146" i="35"/>
  <c r="AC103" i="35"/>
  <c r="AC22" i="35"/>
  <c r="AD407" i="35"/>
  <c r="AD165" i="35"/>
  <c r="AD67" i="35"/>
  <c r="AD69" i="35"/>
  <c r="AC286" i="35"/>
  <c r="AC133" i="35"/>
  <c r="AC204" i="35"/>
  <c r="AD445" i="35"/>
  <c r="AD350" i="35"/>
  <c r="AD349" i="35"/>
  <c r="AD110" i="35"/>
  <c r="AD89" i="35"/>
  <c r="AD183" i="35"/>
  <c r="AD70" i="35"/>
  <c r="AC372" i="35"/>
  <c r="AC446" i="35"/>
  <c r="AC339" i="35"/>
  <c r="AC373" i="35"/>
  <c r="AC92" i="35"/>
  <c r="AC76" i="35"/>
  <c r="AD432" i="35"/>
  <c r="AD127" i="35"/>
  <c r="AC429" i="35"/>
  <c r="AC329" i="35"/>
  <c r="AC171" i="35"/>
  <c r="AC173" i="35"/>
  <c r="AC172" i="35"/>
  <c r="AC454" i="35"/>
  <c r="AC270" i="35"/>
  <c r="AC269" i="35"/>
  <c r="AC136" i="35"/>
  <c r="AC6" i="35"/>
  <c r="AD404" i="35"/>
  <c r="AD421" i="35"/>
  <c r="AD380" i="35"/>
  <c r="AD360" i="35"/>
  <c r="AD361" i="35"/>
  <c r="AD193" i="35"/>
  <c r="AG408" i="35"/>
  <c r="AG466" i="35"/>
  <c r="AG290" i="35"/>
  <c r="AG187" i="35"/>
  <c r="AG232" i="35"/>
  <c r="AG147" i="35"/>
  <c r="AG122" i="35"/>
  <c r="AG73" i="35"/>
  <c r="AG445" i="35"/>
  <c r="AG350" i="35"/>
  <c r="AG349" i="35"/>
  <c r="AG110" i="35"/>
  <c r="AG89" i="35"/>
  <c r="AG391" i="35"/>
  <c r="AG448" i="35"/>
  <c r="AJ123" i="35"/>
  <c r="AJ118" i="35"/>
  <c r="AJ137" i="35"/>
  <c r="AJ333" i="35"/>
  <c r="AJ379" i="35"/>
  <c r="AJ412" i="35"/>
  <c r="AJ75" i="35"/>
  <c r="M27" i="23"/>
  <c r="AD523" i="6" s="1"/>
  <c r="AD227" i="35"/>
  <c r="AD142" i="35"/>
  <c r="AD444" i="35"/>
  <c r="AD371" i="35"/>
  <c r="AD242" i="35"/>
  <c r="AD179" i="35"/>
  <c r="AD180" i="35"/>
  <c r="AD79" i="35"/>
  <c r="AD384" i="35"/>
  <c r="AD104" i="35"/>
  <c r="AD106" i="35"/>
  <c r="AC417" i="35"/>
  <c r="AC346" i="35"/>
  <c r="AC306" i="35"/>
  <c r="AC198" i="35"/>
  <c r="AC31" i="35"/>
  <c r="AC424" i="35"/>
  <c r="AC475" i="35"/>
  <c r="AC359" i="35"/>
  <c r="AC213" i="35"/>
  <c r="AC217" i="35"/>
  <c r="AC128" i="35"/>
  <c r="AC121" i="35"/>
  <c r="AC24" i="35"/>
  <c r="L29" i="23"/>
  <c r="AD250" i="35"/>
  <c r="AD216" i="35"/>
  <c r="AD248" i="35"/>
  <c r="AD186" i="35"/>
  <c r="AD419" i="35"/>
  <c r="AD259" i="35"/>
  <c r="AD264" i="35"/>
  <c r="AJ398" i="35"/>
  <c r="AJ430" i="35"/>
  <c r="AJ205" i="35"/>
  <c r="AJ206" i="35"/>
  <c r="AJ25" i="35"/>
  <c r="AJ28" i="35"/>
  <c r="AJ3" i="35"/>
  <c r="AG239" i="35"/>
  <c r="AG235" i="35"/>
  <c r="AG234" i="35"/>
  <c r="AG14" i="35"/>
  <c r="AG15" i="35"/>
  <c r="AJ410" i="35"/>
  <c r="AJ284" i="35"/>
  <c r="AJ283" i="35"/>
  <c r="AJ358" i="35"/>
  <c r="AJ107" i="35"/>
  <c r="AJ200" i="35"/>
  <c r="AJ51" i="35"/>
  <c r="AC298" i="35"/>
  <c r="AC199" i="35"/>
  <c r="AC209" i="35"/>
  <c r="AC211" i="35"/>
  <c r="AC244" i="35"/>
  <c r="AC210" i="35"/>
  <c r="AC100" i="35"/>
  <c r="AC8" i="35"/>
  <c r="AC109" i="35"/>
  <c r="M89" i="23"/>
  <c r="AD566" i="6" s="1"/>
  <c r="AD298" i="35"/>
  <c r="AD199" i="35"/>
  <c r="AG248" i="35"/>
  <c r="AG250" i="35"/>
  <c r="AG186" i="35"/>
  <c r="AG216" i="35"/>
  <c r="AD299" i="35"/>
  <c r="AD344" i="35"/>
  <c r="AD303" i="35"/>
  <c r="AD30" i="35"/>
  <c r="AD36" i="35"/>
  <c r="AC398" i="35"/>
  <c r="AC430" i="35"/>
  <c r="AC206" i="35"/>
  <c r="AC205" i="35"/>
  <c r="AC28" i="35"/>
  <c r="AC3" i="35"/>
  <c r="AC25" i="35"/>
  <c r="AC312" i="35"/>
  <c r="AC297" i="35"/>
  <c r="AC226" i="35"/>
  <c r="AC296" i="35"/>
  <c r="AD389" i="35"/>
  <c r="AD201" i="35"/>
  <c r="AD168" i="35"/>
  <c r="AD80" i="35"/>
  <c r="AD169" i="35"/>
  <c r="AD74" i="35"/>
  <c r="AC455" i="35"/>
  <c r="AC231" i="35"/>
  <c r="AC19" i="35"/>
  <c r="AC40" i="35"/>
  <c r="AC4" i="35"/>
  <c r="AJ468" i="35"/>
  <c r="AJ386" i="35"/>
  <c r="AJ267" i="35"/>
  <c r="AJ197" i="35"/>
  <c r="AJ34" i="35"/>
  <c r="AJ48" i="35"/>
  <c r="AG249" i="35"/>
  <c r="AG212" i="35"/>
  <c r="AG161" i="35"/>
  <c r="AC344" i="35"/>
  <c r="AC299" i="35"/>
  <c r="AC303" i="35"/>
  <c r="AC30" i="35"/>
  <c r="AC36" i="35"/>
  <c r="AC472" i="35"/>
  <c r="AC438" i="35"/>
  <c r="AC345" i="35"/>
  <c r="AC224" i="35"/>
  <c r="AC243" i="35"/>
  <c r="AC352" i="35"/>
  <c r="AC220" i="35"/>
  <c r="AC17" i="35"/>
  <c r="AC33" i="35"/>
  <c r="AC42" i="35"/>
  <c r="AC29" i="35"/>
  <c r="AC41" i="35"/>
  <c r="AD137" i="35"/>
  <c r="AD123" i="35"/>
  <c r="AD118" i="35"/>
  <c r="AC422" i="35"/>
  <c r="AC143" i="35"/>
  <c r="AC9" i="35"/>
  <c r="AC2" i="35"/>
  <c r="AC364" i="35"/>
  <c r="AC202" i="35"/>
  <c r="AD446" i="35"/>
  <c r="AD373" i="35"/>
  <c r="AD372" i="35"/>
  <c r="AD339" i="35"/>
  <c r="AD92" i="35"/>
  <c r="AD76" i="35"/>
  <c r="AC432" i="35"/>
  <c r="AC127" i="35"/>
  <c r="AG476" i="35"/>
  <c r="AG222" i="35"/>
  <c r="AG174" i="35"/>
  <c r="AG55" i="35"/>
  <c r="AG415" i="35"/>
  <c r="AG324" i="35"/>
  <c r="AG323" i="35"/>
  <c r="AG325" i="35"/>
  <c r="AG203" i="35"/>
  <c r="AG280" i="35"/>
  <c r="AG184" i="35"/>
  <c r="AG322" i="35"/>
  <c r="AG375" i="35"/>
  <c r="AG301" i="35"/>
  <c r="AG308" i="35"/>
  <c r="AG307" i="35"/>
  <c r="AG156" i="35"/>
  <c r="AG16" i="35"/>
  <c r="AG58" i="35"/>
  <c r="AG404" i="35"/>
  <c r="AG421" i="35"/>
  <c r="AG380" i="35"/>
  <c r="AG360" i="35"/>
  <c r="AG361" i="35"/>
  <c r="AG193" i="35"/>
  <c r="AJ298" i="35"/>
  <c r="AJ199" i="35"/>
  <c r="AG422" i="35"/>
  <c r="AG143" i="35"/>
  <c r="AG9" i="35"/>
  <c r="AG2" i="35"/>
  <c r="AJ210" i="35"/>
  <c r="AJ244" i="35"/>
  <c r="AJ211" i="35"/>
  <c r="AJ209" i="35"/>
  <c r="AJ109" i="35"/>
  <c r="AJ8" i="35"/>
  <c r="AJ100" i="35"/>
  <c r="AC456" i="35"/>
  <c r="AC332" i="35"/>
  <c r="AC181" i="35"/>
  <c r="AJ475" i="35"/>
  <c r="AJ424" i="35"/>
  <c r="AJ359" i="35"/>
  <c r="AJ217" i="35"/>
  <c r="AJ121" i="35"/>
  <c r="AJ213" i="35"/>
  <c r="AJ128" i="35"/>
  <c r="AJ24" i="35"/>
  <c r="AD462" i="35"/>
  <c r="AD363" i="35"/>
  <c r="AD268" i="35"/>
  <c r="AD114" i="35"/>
  <c r="AD45" i="35"/>
  <c r="AG458" i="35"/>
  <c r="AG330" i="35"/>
  <c r="AJ309" i="35"/>
  <c r="AJ162" i="35"/>
  <c r="AJ192" i="35"/>
  <c r="AJ49" i="35"/>
  <c r="AJ163" i="35"/>
  <c r="AJ93" i="35"/>
  <c r="AJ12" i="35"/>
  <c r="AJ343" i="35"/>
  <c r="AJ390" i="35"/>
  <c r="AJ170" i="35"/>
  <c r="AG311" i="35"/>
  <c r="AG164" i="35"/>
  <c r="AJ471" i="35"/>
  <c r="AJ470" i="35"/>
  <c r="AJ236" i="35"/>
  <c r="AJ131" i="35"/>
  <c r="AJ151" i="35"/>
  <c r="AJ90" i="35"/>
  <c r="AJ47" i="35"/>
  <c r="AG257" i="35"/>
  <c r="AG134" i="35"/>
  <c r="AG398" i="35"/>
  <c r="AG430" i="35"/>
  <c r="AG206" i="35"/>
  <c r="AG205" i="35"/>
  <c r="AG28" i="35"/>
  <c r="AG3" i="35"/>
  <c r="AG25" i="35"/>
  <c r="AG388" i="35"/>
  <c r="AG244" i="35"/>
  <c r="AG210" i="35"/>
  <c r="AG209" i="35"/>
  <c r="AG211" i="35"/>
  <c r="AG109" i="35"/>
  <c r="AG100" i="35"/>
  <c r="AG8" i="35"/>
  <c r="AC388" i="35"/>
  <c r="AG462" i="35"/>
  <c r="AG363" i="35"/>
  <c r="AG268" i="35"/>
  <c r="AG114" i="35"/>
  <c r="AG45" i="35"/>
  <c r="M105" i="23"/>
  <c r="AD570" i="6" s="1"/>
  <c r="AD442" i="35"/>
  <c r="AD376" i="35"/>
  <c r="AD478" i="35"/>
  <c r="AD381" i="35"/>
  <c r="AD272" i="35"/>
  <c r="AD185" i="35"/>
  <c r="AD59" i="35"/>
  <c r="AD111" i="35"/>
  <c r="AC300" i="35"/>
  <c r="AC108" i="35"/>
  <c r="AC116" i="35"/>
  <c r="AC182" i="35"/>
  <c r="AD406" i="35"/>
  <c r="AD405" i="35"/>
  <c r="AD321" i="35"/>
  <c r="AD342" i="35"/>
  <c r="AD66" i="35"/>
  <c r="AG465" i="35"/>
  <c r="AG427" i="35"/>
  <c r="AG26" i="35"/>
  <c r="AG293" i="35"/>
  <c r="AD434" i="35"/>
  <c r="AJ415" i="35"/>
  <c r="AJ323" i="35"/>
  <c r="AJ325" i="35"/>
  <c r="AJ322" i="35"/>
  <c r="AJ324" i="35"/>
  <c r="AJ280" i="35"/>
  <c r="AJ203" i="35"/>
  <c r="AJ184" i="35"/>
  <c r="AG112" i="35"/>
  <c r="AJ247" i="35"/>
  <c r="AJ255" i="35"/>
  <c r="AJ219" i="35"/>
  <c r="AC440" i="35"/>
  <c r="AC392" i="35"/>
  <c r="AC140" i="35"/>
  <c r="AG416" i="35"/>
  <c r="AG279" i="35"/>
  <c r="AJ65" i="35"/>
  <c r="AJ437" i="35"/>
  <c r="AJ362" i="35"/>
  <c r="AJ335" i="35"/>
  <c r="AJ334" i="35"/>
  <c r="AJ246" i="35"/>
  <c r="AJ245" i="35"/>
  <c r="AJ88" i="35"/>
  <c r="AJ85" i="35"/>
  <c r="AJ421" i="35"/>
  <c r="AJ380" i="35"/>
  <c r="AJ360" i="35"/>
  <c r="AJ361" i="35"/>
  <c r="AJ404" i="35"/>
  <c r="AJ193" i="35"/>
  <c r="AJ439" i="35"/>
  <c r="AJ223" i="35"/>
  <c r="AJ302" i="35"/>
  <c r="AJ191" i="35"/>
  <c r="AJ139" i="35"/>
  <c r="AJ409" i="35"/>
  <c r="AJ394" i="35"/>
  <c r="AJ277" i="35"/>
  <c r="AJ129" i="35"/>
  <c r="AJ91" i="35"/>
  <c r="AJ477" i="35"/>
  <c r="AJ291" i="35"/>
  <c r="AJ292" i="35"/>
  <c r="AJ144" i="35"/>
  <c r="AJ23" i="35"/>
  <c r="AJ60" i="35"/>
  <c r="AJ20" i="35"/>
  <c r="AG471" i="35"/>
  <c r="AG470" i="35"/>
  <c r="AG236" i="35"/>
  <c r="AG131" i="35"/>
  <c r="AG151" i="35"/>
  <c r="AG90" i="35"/>
  <c r="AG47" i="35"/>
  <c r="AG436" i="35"/>
  <c r="AG317" i="35"/>
  <c r="AG148" i="35"/>
  <c r="AG150" i="35"/>
  <c r="AG196" i="35"/>
  <c r="AG214" i="35"/>
  <c r="AC311" i="35"/>
  <c r="AC164" i="35"/>
  <c r="AJ419" i="35"/>
  <c r="AJ264" i="35"/>
  <c r="AJ259" i="35"/>
  <c r="AG410" i="35"/>
  <c r="AG358" i="35"/>
  <c r="AG284" i="35"/>
  <c r="AG200" i="35"/>
  <c r="AG283" i="35"/>
  <c r="AG107" i="35"/>
  <c r="AG51" i="35"/>
  <c r="AC390" i="35"/>
  <c r="AC343" i="35"/>
  <c r="AC170" i="35"/>
  <c r="AC437" i="35"/>
  <c r="AC334" i="35"/>
  <c r="AC362" i="35"/>
  <c r="AC335" i="35"/>
  <c r="AC246" i="35"/>
  <c r="AC245" i="35"/>
  <c r="AC88" i="35"/>
  <c r="AC85" i="35"/>
  <c r="AG65" i="35"/>
  <c r="AD415" i="35"/>
  <c r="AD322" i="35"/>
  <c r="AD324" i="35"/>
  <c r="AD323" i="35"/>
  <c r="AD280" i="35"/>
  <c r="AD203" i="35"/>
  <c r="AD325" i="35"/>
  <c r="AD184" i="35"/>
  <c r="AD469" i="35"/>
  <c r="AD319" i="35"/>
  <c r="AD320" i="35"/>
  <c r="AC441" i="35"/>
  <c r="AC315" i="35"/>
  <c r="AC314" i="35"/>
  <c r="AC316" i="35"/>
  <c r="AC101" i="35"/>
  <c r="AC194" i="35"/>
  <c r="AG406" i="35"/>
  <c r="AG405" i="35"/>
  <c r="AG321" i="35"/>
  <c r="AG342" i="35"/>
  <c r="AG66" i="35"/>
  <c r="AD459" i="35"/>
  <c r="AD425" i="35"/>
  <c r="AD249" i="35"/>
  <c r="AD161" i="35"/>
  <c r="AD212" i="35"/>
  <c r="AC389" i="35"/>
  <c r="AC201" i="35"/>
  <c r="AC169" i="35"/>
  <c r="AC168" i="35"/>
  <c r="AC80" i="35"/>
  <c r="AC74" i="35"/>
  <c r="AD477" i="35"/>
  <c r="AD292" i="35"/>
  <c r="AD291" i="35"/>
  <c r="AD144" i="35"/>
  <c r="AD23" i="35"/>
  <c r="AD60" i="35"/>
  <c r="AD20" i="35"/>
  <c r="AD382" i="35"/>
  <c r="AD378" i="35"/>
  <c r="AD435" i="35"/>
  <c r="AD261" i="35"/>
  <c r="AD78" i="35"/>
  <c r="AD65" i="35"/>
  <c r="AD473" i="35"/>
  <c r="AD474" i="35"/>
  <c r="AD443" i="35"/>
  <c r="AD241" i="35"/>
  <c r="AD97" i="35"/>
  <c r="AD84" i="35"/>
  <c r="AC415" i="35"/>
  <c r="AC322" i="35"/>
  <c r="AC324" i="35"/>
  <c r="AC323" i="35"/>
  <c r="AC280" i="35"/>
  <c r="AC203" i="35"/>
  <c r="AC325" i="35"/>
  <c r="AC184" i="35"/>
  <c r="AD54" i="35"/>
  <c r="AG469" i="35"/>
  <c r="AG319" i="35"/>
  <c r="AG320" i="35"/>
  <c r="AG396" i="35"/>
  <c r="AC468" i="35"/>
  <c r="AC386" i="35"/>
  <c r="AC267" i="35"/>
  <c r="AC197" i="35"/>
  <c r="AC34" i="35"/>
  <c r="AC48" i="35"/>
  <c r="AD365" i="35"/>
  <c r="AD433" i="35"/>
  <c r="AD262" i="35"/>
  <c r="AJ306" i="35"/>
  <c r="AJ346" i="35"/>
  <c r="AJ417" i="35"/>
  <c r="AJ198" i="35"/>
  <c r="AJ31" i="35"/>
  <c r="AJ462" i="35"/>
  <c r="AJ363" i="35"/>
  <c r="AJ268" i="35"/>
  <c r="AJ114" i="35"/>
  <c r="AJ45" i="35"/>
  <c r="AJ435" i="35"/>
  <c r="AJ382" i="35"/>
  <c r="AJ378" i="35"/>
  <c r="AJ261" i="35"/>
  <c r="AJ78" i="35"/>
  <c r="AG137" i="35"/>
  <c r="AG123" i="35"/>
  <c r="AG118" i="35"/>
  <c r="AG403" i="35"/>
  <c r="AG310" i="35"/>
  <c r="AG99" i="35"/>
  <c r="AJ112" i="35"/>
  <c r="AG426" i="35"/>
  <c r="AG138" i="35"/>
  <c r="AG124" i="35"/>
  <c r="AG35" i="35"/>
  <c r="AG82" i="35"/>
  <c r="AG21" i="35"/>
  <c r="AG7" i="35"/>
  <c r="AG117" i="35"/>
  <c r="AC250" i="35"/>
  <c r="AC216" i="35"/>
  <c r="AC248" i="35"/>
  <c r="AC186" i="35"/>
  <c r="AD449" i="35"/>
  <c r="AD238" i="35"/>
  <c r="AD141" i="35"/>
  <c r="AD95" i="35"/>
  <c r="AD392" i="35"/>
  <c r="AD440" i="35"/>
  <c r="AD140" i="35"/>
  <c r="AJ391" i="35"/>
  <c r="AJ448" i="35"/>
  <c r="AG96" i="35"/>
  <c r="AD417" i="35"/>
  <c r="AD346" i="35"/>
  <c r="AD306" i="35"/>
  <c r="AD198" i="35"/>
  <c r="AD31" i="35"/>
  <c r="AG420" i="35"/>
  <c r="AG357" i="35"/>
  <c r="AG356" i="35"/>
  <c r="AG146" i="35"/>
  <c r="AG103" i="35"/>
  <c r="AG188" i="35"/>
  <c r="AG135" i="35"/>
  <c r="AG22" i="35"/>
  <c r="AG453" i="35"/>
  <c r="AG318" i="35"/>
  <c r="AD458" i="35"/>
  <c r="AD330" i="35"/>
  <c r="AG423" i="35"/>
  <c r="AG348" i="35"/>
  <c r="AG402" i="35"/>
  <c r="AG230" i="35"/>
  <c r="AG229" i="35"/>
  <c r="AG178" i="35"/>
  <c r="AG18" i="35"/>
  <c r="AC457" i="35"/>
  <c r="AC351" i="35"/>
  <c r="AC353" i="35"/>
  <c r="AC355" i="35"/>
  <c r="AC233" i="35"/>
  <c r="AC354" i="35"/>
  <c r="AC189" i="35"/>
  <c r="AJ204" i="35"/>
  <c r="AJ286" i="35"/>
  <c r="AJ133" i="35"/>
  <c r="AG370" i="35"/>
  <c r="AG447" i="35"/>
  <c r="AJ134" i="35"/>
  <c r="AJ257" i="35"/>
  <c r="AG183" i="35"/>
  <c r="AG70" i="35"/>
  <c r="M121" i="23"/>
  <c r="AD670" i="6" s="1"/>
  <c r="AD347" i="35"/>
  <c r="AD63" i="35"/>
  <c r="AD83" i="35"/>
  <c r="AJ444" i="35"/>
  <c r="AJ371" i="35"/>
  <c r="AJ242" i="35"/>
  <c r="AJ180" i="35"/>
  <c r="AJ179" i="35"/>
  <c r="AJ79" i="35"/>
  <c r="AJ403" i="35"/>
  <c r="AJ310" i="35"/>
  <c r="AJ99" i="35"/>
  <c r="AC478" i="35"/>
  <c r="AC381" i="35"/>
  <c r="AC272" i="35"/>
  <c r="AC111" i="35"/>
  <c r="AC59" i="35"/>
  <c r="AC185" i="35"/>
  <c r="AG414" i="35"/>
  <c r="AG274" i="35"/>
  <c r="AG273" i="35"/>
  <c r="AG72" i="35"/>
  <c r="AG102" i="35"/>
  <c r="AG395" i="35"/>
  <c r="AG105" i="35"/>
  <c r="AG87" i="35"/>
  <c r="AJ432" i="35"/>
  <c r="AJ127" i="35"/>
  <c r="AC396" i="35"/>
  <c r="AD447" i="35"/>
  <c r="AD370" i="35"/>
  <c r="AG378" i="35"/>
  <c r="AG382" i="35"/>
  <c r="AG435" i="35"/>
  <c r="AG261" i="35"/>
  <c r="AG78" i="35"/>
  <c r="AD476" i="35"/>
  <c r="AD222" i="35"/>
  <c r="AD174" i="35"/>
  <c r="AD55" i="35"/>
  <c r="AD307" i="35"/>
  <c r="AD375" i="35"/>
  <c r="AD301" i="35"/>
  <c r="AD308" i="35"/>
  <c r="AD156" i="35"/>
  <c r="AD16" i="35"/>
  <c r="AD58" i="35"/>
  <c r="AD19" i="35"/>
  <c r="AD40" i="35"/>
  <c r="AD4" i="35"/>
  <c r="AC462" i="35"/>
  <c r="AC363" i="35"/>
  <c r="AC268" i="35"/>
  <c r="AC114" i="35"/>
  <c r="AC45" i="35"/>
  <c r="AG312" i="35"/>
  <c r="AG297" i="35"/>
  <c r="AG296" i="35"/>
  <c r="AG226" i="35"/>
  <c r="AC407" i="35"/>
  <c r="AC165" i="35"/>
  <c r="AC69" i="35"/>
  <c r="AC67" i="35"/>
  <c r="AD234" i="35"/>
  <c r="AD239" i="35"/>
  <c r="AD235" i="35"/>
  <c r="AD15" i="35"/>
  <c r="AD14" i="35"/>
  <c r="AC413" i="35"/>
  <c r="AC275" i="35"/>
  <c r="AC276" i="35"/>
  <c r="AC382" i="35"/>
  <c r="AC378" i="35"/>
  <c r="AC435" i="35"/>
  <c r="AC261" i="35"/>
  <c r="AC78" i="35"/>
  <c r="AD403" i="35"/>
  <c r="AD310" i="35"/>
  <c r="AD99" i="35"/>
  <c r="AD426" i="35"/>
  <c r="AD124" i="35"/>
  <c r="AD117" i="35"/>
  <c r="AD138" i="35"/>
  <c r="AD35" i="35"/>
  <c r="AD82" i="35"/>
  <c r="AD21" i="35"/>
  <c r="AD7" i="35"/>
  <c r="AD429" i="35"/>
  <c r="AD329" i="35"/>
  <c r="AD171" i="35"/>
  <c r="AD173" i="35"/>
  <c r="AD172" i="35"/>
  <c r="AC221" i="35"/>
  <c r="AC5" i="35"/>
  <c r="AJ212" i="35"/>
  <c r="AJ249" i="35"/>
  <c r="AJ161" i="35"/>
  <c r="AJ405" i="35"/>
  <c r="AJ321" i="35"/>
  <c r="AJ342" i="35"/>
  <c r="AJ406" i="35"/>
  <c r="AJ66" i="35"/>
  <c r="AD387" i="35"/>
  <c r="AD46" i="35"/>
  <c r="AG397" i="35"/>
  <c r="AG313" i="35"/>
  <c r="AG68" i="35"/>
  <c r="AG39" i="35"/>
  <c r="AG13" i="35"/>
  <c r="AG384" i="35"/>
  <c r="AG106" i="35"/>
  <c r="AG104" i="35"/>
  <c r="AJ347" i="35"/>
  <c r="AJ63" i="35"/>
  <c r="AJ83" i="35"/>
  <c r="AJ446" i="35"/>
  <c r="AJ373" i="35"/>
  <c r="AJ372" i="35"/>
  <c r="AJ339" i="35"/>
  <c r="AJ92" i="35"/>
  <c r="AJ76" i="35"/>
  <c r="AD219" i="35"/>
  <c r="AD255" i="35"/>
  <c r="AJ120" i="35"/>
  <c r="AJ399" i="35"/>
  <c r="AJ336" i="35"/>
  <c r="AJ304" i="35"/>
  <c r="AJ145" i="35"/>
  <c r="AJ158" i="35"/>
  <c r="AJ52" i="35"/>
  <c r="AJ340" i="35"/>
  <c r="AJ278" i="35"/>
  <c r="AJ341" i="35"/>
  <c r="AJ115" i="35"/>
  <c r="AG251" i="35"/>
  <c r="AG167" i="35"/>
  <c r="AD309" i="35"/>
  <c r="AD163" i="35"/>
  <c r="AD93" i="35"/>
  <c r="AD192" i="35"/>
  <c r="AD12" i="35"/>
  <c r="AD162" i="35"/>
  <c r="AD49" i="35"/>
  <c r="AJ295" i="35"/>
  <c r="AJ252" i="35"/>
  <c r="AJ175" i="35"/>
  <c r="AJ62" i="35"/>
  <c r="AJ64" i="35"/>
  <c r="AJ474" i="35"/>
  <c r="AJ443" i="35"/>
  <c r="AJ473" i="35"/>
  <c r="AJ241" i="35"/>
  <c r="AJ97" i="35"/>
  <c r="AJ84" i="35"/>
  <c r="AG419" i="35"/>
  <c r="AG259" i="35"/>
  <c r="AG264" i="35"/>
  <c r="AD295" i="35"/>
  <c r="AD252" i="35"/>
  <c r="AD175" i="35"/>
  <c r="AD64" i="35"/>
  <c r="AD62" i="35"/>
  <c r="AJ461" i="35"/>
  <c r="AJ428" i="35"/>
  <c r="AJ385" i="35"/>
  <c r="AJ71" i="35"/>
  <c r="AJ248" i="35"/>
  <c r="AJ186" i="35"/>
  <c r="AJ216" i="35"/>
  <c r="AJ250" i="35"/>
  <c r="AJ53" i="35"/>
  <c r="AJ43" i="35"/>
  <c r="AJ190" i="35"/>
  <c r="AJ240" i="35"/>
  <c r="AJ57" i="35"/>
  <c r="AD11" i="35"/>
  <c r="AD240" i="35"/>
  <c r="AD190" i="35"/>
  <c r="AD57" i="35"/>
  <c r="AC65" i="35"/>
  <c r="AG379" i="35"/>
  <c r="AG412" i="35"/>
  <c r="AG333" i="35"/>
  <c r="AG75" i="35"/>
  <c r="AD409" i="35"/>
  <c r="AD394" i="35"/>
  <c r="AD277" i="35"/>
  <c r="AD129" i="35"/>
  <c r="AD91" i="35"/>
  <c r="AD457" i="35"/>
  <c r="AD351" i="35"/>
  <c r="AD353" i="35"/>
  <c r="AD355" i="35"/>
  <c r="AD233" i="35"/>
  <c r="AD354" i="35"/>
  <c r="AD189" i="35"/>
  <c r="AG429" i="35"/>
  <c r="AG329" i="35"/>
  <c r="AG171" i="35"/>
  <c r="AG173" i="35"/>
  <c r="AG172" i="35"/>
  <c r="AD120" i="35"/>
  <c r="AJ96" i="35"/>
  <c r="AJ326" i="35"/>
  <c r="AJ328" i="35"/>
  <c r="AJ254" i="35"/>
  <c r="AJ266" i="35"/>
  <c r="AJ263" i="35"/>
  <c r="AJ253" i="35"/>
  <c r="AJ327" i="35"/>
  <c r="AJ125" i="35"/>
  <c r="AJ265" i="35"/>
  <c r="AG227" i="35"/>
  <c r="AG142" i="35"/>
  <c r="AJ411" i="35"/>
  <c r="AJ467" i="35"/>
  <c r="AJ271" i="35"/>
  <c r="AJ113" i="35"/>
  <c r="AJ27" i="35"/>
  <c r="AJ50" i="35"/>
  <c r="AJ38" i="35"/>
  <c r="AJ460" i="35"/>
  <c r="AJ452" i="35"/>
  <c r="AJ367" i="35"/>
  <c r="AJ369" i="35"/>
  <c r="AJ366" i="35"/>
  <c r="AJ368" i="35"/>
  <c r="AJ119" i="35"/>
  <c r="AJ10" i="35"/>
  <c r="AJ54" i="35"/>
  <c r="AJ407" i="35"/>
  <c r="AJ165" i="35"/>
  <c r="AJ67" i="35"/>
  <c r="AJ69" i="35"/>
  <c r="AD424" i="35"/>
  <c r="AD475" i="35"/>
  <c r="AD359" i="35"/>
  <c r="AD213" i="35"/>
  <c r="AD128" i="35"/>
  <c r="AD121" i="35"/>
  <c r="AD217" i="35"/>
  <c r="AD24" i="35"/>
  <c r="AJ423" i="35"/>
  <c r="AJ348" i="35"/>
  <c r="AJ402" i="35"/>
  <c r="AJ230" i="35"/>
  <c r="AJ229" i="35"/>
  <c r="AJ178" i="35"/>
  <c r="AJ18" i="35"/>
  <c r="AJ401" i="35"/>
  <c r="AJ32" i="35"/>
  <c r="AJ297" i="35"/>
  <c r="AJ312" i="35"/>
  <c r="AJ296" i="35"/>
  <c r="AJ226" i="35"/>
  <c r="AJ413" i="35"/>
  <c r="AJ276" i="35"/>
  <c r="AJ275" i="35"/>
  <c r="AJ408" i="35"/>
  <c r="AJ466" i="35"/>
  <c r="AJ290" i="35"/>
  <c r="AJ232" i="35"/>
  <c r="AJ147" i="35"/>
  <c r="AJ122" i="35"/>
  <c r="AJ187" i="35"/>
  <c r="AJ73" i="35"/>
  <c r="AD260" i="35"/>
  <c r="AG399" i="35"/>
  <c r="AG336" i="35"/>
  <c r="AG304" i="35"/>
  <c r="AG145" i="35"/>
  <c r="AG158" i="35"/>
  <c r="AG52" i="35"/>
  <c r="AJ375" i="35"/>
  <c r="AJ301" i="35"/>
  <c r="AJ307" i="35"/>
  <c r="AJ308" i="35"/>
  <c r="AJ156" i="35"/>
  <c r="AJ16" i="35"/>
  <c r="AJ58" i="35"/>
  <c r="M13" i="23"/>
  <c r="AD43" i="35"/>
  <c r="AD53" i="35"/>
  <c r="M82" i="23"/>
  <c r="AD396" i="35"/>
  <c r="AD418" i="35"/>
  <c r="AD374" i="35"/>
  <c r="AD377" i="35"/>
  <c r="AD305" i="35"/>
  <c r="AC416" i="35"/>
  <c r="AC279" i="35"/>
  <c r="AG433" i="35"/>
  <c r="AG365" i="35"/>
  <c r="AG262" i="35"/>
  <c r="AJ389" i="35"/>
  <c r="AJ169" i="35"/>
  <c r="AJ201" i="35"/>
  <c r="AJ168" i="35"/>
  <c r="AJ74" i="35"/>
  <c r="AJ80" i="35"/>
  <c r="AD461" i="35"/>
  <c r="AD385" i="35"/>
  <c r="AD428" i="35"/>
  <c r="AD71" i="35"/>
  <c r="M73" i="23"/>
  <c r="AD300" i="35"/>
  <c r="AD182" i="35"/>
  <c r="AD108" i="35"/>
  <c r="AD116" i="35"/>
  <c r="AG440" i="35"/>
  <c r="AG392" i="35"/>
  <c r="AG140" i="35"/>
  <c r="AC255" i="35"/>
  <c r="AC219" i="35"/>
  <c r="L95" i="23"/>
  <c r="AC678" i="6" s="1"/>
  <c r="AD453" i="35"/>
  <c r="AD318" i="35"/>
  <c r="AJ300" i="35"/>
  <c r="AJ116" i="35"/>
  <c r="AJ182" i="35"/>
  <c r="AJ108" i="35"/>
  <c r="AG477" i="35"/>
  <c r="AG291" i="35"/>
  <c r="AG292" i="35"/>
  <c r="AG144" i="35"/>
  <c r="AG23" i="35"/>
  <c r="AG60" i="35"/>
  <c r="AG20" i="35"/>
  <c r="AC137" i="35"/>
  <c r="AC123" i="35"/>
  <c r="AC118" i="35"/>
  <c r="AC412" i="35"/>
  <c r="AC379" i="35"/>
  <c r="AC333" i="35"/>
  <c r="AC75" i="35"/>
  <c r="AC400" i="35"/>
  <c r="AC126" i="35"/>
  <c r="AC160" i="35"/>
  <c r="AJ256" i="35"/>
  <c r="AD460" i="35"/>
  <c r="AD452" i="35"/>
  <c r="AD368" i="35"/>
  <c r="AD367" i="35"/>
  <c r="AD369" i="35"/>
  <c r="AD366" i="35"/>
  <c r="AD119" i="35"/>
  <c r="AD10" i="35"/>
  <c r="AG444" i="35"/>
  <c r="AG371" i="35"/>
  <c r="AG242" i="35"/>
  <c r="AG180" i="35"/>
  <c r="AG79" i="35"/>
  <c r="AG179" i="35"/>
  <c r="AG300" i="35"/>
  <c r="AG116" i="35"/>
  <c r="AG182" i="35"/>
  <c r="AG108" i="35"/>
  <c r="AD410" i="35"/>
  <c r="AD358" i="35"/>
  <c r="AD284" i="35"/>
  <c r="AD200" i="35"/>
  <c r="AD283" i="35"/>
  <c r="AD107" i="35"/>
  <c r="AD51" i="35"/>
  <c r="AC370" i="35"/>
  <c r="AC447" i="35"/>
  <c r="AC459" i="35"/>
  <c r="AC425" i="35"/>
  <c r="AC464" i="35"/>
  <c r="AC285" i="35"/>
  <c r="AC294" i="35"/>
  <c r="AC177" i="35"/>
  <c r="AC159" i="35"/>
  <c r="AC176" i="35"/>
  <c r="AC94" i="35"/>
  <c r="AC44" i="35"/>
  <c r="AC397" i="35"/>
  <c r="AC313" i="35"/>
  <c r="AC68" i="35"/>
  <c r="AC39" i="35"/>
  <c r="AC13" i="35"/>
  <c r="AC426" i="35"/>
  <c r="AC124" i="35"/>
  <c r="AC35" i="35"/>
  <c r="AC82" i="35"/>
  <c r="AC21" i="35"/>
  <c r="AC7" i="35"/>
  <c r="AC138" i="35"/>
  <c r="AC117" i="35"/>
  <c r="AD439" i="35"/>
  <c r="AD223" i="35"/>
  <c r="AD302" i="35"/>
  <c r="AD191" i="35"/>
  <c r="AD139" i="35"/>
  <c r="AD431" i="35"/>
  <c r="AD393" i="35"/>
  <c r="AD383" i="35"/>
  <c r="AD331" i="35"/>
  <c r="AD195" i="35"/>
  <c r="AD281" i="35"/>
  <c r="AD207" i="35"/>
  <c r="AD153" i="35"/>
  <c r="AD155" i="35"/>
  <c r="AD157" i="35"/>
  <c r="AD282" i="35"/>
  <c r="AD152" i="35"/>
  <c r="AD208" i="35"/>
  <c r="AD154" i="35"/>
  <c r="AC409" i="35"/>
  <c r="AC394" i="35"/>
  <c r="AC277" i="35"/>
  <c r="AC91" i="35"/>
  <c r="AC129" i="35"/>
  <c r="AC43" i="35"/>
  <c r="AC53" i="35"/>
  <c r="AJ397" i="35"/>
  <c r="AJ313" i="35"/>
  <c r="AJ39" i="35"/>
  <c r="AJ13" i="35"/>
  <c r="AJ68" i="35"/>
  <c r="AJ11" i="35"/>
  <c r="L63" i="23"/>
  <c r="AD391" i="35"/>
  <c r="AD448" i="35"/>
  <c r="AJ447" i="35"/>
  <c r="AJ370" i="35"/>
  <c r="AC247" i="35"/>
  <c r="AJ458" i="35"/>
  <c r="AJ330" i="35"/>
  <c r="AJ225" i="35"/>
  <c r="AJ81" i="35"/>
  <c r="AD416" i="35"/>
  <c r="AD279" i="35"/>
  <c r="AG221" i="35"/>
  <c r="AG5" i="35"/>
  <c r="AJ449" i="35"/>
  <c r="AJ238" i="35"/>
  <c r="AJ141" i="35"/>
  <c r="AJ95" i="35"/>
  <c r="AJ457" i="35"/>
  <c r="AJ355" i="35"/>
  <c r="AJ354" i="35"/>
  <c r="AJ233" i="35"/>
  <c r="AJ351" i="35"/>
  <c r="AJ189" i="35"/>
  <c r="AJ353" i="35"/>
  <c r="L21" i="23"/>
  <c r="AD296" i="35"/>
  <c r="AD226" i="35"/>
  <c r="AD297" i="35"/>
  <c r="AD312" i="35"/>
  <c r="AJ4" i="35"/>
  <c r="AJ40" i="35"/>
  <c r="AJ19" i="35"/>
  <c r="AC347" i="35"/>
  <c r="AC83" i="35"/>
  <c r="AC63" i="35"/>
  <c r="AC112" i="35"/>
  <c r="AG309" i="35"/>
  <c r="AG163" i="35"/>
  <c r="AG162" i="35"/>
  <c r="AG192" i="35"/>
  <c r="AG93" i="35"/>
  <c r="AG12" i="35"/>
  <c r="AG49" i="35"/>
  <c r="L52" i="23"/>
  <c r="AD327" i="35"/>
  <c r="AD326" i="35"/>
  <c r="AD328" i="35"/>
  <c r="AD265" i="35"/>
  <c r="AD254" i="35"/>
  <c r="AD266" i="35"/>
  <c r="AD263" i="35"/>
  <c r="AD253" i="35"/>
  <c r="AD125" i="35"/>
  <c r="AG376" i="35"/>
  <c r="AG442" i="35"/>
  <c r="AC442" i="35"/>
  <c r="AC376" i="35"/>
  <c r="AJ433" i="35"/>
  <c r="AJ262" i="35"/>
  <c r="AJ365" i="35"/>
  <c r="AC402" i="35"/>
  <c r="AC423" i="35"/>
  <c r="AC348" i="35"/>
  <c r="AC229" i="35"/>
  <c r="AC230" i="35"/>
  <c r="AC178" i="35"/>
  <c r="AC18" i="35"/>
  <c r="AC249" i="35"/>
  <c r="AC161" i="35"/>
  <c r="AC212" i="35"/>
  <c r="AC449" i="35"/>
  <c r="AC238" i="35"/>
  <c r="AC141" i="35"/>
  <c r="AC95" i="35"/>
  <c r="AD413" i="35"/>
  <c r="AD275" i="35"/>
  <c r="AD276" i="35"/>
  <c r="AD256" i="35"/>
  <c r="AC240" i="35"/>
  <c r="AC190" i="35"/>
  <c r="AC57" i="35"/>
  <c r="AC293" i="35"/>
  <c r="AC404" i="35"/>
  <c r="AC421" i="35"/>
  <c r="AC361" i="35"/>
  <c r="AC380" i="35"/>
  <c r="AC360" i="35"/>
  <c r="AC193" i="35"/>
  <c r="AG19" i="35"/>
  <c r="AG40" i="35"/>
  <c r="AG4" i="35"/>
  <c r="AC461" i="35"/>
  <c r="AC428" i="35"/>
  <c r="AC385" i="35"/>
  <c r="AC71" i="35"/>
  <c r="AC473" i="35"/>
  <c r="AC474" i="35"/>
  <c r="AC443" i="35"/>
  <c r="AC241" i="35"/>
  <c r="AC97" i="35"/>
  <c r="AC84" i="35"/>
  <c r="AD414" i="35"/>
  <c r="AD274" i="35"/>
  <c r="AD273" i="35"/>
  <c r="AD102" i="35"/>
  <c r="AD72" i="35"/>
  <c r="AG456" i="35"/>
  <c r="AG332" i="35"/>
  <c r="AG181" i="35"/>
  <c r="AJ465" i="35"/>
  <c r="AJ427" i="35"/>
  <c r="AJ26" i="35"/>
  <c r="AD456" i="35"/>
  <c r="AD332" i="35"/>
  <c r="AD181" i="35"/>
  <c r="AG461" i="35"/>
  <c r="AG428" i="35"/>
  <c r="AG385" i="35"/>
  <c r="AG71" i="35"/>
  <c r="AG347" i="35"/>
  <c r="AG63" i="35"/>
  <c r="AG83" i="35"/>
  <c r="AG256" i="35"/>
  <c r="AG450" i="35"/>
  <c r="AG228" i="35"/>
  <c r="AJ463" i="35"/>
  <c r="AJ132" i="35"/>
  <c r="AJ166" i="35"/>
  <c r="AJ472" i="35"/>
  <c r="AJ438" i="35"/>
  <c r="AJ345" i="35"/>
  <c r="AJ352" i="35"/>
  <c r="AJ243" i="35"/>
  <c r="AJ220" i="35"/>
  <c r="AJ224" i="35"/>
  <c r="AJ42" i="35"/>
  <c r="AJ29" i="35"/>
  <c r="AJ41" i="35"/>
  <c r="AJ17" i="35"/>
  <c r="AJ33" i="35"/>
  <c r="AJ376" i="35"/>
  <c r="AJ442" i="35"/>
  <c r="AG455" i="35"/>
  <c r="AG231" i="35"/>
  <c r="AG353" i="35"/>
  <c r="AG355" i="35"/>
  <c r="AG354" i="35"/>
  <c r="AG233" i="35"/>
  <c r="AG457" i="35"/>
  <c r="AG351" i="35"/>
  <c r="AG189" i="35"/>
  <c r="AC257" i="35"/>
  <c r="AC134" i="35"/>
  <c r="AC387" i="35"/>
  <c r="AC46" i="35"/>
  <c r="AJ422" i="35"/>
  <c r="AJ143" i="35"/>
  <c r="AJ9" i="35"/>
  <c r="AJ2" i="35"/>
  <c r="AG326" i="35"/>
  <c r="AG328" i="35"/>
  <c r="AG254" i="35"/>
  <c r="AG266" i="35"/>
  <c r="AG265" i="35"/>
  <c r="AG327" i="35"/>
  <c r="AG125" i="35"/>
  <c r="AG263" i="35"/>
  <c r="AG253" i="35"/>
  <c r="AC450" i="35"/>
  <c r="AC228" i="35"/>
  <c r="L97" i="23"/>
  <c r="AD218" i="35"/>
  <c r="AD77" i="35"/>
  <c r="AJ311" i="35"/>
  <c r="AJ164" i="35"/>
  <c r="AC431" i="35"/>
  <c r="AC383" i="35"/>
  <c r="AC282" i="35"/>
  <c r="AC393" i="35"/>
  <c r="AC331" i="35"/>
  <c r="AC281" i="35"/>
  <c r="AC208" i="35"/>
  <c r="AC153" i="35"/>
  <c r="AC155" i="35"/>
  <c r="AC157" i="35"/>
  <c r="AC195" i="35"/>
  <c r="AC152" i="35"/>
  <c r="AC154" i="35"/>
  <c r="AC207" i="35"/>
  <c r="AG418" i="35"/>
  <c r="AG374" i="35"/>
  <c r="AG377" i="35"/>
  <c r="AG305" i="35"/>
  <c r="AC234" i="35"/>
  <c r="AC239" i="35"/>
  <c r="AC235" i="35"/>
  <c r="AC15" i="35"/>
  <c r="AC14" i="35"/>
  <c r="AC349" i="35"/>
  <c r="AC445" i="35"/>
  <c r="AC350" i="35"/>
  <c r="AC110" i="35"/>
  <c r="AC89" i="35"/>
  <c r="AD311" i="35"/>
  <c r="AD164" i="35"/>
  <c r="AD464" i="35"/>
  <c r="AD285" i="35"/>
  <c r="AD294" i="35"/>
  <c r="AD159" i="35"/>
  <c r="AD176" i="35"/>
  <c r="AD94" i="35"/>
  <c r="AD44" i="35"/>
  <c r="AD177" i="35"/>
  <c r="AD379" i="35"/>
  <c r="AD412" i="35"/>
  <c r="AD333" i="35"/>
  <c r="AD75" i="35"/>
  <c r="AC120" i="35"/>
  <c r="AC414" i="35"/>
  <c r="AC273" i="35"/>
  <c r="AC274" i="35"/>
  <c r="AC72" i="35"/>
  <c r="AC102" i="35"/>
  <c r="AD454" i="35"/>
  <c r="AD270" i="35"/>
  <c r="AD269" i="35"/>
  <c r="AD136" i="35"/>
  <c r="AD6" i="35"/>
  <c r="AD400" i="35"/>
  <c r="AD126" i="35"/>
  <c r="AD160" i="35"/>
  <c r="AJ469" i="35"/>
  <c r="AJ320" i="35"/>
  <c r="AJ319" i="35"/>
  <c r="AD399" i="35"/>
  <c r="AD336" i="35"/>
  <c r="AD304" i="35"/>
  <c r="AD145" i="35"/>
  <c r="AD158" i="35"/>
  <c r="AD52" i="35"/>
  <c r="AG400" i="35"/>
  <c r="AG160" i="35"/>
  <c r="AG126" i="35"/>
  <c r="AG255" i="35"/>
  <c r="AG219" i="35"/>
  <c r="AD401" i="35"/>
  <c r="AD32" i="35"/>
  <c r="AG364" i="35"/>
  <c r="AG202" i="35"/>
  <c r="AG299" i="35"/>
  <c r="AG303" i="35"/>
  <c r="AG344" i="35"/>
  <c r="AG30" i="35"/>
  <c r="AG36" i="35"/>
  <c r="AJ61" i="35"/>
  <c r="AD356" i="35"/>
  <c r="AD420" i="35"/>
  <c r="AD357" i="35"/>
  <c r="AD135" i="35"/>
  <c r="AD146" i="35"/>
  <c r="AD103" i="35"/>
  <c r="AD188" i="35"/>
  <c r="AD22" i="35"/>
  <c r="AJ260" i="35"/>
  <c r="AG437" i="35"/>
  <c r="AG362" i="35"/>
  <c r="AG335" i="35"/>
  <c r="AG334" i="35"/>
  <c r="AG246" i="35"/>
  <c r="AG245" i="35"/>
  <c r="AG88" i="35"/>
  <c r="AG85" i="35"/>
  <c r="AJ388" i="35"/>
  <c r="AJ436" i="35"/>
  <c r="AJ317" i="35"/>
  <c r="AJ214" i="35"/>
  <c r="AJ150" i="35"/>
  <c r="AJ196" i="35"/>
  <c r="AJ148" i="35"/>
  <c r="AG449" i="35"/>
  <c r="AG238" i="35"/>
  <c r="AG141" i="35"/>
  <c r="AG95" i="35"/>
  <c r="AC11" i="35"/>
  <c r="AD341" i="35"/>
  <c r="AD340" i="35"/>
  <c r="AD278" i="35"/>
  <c r="AD115" i="35"/>
  <c r="AD293" i="35"/>
  <c r="AC476" i="35"/>
  <c r="AC222" i="35"/>
  <c r="AC174" i="35"/>
  <c r="AC55" i="35"/>
  <c r="AC458" i="35"/>
  <c r="AC330" i="35"/>
  <c r="AG451" i="35"/>
  <c r="AG338" i="35"/>
  <c r="AG337" i="35"/>
  <c r="AG215" i="35"/>
  <c r="AG149" i="35"/>
  <c r="AG237" i="35"/>
  <c r="AG56" i="35"/>
  <c r="AG86" i="35"/>
  <c r="AD287" i="35"/>
  <c r="AD289" i="35"/>
  <c r="AD288" i="35"/>
  <c r="AD37" i="35"/>
  <c r="AD465" i="35"/>
  <c r="AD427" i="35"/>
  <c r="AD26" i="35"/>
  <c r="AC260" i="35"/>
  <c r="AG218" i="35"/>
  <c r="AG77" i="35"/>
  <c r="AC408" i="35"/>
  <c r="AC466" i="35"/>
  <c r="AC290" i="35"/>
  <c r="AC232" i="35"/>
  <c r="AC122" i="35"/>
  <c r="AC187" i="35"/>
  <c r="AC73" i="35"/>
  <c r="AC147" i="35"/>
  <c r="AC96" i="35"/>
  <c r="AG258" i="35"/>
  <c r="AG130" i="35"/>
  <c r="AG98" i="35"/>
  <c r="AJ429" i="35"/>
  <c r="AJ329" i="35"/>
  <c r="AJ173" i="35"/>
  <c r="AJ172" i="35"/>
  <c r="AJ171" i="35"/>
  <c r="AG240" i="35"/>
  <c r="AG190" i="35"/>
  <c r="AG57" i="35"/>
  <c r="AG460" i="35"/>
  <c r="AG452" i="35"/>
  <c r="AG367" i="35"/>
  <c r="AG369" i="35"/>
  <c r="AG366" i="35"/>
  <c r="AG368" i="35"/>
  <c r="AG119" i="35"/>
  <c r="AG10" i="35"/>
  <c r="AC453" i="35"/>
  <c r="AC318" i="35"/>
  <c r="AG472" i="35"/>
  <c r="AG438" i="35"/>
  <c r="AG345" i="35"/>
  <c r="AG352" i="35"/>
  <c r="AG243" i="35"/>
  <c r="AG220" i="35"/>
  <c r="AG224" i="35"/>
  <c r="AG33" i="35"/>
  <c r="AG42" i="35"/>
  <c r="AG29" i="35"/>
  <c r="AG41" i="35"/>
  <c r="AG17" i="35"/>
  <c r="AJ454" i="35"/>
  <c r="AJ269" i="35"/>
  <c r="AJ270" i="35"/>
  <c r="AJ136" i="35"/>
  <c r="AJ6" i="35"/>
  <c r="AJ426" i="35"/>
  <c r="AJ138" i="35"/>
  <c r="AJ124" i="35"/>
  <c r="AJ117" i="35"/>
  <c r="AJ82" i="35"/>
  <c r="AJ21" i="35"/>
  <c r="AJ7" i="35"/>
  <c r="AJ35" i="35"/>
  <c r="AG407" i="35"/>
  <c r="AG165" i="35"/>
  <c r="AG67" i="35"/>
  <c r="AG69" i="35"/>
  <c r="AD441" i="35"/>
  <c r="AD315" i="35"/>
  <c r="AD314" i="35"/>
  <c r="AD316" i="35"/>
  <c r="AD194" i="35"/>
  <c r="AD101" i="35"/>
  <c r="M100" i="23"/>
  <c r="AD651" i="6" s="1"/>
  <c r="AD408" i="35"/>
  <c r="AD466" i="35"/>
  <c r="AD232" i="35"/>
  <c r="AD290" i="35"/>
  <c r="AD187" i="35"/>
  <c r="AD147" i="35"/>
  <c r="AD122" i="35"/>
  <c r="AD73" i="35"/>
  <c r="AG387" i="35"/>
  <c r="AG46" i="35"/>
  <c r="AC251" i="35"/>
  <c r="AC167" i="35"/>
  <c r="AG53" i="35"/>
  <c r="AG43" i="35"/>
  <c r="AC384" i="35"/>
  <c r="AC106" i="35"/>
  <c r="AC104" i="35"/>
  <c r="AC470" i="35"/>
  <c r="AC471" i="35"/>
  <c r="AC236" i="35"/>
  <c r="AC151" i="35"/>
  <c r="AC90" i="35"/>
  <c r="AC131" i="35"/>
  <c r="AC47" i="35"/>
  <c r="AJ235" i="35"/>
  <c r="AJ239" i="35"/>
  <c r="AJ234" i="35"/>
  <c r="AJ14" i="35"/>
  <c r="AJ15" i="35"/>
  <c r="AC460" i="35"/>
  <c r="AC452" i="35"/>
  <c r="AC368" i="35"/>
  <c r="AC367" i="35"/>
  <c r="AC369" i="35"/>
  <c r="AC366" i="35"/>
  <c r="AC119" i="35"/>
  <c r="AC10" i="35"/>
  <c r="AG454" i="35"/>
  <c r="AG269" i="35"/>
  <c r="AG270" i="35"/>
  <c r="AG136" i="35"/>
  <c r="AG6" i="35"/>
  <c r="AD455" i="35"/>
  <c r="AD231" i="35"/>
  <c r="AD221" i="35"/>
  <c r="AD5" i="35"/>
  <c r="AG401" i="35"/>
  <c r="AG32" i="35"/>
  <c r="AC439" i="35"/>
  <c r="AC302" i="35"/>
  <c r="AC191" i="35"/>
  <c r="AC223" i="35"/>
  <c r="AC139" i="35"/>
  <c r="AC436" i="35"/>
  <c r="AC317" i="35"/>
  <c r="AC148" i="35"/>
  <c r="AC196" i="35"/>
  <c r="AC150" i="35"/>
  <c r="AC214" i="35"/>
  <c r="AC433" i="35"/>
  <c r="AC365" i="35"/>
  <c r="AC262" i="35"/>
  <c r="AG247" i="35"/>
  <c r="AG478" i="35"/>
  <c r="AG381" i="35"/>
  <c r="AG272" i="35"/>
  <c r="AG111" i="35"/>
  <c r="AG185" i="35"/>
  <c r="AG59" i="35"/>
  <c r="AG343" i="35"/>
  <c r="AG390" i="35"/>
  <c r="AG170" i="35"/>
  <c r="AD112" i="35"/>
  <c r="AC467" i="35"/>
  <c r="AC411" i="35"/>
  <c r="AC271" i="35"/>
  <c r="AC113" i="35"/>
  <c r="AC50" i="35"/>
  <c r="AC38" i="35"/>
  <c r="AC27" i="35"/>
  <c r="AD286" i="35"/>
  <c r="AD133" i="35"/>
  <c r="AD204" i="35"/>
  <c r="AD422" i="35"/>
  <c r="AD143" i="35"/>
  <c r="AD9" i="35"/>
  <c r="AD2" i="35"/>
  <c r="AD225" i="35"/>
  <c r="AD81" i="35"/>
  <c r="AD364" i="35"/>
  <c r="AD202" i="35"/>
  <c r="AG434" i="35"/>
  <c r="AC54" i="35"/>
  <c r="AD130" i="35"/>
  <c r="AD98" i="35"/>
  <c r="AD258" i="35"/>
  <c r="AC395" i="35"/>
  <c r="AC105" i="35"/>
  <c r="AC87" i="35"/>
  <c r="AD397" i="35"/>
  <c r="AD313" i="35"/>
  <c r="AD68" i="35"/>
  <c r="AD39" i="35"/>
  <c r="AD13" i="35"/>
  <c r="AJ445" i="35"/>
  <c r="AJ350" i="35"/>
  <c r="AJ349" i="35"/>
  <c r="AJ89" i="35"/>
  <c r="AJ110" i="35"/>
  <c r="AC358" i="35"/>
  <c r="AC284" i="35"/>
  <c r="AC283" i="35"/>
  <c r="AC410" i="35"/>
  <c r="AC107" i="35"/>
  <c r="AC200" i="35"/>
  <c r="AC51" i="35"/>
  <c r="AG298" i="35"/>
  <c r="AG199" i="35"/>
  <c r="AJ258" i="35"/>
  <c r="AJ98" i="35"/>
  <c r="AJ130" i="35"/>
  <c r="AJ384" i="35"/>
  <c r="AJ104" i="35"/>
  <c r="AJ106" i="35"/>
  <c r="AG417" i="35"/>
  <c r="AG346" i="35"/>
  <c r="AG306" i="35"/>
  <c r="AG198" i="35"/>
  <c r="AG31" i="35"/>
  <c r="AD467" i="35"/>
  <c r="AD411" i="35"/>
  <c r="AD271" i="35"/>
  <c r="AD50" i="35"/>
  <c r="AD38" i="35"/>
  <c r="AD27" i="35"/>
  <c r="AD113" i="35"/>
  <c r="AJ450" i="35"/>
  <c r="AJ228" i="35"/>
  <c r="AC451" i="35"/>
  <c r="AC338" i="35"/>
  <c r="AC337" i="35"/>
  <c r="AC215" i="35"/>
  <c r="AC237" i="35"/>
  <c r="AC56" i="35"/>
  <c r="AC149" i="35"/>
  <c r="AC86" i="35"/>
  <c r="AJ451" i="35"/>
  <c r="AJ338" i="35"/>
  <c r="AJ337" i="35"/>
  <c r="AJ215" i="35"/>
  <c r="AJ237" i="35"/>
  <c r="AJ149" i="35"/>
  <c r="AJ56" i="35"/>
  <c r="AJ86" i="35"/>
  <c r="AJ293" i="35"/>
  <c r="AC61" i="35"/>
  <c r="AG61" i="35"/>
  <c r="AG439" i="35"/>
  <c r="AG302" i="35"/>
  <c r="AG223" i="35"/>
  <c r="AG191" i="35"/>
  <c r="AG139" i="35"/>
  <c r="AD388" i="35"/>
  <c r="AD463" i="35"/>
  <c r="AD166" i="35"/>
  <c r="AD132" i="35"/>
  <c r="AJ420" i="35"/>
  <c r="AJ357" i="35"/>
  <c r="AJ356" i="35"/>
  <c r="AJ188" i="35"/>
  <c r="AJ135" i="35"/>
  <c r="AJ146" i="35"/>
  <c r="AJ22" i="35"/>
  <c r="AJ103" i="35"/>
  <c r="AD211" i="35"/>
  <c r="AD244" i="35"/>
  <c r="AD210" i="35"/>
  <c r="AD209" i="35"/>
  <c r="AD109" i="35"/>
  <c r="AD8" i="35"/>
  <c r="AD100" i="35"/>
  <c r="AG463" i="35"/>
  <c r="AG132" i="35"/>
  <c r="AG166" i="35"/>
  <c r="AG467" i="35"/>
  <c r="AG411" i="35"/>
  <c r="AG271" i="35"/>
  <c r="AG113" i="35"/>
  <c r="AG27" i="35"/>
  <c r="AG50" i="35"/>
  <c r="AG38" i="35"/>
  <c r="AG441" i="35"/>
  <c r="AG314" i="35"/>
  <c r="AG316" i="35"/>
  <c r="AG315" i="35"/>
  <c r="AG101" i="35"/>
  <c r="AG194" i="35"/>
  <c r="AG459" i="35"/>
  <c r="AG425" i="35"/>
  <c r="AJ396" i="35"/>
  <c r="AJ251" i="35"/>
  <c r="AJ167" i="35"/>
  <c r="M52" i="23"/>
  <c r="M97" i="23"/>
  <c r="L13" i="23"/>
  <c r="M95" i="23"/>
  <c r="AD678" i="6" s="1"/>
  <c r="M91" i="23"/>
  <c r="M116" i="23"/>
  <c r="AD699" i="6" s="1"/>
  <c r="M21" i="23"/>
  <c r="L116" i="23"/>
  <c r="AC699" i="6" s="1"/>
  <c r="L89" i="23"/>
  <c r="AC566" i="6" s="1"/>
  <c r="L105" i="23"/>
  <c r="AC570" i="6" s="1"/>
  <c r="M50" i="23"/>
  <c r="AD392" i="6" s="1"/>
  <c r="M34" i="23"/>
  <c r="L57" i="23"/>
  <c r="L61" i="23"/>
  <c r="L41" i="23"/>
  <c r="L77" i="23"/>
  <c r="M61" i="23"/>
  <c r="M6" i="23"/>
  <c r="M93" i="23"/>
  <c r="L100" i="23"/>
  <c r="AC651" i="6" s="1"/>
  <c r="L117" i="23"/>
  <c r="AC587" i="6" s="1"/>
  <c r="M117" i="23"/>
  <c r="AD587" i="6" s="1"/>
  <c r="L82" i="23"/>
  <c r="M2" i="23"/>
  <c r="AD265" i="6" s="1"/>
  <c r="M43" i="23"/>
  <c r="AD683" i="6" s="1"/>
  <c r="M47" i="23"/>
  <c r="M86" i="23"/>
  <c r="L47" i="23"/>
  <c r="M66" i="23"/>
  <c r="AD658" i="6" s="1"/>
  <c r="L125" i="23"/>
  <c r="M11" i="23"/>
  <c r="M59" i="23"/>
  <c r="AD284" i="6" s="1"/>
  <c r="M45" i="23"/>
  <c r="L121" i="23"/>
  <c r="AC670" i="6" s="1"/>
  <c r="L6" i="23"/>
  <c r="M107" i="23"/>
  <c r="L73" i="23"/>
  <c r="M125" i="23"/>
  <c r="L86" i="23"/>
  <c r="L27" i="23"/>
  <c r="AC523" i="6" s="1"/>
  <c r="L43" i="23"/>
  <c r="AC683" i="6" s="1"/>
  <c r="L11" i="23"/>
  <c r="L107" i="23"/>
  <c r="L34" i="23"/>
  <c r="L66" i="23"/>
  <c r="AC658" i="6" s="1"/>
  <c r="M4" i="23"/>
  <c r="L4" i="23"/>
  <c r="L114" i="23"/>
  <c r="AC698" i="6" s="1"/>
  <c r="M29" i="23"/>
  <c r="M9" i="23"/>
  <c r="L9" i="23"/>
  <c r="M65" i="23"/>
  <c r="L65" i="23"/>
  <c r="M109" i="23"/>
  <c r="AD505" i="6" s="1"/>
  <c r="L109" i="23"/>
  <c r="AC505" i="6" s="1"/>
  <c r="L50" i="23"/>
  <c r="AC392" i="6" s="1"/>
  <c r="M20" i="23"/>
  <c r="L20" i="23"/>
  <c r="M63" i="23"/>
  <c r="M77" i="23"/>
  <c r="M33" i="23"/>
  <c r="L33" i="23"/>
  <c r="L98" i="23"/>
  <c r="AC619" i="6" s="1"/>
  <c r="M98" i="23"/>
  <c r="AD619" i="6" s="1"/>
  <c r="M17" i="23"/>
  <c r="M68" i="23"/>
  <c r="AD473" i="6" s="1"/>
  <c r="L68" i="23"/>
  <c r="AC473" i="6" s="1"/>
  <c r="M84" i="23"/>
  <c r="L84" i="23"/>
  <c r="L2" i="23"/>
  <c r="AC265" i="6" s="1"/>
  <c r="L45" i="23"/>
  <c r="M114" i="23"/>
  <c r="AD698" i="6" s="1"/>
  <c r="L123" i="23"/>
  <c r="AC677" i="6" s="1"/>
  <c r="M123" i="23"/>
  <c r="AD677" i="6" s="1"/>
  <c r="M41" i="23"/>
  <c r="M36" i="23"/>
  <c r="AD693" i="6" s="1"/>
  <c r="L36" i="23"/>
  <c r="AC693" i="6" s="1"/>
  <c r="L59" i="23"/>
  <c r="AC284" i="6" s="1"/>
  <c r="L91" i="23"/>
  <c r="M120" i="23"/>
  <c r="AD521" i="6" s="1"/>
  <c r="L120" i="23"/>
  <c r="AC521" i="6" s="1"/>
  <c r="M12" i="23"/>
  <c r="L12" i="23"/>
  <c r="M113" i="23"/>
  <c r="L113" i="23"/>
  <c r="M80" i="23"/>
  <c r="AD539" i="6" s="1"/>
  <c r="L80" i="23"/>
  <c r="AC539" i="6" s="1"/>
  <c r="L108" i="23"/>
  <c r="M108" i="23"/>
  <c r="M126" i="23"/>
  <c r="AD569" i="6" s="1"/>
  <c r="L126" i="23"/>
  <c r="AC569" i="6" s="1"/>
  <c r="M42" i="23"/>
  <c r="L42" i="23"/>
  <c r="L88" i="23"/>
  <c r="AC123" i="6" s="1"/>
  <c r="M88" i="23"/>
  <c r="AD123" i="6" s="1"/>
  <c r="M48" i="23"/>
  <c r="AD688" i="6" s="1"/>
  <c r="L48" i="23"/>
  <c r="AC688" i="6" s="1"/>
  <c r="M71" i="23"/>
  <c r="AD478" i="6" s="1"/>
  <c r="L71" i="23"/>
  <c r="AC478" i="6" s="1"/>
  <c r="L28" i="23"/>
  <c r="M28" i="23"/>
  <c r="M54" i="23"/>
  <c r="L54" i="23"/>
  <c r="M94" i="23"/>
  <c r="L94" i="23"/>
  <c r="M55" i="23"/>
  <c r="AD550" i="6" s="1"/>
  <c r="L55" i="23"/>
  <c r="AC550" i="6" s="1"/>
  <c r="L74" i="23"/>
  <c r="M74" i="23"/>
  <c r="M78" i="23"/>
  <c r="AD636" i="6" s="1"/>
  <c r="L78" i="23"/>
  <c r="AC636" i="6" s="1"/>
  <c r="M106" i="23"/>
  <c r="AD66" i="6" s="1"/>
  <c r="L106" i="23"/>
  <c r="AC66" i="6" s="1"/>
  <c r="M39" i="23"/>
  <c r="L39" i="23"/>
  <c r="L92" i="23"/>
  <c r="M92" i="23"/>
  <c r="M58" i="23"/>
  <c r="L58" i="23"/>
  <c r="M37" i="23"/>
  <c r="AD642" i="6" s="1"/>
  <c r="L37" i="23"/>
  <c r="AC642" i="6" s="1"/>
  <c r="M62" i="23"/>
  <c r="L62" i="23"/>
  <c r="L72" i="23"/>
  <c r="AC520" i="6" s="1"/>
  <c r="M72" i="23"/>
  <c r="AD520" i="6" s="1"/>
  <c r="M24" i="23"/>
  <c r="AD525" i="6" s="1"/>
  <c r="L24" i="23"/>
  <c r="AC525" i="6" s="1"/>
  <c r="M70" i="23"/>
  <c r="L70" i="23"/>
  <c r="L35" i="23"/>
  <c r="M35" i="23"/>
  <c r="L40" i="23"/>
  <c r="AC580" i="6" s="1"/>
  <c r="M40" i="23"/>
  <c r="AD580" i="6" s="1"/>
  <c r="M32" i="23"/>
  <c r="L32" i="23"/>
  <c r="M5" i="23"/>
  <c r="L5" i="23"/>
  <c r="M115" i="23"/>
  <c r="AD130" i="6" s="1"/>
  <c r="L115" i="23"/>
  <c r="AC130" i="6" s="1"/>
  <c r="L3" i="23"/>
  <c r="M3" i="23"/>
  <c r="M38" i="23"/>
  <c r="AD632" i="6" s="1"/>
  <c r="L38" i="23"/>
  <c r="AC632" i="6" s="1"/>
  <c r="M83" i="23"/>
  <c r="AD634" i="6" s="1"/>
  <c r="L83" i="23"/>
  <c r="AC634" i="6" s="1"/>
  <c r="M101" i="23"/>
  <c r="L101" i="23"/>
  <c r="M23" i="23"/>
  <c r="L23" i="23"/>
  <c r="M8" i="23"/>
  <c r="L8" i="23"/>
  <c r="M22" i="23"/>
  <c r="AD659" i="6" s="1"/>
  <c r="L22" i="23"/>
  <c r="AC659" i="6" s="1"/>
  <c r="M104" i="23"/>
  <c r="AD27" i="6" s="1"/>
  <c r="L104" i="23"/>
  <c r="AC27" i="6" s="1"/>
  <c r="M85" i="23"/>
  <c r="L85" i="23"/>
  <c r="M46" i="23"/>
  <c r="L46" i="23"/>
  <c r="L76" i="23"/>
  <c r="M76" i="23"/>
  <c r="M122" i="23"/>
  <c r="L122" i="23"/>
  <c r="M103" i="23"/>
  <c r="AD689" i="6" s="1"/>
  <c r="L103" i="23"/>
  <c r="AC689" i="6" s="1"/>
  <c r="M44" i="23"/>
  <c r="AD559" i="6" s="1"/>
  <c r="L44" i="23"/>
  <c r="AC559" i="6" s="1"/>
  <c r="M110" i="23"/>
  <c r="L110" i="23"/>
  <c r="M112" i="23"/>
  <c r="AD600" i="6" s="1"/>
  <c r="L112" i="23"/>
  <c r="AC600" i="6" s="1"/>
  <c r="M7" i="23"/>
  <c r="L7" i="23"/>
  <c r="M102" i="23"/>
  <c r="AD591" i="6" s="1"/>
  <c r="L102" i="23"/>
  <c r="AC591" i="6" s="1"/>
  <c r="M26" i="23"/>
  <c r="AD335" i="6" s="1"/>
  <c r="L26" i="23"/>
  <c r="AC335" i="6" s="1"/>
  <c r="M53" i="23"/>
  <c r="AD622" i="6" s="1"/>
  <c r="L53" i="23"/>
  <c r="AC622" i="6" s="1"/>
  <c r="M96" i="23"/>
  <c r="L96" i="23"/>
  <c r="M119" i="23"/>
  <c r="L119" i="23"/>
  <c r="M69" i="23"/>
  <c r="AD690" i="6" s="1"/>
  <c r="L69" i="23"/>
  <c r="AC690" i="6" s="1"/>
  <c r="M30" i="23"/>
  <c r="AD691" i="6" s="1"/>
  <c r="L30" i="23"/>
  <c r="AC691" i="6" s="1"/>
  <c r="M14" i="23"/>
  <c r="L14" i="23"/>
  <c r="L99" i="23"/>
  <c r="M99" i="23"/>
  <c r="M111" i="23"/>
  <c r="L111" i="23"/>
  <c r="M64" i="23"/>
  <c r="L64" i="23"/>
  <c r="M51" i="23"/>
  <c r="L51" i="23"/>
  <c r="M87" i="23"/>
  <c r="L87" i="23"/>
  <c r="L10" i="23"/>
  <c r="M10" i="23"/>
  <c r="L19" i="23"/>
  <c r="M19" i="23"/>
  <c r="L90" i="23"/>
  <c r="M90" i="23"/>
  <c r="M16" i="23"/>
  <c r="AD11" i="6" s="1"/>
  <c r="L16" i="23"/>
  <c r="AC11" i="6" s="1"/>
  <c r="M56" i="23"/>
  <c r="L56" i="23"/>
  <c r="M124" i="23"/>
  <c r="AD590" i="6" s="1"/>
  <c r="L124" i="23"/>
  <c r="AC590" i="6" s="1"/>
  <c r="L60" i="23"/>
  <c r="AC466" i="6" s="1"/>
  <c r="M60" i="23"/>
  <c r="AD466" i="6" s="1"/>
  <c r="L67" i="23"/>
  <c r="M67" i="23"/>
  <c r="AD653" i="6" l="1"/>
  <c r="AD665" i="6"/>
  <c r="AD682" i="6"/>
  <c r="AC673" i="6"/>
  <c r="AC672" i="6"/>
  <c r="AC660" i="6"/>
  <c r="AC667" i="6"/>
  <c r="AC531" i="6"/>
  <c r="AC694" i="6"/>
  <c r="AC663" i="6"/>
  <c r="AC671" i="6"/>
  <c r="AC668" i="6"/>
  <c r="AC686" i="6"/>
  <c r="AC679" i="6"/>
  <c r="AC692" i="6"/>
  <c r="AC697" i="6"/>
  <c r="AD686" i="6"/>
  <c r="AD679" i="6"/>
  <c r="AD668" i="6"/>
  <c r="AD443" i="6"/>
  <c r="AD666" i="6"/>
  <c r="AD692" i="6"/>
  <c r="AD697" i="6"/>
  <c r="AD575" i="6"/>
  <c r="AD669" i="6"/>
  <c r="AD680" i="6"/>
  <c r="AD681" i="6"/>
  <c r="AD589" i="6"/>
  <c r="AD684" i="6"/>
  <c r="AC680" i="6"/>
  <c r="AC681" i="6"/>
  <c r="AD531" i="6"/>
  <c r="AD663" i="6"/>
  <c r="AD694" i="6"/>
  <c r="AD671" i="6"/>
  <c r="AC701" i="6"/>
  <c r="AC664" i="6"/>
  <c r="AC575" i="6"/>
  <c r="AC669" i="6"/>
  <c r="AC653" i="6"/>
  <c r="AC665" i="6"/>
  <c r="AC682" i="6"/>
  <c r="AD609" i="6"/>
  <c r="AD695" i="6"/>
  <c r="AC609" i="6"/>
  <c r="AC695" i="6"/>
  <c r="AD672" i="6"/>
  <c r="AD673" i="6"/>
  <c r="AC443" i="6"/>
  <c r="AC666" i="6"/>
  <c r="AC626" i="6"/>
  <c r="AC696" i="6"/>
  <c r="AD701" i="6"/>
  <c r="AD664" i="6"/>
  <c r="AC643" i="6"/>
  <c r="AC675" i="6"/>
  <c r="AD472" i="6"/>
  <c r="AD662" i="6"/>
  <c r="AD626" i="6"/>
  <c r="AD696" i="6"/>
  <c r="AD643" i="6"/>
  <c r="AD675" i="6"/>
  <c r="AC472" i="6"/>
  <c r="AC662" i="6"/>
  <c r="AC676" i="6"/>
  <c r="AC674" i="6"/>
  <c r="AD660" i="6"/>
  <c r="AD667" i="6"/>
  <c r="AD674" i="6"/>
  <c r="AD676" i="6"/>
  <c r="AC589" i="6"/>
  <c r="AC684" i="6"/>
  <c r="AC561" i="6"/>
  <c r="AC655" i="6"/>
  <c r="AC623" i="6"/>
  <c r="AC661" i="6"/>
  <c r="AD654" i="6"/>
  <c r="AD652" i="6"/>
  <c r="AC618" i="6"/>
  <c r="AC657" i="6"/>
  <c r="AD623" i="6"/>
  <c r="AD661" i="6"/>
  <c r="AD561" i="6"/>
  <c r="AD655" i="6"/>
  <c r="AC654" i="6"/>
  <c r="AC652" i="6"/>
  <c r="AD465" i="6"/>
  <c r="AD656" i="6"/>
  <c r="AC465" i="6"/>
  <c r="AC656" i="6"/>
  <c r="AD618" i="6"/>
  <c r="AD657" i="6"/>
  <c r="AD627" i="6"/>
  <c r="AD630" i="6"/>
  <c r="AC517" i="6"/>
  <c r="AC638" i="6"/>
  <c r="AD601" i="6"/>
  <c r="AD645" i="6"/>
  <c r="AD606" i="6"/>
  <c r="AD644" i="6"/>
  <c r="AD640" i="6"/>
  <c r="AD450" i="6"/>
  <c r="AD648" i="6"/>
  <c r="AD633" i="6"/>
  <c r="AD635" i="6"/>
  <c r="V57" i="23"/>
  <c r="AD646" i="6"/>
  <c r="AD649" i="6"/>
  <c r="AD650" i="6"/>
  <c r="AD551" i="6"/>
  <c r="AD637" i="6"/>
  <c r="AC536" i="6"/>
  <c r="AC641" i="6"/>
  <c r="AC627" i="6"/>
  <c r="AC630" i="6"/>
  <c r="AC606" i="6"/>
  <c r="AC640" i="6"/>
  <c r="AC644" i="6"/>
  <c r="AC633" i="6"/>
  <c r="AC635" i="6"/>
  <c r="AD517" i="6"/>
  <c r="AD638" i="6"/>
  <c r="AD625" i="6"/>
  <c r="AD631" i="6"/>
  <c r="AD607" i="6"/>
  <c r="AD639" i="6"/>
  <c r="AC607" i="6"/>
  <c r="AC639" i="6"/>
  <c r="AC601" i="6"/>
  <c r="AC645" i="6"/>
  <c r="AC625" i="6"/>
  <c r="AC631" i="6"/>
  <c r="AD536" i="6"/>
  <c r="AD641" i="6"/>
  <c r="AC450" i="6"/>
  <c r="AC648" i="6"/>
  <c r="AC551" i="6"/>
  <c r="AC637" i="6"/>
  <c r="AC649" i="6"/>
  <c r="AC650" i="6"/>
  <c r="AC646" i="6"/>
  <c r="AC375" i="6"/>
  <c r="AC629" i="6"/>
  <c r="AD375" i="6"/>
  <c r="AD629" i="6"/>
  <c r="AD538" i="6"/>
  <c r="AD624" i="6"/>
  <c r="AC604" i="6"/>
  <c r="AC617" i="6"/>
  <c r="AC605" i="6"/>
  <c r="AC615" i="6"/>
  <c r="AC614" i="6"/>
  <c r="AC616" i="6"/>
  <c r="AC595" i="6"/>
  <c r="AC621" i="6"/>
  <c r="AD595" i="6"/>
  <c r="AD621" i="6"/>
  <c r="AD611" i="6"/>
  <c r="AD612" i="6"/>
  <c r="AD236" i="6"/>
  <c r="AD620" i="6"/>
  <c r="AD604" i="6"/>
  <c r="AD617" i="6"/>
  <c r="AD615" i="6"/>
  <c r="AD605" i="6"/>
  <c r="AD616" i="6"/>
  <c r="AD614" i="6"/>
  <c r="AC538" i="6"/>
  <c r="AC624" i="6"/>
  <c r="AD594" i="6"/>
  <c r="AD613" i="6"/>
  <c r="AD459" i="6"/>
  <c r="AD608" i="6"/>
  <c r="AC537" i="6"/>
  <c r="AC628" i="6"/>
  <c r="AC610" i="6"/>
  <c r="AD537" i="6"/>
  <c r="AD610" i="6"/>
  <c r="AD628" i="6"/>
  <c r="AC459" i="6"/>
  <c r="AC608" i="6"/>
  <c r="AC611" i="6"/>
  <c r="AC612" i="6"/>
  <c r="AC236" i="6"/>
  <c r="AC620" i="6"/>
  <c r="AC594" i="6"/>
  <c r="AC613" i="6"/>
  <c r="AD602" i="6"/>
  <c r="AD603" i="6"/>
  <c r="AC603" i="6"/>
  <c r="AC602" i="6"/>
  <c r="AD504" i="6"/>
  <c r="AD599" i="6"/>
  <c r="AC504" i="6"/>
  <c r="AC599" i="6"/>
  <c r="AE210" i="35"/>
  <c r="X75" i="23"/>
  <c r="V75" i="23"/>
  <c r="AI685" i="6" s="1"/>
  <c r="AD573" i="6"/>
  <c r="AD596" i="6"/>
  <c r="AD585" i="6"/>
  <c r="AD582" i="6"/>
  <c r="AD584" i="6"/>
  <c r="AC592" i="6"/>
  <c r="AC581" i="6"/>
  <c r="AD592" i="6"/>
  <c r="AD581" i="6"/>
  <c r="AD252" i="6"/>
  <c r="AD588" i="6"/>
  <c r="AD577" i="6"/>
  <c r="AD593" i="6"/>
  <c r="AD586" i="6"/>
  <c r="AC577" i="6"/>
  <c r="AC593" i="6"/>
  <c r="AC586" i="6"/>
  <c r="AD574" i="6"/>
  <c r="AD583" i="6"/>
  <c r="AC574" i="6"/>
  <c r="AC583" i="6"/>
  <c r="AC573" i="6"/>
  <c r="AC596" i="6"/>
  <c r="AC582" i="6"/>
  <c r="AC585" i="6"/>
  <c r="AC584" i="6"/>
  <c r="AC252" i="6"/>
  <c r="AC588" i="6"/>
  <c r="AC502" i="6"/>
  <c r="AC579" i="6"/>
  <c r="AD502" i="6"/>
  <c r="AD579" i="6"/>
  <c r="AC568" i="6"/>
  <c r="AC576" i="6"/>
  <c r="AD568" i="6"/>
  <c r="AD576" i="6"/>
  <c r="AD503" i="6"/>
  <c r="AD567" i="6"/>
  <c r="AC564" i="6"/>
  <c r="AC565" i="6"/>
  <c r="AD494" i="6"/>
  <c r="AD572" i="6"/>
  <c r="AC494" i="6"/>
  <c r="AC572" i="6"/>
  <c r="AC454" i="6"/>
  <c r="AC571" i="6"/>
  <c r="AD565" i="6"/>
  <c r="AD564" i="6"/>
  <c r="AD454" i="6"/>
  <c r="AD571" i="6"/>
  <c r="AC503" i="6"/>
  <c r="AC567" i="6"/>
  <c r="AC518" i="6"/>
  <c r="AC489" i="6"/>
  <c r="AC490" i="6"/>
  <c r="AD518" i="6"/>
  <c r="AD489" i="6"/>
  <c r="AD490" i="6"/>
  <c r="AD508" i="6"/>
  <c r="AD558" i="6"/>
  <c r="AC555" i="6"/>
  <c r="AC556" i="6"/>
  <c r="AC557" i="6"/>
  <c r="AD555" i="6"/>
  <c r="AD556" i="6"/>
  <c r="AD557" i="6"/>
  <c r="AC508" i="6"/>
  <c r="AC558" i="6"/>
  <c r="AD509" i="6"/>
  <c r="AD560" i="6"/>
  <c r="AC509" i="6"/>
  <c r="AC560" i="6"/>
  <c r="AF134" i="35"/>
  <c r="AD563" i="6"/>
  <c r="AC554" i="6"/>
  <c r="AC553" i="6"/>
  <c r="AD554" i="6"/>
  <c r="AD553" i="6"/>
  <c r="AC541" i="6"/>
  <c r="AC479" i="6"/>
  <c r="AC546" i="6"/>
  <c r="AC115" i="6"/>
  <c r="AC543" i="6"/>
  <c r="AD479" i="6"/>
  <c r="AD546" i="6"/>
  <c r="AC542" i="6"/>
  <c r="AD549" i="6"/>
  <c r="AD548" i="6"/>
  <c r="AD547" i="6"/>
  <c r="AD542" i="6"/>
  <c r="AC549" i="6"/>
  <c r="AC547" i="6"/>
  <c r="AC548" i="6"/>
  <c r="AC534" i="6"/>
  <c r="AC544" i="6"/>
  <c r="AD534" i="6"/>
  <c r="AD544" i="6"/>
  <c r="AD516" i="6"/>
  <c r="AD552" i="6"/>
  <c r="AC516" i="6"/>
  <c r="AC552" i="6"/>
  <c r="AC62" i="6"/>
  <c r="AC545" i="6"/>
  <c r="AD115" i="6"/>
  <c r="AD543" i="6"/>
  <c r="AD62" i="6"/>
  <c r="AD545" i="6"/>
  <c r="AD597" i="6"/>
  <c r="AD540" i="6"/>
  <c r="AC597" i="6"/>
  <c r="AC540" i="6"/>
  <c r="AD541" i="6"/>
  <c r="AD55" i="6"/>
  <c r="AD535" i="6"/>
  <c r="AC55" i="6"/>
  <c r="AC535" i="6"/>
  <c r="AD527" i="6"/>
  <c r="AD526" i="6"/>
  <c r="AC527" i="6"/>
  <c r="AC526" i="6"/>
  <c r="AC522" i="6"/>
  <c r="AC524" i="6"/>
  <c r="AD524" i="6"/>
  <c r="AD522" i="6"/>
  <c r="AC529" i="6"/>
  <c r="AC532" i="6"/>
  <c r="AC528" i="6"/>
  <c r="AC533" i="6"/>
  <c r="AC530" i="6"/>
  <c r="AD529" i="6"/>
  <c r="AD528" i="6"/>
  <c r="AD532" i="6"/>
  <c r="AD530" i="6"/>
  <c r="AD533" i="6"/>
  <c r="AC380" i="6"/>
  <c r="AC519" i="6"/>
  <c r="AD380" i="6"/>
  <c r="AD519" i="6"/>
  <c r="AC261" i="6"/>
  <c r="AD261" i="6"/>
  <c r="AD460" i="6"/>
  <c r="AD462" i="6"/>
  <c r="AD463" i="6"/>
  <c r="AD464" i="6"/>
  <c r="AD461" i="6"/>
  <c r="AD495" i="6"/>
  <c r="AD496" i="6"/>
  <c r="AC456" i="6"/>
  <c r="AC457" i="6"/>
  <c r="AC458" i="6"/>
  <c r="AC455" i="6"/>
  <c r="AC510" i="6"/>
  <c r="AC512" i="6"/>
  <c r="AC511" i="6"/>
  <c r="AD512" i="6"/>
  <c r="AD510" i="6"/>
  <c r="AD511" i="6"/>
  <c r="AC700" i="6"/>
  <c r="AC482" i="6"/>
  <c r="AC515" i="6"/>
  <c r="AC513" i="6"/>
  <c r="AC514" i="6"/>
  <c r="AD455" i="6"/>
  <c r="AD457" i="6"/>
  <c r="AD458" i="6"/>
  <c r="AD456" i="6"/>
  <c r="AD700" i="6"/>
  <c r="AD482" i="6"/>
  <c r="AC495" i="6"/>
  <c r="AC496" i="6"/>
  <c r="AD470" i="6"/>
  <c r="AD471" i="6"/>
  <c r="AD469" i="6"/>
  <c r="AD468" i="6"/>
  <c r="AD467" i="6"/>
  <c r="AC449" i="6"/>
  <c r="AC445" i="6"/>
  <c r="AC447" i="6"/>
  <c r="AC448" i="6"/>
  <c r="AC444" i="6"/>
  <c r="AC446" i="6"/>
  <c r="AD444" i="6"/>
  <c r="AD445" i="6"/>
  <c r="AD447" i="6"/>
  <c r="AD448" i="6"/>
  <c r="AD449" i="6"/>
  <c r="AD446" i="6"/>
  <c r="AC470" i="6"/>
  <c r="AC468" i="6"/>
  <c r="AC469" i="6"/>
  <c r="AC467" i="6"/>
  <c r="AC471" i="6"/>
  <c r="AC475" i="6"/>
  <c r="AC476" i="6"/>
  <c r="AC477" i="6"/>
  <c r="AC474" i="6"/>
  <c r="AD474" i="6"/>
  <c r="AD475" i="6"/>
  <c r="AD476" i="6"/>
  <c r="AD477" i="6"/>
  <c r="AD514" i="6"/>
  <c r="AD513" i="6"/>
  <c r="AD515" i="6"/>
  <c r="AD452" i="6"/>
  <c r="AD453" i="6"/>
  <c r="AD451" i="6"/>
  <c r="AC480" i="6"/>
  <c r="AC481" i="6"/>
  <c r="AD481" i="6"/>
  <c r="AD480" i="6"/>
  <c r="AD501" i="6"/>
  <c r="AD497" i="6"/>
  <c r="AD498" i="6"/>
  <c r="AD499" i="6"/>
  <c r="AD500" i="6"/>
  <c r="AC702" i="6"/>
  <c r="AC507" i="6"/>
  <c r="AC506" i="6"/>
  <c r="AC493" i="6"/>
  <c r="AC492" i="6"/>
  <c r="AC491" i="6"/>
  <c r="AC460" i="6"/>
  <c r="AC462" i="6"/>
  <c r="AC461" i="6"/>
  <c r="AC463" i="6"/>
  <c r="AC464" i="6"/>
  <c r="AC484" i="6"/>
  <c r="AC485" i="6"/>
  <c r="AC487" i="6"/>
  <c r="AC483" i="6"/>
  <c r="AC486" i="6"/>
  <c r="AC488" i="6"/>
  <c r="AC452" i="6"/>
  <c r="AC453" i="6"/>
  <c r="AC451" i="6"/>
  <c r="AD487" i="6"/>
  <c r="AD485" i="6"/>
  <c r="AD483" i="6"/>
  <c r="AD488" i="6"/>
  <c r="AD484" i="6"/>
  <c r="AD486" i="6"/>
  <c r="AD492" i="6"/>
  <c r="AD493" i="6"/>
  <c r="AD491" i="6"/>
  <c r="AD702" i="6"/>
  <c r="AD506" i="6"/>
  <c r="AD507" i="6"/>
  <c r="AC500" i="6"/>
  <c r="AC501" i="6"/>
  <c r="AC497" i="6"/>
  <c r="AC498" i="6"/>
  <c r="AC499" i="6"/>
  <c r="AD235" i="6"/>
  <c r="AD19" i="6"/>
  <c r="AD353" i="6"/>
  <c r="AD234" i="6"/>
  <c r="AD181" i="6"/>
  <c r="AD68" i="6"/>
  <c r="AD70" i="6"/>
  <c r="AD168" i="6"/>
  <c r="AD186" i="6"/>
  <c r="AD71" i="6"/>
  <c r="AD280" i="6"/>
  <c r="AD281" i="6"/>
  <c r="AD316" i="6"/>
  <c r="AD167" i="6"/>
  <c r="AD254" i="6"/>
  <c r="AD164" i="6"/>
  <c r="AD217" i="6"/>
  <c r="AD383" i="6"/>
  <c r="AD75" i="6"/>
  <c r="AD338" i="6"/>
  <c r="AD396" i="6"/>
  <c r="AD143" i="6"/>
  <c r="AD337" i="6"/>
  <c r="AD184" i="6"/>
  <c r="AC64" i="6"/>
  <c r="AC84" i="6"/>
  <c r="AC352" i="6"/>
  <c r="AD223" i="6"/>
  <c r="AD77" i="6"/>
  <c r="AC43" i="6"/>
  <c r="AC30" i="6"/>
  <c r="AC357" i="6"/>
  <c r="AC248" i="6"/>
  <c r="AC17" i="6"/>
  <c r="AC428" i="6"/>
  <c r="AC225" i="6"/>
  <c r="AC229" i="6"/>
  <c r="AC34" i="6"/>
  <c r="AC350" i="6"/>
  <c r="AC42" i="6"/>
  <c r="AC399" i="6"/>
  <c r="AC260" i="6"/>
  <c r="AC224" i="6"/>
  <c r="AD188" i="6"/>
  <c r="AD233" i="6"/>
  <c r="AC267" i="6"/>
  <c r="AC370" i="6"/>
  <c r="AC419" i="6"/>
  <c r="AC86" i="6"/>
  <c r="AC250" i="6"/>
  <c r="AC251" i="6"/>
  <c r="AC426" i="6"/>
  <c r="AC89" i="6"/>
  <c r="AC339" i="6"/>
  <c r="AC421" i="6"/>
  <c r="AC424" i="6"/>
  <c r="AC340" i="6"/>
  <c r="AC367" i="6"/>
  <c r="AD139" i="6"/>
  <c r="AD6" i="6"/>
  <c r="AD274" i="6"/>
  <c r="AD275" i="6"/>
  <c r="AD398" i="6"/>
  <c r="AD78" i="6"/>
  <c r="AD92" i="6"/>
  <c r="AD132" i="6"/>
  <c r="AD282" i="6"/>
  <c r="AD129" i="6"/>
  <c r="AD163" i="6"/>
  <c r="AC36" i="6"/>
  <c r="AC22" i="6"/>
  <c r="AC120" i="6"/>
  <c r="AC7" i="6"/>
  <c r="AC141" i="6"/>
  <c r="AC127" i="6"/>
  <c r="AC83" i="6"/>
  <c r="AC106" i="6"/>
  <c r="AC108" i="6"/>
  <c r="AC388" i="6"/>
  <c r="AD122" i="6"/>
  <c r="AD103" i="6"/>
  <c r="AD371" i="6"/>
  <c r="AD372" i="6"/>
  <c r="AD10" i="6"/>
  <c r="AD373" i="6"/>
  <c r="AD374" i="6"/>
  <c r="AC46" i="6"/>
  <c r="AC273" i="6"/>
  <c r="AC368" i="6"/>
  <c r="AC117" i="6"/>
  <c r="AD368" i="6"/>
  <c r="AD273" i="6"/>
  <c r="AD46" i="6"/>
  <c r="AD117" i="6"/>
  <c r="AC72" i="6"/>
  <c r="AC389" i="6"/>
  <c r="AE36" i="35"/>
  <c r="AC37" i="6"/>
  <c r="AC349" i="6"/>
  <c r="AC31" i="6"/>
  <c r="AC304" i="6"/>
  <c r="AC308" i="6"/>
  <c r="AD54" i="6"/>
  <c r="AD44" i="6"/>
  <c r="AD334" i="6"/>
  <c r="AD174" i="6"/>
  <c r="AD175" i="6"/>
  <c r="AD176" i="6"/>
  <c r="AD438" i="6"/>
  <c r="AC207" i="6"/>
  <c r="AC369" i="6"/>
  <c r="AC300" i="6"/>
  <c r="AC63" i="6"/>
  <c r="AC178" i="6"/>
  <c r="AC65" i="6"/>
  <c r="AC257" i="6"/>
  <c r="AE272" i="35"/>
  <c r="AC113" i="6"/>
  <c r="AC277" i="6"/>
  <c r="AC60" i="6"/>
  <c r="AC385" i="6"/>
  <c r="AC191" i="6"/>
  <c r="AC6" i="6"/>
  <c r="AC139" i="6"/>
  <c r="AC274" i="6"/>
  <c r="AC275" i="6"/>
  <c r="AC129" i="6"/>
  <c r="AC163" i="6"/>
  <c r="AD80" i="6"/>
  <c r="AD182" i="6"/>
  <c r="AD376" i="6"/>
  <c r="AD183" i="6"/>
  <c r="AD247" i="6"/>
  <c r="AD391" i="6"/>
  <c r="AD47" i="6"/>
  <c r="AC195" i="6"/>
  <c r="AC245" i="6"/>
  <c r="AC420" i="6"/>
  <c r="AC58" i="6"/>
  <c r="AD267" i="6"/>
  <c r="AD370" i="6"/>
  <c r="AD419" i="6"/>
  <c r="AD395" i="6"/>
  <c r="AD435" i="6"/>
  <c r="AC39" i="6"/>
  <c r="AC276" i="6"/>
  <c r="AC51" i="6"/>
  <c r="AC28" i="6"/>
  <c r="AC116" i="6"/>
  <c r="AD20" i="6"/>
  <c r="AD4" i="6"/>
  <c r="AD41" i="6"/>
  <c r="AC176" i="6"/>
  <c r="AC334" i="6"/>
  <c r="AC438" i="6"/>
  <c r="AC174" i="6"/>
  <c r="AC175" i="6"/>
  <c r="AD207" i="6"/>
  <c r="AD369" i="6"/>
  <c r="AD300" i="6"/>
  <c r="AD257" i="6"/>
  <c r="AD178" i="6"/>
  <c r="AD63" i="6"/>
  <c r="AD65" i="6"/>
  <c r="AD238" i="6"/>
  <c r="AD401" i="6"/>
  <c r="AD402" i="6"/>
  <c r="AD356" i="6"/>
  <c r="AD403" i="6"/>
  <c r="AD434" i="6"/>
  <c r="AD358" i="6"/>
  <c r="AD360" i="6"/>
  <c r="AD359" i="6"/>
  <c r="AC442" i="6"/>
  <c r="AC82" i="6"/>
  <c r="AC416" i="6"/>
  <c r="AC417" i="6"/>
  <c r="AC230" i="6"/>
  <c r="AC152" i="6"/>
  <c r="AC87" i="6"/>
  <c r="AC220" i="6"/>
  <c r="AC57" i="6"/>
  <c r="AC412" i="6"/>
  <c r="AC242" i="6"/>
  <c r="AC342" i="6"/>
  <c r="AC343" i="6"/>
  <c r="AC21" i="6"/>
  <c r="AC297" i="6"/>
  <c r="AC24" i="6"/>
  <c r="AC61" i="6"/>
  <c r="AC147" i="6"/>
  <c r="AC296" i="6"/>
  <c r="AC52" i="6"/>
  <c r="AC205" i="6"/>
  <c r="AC363" i="6"/>
  <c r="AC288" i="6"/>
  <c r="AC109" i="6"/>
  <c r="AC289" i="6"/>
  <c r="AC239" i="6"/>
  <c r="AC14" i="6"/>
  <c r="AC15" i="6"/>
  <c r="AC244" i="6"/>
  <c r="AC240" i="6"/>
  <c r="AC189" i="6"/>
  <c r="AD35" i="6"/>
  <c r="AD272" i="6"/>
  <c r="AD49" i="6"/>
  <c r="AD202" i="6"/>
  <c r="AD390" i="6"/>
  <c r="AC154" i="6"/>
  <c r="AC91" i="6"/>
  <c r="AC48" i="6"/>
  <c r="AC241" i="6"/>
  <c r="AC134" i="6"/>
  <c r="AC418" i="6"/>
  <c r="AD53" i="6"/>
  <c r="AD161" i="6"/>
  <c r="AD309" i="6"/>
  <c r="AD341" i="6"/>
  <c r="AD148" i="6"/>
  <c r="AC269" i="6"/>
  <c r="AC264" i="6"/>
  <c r="AD269" i="6"/>
  <c r="AD264" i="6"/>
  <c r="AC204" i="6"/>
  <c r="AC303" i="6"/>
  <c r="AC395" i="6"/>
  <c r="AC435" i="6"/>
  <c r="AD204" i="6"/>
  <c r="AD303" i="6"/>
  <c r="AC354" i="6"/>
  <c r="AC112" i="6"/>
  <c r="AC355" i="6"/>
  <c r="AC90" i="6"/>
  <c r="AC405" i="6"/>
  <c r="AD58" i="6"/>
  <c r="AD195" i="6"/>
  <c r="AD245" i="6"/>
  <c r="AD420" i="6"/>
  <c r="AD90" i="6"/>
  <c r="AD354" i="6"/>
  <c r="AD112" i="6"/>
  <c r="AD355" i="6"/>
  <c r="AD405" i="6"/>
  <c r="AD154" i="6"/>
  <c r="AD91" i="6"/>
  <c r="AD241" i="6"/>
  <c r="AD418" i="6"/>
  <c r="AD48" i="6"/>
  <c r="AD134" i="6"/>
  <c r="AC53" i="6"/>
  <c r="AC161" i="6"/>
  <c r="AC309" i="6"/>
  <c r="AC341" i="6"/>
  <c r="AC148" i="6"/>
  <c r="AC233" i="6"/>
  <c r="AC188" i="6"/>
  <c r="AD169" i="6"/>
  <c r="AD411" i="6"/>
  <c r="AD135" i="6"/>
  <c r="AC402" i="6"/>
  <c r="AC356" i="6"/>
  <c r="AC401" i="6"/>
  <c r="AC403" i="6"/>
  <c r="AC358" i="6"/>
  <c r="AC359" i="6"/>
  <c r="AC360" i="6"/>
  <c r="AC238" i="6"/>
  <c r="AC434" i="6"/>
  <c r="AD442" i="6"/>
  <c r="AD416" i="6"/>
  <c r="AD417" i="6"/>
  <c r="AD230" i="6"/>
  <c r="AD82" i="6"/>
  <c r="AD87" i="6"/>
  <c r="AD220" i="6"/>
  <c r="AD412" i="6"/>
  <c r="AD57" i="6"/>
  <c r="AD242" i="6"/>
  <c r="AD342" i="6"/>
  <c r="AD152" i="6"/>
  <c r="AD343" i="6"/>
  <c r="AD21" i="6"/>
  <c r="AD24" i="6"/>
  <c r="AD61" i="6"/>
  <c r="AD147" i="6"/>
  <c r="AD296" i="6"/>
  <c r="AD297" i="6"/>
  <c r="AD52" i="6"/>
  <c r="AD363" i="6"/>
  <c r="AD205" i="6"/>
  <c r="AD109" i="6"/>
  <c r="AD288" i="6"/>
  <c r="AD289" i="6"/>
  <c r="AD239" i="6"/>
  <c r="AD240" i="6"/>
  <c r="AD244" i="6"/>
  <c r="AD189" i="6"/>
  <c r="AD14" i="6"/>
  <c r="AD15" i="6"/>
  <c r="AC202" i="6"/>
  <c r="AC49" i="6"/>
  <c r="AC390" i="6"/>
  <c r="AC35" i="6"/>
  <c r="AC272" i="6"/>
  <c r="AD138" i="6"/>
  <c r="AD23" i="6"/>
  <c r="AD194" i="6"/>
  <c r="AD105" i="6"/>
  <c r="AD361" i="6"/>
  <c r="AD362" i="6"/>
  <c r="AD149" i="6"/>
  <c r="AC145" i="6"/>
  <c r="AC232" i="6"/>
  <c r="AC102" i="6"/>
  <c r="AC319" i="6"/>
  <c r="AC320" i="6"/>
  <c r="AC199" i="6"/>
  <c r="AC321" i="6"/>
  <c r="AD440" i="6"/>
  <c r="AD170" i="6"/>
  <c r="AD413" i="6"/>
  <c r="AD414" i="6"/>
  <c r="AD256" i="6"/>
  <c r="AD437" i="6"/>
  <c r="AD439" i="6"/>
  <c r="AD406" i="6"/>
  <c r="AC47" i="6"/>
  <c r="AC391" i="6"/>
  <c r="AC146" i="6"/>
  <c r="AC2" i="6"/>
  <c r="AC9" i="6"/>
  <c r="AC377" i="6"/>
  <c r="AC93" i="6"/>
  <c r="AC76" i="6"/>
  <c r="AC344" i="6"/>
  <c r="AC100" i="6"/>
  <c r="AC315" i="6"/>
  <c r="AC104" i="6"/>
  <c r="AC73" i="6"/>
  <c r="AC278" i="6"/>
  <c r="AC279" i="6"/>
  <c r="AC88" i="6"/>
  <c r="AC107" i="6"/>
  <c r="AC410" i="6"/>
  <c r="AC348" i="6"/>
  <c r="AC173" i="6"/>
  <c r="AC394" i="6"/>
  <c r="AC400" i="6"/>
  <c r="AC97" i="6"/>
  <c r="AC409" i="6"/>
  <c r="AC314" i="6"/>
  <c r="AC12" i="6"/>
  <c r="AC94" i="6"/>
  <c r="AC165" i="6"/>
  <c r="AC50" i="6"/>
  <c r="AC166" i="6"/>
  <c r="AC197" i="6"/>
  <c r="AC20" i="6"/>
  <c r="AC4" i="6"/>
  <c r="AC41" i="6"/>
  <c r="AD301" i="6"/>
  <c r="AD317" i="6"/>
  <c r="AD302" i="6"/>
  <c r="AD231" i="6"/>
  <c r="AD2" i="6"/>
  <c r="AD9" i="6"/>
  <c r="AD146" i="6"/>
  <c r="AD93" i="6"/>
  <c r="AD76" i="6"/>
  <c r="AD344" i="6"/>
  <c r="AD377" i="6"/>
  <c r="AD100" i="6"/>
  <c r="AD315" i="6"/>
  <c r="AD104" i="6"/>
  <c r="AD73" i="6"/>
  <c r="AD278" i="6"/>
  <c r="AD279" i="6"/>
  <c r="AD410" i="6"/>
  <c r="AD88" i="6"/>
  <c r="AD107" i="6"/>
  <c r="AD394" i="6"/>
  <c r="AD348" i="6"/>
  <c r="AD173" i="6"/>
  <c r="AD94" i="6"/>
  <c r="AD197" i="6"/>
  <c r="AD166" i="6"/>
  <c r="AD50" i="6"/>
  <c r="AD314" i="6"/>
  <c r="AD165" i="6"/>
  <c r="AD12" i="6"/>
  <c r="AD144" i="6"/>
  <c r="AD243" i="6"/>
  <c r="AD96" i="6"/>
  <c r="AD319" i="6"/>
  <c r="AD320" i="6"/>
  <c r="AD321" i="6"/>
  <c r="AD102" i="6"/>
  <c r="AD199" i="6"/>
  <c r="AD237" i="6"/>
  <c r="AD125" i="6"/>
  <c r="AD193" i="6"/>
  <c r="AD150" i="6"/>
  <c r="AD408" i="6"/>
  <c r="AD295" i="6"/>
  <c r="AC170" i="6"/>
  <c r="AC437" i="6"/>
  <c r="AC439" i="6"/>
  <c r="AC406" i="6"/>
  <c r="AC440" i="6"/>
  <c r="AC256" i="6"/>
  <c r="AC413" i="6"/>
  <c r="AC414" i="6"/>
  <c r="AC313" i="6"/>
  <c r="AC379" i="6"/>
  <c r="AC59" i="6"/>
  <c r="AC306" i="6"/>
  <c r="AC16" i="6"/>
  <c r="AC312" i="6"/>
  <c r="AC159" i="6"/>
  <c r="AC136" i="6"/>
  <c r="AC291" i="6"/>
  <c r="AC209" i="6"/>
  <c r="AC393" i="6"/>
  <c r="AC171" i="6"/>
  <c r="AC74" i="6"/>
  <c r="AC206" i="6"/>
  <c r="AC172" i="6"/>
  <c r="AC81" i="6"/>
  <c r="AC119" i="6"/>
  <c r="AC185" i="6"/>
  <c r="AC305" i="6"/>
  <c r="AC110" i="6"/>
  <c r="AC144" i="6"/>
  <c r="AC243" i="6"/>
  <c r="AC96" i="6"/>
  <c r="AC268" i="6"/>
  <c r="AC332" i="6"/>
  <c r="AC333" i="6"/>
  <c r="AC128" i="6"/>
  <c r="AC258" i="6"/>
  <c r="AC259" i="6"/>
  <c r="AC331" i="6"/>
  <c r="AC270" i="6"/>
  <c r="AC271" i="6"/>
  <c r="AC221" i="6"/>
  <c r="AC253" i="6"/>
  <c r="AC192" i="6"/>
  <c r="AC255" i="6"/>
  <c r="AD299" i="6"/>
  <c r="AD290" i="6"/>
  <c r="AD95" i="6"/>
  <c r="AD162" i="6"/>
  <c r="AD45" i="6"/>
  <c r="AD179" i="6"/>
  <c r="AD180" i="6"/>
  <c r="AD382" i="6"/>
  <c r="AD386" i="6"/>
  <c r="AD79" i="6"/>
  <c r="AD266" i="6"/>
  <c r="AC218" i="6"/>
  <c r="AC364" i="6"/>
  <c r="AC25" i="6"/>
  <c r="AC131" i="6"/>
  <c r="AC222" i="6"/>
  <c r="AC124" i="6"/>
  <c r="AD16" i="6"/>
  <c r="AD379" i="6"/>
  <c r="AD159" i="6"/>
  <c r="AD59" i="6"/>
  <c r="AD306" i="6"/>
  <c r="AD312" i="6"/>
  <c r="AD313" i="6"/>
  <c r="AD171" i="6"/>
  <c r="AD172" i="6"/>
  <c r="AD206" i="6"/>
  <c r="AD74" i="6"/>
  <c r="AD393" i="6"/>
  <c r="AD81" i="6"/>
  <c r="AD364" i="6"/>
  <c r="AD124" i="6"/>
  <c r="AD222" i="6"/>
  <c r="AD25" i="6"/>
  <c r="AD131" i="6"/>
  <c r="AD218" i="6"/>
  <c r="AC223" i="6"/>
  <c r="AC77" i="6"/>
  <c r="AD185" i="6"/>
  <c r="AD110" i="6"/>
  <c r="AD305" i="6"/>
  <c r="AD119" i="6"/>
  <c r="AE100" i="35"/>
  <c r="AC101" i="6"/>
  <c r="AC249" i="6"/>
  <c r="AC8" i="6"/>
  <c r="AC111" i="6"/>
  <c r="AC214" i="6"/>
  <c r="AC215" i="6"/>
  <c r="AC216" i="6"/>
  <c r="AD209" i="6"/>
  <c r="AD291" i="6"/>
  <c r="AD136" i="6"/>
  <c r="AC45" i="6"/>
  <c r="AC290" i="6"/>
  <c r="AC95" i="6"/>
  <c r="AC162" i="6"/>
  <c r="AC179" i="6"/>
  <c r="AC180" i="6"/>
  <c r="AC299" i="6"/>
  <c r="AC266" i="6"/>
  <c r="AC79" i="6"/>
  <c r="AC386" i="6"/>
  <c r="AC382" i="6"/>
  <c r="AD51" i="6"/>
  <c r="AD39" i="6"/>
  <c r="AD276" i="6"/>
  <c r="AD28" i="6"/>
  <c r="AD116" i="6"/>
  <c r="AC237" i="6"/>
  <c r="AC125" i="6"/>
  <c r="AC408" i="6"/>
  <c r="AC150" i="6"/>
  <c r="AC193" i="6"/>
  <c r="AC295" i="6"/>
  <c r="AD18" i="6"/>
  <c r="AD425" i="6"/>
  <c r="AD427" i="6"/>
  <c r="AD323" i="6"/>
  <c r="AD422" i="6"/>
  <c r="AD423" i="6"/>
  <c r="AC234" i="6"/>
  <c r="AC235" i="6"/>
  <c r="AC353" i="6"/>
  <c r="AC181" i="6"/>
  <c r="AC19" i="6"/>
  <c r="AC68" i="6"/>
  <c r="AC70" i="6"/>
  <c r="AC168" i="6"/>
  <c r="AC71" i="6"/>
  <c r="AC186" i="6"/>
  <c r="AC324" i="6"/>
  <c r="AC325" i="6"/>
  <c r="AC281" i="6"/>
  <c r="AC280" i="6"/>
  <c r="AD365" i="6"/>
  <c r="AD366" i="6"/>
  <c r="AD384" i="6"/>
  <c r="AD198" i="6"/>
  <c r="AC167" i="6"/>
  <c r="AC316" i="6"/>
  <c r="AC217" i="6"/>
  <c r="AC164" i="6"/>
  <c r="AC254" i="6"/>
  <c r="AC338" i="6"/>
  <c r="AC383" i="6"/>
  <c r="AC75" i="6"/>
  <c r="AC396" i="6"/>
  <c r="AC143" i="6"/>
  <c r="AC184" i="6"/>
  <c r="AC337" i="6"/>
  <c r="AC187" i="6"/>
  <c r="AC33" i="6"/>
  <c r="AD153" i="6"/>
  <c r="AD219" i="6"/>
  <c r="AD322" i="6"/>
  <c r="AD151" i="6"/>
  <c r="AD201" i="6"/>
  <c r="AC54" i="6"/>
  <c r="AC44" i="6"/>
  <c r="AD84" i="6"/>
  <c r="AD352" i="6"/>
  <c r="AD64" i="6"/>
  <c r="V79" i="23"/>
  <c r="AD137" i="6"/>
  <c r="AD262" i="6"/>
  <c r="AD36" i="6"/>
  <c r="AD22" i="6"/>
  <c r="AD141" i="6"/>
  <c r="AD127" i="6"/>
  <c r="AD7" i="6"/>
  <c r="AD83" i="6"/>
  <c r="AD120" i="6"/>
  <c r="AD145" i="6"/>
  <c r="AD232" i="6"/>
  <c r="AC301" i="6"/>
  <c r="AC317" i="6"/>
  <c r="AC231" i="6"/>
  <c r="AC302" i="6"/>
  <c r="AC137" i="6"/>
  <c r="AC262" i="6"/>
  <c r="V81" i="23"/>
  <c r="AD37" i="6"/>
  <c r="AD349" i="6"/>
  <c r="AD304" i="6"/>
  <c r="AD308" i="6"/>
  <c r="AD31" i="6"/>
  <c r="AC365" i="6"/>
  <c r="AC384" i="6"/>
  <c r="AC366" i="6"/>
  <c r="AC198" i="6"/>
  <c r="AD187" i="6"/>
  <c r="AD33" i="6"/>
  <c r="AC155" i="6"/>
  <c r="AC157" i="6"/>
  <c r="AC160" i="6"/>
  <c r="AC212" i="6"/>
  <c r="AC200" i="6"/>
  <c r="AC404" i="6"/>
  <c r="AC213" i="6"/>
  <c r="AC286" i="6"/>
  <c r="AC336" i="6"/>
  <c r="AC287" i="6"/>
  <c r="AC387" i="6"/>
  <c r="AC158" i="6"/>
  <c r="AC397" i="6"/>
  <c r="AC156" i="6"/>
  <c r="AC69" i="6"/>
  <c r="AC40" i="6"/>
  <c r="AC13" i="6"/>
  <c r="AC318" i="6"/>
  <c r="AD298" i="6"/>
  <c r="AD436" i="6"/>
  <c r="AC56" i="6"/>
  <c r="AC177" i="6"/>
  <c r="AC227" i="6"/>
  <c r="AC133" i="6"/>
  <c r="AC99" i="6"/>
  <c r="AC263" i="6"/>
  <c r="AC121" i="6"/>
  <c r="AC140" i="6"/>
  <c r="AC126" i="6"/>
  <c r="AC307" i="6"/>
  <c r="AC196" i="6"/>
  <c r="AC228" i="6"/>
  <c r="AC142" i="6"/>
  <c r="AD3" i="6"/>
  <c r="AD430" i="6"/>
  <c r="AD210" i="6"/>
  <c r="AD431" i="6"/>
  <c r="AD26" i="6"/>
  <c r="AD211" i="6"/>
  <c r="AD432" i="6"/>
  <c r="AD29" i="6"/>
  <c r="AD221" i="6"/>
  <c r="AD253" i="6"/>
  <c r="AD192" i="6"/>
  <c r="AD255" i="6"/>
  <c r="AD400" i="6"/>
  <c r="AD97" i="6"/>
  <c r="AD409" i="6"/>
  <c r="AD378" i="6"/>
  <c r="AD381" i="6"/>
  <c r="AD310" i="6"/>
  <c r="AD331" i="6"/>
  <c r="AD268" i="6"/>
  <c r="AD332" i="6"/>
  <c r="AD333" i="6"/>
  <c r="AD270" i="6"/>
  <c r="AD271" i="6"/>
  <c r="AD128" i="6"/>
  <c r="AD258" i="6"/>
  <c r="AD259" i="6"/>
  <c r="AC151" i="6"/>
  <c r="AC201" i="6"/>
  <c r="AC153" i="6"/>
  <c r="AC219" i="6"/>
  <c r="AC322" i="6"/>
  <c r="V31" i="23"/>
  <c r="AD111" i="6"/>
  <c r="AD8" i="6"/>
  <c r="AD214" i="6"/>
  <c r="AD216" i="6"/>
  <c r="AD101" i="6"/>
  <c r="AD249" i="6"/>
  <c r="AD215" i="6"/>
  <c r="AD203" i="6"/>
  <c r="AD351" i="6"/>
  <c r="AD407" i="6"/>
  <c r="AD32" i="6"/>
  <c r="AD311" i="6"/>
  <c r="AD155" i="6"/>
  <c r="AD156" i="6"/>
  <c r="AD286" i="6"/>
  <c r="AD397" i="6"/>
  <c r="AD157" i="6"/>
  <c r="AD287" i="6"/>
  <c r="AD158" i="6"/>
  <c r="AD336" i="6"/>
  <c r="AD160" i="6"/>
  <c r="AD212" i="6"/>
  <c r="AD387" i="6"/>
  <c r="AD213" i="6"/>
  <c r="AD404" i="6"/>
  <c r="AD200" i="6"/>
  <c r="AD69" i="6"/>
  <c r="AD318" i="6"/>
  <c r="AD40" i="6"/>
  <c r="AD13" i="6"/>
  <c r="AC298" i="6"/>
  <c r="AC436" i="6"/>
  <c r="AD56" i="6"/>
  <c r="AD177" i="6"/>
  <c r="AD227" i="6"/>
  <c r="AD99" i="6"/>
  <c r="AD133" i="6"/>
  <c r="AD263" i="6"/>
  <c r="AD121" i="6"/>
  <c r="AD140" i="6"/>
  <c r="AD126" i="6"/>
  <c r="AD142" i="6"/>
  <c r="AD307" i="6"/>
  <c r="AD196" i="6"/>
  <c r="AD228" i="6"/>
  <c r="AD34" i="6"/>
  <c r="AD17" i="6"/>
  <c r="AD350" i="6"/>
  <c r="AD428" i="6"/>
  <c r="AD399" i="6"/>
  <c r="AD225" i="6"/>
  <c r="AD42" i="6"/>
  <c r="AD43" i="6"/>
  <c r="AD229" i="6"/>
  <c r="AD357" i="6"/>
  <c r="AD248" i="6"/>
  <c r="AD30" i="6"/>
  <c r="AC361" i="6"/>
  <c r="AC362" i="6"/>
  <c r="AC23" i="6"/>
  <c r="AC138" i="6"/>
  <c r="AC105" i="6"/>
  <c r="AC149" i="6"/>
  <c r="AC194" i="6"/>
  <c r="AC183" i="6"/>
  <c r="AC80" i="6"/>
  <c r="AC247" i="6"/>
  <c r="AC182" i="6"/>
  <c r="AC376" i="6"/>
  <c r="AC3" i="6"/>
  <c r="AC29" i="6"/>
  <c r="AC210" i="6"/>
  <c r="AC211" i="6"/>
  <c r="AC26" i="6"/>
  <c r="AC430" i="6"/>
  <c r="AC432" i="6"/>
  <c r="AC431" i="6"/>
  <c r="AD190" i="6"/>
  <c r="AD285" i="6"/>
  <c r="AD429" i="6"/>
  <c r="AD208" i="6"/>
  <c r="AD328" i="6"/>
  <c r="AD329" i="6"/>
  <c r="AD330" i="6"/>
  <c r="AD327" i="6"/>
  <c r="AC5" i="6"/>
  <c r="AC226" i="6"/>
  <c r="AC345" i="6"/>
  <c r="AC346" i="6"/>
  <c r="AC283" i="6"/>
  <c r="AC114" i="6"/>
  <c r="AC118" i="6"/>
  <c r="AC38" i="6"/>
  <c r="AC292" i="6"/>
  <c r="AC293" i="6"/>
  <c r="AC294" i="6"/>
  <c r="AC85" i="6"/>
  <c r="AC246" i="6"/>
  <c r="AC98" i="6"/>
  <c r="AC441" i="6"/>
  <c r="AC67" i="6"/>
  <c r="AC433" i="6"/>
  <c r="AC326" i="6"/>
  <c r="AC347" i="6"/>
  <c r="AC415" i="6"/>
  <c r="AC203" i="6"/>
  <c r="AC32" i="6"/>
  <c r="AC311" i="6"/>
  <c r="AC407" i="6"/>
  <c r="AC351" i="6"/>
  <c r="AD86" i="6"/>
  <c r="AD251" i="6"/>
  <c r="AD426" i="6"/>
  <c r="AD89" i="6"/>
  <c r="AD367" i="6"/>
  <c r="AD339" i="6"/>
  <c r="AD340" i="6"/>
  <c r="AD250" i="6"/>
  <c r="AD424" i="6"/>
  <c r="AD421" i="6"/>
  <c r="AC282" i="6"/>
  <c r="AC92" i="6"/>
  <c r="AC132" i="6"/>
  <c r="AC78" i="6"/>
  <c r="AC398" i="6"/>
  <c r="AD106" i="6"/>
  <c r="AD108" i="6"/>
  <c r="AD388" i="6"/>
  <c r="AC135" i="6"/>
  <c r="AC169" i="6"/>
  <c r="AC411" i="6"/>
  <c r="AF272" i="35"/>
  <c r="AD191" i="6"/>
  <c r="AD385" i="6"/>
  <c r="AD60" i="6"/>
  <c r="AD113" i="6"/>
  <c r="AD277" i="6"/>
  <c r="AD324" i="6"/>
  <c r="AD325" i="6"/>
  <c r="AC329" i="6"/>
  <c r="AC330" i="6"/>
  <c r="AC190" i="6"/>
  <c r="AC285" i="6"/>
  <c r="AC327" i="6"/>
  <c r="AC328" i="6"/>
  <c r="AC208" i="6"/>
  <c r="AC429" i="6"/>
  <c r="AD5" i="6"/>
  <c r="AD226" i="6"/>
  <c r="AD283" i="6"/>
  <c r="AD114" i="6"/>
  <c r="AD118" i="6"/>
  <c r="AD345" i="6"/>
  <c r="AD346" i="6"/>
  <c r="AD38" i="6"/>
  <c r="AD292" i="6"/>
  <c r="AD293" i="6"/>
  <c r="AD294" i="6"/>
  <c r="AD246" i="6"/>
  <c r="AD85" i="6"/>
  <c r="AD98" i="6"/>
  <c r="AD347" i="6"/>
  <c r="AD441" i="6"/>
  <c r="AD415" i="6"/>
  <c r="AD433" i="6"/>
  <c r="AD326" i="6"/>
  <c r="AD67" i="6"/>
  <c r="AC122" i="6"/>
  <c r="AC10" i="6"/>
  <c r="AC371" i="6"/>
  <c r="AC103" i="6"/>
  <c r="AC372" i="6"/>
  <c r="AC374" i="6"/>
  <c r="AC373" i="6"/>
  <c r="AD224" i="6"/>
  <c r="AD260" i="6"/>
  <c r="AC378" i="6"/>
  <c r="AC381" i="6"/>
  <c r="AC310" i="6"/>
  <c r="AC18" i="6"/>
  <c r="AC427" i="6"/>
  <c r="AC323" i="6"/>
  <c r="AC422" i="6"/>
  <c r="AC423" i="6"/>
  <c r="AC425" i="6"/>
  <c r="AF385" i="35"/>
  <c r="AD72" i="6"/>
  <c r="AD389" i="6"/>
  <c r="AF36" i="35"/>
  <c r="X118" i="23"/>
  <c r="AF428" i="35"/>
  <c r="X49" i="23"/>
  <c r="AF30" i="35"/>
  <c r="AF461" i="35"/>
  <c r="AE167" i="35"/>
  <c r="AF344" i="35"/>
  <c r="AF299" i="35"/>
  <c r="AE134" i="35"/>
  <c r="AF303" i="35"/>
  <c r="AE257" i="35"/>
  <c r="V49" i="23"/>
  <c r="AI687" i="6" s="1"/>
  <c r="AE198" i="35"/>
  <c r="AF71" i="35"/>
  <c r="AE306" i="35"/>
  <c r="AE71" i="35"/>
  <c r="AE385" i="35"/>
  <c r="AE428" i="35"/>
  <c r="AE461" i="35"/>
  <c r="AE346" i="35"/>
  <c r="AE417" i="35"/>
  <c r="AE30" i="35"/>
  <c r="AE303" i="35"/>
  <c r="AF257" i="35"/>
  <c r="AE251" i="35"/>
  <c r="AE478" i="35"/>
  <c r="AE299" i="35"/>
  <c r="AF31" i="35"/>
  <c r="AF198" i="35"/>
  <c r="AE344" i="35"/>
  <c r="AF306" i="35"/>
  <c r="AF417" i="35"/>
  <c r="AF346" i="35"/>
  <c r="V118" i="23"/>
  <c r="AI578" i="6" s="1"/>
  <c r="AE381" i="35"/>
  <c r="AE31" i="35"/>
  <c r="AF381" i="35"/>
  <c r="AF478" i="35"/>
  <c r="X57" i="23"/>
  <c r="AF59" i="35"/>
  <c r="V15" i="23"/>
  <c r="AI562" i="6" s="1"/>
  <c r="AF185" i="35"/>
  <c r="AF111" i="35"/>
  <c r="AF8" i="35"/>
  <c r="AF100" i="35"/>
  <c r="AF109" i="35"/>
  <c r="AF209" i="35"/>
  <c r="AF211" i="35"/>
  <c r="AF210" i="35"/>
  <c r="AF244" i="35"/>
  <c r="AE8" i="35"/>
  <c r="AE109" i="35"/>
  <c r="AE209" i="35"/>
  <c r="AE244" i="35"/>
  <c r="AE211" i="35"/>
  <c r="X83" i="23"/>
  <c r="X70" i="23"/>
  <c r="X48" i="23"/>
  <c r="X120" i="23"/>
  <c r="X98" i="23"/>
  <c r="X86" i="23"/>
  <c r="X102" i="23"/>
  <c r="X6" i="23"/>
  <c r="X81" i="23"/>
  <c r="X21" i="23"/>
  <c r="X66" i="23"/>
  <c r="X100" i="23"/>
  <c r="X42" i="23"/>
  <c r="X36" i="23"/>
  <c r="X77" i="23"/>
  <c r="AE185" i="35"/>
  <c r="X15" i="23"/>
  <c r="Y57" i="23"/>
  <c r="X46" i="23"/>
  <c r="X24" i="23"/>
  <c r="X78" i="23"/>
  <c r="X4" i="23"/>
  <c r="X7" i="23"/>
  <c r="X59" i="23"/>
  <c r="X93" i="23"/>
  <c r="X121" i="23"/>
  <c r="AE59" i="35"/>
  <c r="X26" i="23"/>
  <c r="X99" i="23"/>
  <c r="X3" i="23"/>
  <c r="X72" i="23"/>
  <c r="X74" i="23"/>
  <c r="X33" i="23"/>
  <c r="X19" i="23"/>
  <c r="X30" i="23"/>
  <c r="X112" i="23"/>
  <c r="X104" i="23"/>
  <c r="X115" i="23"/>
  <c r="X55" i="23"/>
  <c r="X126" i="23"/>
  <c r="X123" i="23"/>
  <c r="X10" i="23"/>
  <c r="X108" i="23"/>
  <c r="X20" i="23"/>
  <c r="AE111" i="35"/>
  <c r="X41" i="23"/>
  <c r="X63" i="23"/>
  <c r="X69" i="23"/>
  <c r="X110" i="23"/>
  <c r="X22" i="23"/>
  <c r="X5" i="23"/>
  <c r="X37" i="23"/>
  <c r="X94" i="23"/>
  <c r="X114" i="23"/>
  <c r="X43" i="23"/>
  <c r="X38" i="23"/>
  <c r="X14" i="23"/>
  <c r="X119" i="23"/>
  <c r="X44" i="23"/>
  <c r="X8" i="23"/>
  <c r="X32" i="23"/>
  <c r="X58" i="23"/>
  <c r="X54" i="23"/>
  <c r="X80" i="23"/>
  <c r="X109" i="23"/>
  <c r="X34" i="23"/>
  <c r="X13" i="23"/>
  <c r="X47" i="23"/>
  <c r="X92" i="23"/>
  <c r="X28" i="23"/>
  <c r="X11" i="23"/>
  <c r="X56" i="23"/>
  <c r="X107" i="23"/>
  <c r="X31" i="23"/>
  <c r="X79" i="23"/>
  <c r="X84" i="23"/>
  <c r="X111" i="23"/>
  <c r="X124" i="23"/>
  <c r="X64" i="23"/>
  <c r="X53" i="23"/>
  <c r="X122" i="23"/>
  <c r="X101" i="23"/>
  <c r="X39" i="23"/>
  <c r="X71" i="23"/>
  <c r="X12" i="23"/>
  <c r="X68" i="23"/>
  <c r="X9" i="23"/>
  <c r="X117" i="23"/>
  <c r="Y18" i="23"/>
  <c r="X51" i="23"/>
  <c r="X96" i="23"/>
  <c r="X103" i="23"/>
  <c r="X35" i="23"/>
  <c r="X17" i="23"/>
  <c r="X29" i="23"/>
  <c r="V82" i="23"/>
  <c r="V67" i="23"/>
  <c r="X67" i="23"/>
  <c r="AF247" i="35"/>
  <c r="X125" i="23"/>
  <c r="AF434" i="35"/>
  <c r="X60" i="23"/>
  <c r="AF54" i="35"/>
  <c r="X40" i="23"/>
  <c r="X61" i="23"/>
  <c r="X116" i="23"/>
  <c r="X25" i="23"/>
  <c r="V87" i="23"/>
  <c r="X87" i="23"/>
  <c r="AF256" i="35"/>
  <c r="X23" i="23"/>
  <c r="V113" i="23"/>
  <c r="X113" i="23"/>
  <c r="AF61" i="35"/>
  <c r="X65" i="23"/>
  <c r="AF112" i="35"/>
  <c r="X91" i="23"/>
  <c r="X73" i="23"/>
  <c r="AF96" i="35"/>
  <c r="X45" i="23"/>
  <c r="X95" i="23"/>
  <c r="X89" i="23"/>
  <c r="AF293" i="35"/>
  <c r="X76" i="23"/>
  <c r="X27" i="23"/>
  <c r="AF65" i="35"/>
  <c r="X106" i="23"/>
  <c r="AF120" i="35"/>
  <c r="X88" i="23"/>
  <c r="X97" i="23"/>
  <c r="X52" i="23"/>
  <c r="X105" i="23"/>
  <c r="AF11" i="35"/>
  <c r="X16" i="23"/>
  <c r="V62" i="23"/>
  <c r="X62" i="23"/>
  <c r="V85" i="23"/>
  <c r="X85" i="23"/>
  <c r="AF260" i="35"/>
  <c r="X2" i="23"/>
  <c r="AF388" i="35"/>
  <c r="X50" i="23"/>
  <c r="AF396" i="35"/>
  <c r="X82" i="23"/>
  <c r="V90" i="23"/>
  <c r="X90" i="23"/>
  <c r="AF450" i="35"/>
  <c r="AF228" i="35"/>
  <c r="AF419" i="35"/>
  <c r="AF259" i="35"/>
  <c r="AF264" i="35"/>
  <c r="AF374" i="35"/>
  <c r="AF418" i="35"/>
  <c r="AF377" i="35"/>
  <c r="AF305" i="35"/>
  <c r="AF441" i="35"/>
  <c r="AF316" i="35"/>
  <c r="AF315" i="35"/>
  <c r="AF314" i="35"/>
  <c r="AF194" i="35"/>
  <c r="AF101" i="35"/>
  <c r="AE398" i="35"/>
  <c r="AE430" i="35"/>
  <c r="AE206" i="35"/>
  <c r="AE205" i="35"/>
  <c r="AE28" i="35"/>
  <c r="AE3" i="35"/>
  <c r="AE25" i="35"/>
  <c r="V25" i="23"/>
  <c r="AF251" i="35"/>
  <c r="AF167" i="35"/>
  <c r="V7" i="23"/>
  <c r="AF455" i="35"/>
  <c r="AF231" i="35"/>
  <c r="AF444" i="35"/>
  <c r="AF242" i="35"/>
  <c r="AF371" i="35"/>
  <c r="AF179" i="35"/>
  <c r="AF180" i="35"/>
  <c r="AF79" i="35"/>
  <c r="AF401" i="35"/>
  <c r="AF32" i="35"/>
  <c r="V73" i="23"/>
  <c r="AF300" i="35"/>
  <c r="AF108" i="35"/>
  <c r="AF116" i="35"/>
  <c r="AF182" i="35"/>
  <c r="AF437" i="35"/>
  <c r="AF362" i="35"/>
  <c r="AF335" i="35"/>
  <c r="AF334" i="35"/>
  <c r="AF246" i="35"/>
  <c r="AF245" i="35"/>
  <c r="AF85" i="35"/>
  <c r="AF88" i="35"/>
  <c r="AE454" i="35"/>
  <c r="AE270" i="35"/>
  <c r="AE269" i="35"/>
  <c r="AE136" i="35"/>
  <c r="AE6" i="35"/>
  <c r="AE394" i="35"/>
  <c r="AE409" i="35"/>
  <c r="AE277" i="35"/>
  <c r="AE129" i="35"/>
  <c r="AE91" i="35"/>
  <c r="AE400" i="35"/>
  <c r="AE126" i="35"/>
  <c r="AE160" i="35"/>
  <c r="AF426" i="35"/>
  <c r="AF117" i="35"/>
  <c r="AF138" i="35"/>
  <c r="AF35" i="35"/>
  <c r="AF82" i="35"/>
  <c r="AF21" i="35"/>
  <c r="AF124" i="35"/>
  <c r="AF7" i="35"/>
  <c r="V36" i="23"/>
  <c r="AI693" i="6" s="1"/>
  <c r="AF384" i="35"/>
  <c r="AF106" i="35"/>
  <c r="AF104" i="35"/>
  <c r="AE387" i="35"/>
  <c r="AE46" i="35"/>
  <c r="AF429" i="35"/>
  <c r="AF329" i="35"/>
  <c r="AF171" i="35"/>
  <c r="AF173" i="35"/>
  <c r="AF172" i="35"/>
  <c r="AE364" i="35"/>
  <c r="AE202" i="35"/>
  <c r="AE252" i="35"/>
  <c r="AE295" i="35"/>
  <c r="AE175" i="35"/>
  <c r="AE64" i="35"/>
  <c r="AE62" i="35"/>
  <c r="AE427" i="35"/>
  <c r="AE465" i="35"/>
  <c r="AE26" i="35"/>
  <c r="AE432" i="35"/>
  <c r="AE127" i="35"/>
  <c r="AE240" i="35"/>
  <c r="AE190" i="35"/>
  <c r="AE57" i="35"/>
  <c r="AE445" i="35"/>
  <c r="AE350" i="35"/>
  <c r="AE349" i="35"/>
  <c r="AE110" i="35"/>
  <c r="AE89" i="35"/>
  <c r="AF433" i="35"/>
  <c r="AF365" i="35"/>
  <c r="AF262" i="35"/>
  <c r="V63" i="23"/>
  <c r="AF448" i="35"/>
  <c r="AF391" i="35"/>
  <c r="AE467" i="35"/>
  <c r="AE411" i="35"/>
  <c r="AE271" i="35"/>
  <c r="AE113" i="35"/>
  <c r="AE50" i="35"/>
  <c r="AE38" i="35"/>
  <c r="AE27" i="35"/>
  <c r="AE444" i="35"/>
  <c r="AE371" i="35"/>
  <c r="AE242" i="35"/>
  <c r="AE179" i="35"/>
  <c r="AE180" i="35"/>
  <c r="AE79" i="35"/>
  <c r="V95" i="23"/>
  <c r="AI678" i="6" s="1"/>
  <c r="AF453" i="35"/>
  <c r="AF318" i="35"/>
  <c r="V102" i="23"/>
  <c r="AI591" i="6" s="1"/>
  <c r="AF221" i="35"/>
  <c r="AF5" i="35"/>
  <c r="V38" i="23"/>
  <c r="AI632" i="6" s="1"/>
  <c r="AF287" i="35"/>
  <c r="AF289" i="35"/>
  <c r="AF288" i="35"/>
  <c r="AF37" i="35"/>
  <c r="V24" i="23"/>
  <c r="AI525" i="6" s="1"/>
  <c r="AF474" i="35"/>
  <c r="AF443" i="35"/>
  <c r="AF473" i="35"/>
  <c r="AF241" i="35"/>
  <c r="AF97" i="35"/>
  <c r="AF84" i="35"/>
  <c r="V78" i="23"/>
  <c r="AI636" i="6" s="1"/>
  <c r="AF406" i="35"/>
  <c r="AF405" i="35"/>
  <c r="AF321" i="35"/>
  <c r="AF342" i="35"/>
  <c r="AF66" i="35"/>
  <c r="AE416" i="35"/>
  <c r="AE279" i="35"/>
  <c r="AE452" i="35"/>
  <c r="AE367" i="35"/>
  <c r="AE460" i="35"/>
  <c r="AE369" i="35"/>
  <c r="AE366" i="35"/>
  <c r="AE368" i="35"/>
  <c r="AE10" i="35"/>
  <c r="AE119" i="35"/>
  <c r="V4" i="23"/>
  <c r="AF255" i="35"/>
  <c r="AF219" i="35"/>
  <c r="AF449" i="35"/>
  <c r="AF238" i="35"/>
  <c r="AF141" i="35"/>
  <c r="AF95" i="35"/>
  <c r="AE437" i="35"/>
  <c r="AE334" i="35"/>
  <c r="AE362" i="35"/>
  <c r="AE335" i="35"/>
  <c r="AE246" i="35"/>
  <c r="AE245" i="35"/>
  <c r="AE85" i="35"/>
  <c r="AE88" i="35"/>
  <c r="AE455" i="35"/>
  <c r="AE231" i="35"/>
  <c r="AF454" i="35"/>
  <c r="AF270" i="35"/>
  <c r="AF269" i="35"/>
  <c r="AF136" i="35"/>
  <c r="AF6" i="35"/>
  <c r="V72" i="23"/>
  <c r="AI520" i="6" s="1"/>
  <c r="AF409" i="35"/>
  <c r="AF394" i="35"/>
  <c r="AF277" i="35"/>
  <c r="AF129" i="35"/>
  <c r="AF91" i="35"/>
  <c r="AF400" i="35"/>
  <c r="AF126" i="35"/>
  <c r="AF160" i="35"/>
  <c r="AE426" i="35"/>
  <c r="AE124" i="35"/>
  <c r="AE117" i="35"/>
  <c r="AE138" i="35"/>
  <c r="AE35" i="35"/>
  <c r="AE82" i="35"/>
  <c r="AE21" i="35"/>
  <c r="AE7" i="35"/>
  <c r="AE384" i="35"/>
  <c r="AE106" i="35"/>
  <c r="AE104" i="35"/>
  <c r="V33" i="23"/>
  <c r="AF452" i="35"/>
  <c r="AF460" i="35"/>
  <c r="AF367" i="35"/>
  <c r="AF369" i="35"/>
  <c r="AF366" i="35"/>
  <c r="AF368" i="35"/>
  <c r="AF119" i="35"/>
  <c r="AF10" i="35"/>
  <c r="AE462" i="35"/>
  <c r="AE363" i="35"/>
  <c r="AE268" i="35"/>
  <c r="AE114" i="35"/>
  <c r="AE45" i="35"/>
  <c r="AE429" i="35"/>
  <c r="AE329" i="35"/>
  <c r="AE171" i="35"/>
  <c r="AE173" i="35"/>
  <c r="AE172" i="35"/>
  <c r="V55" i="23"/>
  <c r="AI550" i="6" s="1"/>
  <c r="AF190" i="35"/>
  <c r="AF240" i="35"/>
  <c r="AF57" i="35"/>
  <c r="AE347" i="35"/>
  <c r="AE63" i="35"/>
  <c r="AE83" i="35"/>
  <c r="AE312" i="35"/>
  <c r="AE297" i="35"/>
  <c r="AE226" i="35"/>
  <c r="AE296" i="35"/>
  <c r="V89" i="23"/>
  <c r="AI566" i="6" s="1"/>
  <c r="AF298" i="35"/>
  <c r="AF199" i="35"/>
  <c r="V30" i="23"/>
  <c r="AI691" i="6" s="1"/>
  <c r="AF364" i="35"/>
  <c r="AF202" i="35"/>
  <c r="V112" i="23"/>
  <c r="AI600" i="6" s="1"/>
  <c r="AF252" i="35"/>
  <c r="AF295" i="35"/>
  <c r="AF175" i="35"/>
  <c r="AF62" i="35"/>
  <c r="AF64" i="35"/>
  <c r="V104" i="23"/>
  <c r="AI27" i="6" s="1"/>
  <c r="AF465" i="35"/>
  <c r="AF427" i="35"/>
  <c r="AF26" i="35"/>
  <c r="V115" i="23"/>
  <c r="AF432" i="35"/>
  <c r="AF127" i="35"/>
  <c r="AF445" i="35"/>
  <c r="AF350" i="35"/>
  <c r="AF349" i="35"/>
  <c r="AF89" i="35"/>
  <c r="AF110" i="35"/>
  <c r="V123" i="23"/>
  <c r="AI677" i="6" s="1"/>
  <c r="AF471" i="35"/>
  <c r="AF470" i="35"/>
  <c r="AF236" i="35"/>
  <c r="AF131" i="35"/>
  <c r="AF90" i="35"/>
  <c r="AF47" i="35"/>
  <c r="AF151" i="35"/>
  <c r="AE399" i="35"/>
  <c r="AE336" i="35"/>
  <c r="AE304" i="35"/>
  <c r="AE145" i="35"/>
  <c r="AE158" i="35"/>
  <c r="AE52" i="35"/>
  <c r="AE450" i="35"/>
  <c r="AE228" i="35"/>
  <c r="AF457" i="35"/>
  <c r="AF351" i="35"/>
  <c r="AF353" i="35"/>
  <c r="AF355" i="35"/>
  <c r="AF354" i="35"/>
  <c r="AF233" i="35"/>
  <c r="AF189" i="35"/>
  <c r="AE225" i="35"/>
  <c r="AE81" i="35"/>
  <c r="AE447" i="35"/>
  <c r="AE370" i="35"/>
  <c r="AE451" i="35"/>
  <c r="AE338" i="35"/>
  <c r="AE337" i="35"/>
  <c r="AE215" i="35"/>
  <c r="AE237" i="35"/>
  <c r="AE56" i="35"/>
  <c r="AE149" i="35"/>
  <c r="AE86" i="35"/>
  <c r="AE477" i="35"/>
  <c r="AE292" i="35"/>
  <c r="AE291" i="35"/>
  <c r="AE144" i="35"/>
  <c r="AE23" i="35"/>
  <c r="AE60" i="35"/>
  <c r="AE20" i="35"/>
  <c r="AE358" i="35"/>
  <c r="AE410" i="35"/>
  <c r="AE284" i="35"/>
  <c r="AE200" i="35"/>
  <c r="AE283" i="35"/>
  <c r="AE107" i="35"/>
  <c r="AE51" i="35"/>
  <c r="AE239" i="35"/>
  <c r="AE235" i="35"/>
  <c r="AE234" i="35"/>
  <c r="AE14" i="35"/>
  <c r="AE15" i="35"/>
  <c r="AF386" i="35"/>
  <c r="AF468" i="35"/>
  <c r="AF267" i="35"/>
  <c r="AF197" i="35"/>
  <c r="AF34" i="35"/>
  <c r="AF48" i="35"/>
  <c r="AE470" i="35"/>
  <c r="AE236" i="35"/>
  <c r="AE471" i="35"/>
  <c r="AE151" i="35"/>
  <c r="AE131" i="35"/>
  <c r="AE90" i="35"/>
  <c r="AE47" i="35"/>
  <c r="AF399" i="35"/>
  <c r="AF336" i="35"/>
  <c r="AF304" i="35"/>
  <c r="AF145" i="35"/>
  <c r="AF158" i="35"/>
  <c r="AF52" i="35"/>
  <c r="AE419" i="35"/>
  <c r="AE259" i="35"/>
  <c r="AE264" i="35"/>
  <c r="AF463" i="35"/>
  <c r="AF132" i="35"/>
  <c r="AF166" i="35"/>
  <c r="AE408" i="35"/>
  <c r="AE466" i="35"/>
  <c r="AE232" i="35"/>
  <c r="AE187" i="35"/>
  <c r="AE147" i="35"/>
  <c r="AE122" i="35"/>
  <c r="AE290" i="35"/>
  <c r="AE73" i="35"/>
  <c r="AE53" i="35"/>
  <c r="AE43" i="35"/>
  <c r="V27" i="23"/>
  <c r="AI523" i="6" s="1"/>
  <c r="AF227" i="35"/>
  <c r="AF142" i="35"/>
  <c r="V46" i="23"/>
  <c r="AF341" i="35"/>
  <c r="AF340" i="35"/>
  <c r="AF278" i="35"/>
  <c r="AF115" i="35"/>
  <c r="AF451" i="35"/>
  <c r="AF338" i="35"/>
  <c r="AF337" i="35"/>
  <c r="AF215" i="35"/>
  <c r="AF237" i="35"/>
  <c r="AF149" i="35"/>
  <c r="AF56" i="35"/>
  <c r="AF86" i="35"/>
  <c r="AF410" i="35"/>
  <c r="AF358" i="35"/>
  <c r="AF284" i="35"/>
  <c r="AF200" i="35"/>
  <c r="AF283" i="35"/>
  <c r="AF107" i="35"/>
  <c r="AF51" i="35"/>
  <c r="V94" i="23"/>
  <c r="AF239" i="35"/>
  <c r="AF235" i="35"/>
  <c r="AF234" i="35"/>
  <c r="AF14" i="35"/>
  <c r="AF15" i="35"/>
  <c r="AE386" i="35"/>
  <c r="AE468" i="35"/>
  <c r="AE267" i="35"/>
  <c r="AE197" i="35"/>
  <c r="AE34" i="35"/>
  <c r="AE48" i="35"/>
  <c r="AF420" i="35"/>
  <c r="AF357" i="35"/>
  <c r="AF356" i="35"/>
  <c r="AF146" i="35"/>
  <c r="AF103" i="35"/>
  <c r="AF188" i="35"/>
  <c r="AF135" i="35"/>
  <c r="AF22" i="35"/>
  <c r="AE388" i="35"/>
  <c r="AE227" i="35"/>
  <c r="AE142" i="35"/>
  <c r="AF436" i="35"/>
  <c r="AF317" i="35"/>
  <c r="AF196" i="35"/>
  <c r="AF148" i="35"/>
  <c r="AF150" i="35"/>
  <c r="AF214" i="35"/>
  <c r="V97" i="23"/>
  <c r="AF218" i="35"/>
  <c r="AF77" i="35"/>
  <c r="AE372" i="35"/>
  <c r="AE446" i="35"/>
  <c r="AE373" i="35"/>
  <c r="AE339" i="35"/>
  <c r="AE92" i="35"/>
  <c r="AE76" i="35"/>
  <c r="AE459" i="35"/>
  <c r="AE425" i="35"/>
  <c r="AE414" i="35"/>
  <c r="AE273" i="35"/>
  <c r="AE274" i="35"/>
  <c r="AE72" i="35"/>
  <c r="AE102" i="35"/>
  <c r="AE395" i="35"/>
  <c r="AE105" i="35"/>
  <c r="AE87" i="35"/>
  <c r="AE343" i="35"/>
  <c r="AE390" i="35"/>
  <c r="AE170" i="35"/>
  <c r="AE96" i="35"/>
  <c r="AE309" i="35"/>
  <c r="AE163" i="35"/>
  <c r="AE162" i="35"/>
  <c r="AE192" i="35"/>
  <c r="AE93" i="35"/>
  <c r="AE12" i="35"/>
  <c r="AE49" i="35"/>
  <c r="AE19" i="35"/>
  <c r="AE40" i="35"/>
  <c r="AE4" i="35"/>
  <c r="AE396" i="35"/>
  <c r="V52" i="23"/>
  <c r="AF327" i="35"/>
  <c r="AF326" i="35"/>
  <c r="AF328" i="35"/>
  <c r="AF254" i="35"/>
  <c r="AF265" i="35"/>
  <c r="AF253" i="35"/>
  <c r="AF266" i="35"/>
  <c r="AF125" i="35"/>
  <c r="AF263" i="35"/>
  <c r="AE218" i="35"/>
  <c r="AE77" i="35"/>
  <c r="AE453" i="35"/>
  <c r="AE318" i="35"/>
  <c r="V105" i="23"/>
  <c r="AI570" i="6" s="1"/>
  <c r="AF442" i="35"/>
  <c r="AF376" i="35"/>
  <c r="AE436" i="35"/>
  <c r="AE317" i="35"/>
  <c r="AE214" i="35"/>
  <c r="AE148" i="35"/>
  <c r="AE196" i="35"/>
  <c r="AE150" i="35"/>
  <c r="AE120" i="35"/>
  <c r="AE327" i="35"/>
  <c r="AE326" i="35"/>
  <c r="AE328" i="35"/>
  <c r="AE265" i="35"/>
  <c r="AE254" i="35"/>
  <c r="AE263" i="35"/>
  <c r="AE253" i="35"/>
  <c r="AE266" i="35"/>
  <c r="AE125" i="35"/>
  <c r="AE391" i="35"/>
  <c r="AE448" i="35"/>
  <c r="AF387" i="35"/>
  <c r="AF46" i="35"/>
  <c r="AE457" i="35"/>
  <c r="AE351" i="35"/>
  <c r="AE353" i="35"/>
  <c r="AE355" i="35"/>
  <c r="AE233" i="35"/>
  <c r="AE189" i="35"/>
  <c r="AE354" i="35"/>
  <c r="V110" i="23"/>
  <c r="AI629" i="6" s="1"/>
  <c r="AF447" i="35"/>
  <c r="AF370" i="35"/>
  <c r="V109" i="23"/>
  <c r="AI505" i="6" s="1"/>
  <c r="AF309" i="35"/>
  <c r="AF163" i="35"/>
  <c r="AF162" i="35"/>
  <c r="AF93" i="35"/>
  <c r="AF12" i="35"/>
  <c r="AF49" i="35"/>
  <c r="AF192" i="35"/>
  <c r="V69" i="23"/>
  <c r="AI690" i="6" s="1"/>
  <c r="AF225" i="35"/>
  <c r="AF81" i="35"/>
  <c r="AF477" i="35"/>
  <c r="AF291" i="35"/>
  <c r="AF292" i="35"/>
  <c r="AF144" i="35"/>
  <c r="AF23" i="35"/>
  <c r="AF60" i="35"/>
  <c r="AF20" i="35"/>
  <c r="AE422" i="35"/>
  <c r="AE143" i="35"/>
  <c r="AE9" i="35"/>
  <c r="AE2" i="35"/>
  <c r="AE403" i="35"/>
  <c r="AE310" i="35"/>
  <c r="AE99" i="35"/>
  <c r="AF422" i="35"/>
  <c r="AF143" i="35"/>
  <c r="AF9" i="35"/>
  <c r="AF2" i="35"/>
  <c r="V44" i="23"/>
  <c r="AI559" i="6" s="1"/>
  <c r="AF446" i="35"/>
  <c r="AF373" i="35"/>
  <c r="AF339" i="35"/>
  <c r="AF372" i="35"/>
  <c r="AF92" i="35"/>
  <c r="AF76" i="35"/>
  <c r="AF403" i="35"/>
  <c r="AF310" i="35"/>
  <c r="AF99" i="35"/>
  <c r="V32" i="23"/>
  <c r="Y32" i="23" s="1"/>
  <c r="AF459" i="35"/>
  <c r="AF425" i="35"/>
  <c r="AF414" i="35"/>
  <c r="AF274" i="35"/>
  <c r="AF273" i="35"/>
  <c r="AF102" i="35"/>
  <c r="AF72" i="35"/>
  <c r="AF395" i="35"/>
  <c r="AF87" i="35"/>
  <c r="AF105" i="35"/>
  <c r="V80" i="23"/>
  <c r="AI539" i="6" s="1"/>
  <c r="AF343" i="35"/>
  <c r="AF390" i="35"/>
  <c r="AF170" i="35"/>
  <c r="AE260" i="35"/>
  <c r="AE307" i="35"/>
  <c r="AE375" i="35"/>
  <c r="AE301" i="35"/>
  <c r="AE308" i="35"/>
  <c r="AE156" i="35"/>
  <c r="AE16" i="35"/>
  <c r="AE58" i="35"/>
  <c r="AE286" i="35"/>
  <c r="AE204" i="35"/>
  <c r="AE133" i="35"/>
  <c r="AE389" i="35"/>
  <c r="AE168" i="35"/>
  <c r="AE169" i="35"/>
  <c r="AE80" i="35"/>
  <c r="AE74" i="35"/>
  <c r="AE201" i="35"/>
  <c r="AE256" i="35"/>
  <c r="V92" i="23"/>
  <c r="AF464" i="35"/>
  <c r="AF285" i="35"/>
  <c r="AF294" i="35"/>
  <c r="AF159" i="35"/>
  <c r="AF176" i="35"/>
  <c r="AF94" i="35"/>
  <c r="AF44" i="35"/>
  <c r="AF177" i="35"/>
  <c r="AF378" i="35"/>
  <c r="AF435" i="35"/>
  <c r="AF382" i="35"/>
  <c r="AF261" i="35"/>
  <c r="AF78" i="35"/>
  <c r="AE424" i="35"/>
  <c r="AE475" i="35"/>
  <c r="AE359" i="35"/>
  <c r="AE213" i="35"/>
  <c r="AE128" i="35"/>
  <c r="AE121" i="35"/>
  <c r="AE217" i="35"/>
  <c r="AE24" i="35"/>
  <c r="AE61" i="35"/>
  <c r="AE434" i="35"/>
  <c r="V51" i="23"/>
  <c r="AF375" i="35"/>
  <c r="AF308" i="35"/>
  <c r="AF301" i="35"/>
  <c r="AF307" i="35"/>
  <c r="AF156" i="35"/>
  <c r="AF16" i="35"/>
  <c r="AF58" i="35"/>
  <c r="V96" i="23"/>
  <c r="AF286" i="35"/>
  <c r="AF204" i="35"/>
  <c r="AF133" i="35"/>
  <c r="V103" i="23"/>
  <c r="AI689" i="6" s="1"/>
  <c r="AF389" i="35"/>
  <c r="AF168" i="35"/>
  <c r="AF201" i="35"/>
  <c r="AF80" i="35"/>
  <c r="AF169" i="35"/>
  <c r="AF74" i="35"/>
  <c r="AE54" i="35"/>
  <c r="AE464" i="35"/>
  <c r="AE294" i="35"/>
  <c r="AE285" i="35"/>
  <c r="AE159" i="35"/>
  <c r="AE176" i="35"/>
  <c r="AE177" i="35"/>
  <c r="AE44" i="35"/>
  <c r="AE94" i="35"/>
  <c r="AE382" i="35"/>
  <c r="AE378" i="35"/>
  <c r="AE435" i="35"/>
  <c r="AE261" i="35"/>
  <c r="AE78" i="35"/>
  <c r="V84" i="23"/>
  <c r="AF424" i="35"/>
  <c r="AF475" i="35"/>
  <c r="AF359" i="35"/>
  <c r="AF213" i="35"/>
  <c r="AF128" i="35"/>
  <c r="AF121" i="35"/>
  <c r="AF217" i="35"/>
  <c r="AF24" i="35"/>
  <c r="AE376" i="35"/>
  <c r="AE442" i="35"/>
  <c r="V100" i="23"/>
  <c r="AI651" i="6" s="1"/>
  <c r="AF408" i="35"/>
  <c r="AF466" i="35"/>
  <c r="AF290" i="35"/>
  <c r="AF187" i="35"/>
  <c r="AF232" i="35"/>
  <c r="AF147" i="35"/>
  <c r="AF122" i="35"/>
  <c r="AF73" i="35"/>
  <c r="V121" i="23"/>
  <c r="AI670" i="6" s="1"/>
  <c r="AF347" i="35"/>
  <c r="AF63" i="35"/>
  <c r="AF83" i="35"/>
  <c r="AE216" i="35"/>
  <c r="AE250" i="35"/>
  <c r="AE248" i="35"/>
  <c r="AE186" i="35"/>
  <c r="V21" i="23"/>
  <c r="AF312" i="35"/>
  <c r="AF297" i="35"/>
  <c r="AF296" i="35"/>
  <c r="AF226" i="35"/>
  <c r="AE402" i="35"/>
  <c r="AE423" i="35"/>
  <c r="AE348" i="35"/>
  <c r="AE229" i="35"/>
  <c r="AE178" i="35"/>
  <c r="AE230" i="35"/>
  <c r="AE18" i="35"/>
  <c r="AE407" i="35"/>
  <c r="AE165" i="35"/>
  <c r="AE67" i="35"/>
  <c r="AE69" i="35"/>
  <c r="AE183" i="35"/>
  <c r="AE70" i="35"/>
  <c r="AE469" i="35"/>
  <c r="AE319" i="35"/>
  <c r="AE320" i="35"/>
  <c r="AE413" i="35"/>
  <c r="AE275" i="35"/>
  <c r="AE276" i="35"/>
  <c r="V35" i="23"/>
  <c r="AF421" i="35"/>
  <c r="AF380" i="35"/>
  <c r="AF360" i="35"/>
  <c r="AF193" i="35"/>
  <c r="AF361" i="35"/>
  <c r="AF404" i="35"/>
  <c r="AE311" i="35"/>
  <c r="AE164" i="35"/>
  <c r="AE249" i="35"/>
  <c r="AE161" i="35"/>
  <c r="AE212" i="35"/>
  <c r="AE412" i="35"/>
  <c r="AE379" i="35"/>
  <c r="AE333" i="35"/>
  <c r="AE75" i="35"/>
  <c r="AE440" i="35"/>
  <c r="AE392" i="35"/>
  <c r="AE140" i="35"/>
  <c r="AE456" i="35"/>
  <c r="AE332" i="35"/>
  <c r="AE181" i="35"/>
  <c r="V124" i="23"/>
  <c r="AI590" i="6" s="1"/>
  <c r="AF423" i="35"/>
  <c r="AF348" i="35"/>
  <c r="AF402" i="35"/>
  <c r="AF229" i="35"/>
  <c r="AF230" i="35"/>
  <c r="AF178" i="35"/>
  <c r="AF18" i="35"/>
  <c r="AF407" i="35"/>
  <c r="AF165" i="35"/>
  <c r="AF67" i="35"/>
  <c r="AF69" i="35"/>
  <c r="V53" i="23"/>
  <c r="AI622" i="6" s="1"/>
  <c r="AF183" i="35"/>
  <c r="AF70" i="35"/>
  <c r="AF469" i="35"/>
  <c r="AF319" i="35"/>
  <c r="AF320" i="35"/>
  <c r="AF413" i="35"/>
  <c r="AF275" i="35"/>
  <c r="AF276" i="35"/>
  <c r="AE404" i="35"/>
  <c r="AE421" i="35"/>
  <c r="AE380" i="35"/>
  <c r="AE360" i="35"/>
  <c r="AE361" i="35"/>
  <c r="AE193" i="35"/>
  <c r="V39" i="23"/>
  <c r="AF311" i="35"/>
  <c r="AF164" i="35"/>
  <c r="V71" i="23"/>
  <c r="AI478" i="6" s="1"/>
  <c r="AF249" i="35"/>
  <c r="AF212" i="35"/>
  <c r="AF161" i="35"/>
  <c r="AF412" i="35"/>
  <c r="AF379" i="35"/>
  <c r="AF333" i="35"/>
  <c r="AF75" i="35"/>
  <c r="AF440" i="35"/>
  <c r="AF392" i="35"/>
  <c r="AF140" i="35"/>
  <c r="V9" i="23"/>
  <c r="AF456" i="35"/>
  <c r="AF332" i="35"/>
  <c r="AF181" i="35"/>
  <c r="V107" i="23"/>
  <c r="AF467" i="35"/>
  <c r="AF411" i="35"/>
  <c r="AF271" i="35"/>
  <c r="AF27" i="35"/>
  <c r="AF113" i="35"/>
  <c r="AF50" i="35"/>
  <c r="AF38" i="35"/>
  <c r="V86" i="23"/>
  <c r="AF19" i="35"/>
  <c r="AF40" i="35"/>
  <c r="AF4" i="35"/>
  <c r="AE298" i="35"/>
  <c r="AE199" i="35"/>
  <c r="V13" i="23"/>
  <c r="AF53" i="35"/>
  <c r="AF43" i="35"/>
  <c r="AE431" i="35"/>
  <c r="AE383" i="35"/>
  <c r="AE282" i="35"/>
  <c r="AE331" i="35"/>
  <c r="AE393" i="35"/>
  <c r="AE281" i="35"/>
  <c r="AE208" i="35"/>
  <c r="AE155" i="35"/>
  <c r="AE157" i="35"/>
  <c r="AE195" i="35"/>
  <c r="AE152" i="35"/>
  <c r="AE154" i="35"/>
  <c r="AE207" i="35"/>
  <c r="AE153" i="35"/>
  <c r="AE397" i="35"/>
  <c r="AE313" i="35"/>
  <c r="AE68" i="35"/>
  <c r="AE39" i="35"/>
  <c r="AE13" i="35"/>
  <c r="AE458" i="35"/>
  <c r="AE330" i="35"/>
  <c r="AE476" i="35"/>
  <c r="AE222" i="35"/>
  <c r="AE174" i="35"/>
  <c r="AE55" i="35"/>
  <c r="AE130" i="35"/>
  <c r="AE98" i="35"/>
  <c r="AE258" i="35"/>
  <c r="AE65" i="35"/>
  <c r="AE137" i="35"/>
  <c r="AE123" i="35"/>
  <c r="AE118" i="35"/>
  <c r="AE439" i="35"/>
  <c r="AE302" i="35"/>
  <c r="AE223" i="35"/>
  <c r="AE191" i="35"/>
  <c r="AE139" i="35"/>
  <c r="V17" i="23"/>
  <c r="AF398" i="35"/>
  <c r="AF430" i="35"/>
  <c r="AF206" i="35"/>
  <c r="AF205" i="35"/>
  <c r="AF28" i="35"/>
  <c r="AF3" i="35"/>
  <c r="AF25" i="35"/>
  <c r="V29" i="23"/>
  <c r="AF216" i="35"/>
  <c r="AF248" i="35"/>
  <c r="AF250" i="35"/>
  <c r="AF186" i="35"/>
  <c r="V59" i="23"/>
  <c r="AI284" i="6" s="1"/>
  <c r="AF416" i="35"/>
  <c r="AF279" i="35"/>
  <c r="AE247" i="35"/>
  <c r="AF462" i="35"/>
  <c r="AF268" i="35"/>
  <c r="AF114" i="35"/>
  <c r="AF363" i="35"/>
  <c r="AF45" i="35"/>
  <c r="AE463" i="35"/>
  <c r="AE166" i="35"/>
  <c r="AE132" i="35"/>
  <c r="AE449" i="35"/>
  <c r="AE238" i="35"/>
  <c r="AE141" i="35"/>
  <c r="AE95" i="35"/>
  <c r="AE415" i="35"/>
  <c r="AE322" i="35"/>
  <c r="AE324" i="35"/>
  <c r="AE323" i="35"/>
  <c r="AE203" i="35"/>
  <c r="AE280" i="35"/>
  <c r="AE184" i="35"/>
  <c r="AE325" i="35"/>
  <c r="AF431" i="35"/>
  <c r="AF393" i="35"/>
  <c r="AF383" i="35"/>
  <c r="AF331" i="35"/>
  <c r="AF195" i="35"/>
  <c r="AF208" i="35"/>
  <c r="AF282" i="35"/>
  <c r="AF157" i="35"/>
  <c r="AF281" i="35"/>
  <c r="AF152" i="35"/>
  <c r="AF154" i="35"/>
  <c r="AF207" i="35"/>
  <c r="AF153" i="35"/>
  <c r="AF155" i="35"/>
  <c r="AF397" i="35"/>
  <c r="AF313" i="35"/>
  <c r="AF68" i="35"/>
  <c r="AF39" i="35"/>
  <c r="AF13" i="35"/>
  <c r="V26" i="23"/>
  <c r="AF458" i="35"/>
  <c r="AF330" i="35"/>
  <c r="AE293" i="35"/>
  <c r="AF476" i="35"/>
  <c r="AF174" i="35"/>
  <c r="AF222" i="35"/>
  <c r="AF55" i="35"/>
  <c r="V70" i="23"/>
  <c r="AF258" i="35"/>
  <c r="AF130" i="35"/>
  <c r="AF98" i="35"/>
  <c r="V98" i="23"/>
  <c r="AI619" i="6" s="1"/>
  <c r="AF472" i="35"/>
  <c r="AF438" i="35"/>
  <c r="AF345" i="35"/>
  <c r="AF352" i="35"/>
  <c r="AF224" i="35"/>
  <c r="AF243" i="35"/>
  <c r="AF220" i="35"/>
  <c r="AF17" i="35"/>
  <c r="AF33" i="35"/>
  <c r="AF42" i="35"/>
  <c r="AF29" i="35"/>
  <c r="AF41" i="35"/>
  <c r="AE433" i="35"/>
  <c r="AE365" i="35"/>
  <c r="AE262" i="35"/>
  <c r="V48" i="23"/>
  <c r="AI688" i="6" s="1"/>
  <c r="AF137" i="35"/>
  <c r="AF123" i="35"/>
  <c r="AF118" i="35"/>
  <c r="AF439" i="35"/>
  <c r="AF302" i="35"/>
  <c r="AF223" i="35"/>
  <c r="AF191" i="35"/>
  <c r="AF139" i="35"/>
  <c r="AE420" i="35"/>
  <c r="AE356" i="35"/>
  <c r="AE357" i="35"/>
  <c r="AE135" i="35"/>
  <c r="AE146" i="35"/>
  <c r="AE103" i="35"/>
  <c r="AE188" i="35"/>
  <c r="AE22" i="35"/>
  <c r="AE11" i="35"/>
  <c r="AF415" i="35"/>
  <c r="AF324" i="35"/>
  <c r="AF323" i="35"/>
  <c r="AF203" i="35"/>
  <c r="AF280" i="35"/>
  <c r="AF184" i="35"/>
  <c r="AF322" i="35"/>
  <c r="AF325" i="35"/>
  <c r="AE221" i="35"/>
  <c r="AE5" i="35"/>
  <c r="AE341" i="35"/>
  <c r="AE340" i="35"/>
  <c r="AE278" i="35"/>
  <c r="AE115" i="35"/>
  <c r="AE287" i="35"/>
  <c r="AE289" i="35"/>
  <c r="AE288" i="35"/>
  <c r="AE37" i="35"/>
  <c r="AE474" i="35"/>
  <c r="AE443" i="35"/>
  <c r="AE473" i="35"/>
  <c r="AE241" i="35"/>
  <c r="AE97" i="35"/>
  <c r="AE84" i="35"/>
  <c r="AE406" i="35"/>
  <c r="AE321" i="35"/>
  <c r="AE405" i="35"/>
  <c r="AE342" i="35"/>
  <c r="AE66" i="35"/>
  <c r="AE112" i="35"/>
  <c r="AE472" i="35"/>
  <c r="AE438" i="35"/>
  <c r="AE345" i="35"/>
  <c r="AE352" i="35"/>
  <c r="AE224" i="35"/>
  <c r="AE220" i="35"/>
  <c r="AE17" i="35"/>
  <c r="AE33" i="35"/>
  <c r="AE243" i="35"/>
  <c r="AE42" i="35"/>
  <c r="AE29" i="35"/>
  <c r="AE41" i="35"/>
  <c r="AE219" i="35"/>
  <c r="AE255" i="35"/>
  <c r="AE300" i="35"/>
  <c r="AE116" i="35"/>
  <c r="AE182" i="35"/>
  <c r="AE108" i="35"/>
  <c r="AE401" i="35"/>
  <c r="AE32" i="35"/>
  <c r="AE374" i="35"/>
  <c r="AE418" i="35"/>
  <c r="AE377" i="35"/>
  <c r="AE305" i="35"/>
  <c r="AE441" i="35"/>
  <c r="AE314" i="35"/>
  <c r="AE316" i="35"/>
  <c r="AE315" i="35"/>
  <c r="AE101" i="35"/>
  <c r="AE194" i="35"/>
  <c r="V22" i="23"/>
  <c r="AI659" i="6" s="1"/>
  <c r="V43" i="23"/>
  <c r="AI683" i="6" s="1"/>
  <c r="V61" i="23"/>
  <c r="V116" i="23"/>
  <c r="AI699" i="6" s="1"/>
  <c r="V117" i="23"/>
  <c r="AI587" i="6" s="1"/>
  <c r="V2" i="23"/>
  <c r="AI265" i="6" s="1"/>
  <c r="V6" i="23"/>
  <c r="V91" i="23"/>
  <c r="V108" i="23"/>
  <c r="V114" i="23"/>
  <c r="AI698" i="6" s="1"/>
  <c r="V20" i="23"/>
  <c r="V5" i="23"/>
  <c r="V60" i="23"/>
  <c r="AI466" i="6" s="1"/>
  <c r="V40" i="23"/>
  <c r="AI580" i="6" s="1"/>
  <c r="V28" i="23"/>
  <c r="V37" i="23"/>
  <c r="AI642" i="6" s="1"/>
  <c r="V119" i="23"/>
  <c r="V8" i="23"/>
  <c r="V58" i="23"/>
  <c r="V54" i="23"/>
  <c r="V125" i="23"/>
  <c r="V23" i="23"/>
  <c r="V65" i="23"/>
  <c r="V47" i="23"/>
  <c r="V41" i="23"/>
  <c r="V10" i="23"/>
  <c r="V45" i="23"/>
  <c r="V93" i="23"/>
  <c r="V64" i="23"/>
  <c r="V122" i="23"/>
  <c r="V101" i="23"/>
  <c r="V12" i="23"/>
  <c r="V68" i="23"/>
  <c r="AI473" i="6" s="1"/>
  <c r="V76" i="23"/>
  <c r="V66" i="23"/>
  <c r="AI658" i="6" s="1"/>
  <c r="V34" i="23"/>
  <c r="V50" i="23"/>
  <c r="AI392" i="6" s="1"/>
  <c r="V126" i="23"/>
  <c r="AI569" i="6" s="1"/>
  <c r="V56" i="23"/>
  <c r="V111" i="23"/>
  <c r="V106" i="23"/>
  <c r="AI66" i="6" s="1"/>
  <c r="V99" i="23"/>
  <c r="V88" i="23"/>
  <c r="AI123" i="6" s="1"/>
  <c r="V19" i="23"/>
  <c r="V83" i="23"/>
  <c r="AI634" i="6" s="1"/>
  <c r="V120" i="23"/>
  <c r="AI521" i="6" s="1"/>
  <c r="V3" i="23"/>
  <c r="V74" i="23"/>
  <c r="V11" i="23"/>
  <c r="V16" i="23"/>
  <c r="AI11" i="6" s="1"/>
  <c r="V14" i="23"/>
  <c r="V42" i="23"/>
  <c r="V77" i="23"/>
  <c r="A229" i="4"/>
  <c r="A230" i="4"/>
  <c r="A231" i="4"/>
  <c r="D229" i="4"/>
  <c r="D230" i="4"/>
  <c r="D231" i="4"/>
  <c r="D228" i="4"/>
  <c r="D227" i="4"/>
  <c r="A227" i="4"/>
  <c r="D226" i="4"/>
  <c r="A2"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D224" i="4"/>
  <c r="D225" i="4"/>
  <c r="D223" i="4"/>
  <c r="D222" i="4"/>
  <c r="D219" i="4"/>
  <c r="D220" i="4"/>
  <c r="D221" i="4"/>
  <c r="D217" i="4"/>
  <c r="D218" i="4"/>
  <c r="D215" i="4"/>
  <c r="D216" i="4"/>
  <c r="D214" i="4"/>
  <c r="D213" i="4"/>
  <c r="D212" i="4"/>
  <c r="AI680" i="6" l="1"/>
  <c r="AI681" i="6"/>
  <c r="AI531" i="6"/>
  <c r="AI694" i="6"/>
  <c r="AI663" i="6"/>
  <c r="AI671" i="6"/>
  <c r="AI443" i="6"/>
  <c r="AI666" i="6"/>
  <c r="AI668" i="6"/>
  <c r="AI679" i="6"/>
  <c r="AI686" i="6"/>
  <c r="AI674" i="6"/>
  <c r="AI676" i="6"/>
  <c r="AI673" i="6"/>
  <c r="AI672" i="6"/>
  <c r="AI697" i="6"/>
  <c r="AI692" i="6"/>
  <c r="AI589" i="6"/>
  <c r="AI684" i="6"/>
  <c r="AI660" i="6"/>
  <c r="AI667" i="6"/>
  <c r="AI701" i="6"/>
  <c r="AI664" i="6"/>
  <c r="AI643" i="6"/>
  <c r="AI675" i="6"/>
  <c r="AI626" i="6"/>
  <c r="AI696" i="6"/>
  <c r="AI653" i="6"/>
  <c r="AI665" i="6"/>
  <c r="AI682" i="6"/>
  <c r="AI472" i="6"/>
  <c r="AI662" i="6"/>
  <c r="AI575" i="6"/>
  <c r="AI669" i="6"/>
  <c r="AI609" i="6"/>
  <c r="AI695" i="6"/>
  <c r="AI654" i="6"/>
  <c r="AI652" i="6"/>
  <c r="AI465" i="6"/>
  <c r="AI656" i="6"/>
  <c r="AI561" i="6"/>
  <c r="AI655" i="6"/>
  <c r="AI618" i="6"/>
  <c r="AI657" i="6"/>
  <c r="AI623" i="6"/>
  <c r="AI661" i="6"/>
  <c r="AI625" i="6"/>
  <c r="AI631" i="6"/>
  <c r="Y81" i="23"/>
  <c r="AJ647" i="6" s="1"/>
  <c r="AI647" i="6"/>
  <c r="AI627" i="6"/>
  <c r="AI630" i="6"/>
  <c r="AI607" i="6"/>
  <c r="AI639" i="6"/>
  <c r="AI650" i="6"/>
  <c r="AI649" i="6"/>
  <c r="AI646" i="6"/>
  <c r="AI536" i="6"/>
  <c r="AI641" i="6"/>
  <c r="AI635" i="6"/>
  <c r="AI633" i="6"/>
  <c r="AI517" i="6"/>
  <c r="AI638" i="6"/>
  <c r="AI606" i="6"/>
  <c r="AI644" i="6"/>
  <c r="AI640" i="6"/>
  <c r="AI601" i="6"/>
  <c r="AI645" i="6"/>
  <c r="AI551" i="6"/>
  <c r="AI637" i="6"/>
  <c r="AI450" i="6"/>
  <c r="AI648" i="6"/>
  <c r="AJ649" i="6"/>
  <c r="AJ650" i="6"/>
  <c r="AJ646" i="6"/>
  <c r="AI595" i="6"/>
  <c r="AI621" i="6"/>
  <c r="AI459" i="6"/>
  <c r="AI608" i="6"/>
  <c r="AI236" i="6"/>
  <c r="AI620" i="6"/>
  <c r="AI537" i="6"/>
  <c r="AI628" i="6"/>
  <c r="AI610" i="6"/>
  <c r="AI538" i="6"/>
  <c r="AI624" i="6"/>
  <c r="AI611" i="6"/>
  <c r="AI612" i="6"/>
  <c r="AI594" i="6"/>
  <c r="AI613" i="6"/>
  <c r="AI597" i="6"/>
  <c r="AI605" i="6"/>
  <c r="AI615" i="6"/>
  <c r="AI617" i="6"/>
  <c r="AI604" i="6"/>
  <c r="AI614" i="6"/>
  <c r="AI616" i="6"/>
  <c r="AI603" i="6"/>
  <c r="AI602" i="6"/>
  <c r="Y75" i="23"/>
  <c r="AJ685" i="6" s="1"/>
  <c r="AI540" i="6"/>
  <c r="AI504" i="6"/>
  <c r="AI599" i="6"/>
  <c r="Y31" i="23"/>
  <c r="AJ598" i="6" s="1"/>
  <c r="AI598" i="6"/>
  <c r="AI574" i="6"/>
  <c r="AI583" i="6"/>
  <c r="AI573" i="6"/>
  <c r="AI596" i="6"/>
  <c r="AI582" i="6"/>
  <c r="AI585" i="6"/>
  <c r="AI584" i="6"/>
  <c r="AI577" i="6"/>
  <c r="AI593" i="6"/>
  <c r="AI586" i="6"/>
  <c r="AI252" i="6"/>
  <c r="AI588" i="6"/>
  <c r="AI581" i="6"/>
  <c r="AI592" i="6"/>
  <c r="AI502" i="6"/>
  <c r="AI579" i="6"/>
  <c r="AI568" i="6"/>
  <c r="AI576" i="6"/>
  <c r="AI494" i="6"/>
  <c r="AI572" i="6"/>
  <c r="AI564" i="6"/>
  <c r="AI565" i="6"/>
  <c r="AI503" i="6"/>
  <c r="AI567" i="6"/>
  <c r="AI454" i="6"/>
  <c r="AI571" i="6"/>
  <c r="AI518" i="6"/>
  <c r="AI489" i="6"/>
  <c r="AI490" i="6"/>
  <c r="AI508" i="6"/>
  <c r="AI558" i="6"/>
  <c r="AI509" i="6"/>
  <c r="AI560" i="6"/>
  <c r="AI557" i="6"/>
  <c r="AI555" i="6"/>
  <c r="AI556" i="6"/>
  <c r="Y79" i="23"/>
  <c r="AJ563" i="6" s="1"/>
  <c r="AI563" i="6"/>
  <c r="AI554" i="6"/>
  <c r="AI553" i="6"/>
  <c r="AI115" i="6"/>
  <c r="AI543" i="6"/>
  <c r="AI62" i="6"/>
  <c r="AI545" i="6"/>
  <c r="AI548" i="6"/>
  <c r="AI549" i="6"/>
  <c r="AI547" i="6"/>
  <c r="AI534" i="6"/>
  <c r="AI544" i="6"/>
  <c r="AI542" i="6"/>
  <c r="AI479" i="6"/>
  <c r="AI546" i="6"/>
  <c r="AI516" i="6"/>
  <c r="AI552" i="6"/>
  <c r="AI541" i="6"/>
  <c r="AI55" i="6"/>
  <c r="AI535" i="6"/>
  <c r="AI530" i="6"/>
  <c r="AI532" i="6"/>
  <c r="AI533" i="6"/>
  <c r="AI529" i="6"/>
  <c r="AI528" i="6"/>
  <c r="AI524" i="6"/>
  <c r="AI522" i="6"/>
  <c r="AI526" i="6"/>
  <c r="AI527" i="6"/>
  <c r="AI261" i="6"/>
  <c r="AI380" i="6"/>
  <c r="AI519" i="6"/>
  <c r="AI702" i="6"/>
  <c r="AI506" i="6"/>
  <c r="AI507" i="6"/>
  <c r="AI470" i="6"/>
  <c r="AI471" i="6"/>
  <c r="AI469" i="6"/>
  <c r="AI467" i="6"/>
  <c r="AI468" i="6"/>
  <c r="AI477" i="6"/>
  <c r="AI474" i="6"/>
  <c r="AI475" i="6"/>
  <c r="AI476" i="6"/>
  <c r="AI455" i="6"/>
  <c r="AI456" i="6"/>
  <c r="AI457" i="6"/>
  <c r="AI458" i="6"/>
  <c r="AI451" i="6"/>
  <c r="AI452" i="6"/>
  <c r="AI453" i="6"/>
  <c r="AI700" i="6"/>
  <c r="AI482" i="6"/>
  <c r="AI515" i="6"/>
  <c r="AI513" i="6"/>
  <c r="AI514" i="6"/>
  <c r="AI500" i="6"/>
  <c r="AI501" i="6"/>
  <c r="AI497" i="6"/>
  <c r="AI498" i="6"/>
  <c r="AI499" i="6"/>
  <c r="AI511" i="6"/>
  <c r="AI510" i="6"/>
  <c r="AI512" i="6"/>
  <c r="AI460" i="6"/>
  <c r="AI463" i="6"/>
  <c r="AI461" i="6"/>
  <c r="AI464" i="6"/>
  <c r="AI462" i="6"/>
  <c r="AI480" i="6"/>
  <c r="AI481" i="6"/>
  <c r="AI449" i="6"/>
  <c r="AI448" i="6"/>
  <c r="AI447" i="6"/>
  <c r="AI446" i="6"/>
  <c r="AI444" i="6"/>
  <c r="AI445" i="6"/>
  <c r="AI495" i="6"/>
  <c r="AI496" i="6"/>
  <c r="AI493" i="6"/>
  <c r="AI491" i="6"/>
  <c r="AI492" i="6"/>
  <c r="AI484" i="6"/>
  <c r="AI485" i="6"/>
  <c r="AI483" i="6"/>
  <c r="AI488" i="6"/>
  <c r="AI486" i="6"/>
  <c r="AI487" i="6"/>
  <c r="Y98" i="23"/>
  <c r="AJ619" i="6" s="1"/>
  <c r="AI42" i="6"/>
  <c r="AI43" i="6"/>
  <c r="AI225" i="6"/>
  <c r="AI30" i="6"/>
  <c r="AI17" i="6"/>
  <c r="AI34" i="6"/>
  <c r="AI399" i="6"/>
  <c r="AI248" i="6"/>
  <c r="AI350" i="6"/>
  <c r="AI428" i="6"/>
  <c r="AI357" i="6"/>
  <c r="AI229" i="6"/>
  <c r="AI83" i="6"/>
  <c r="AI141" i="6"/>
  <c r="AI127" i="6"/>
  <c r="AI120" i="6"/>
  <c r="AI7" i="6"/>
  <c r="AI22" i="6"/>
  <c r="AI36" i="6"/>
  <c r="Y34" i="23"/>
  <c r="AI47" i="6"/>
  <c r="AI391" i="6"/>
  <c r="AI107" i="6"/>
  <c r="AI410" i="6"/>
  <c r="AI88" i="6"/>
  <c r="AI199" i="6"/>
  <c r="AI321" i="6"/>
  <c r="AI319" i="6"/>
  <c r="AI102" i="6"/>
  <c r="AI320" i="6"/>
  <c r="AI5" i="6"/>
  <c r="AI226" i="6"/>
  <c r="Y15" i="23"/>
  <c r="AI60" i="6"/>
  <c r="AI113" i="6"/>
  <c r="AI277" i="6"/>
  <c r="AI385" i="6"/>
  <c r="AI191" i="6"/>
  <c r="AI239" i="6"/>
  <c r="AI14" i="6"/>
  <c r="AI15" i="6"/>
  <c r="AI244" i="6"/>
  <c r="AI240" i="6"/>
  <c r="AI189" i="6"/>
  <c r="Y4" i="23"/>
  <c r="AJ224" i="6" s="1"/>
  <c r="AI260" i="6"/>
  <c r="AI224" i="6"/>
  <c r="AI298" i="6"/>
  <c r="AI436" i="6"/>
  <c r="AI315" i="6"/>
  <c r="AI100" i="6"/>
  <c r="AI269" i="6"/>
  <c r="AI264" i="6"/>
  <c r="Y84" i="23"/>
  <c r="AI25" i="6"/>
  <c r="AI364" i="6"/>
  <c r="AI124" i="6"/>
  <c r="AI218" i="6"/>
  <c r="AI131" i="6"/>
  <c r="AI222" i="6"/>
  <c r="AI331" i="6"/>
  <c r="AI333" i="6"/>
  <c r="AI128" i="6"/>
  <c r="AI259" i="6"/>
  <c r="AI271" i="6"/>
  <c r="AI268" i="6"/>
  <c r="AI332" i="6"/>
  <c r="AI258" i="6"/>
  <c r="AI270" i="6"/>
  <c r="AI233" i="6"/>
  <c r="AI188" i="6"/>
  <c r="AI396" i="6"/>
  <c r="AI143" i="6"/>
  <c r="Y119" i="23"/>
  <c r="AJ146" i="6" s="1"/>
  <c r="AI2" i="6"/>
  <c r="AI9" i="6"/>
  <c r="AI146" i="6"/>
  <c r="AI87" i="6"/>
  <c r="AI57" i="6"/>
  <c r="AI412" i="6"/>
  <c r="AI342" i="6"/>
  <c r="AI242" i="6"/>
  <c r="AI343" i="6"/>
  <c r="AI152" i="6"/>
  <c r="AI220" i="6"/>
  <c r="Y86" i="23"/>
  <c r="AI4" i="6"/>
  <c r="AI41" i="6"/>
  <c r="AI20" i="6"/>
  <c r="AI313" i="6"/>
  <c r="AI59" i="6"/>
  <c r="AI159" i="6"/>
  <c r="AI379" i="6"/>
  <c r="AI306" i="6"/>
  <c r="AI16" i="6"/>
  <c r="AI312" i="6"/>
  <c r="AI165" i="6"/>
  <c r="AI12" i="6"/>
  <c r="AI94" i="6"/>
  <c r="AI50" i="6"/>
  <c r="AI166" i="6"/>
  <c r="AI197" i="6"/>
  <c r="AI314" i="6"/>
  <c r="AI257" i="6"/>
  <c r="AI63" i="6"/>
  <c r="AI178" i="6"/>
  <c r="AI300" i="6"/>
  <c r="AI65" i="6"/>
  <c r="Y95" i="23"/>
  <c r="AI18" i="6"/>
  <c r="AI323" i="6"/>
  <c r="AI423" i="6"/>
  <c r="AI422" i="6"/>
  <c r="AI425" i="6"/>
  <c r="AI427" i="6"/>
  <c r="AI435" i="6"/>
  <c r="AI395" i="6"/>
  <c r="AI129" i="6"/>
  <c r="AI163" i="6"/>
  <c r="Y12" i="23"/>
  <c r="AJ75" i="6" s="1"/>
  <c r="AI75" i="6"/>
  <c r="AI383" i="6"/>
  <c r="AI338" i="6"/>
  <c r="AI205" i="6"/>
  <c r="AI109" i="6"/>
  <c r="AI52" i="6"/>
  <c r="AI363" i="6"/>
  <c r="AI289" i="6"/>
  <c r="AI288" i="6"/>
  <c r="AI223" i="6"/>
  <c r="AI77" i="6"/>
  <c r="AI58" i="6"/>
  <c r="AI195" i="6"/>
  <c r="AI245" i="6"/>
  <c r="AI420" i="6"/>
  <c r="Y3" i="23"/>
  <c r="AJ275" i="6" s="1"/>
  <c r="AI6" i="6"/>
  <c r="AI139" i="6"/>
  <c r="AI275" i="6"/>
  <c r="AI274" i="6"/>
  <c r="Y101" i="23"/>
  <c r="AI281" i="6"/>
  <c r="AI280" i="6"/>
  <c r="Y28" i="23"/>
  <c r="AI79" i="6"/>
  <c r="AI386" i="6"/>
  <c r="AI382" i="6"/>
  <c r="AI266" i="6"/>
  <c r="Y70" i="23"/>
  <c r="AI99" i="6"/>
  <c r="AI133" i="6"/>
  <c r="AI263" i="6"/>
  <c r="AI26" i="6"/>
  <c r="AI29" i="6"/>
  <c r="AI211" i="6"/>
  <c r="AI430" i="6"/>
  <c r="AI431" i="6"/>
  <c r="AI210" i="6"/>
  <c r="AI432" i="6"/>
  <c r="AI3" i="6"/>
  <c r="Y46" i="23"/>
  <c r="AJ118" i="6" s="1"/>
  <c r="AI283" i="6"/>
  <c r="AI114" i="6"/>
  <c r="AI118" i="6"/>
  <c r="AI345" i="6"/>
  <c r="AI346" i="6"/>
  <c r="Y36" i="23"/>
  <c r="AI106" i="6"/>
  <c r="AI108" i="6"/>
  <c r="AI388" i="6"/>
  <c r="AI413" i="6"/>
  <c r="AI170" i="6"/>
  <c r="AI406" i="6"/>
  <c r="AI437" i="6"/>
  <c r="AI256" i="6"/>
  <c r="AI440" i="6"/>
  <c r="AI439" i="6"/>
  <c r="AI414" i="6"/>
  <c r="Y120" i="23"/>
  <c r="AI142" i="6"/>
  <c r="AI307" i="6"/>
  <c r="AI196" i="6"/>
  <c r="AI228" i="6"/>
  <c r="AI324" i="6"/>
  <c r="AI325" i="6"/>
  <c r="AI231" i="6"/>
  <c r="AI301" i="6"/>
  <c r="AI317" i="6"/>
  <c r="AI302" i="6"/>
  <c r="AI76" i="6"/>
  <c r="AI93" i="6"/>
  <c r="AI344" i="6"/>
  <c r="AI377" i="6"/>
  <c r="Y110" i="23"/>
  <c r="AI375" i="6"/>
  <c r="AI207" i="6"/>
  <c r="AI369" i="6"/>
  <c r="AI310" i="6"/>
  <c r="AI378" i="6"/>
  <c r="AI381" i="6"/>
  <c r="Y80" i="23"/>
  <c r="AJ539" i="6" s="1"/>
  <c r="AI173" i="6"/>
  <c r="AI348" i="6"/>
  <c r="AI394" i="6"/>
  <c r="AI67" i="6"/>
  <c r="AI347" i="6"/>
  <c r="AI415" i="6"/>
  <c r="AI326" i="6"/>
  <c r="AI433" i="6"/>
  <c r="AI441" i="6"/>
  <c r="Y83" i="23"/>
  <c r="AI177" i="6"/>
  <c r="AI227" i="6"/>
  <c r="AI56" i="6"/>
  <c r="AI168" i="6"/>
  <c r="AI68" i="6"/>
  <c r="AI70" i="6"/>
  <c r="AI237" i="6"/>
  <c r="AI125" i="6"/>
  <c r="AI193" i="6"/>
  <c r="AI408" i="6"/>
  <c r="AI150" i="6"/>
  <c r="AI295" i="6"/>
  <c r="Y103" i="23"/>
  <c r="AJ689" i="6" s="1"/>
  <c r="AI171" i="6"/>
  <c r="AI74" i="6"/>
  <c r="AI206" i="6"/>
  <c r="AI172" i="6"/>
  <c r="AI81" i="6"/>
  <c r="AI393" i="6"/>
  <c r="Y33" i="23"/>
  <c r="AI10" i="6"/>
  <c r="AI371" i="6"/>
  <c r="AI122" i="6"/>
  <c r="AI372" i="6"/>
  <c r="AI373" i="6"/>
  <c r="AI374" i="6"/>
  <c r="AI103" i="6"/>
  <c r="Y73" i="23"/>
  <c r="AJ305" i="6" s="1"/>
  <c r="AI119" i="6"/>
  <c r="AI185" i="6"/>
  <c r="AI110" i="6"/>
  <c r="AI305" i="6"/>
  <c r="Y118" i="23"/>
  <c r="AJ578" i="6" s="1"/>
  <c r="AI203" i="6"/>
  <c r="AI32" i="6"/>
  <c r="AI351" i="6"/>
  <c r="AI311" i="6"/>
  <c r="AI407" i="6"/>
  <c r="AI37" i="6"/>
  <c r="AI349" i="6"/>
  <c r="AI31" i="6"/>
  <c r="AI308" i="6"/>
  <c r="AI304" i="6"/>
  <c r="Y19" i="23"/>
  <c r="AJ666" i="6" s="1"/>
  <c r="AI174" i="6"/>
  <c r="AI175" i="6"/>
  <c r="AI176" i="6"/>
  <c r="AI438" i="6"/>
  <c r="AI334" i="6"/>
  <c r="AI151" i="6"/>
  <c r="AI201" i="6"/>
  <c r="AI153" i="6"/>
  <c r="AI219" i="6"/>
  <c r="AI322" i="6"/>
  <c r="Y5" i="23"/>
  <c r="AI21" i="6"/>
  <c r="AI297" i="6"/>
  <c r="AI61" i="6"/>
  <c r="AI296" i="6"/>
  <c r="AI147" i="6"/>
  <c r="AI24" i="6"/>
  <c r="AI19" i="6"/>
  <c r="AI181" i="6"/>
  <c r="AI235" i="6"/>
  <c r="AI353" i="6"/>
  <c r="AI234" i="6"/>
  <c r="Y27" i="23"/>
  <c r="AJ232" i="6" s="1"/>
  <c r="AI145" i="6"/>
  <c r="AI232" i="6"/>
  <c r="Y24" i="23"/>
  <c r="AI85" i="6"/>
  <c r="AI98" i="6"/>
  <c r="AI246" i="6"/>
  <c r="AI400" i="6"/>
  <c r="AI409" i="6"/>
  <c r="AI97" i="6"/>
  <c r="AI53" i="6"/>
  <c r="AI161" i="6"/>
  <c r="AI148" i="6"/>
  <c r="AI309" i="6"/>
  <c r="AI341" i="6"/>
  <c r="Y115" i="23"/>
  <c r="AJ130" i="6" s="1"/>
  <c r="AI130" i="6"/>
  <c r="AI204" i="6"/>
  <c r="AI303" i="6"/>
  <c r="AI215" i="6"/>
  <c r="AI101" i="6"/>
  <c r="AI249" i="6"/>
  <c r="AI8" i="6"/>
  <c r="AI111" i="6"/>
  <c r="AI214" i="6"/>
  <c r="AI216" i="6"/>
  <c r="AI137" i="6"/>
  <c r="AI262" i="6"/>
  <c r="AI329" i="6"/>
  <c r="AI190" i="6"/>
  <c r="AI285" i="6"/>
  <c r="AI208" i="6"/>
  <c r="AI327" i="6"/>
  <c r="AI328" i="6"/>
  <c r="AI330" i="6"/>
  <c r="AI429" i="6"/>
  <c r="AI402" i="6"/>
  <c r="AI359" i="6"/>
  <c r="AI401" i="6"/>
  <c r="AI403" i="6"/>
  <c r="AI434" i="6"/>
  <c r="AI356" i="6"/>
  <c r="AI358" i="6"/>
  <c r="AI238" i="6"/>
  <c r="AI360" i="6"/>
  <c r="AI149" i="6"/>
  <c r="AI23" i="6"/>
  <c r="AI194" i="6"/>
  <c r="AI361" i="6"/>
  <c r="AI362" i="6"/>
  <c r="AI105" i="6"/>
  <c r="AI138" i="6"/>
  <c r="AI217" i="6"/>
  <c r="AI164" i="6"/>
  <c r="AI254" i="6"/>
  <c r="AI267" i="6"/>
  <c r="AI419" i="6"/>
  <c r="AI370" i="6"/>
  <c r="Y108" i="23"/>
  <c r="AJ272" i="6" s="1"/>
  <c r="AI35" i="6"/>
  <c r="AI49" i="6"/>
  <c r="AI202" i="6"/>
  <c r="AI272" i="6"/>
  <c r="AI390" i="6"/>
  <c r="Y107" i="23"/>
  <c r="AJ661" i="6" s="1"/>
  <c r="AI51" i="6"/>
  <c r="AI39" i="6"/>
  <c r="AI28" i="6"/>
  <c r="AI276" i="6"/>
  <c r="AI116" i="6"/>
  <c r="Y96" i="23"/>
  <c r="AI209" i="6"/>
  <c r="AI291" i="6"/>
  <c r="AI136" i="6"/>
  <c r="AI299" i="6"/>
  <c r="AI45" i="6"/>
  <c r="AI95" i="6"/>
  <c r="AI162" i="6"/>
  <c r="AI180" i="6"/>
  <c r="AI179" i="6"/>
  <c r="AI290" i="6"/>
  <c r="AI82" i="6"/>
  <c r="AI230" i="6"/>
  <c r="AI416" i="6"/>
  <c r="AI417" i="6"/>
  <c r="AI442" i="6"/>
  <c r="AI92" i="6"/>
  <c r="AI132" i="6"/>
  <c r="AI398" i="6"/>
  <c r="AI282" i="6"/>
  <c r="AI78" i="6"/>
  <c r="Y66" i="23"/>
  <c r="AI117" i="6"/>
  <c r="AI46" i="6"/>
  <c r="AI273" i="6"/>
  <c r="AI368" i="6"/>
  <c r="AI69" i="6"/>
  <c r="AI13" i="6"/>
  <c r="AI318" i="6"/>
  <c r="AI40" i="6"/>
  <c r="AI135" i="6"/>
  <c r="AI169" i="6"/>
  <c r="AI411" i="6"/>
  <c r="AI71" i="6"/>
  <c r="AI186" i="6"/>
  <c r="AI251" i="6"/>
  <c r="AI89" i="6"/>
  <c r="AI339" i="6"/>
  <c r="AI250" i="6"/>
  <c r="AI367" i="6"/>
  <c r="AI421" i="6"/>
  <c r="AI426" i="6"/>
  <c r="AI86" i="6"/>
  <c r="AI424" i="6"/>
  <c r="AI340" i="6"/>
  <c r="Y58" i="23"/>
  <c r="AJ656" i="6" s="1"/>
  <c r="AI104" i="6"/>
  <c r="AI73" i="6"/>
  <c r="AI278" i="6"/>
  <c r="AI279" i="6"/>
  <c r="AI121" i="6"/>
  <c r="AI126" i="6"/>
  <c r="AI140" i="6"/>
  <c r="AI155" i="6"/>
  <c r="AI157" i="6"/>
  <c r="AI158" i="6"/>
  <c r="AI212" i="6"/>
  <c r="AI156" i="6"/>
  <c r="AI397" i="6"/>
  <c r="AI160" i="6"/>
  <c r="AI213" i="6"/>
  <c r="AI404" i="6"/>
  <c r="AI387" i="6"/>
  <c r="AI286" i="6"/>
  <c r="AI287" i="6"/>
  <c r="AI336" i="6"/>
  <c r="AI200" i="6"/>
  <c r="AI187" i="6"/>
  <c r="AI33" i="6"/>
  <c r="Y26" i="23"/>
  <c r="AJ335" i="6" s="1"/>
  <c r="AI335" i="6"/>
  <c r="AI221" i="6"/>
  <c r="AI253" i="6"/>
  <c r="AI192" i="6"/>
  <c r="AI255" i="6"/>
  <c r="AI44" i="6"/>
  <c r="AI54" i="6"/>
  <c r="AI167" i="6"/>
  <c r="AI316" i="6"/>
  <c r="AI292" i="6"/>
  <c r="AI294" i="6"/>
  <c r="AI38" i="6"/>
  <c r="AI293" i="6"/>
  <c r="Y49" i="23"/>
  <c r="AI72" i="6"/>
  <c r="AI389" i="6"/>
  <c r="AI91" i="6"/>
  <c r="AI241" i="6"/>
  <c r="AI48" i="6"/>
  <c r="AI418" i="6"/>
  <c r="AI134" i="6"/>
  <c r="AI154" i="6"/>
  <c r="AI112" i="6"/>
  <c r="AI355" i="6"/>
  <c r="AI405" i="6"/>
  <c r="AI90" i="6"/>
  <c r="AI354" i="6"/>
  <c r="Y35" i="23"/>
  <c r="AJ365" i="6" s="1"/>
  <c r="AI365" i="6"/>
  <c r="AI198" i="6"/>
  <c r="AI366" i="6"/>
  <c r="AI384" i="6"/>
  <c r="Y121" i="23"/>
  <c r="AJ670" i="6" s="1"/>
  <c r="AI64" i="6"/>
  <c r="AI352" i="6"/>
  <c r="AI84" i="6"/>
  <c r="AI247" i="6"/>
  <c r="AI183" i="6"/>
  <c r="AI80" i="6"/>
  <c r="AI182" i="6"/>
  <c r="AI376" i="6"/>
  <c r="Y117" i="23"/>
  <c r="AI144" i="6"/>
  <c r="AI243" i="6"/>
  <c r="AI96" i="6"/>
  <c r="Y9" i="23"/>
  <c r="AJ557" i="6" s="1"/>
  <c r="AI337" i="6"/>
  <c r="AI184" i="6"/>
  <c r="Y41" i="23"/>
  <c r="Y78" i="23"/>
  <c r="AJ636" i="6" s="1"/>
  <c r="Y69" i="23"/>
  <c r="Y10" i="23"/>
  <c r="Y23" i="23"/>
  <c r="Y40" i="23"/>
  <c r="AJ580" i="6" s="1"/>
  <c r="Y91" i="23"/>
  <c r="AJ684" i="6" s="1"/>
  <c r="Y82" i="23"/>
  <c r="Y90" i="23"/>
  <c r="Y122" i="23"/>
  <c r="Y45" i="23"/>
  <c r="AJ624" i="6" s="1"/>
  <c r="Y125" i="23"/>
  <c r="Y104" i="23"/>
  <c r="AJ27" i="6" s="1"/>
  <c r="Y65" i="23"/>
  <c r="Y126" i="23"/>
  <c r="AJ569" i="6" s="1"/>
  <c r="Y93" i="23"/>
  <c r="Y21" i="23"/>
  <c r="Y71" i="23"/>
  <c r="AJ478" i="6" s="1"/>
  <c r="Y61" i="23"/>
  <c r="Y109" i="23"/>
  <c r="AJ505" i="6" s="1"/>
  <c r="Y94" i="23"/>
  <c r="AJ490" i="6" s="1"/>
  <c r="Y105" i="23"/>
  <c r="Y6" i="23"/>
  <c r="Y116" i="23"/>
  <c r="AJ699" i="6" s="1"/>
  <c r="Y111" i="23"/>
  <c r="Y87" i="23"/>
  <c r="Y43" i="23"/>
  <c r="AJ683" i="6" s="1"/>
  <c r="Y29" i="23"/>
  <c r="Y42" i="23"/>
  <c r="Y53" i="23"/>
  <c r="AJ622" i="6" s="1"/>
  <c r="Y13" i="23"/>
  <c r="Y8" i="23"/>
  <c r="Y38" i="23"/>
  <c r="AJ632" i="6" s="1"/>
  <c r="Y112" i="23"/>
  <c r="AJ600" i="6" s="1"/>
  <c r="Y51" i="23"/>
  <c r="Y39" i="23"/>
  <c r="Y50" i="23"/>
  <c r="AJ392" i="6" s="1"/>
  <c r="Y92" i="23"/>
  <c r="AJ593" i="6" s="1"/>
  <c r="Y22" i="23"/>
  <c r="AJ659" i="6" s="1"/>
  <c r="Y55" i="23"/>
  <c r="Y48" i="23"/>
  <c r="Y64" i="23"/>
  <c r="Y56" i="23"/>
  <c r="Y11" i="23"/>
  <c r="Y2" i="23"/>
  <c r="AJ265" i="6" s="1"/>
  <c r="Y88" i="23"/>
  <c r="AJ123" i="6" s="1"/>
  <c r="Y97" i="23"/>
  <c r="Y59" i="23"/>
  <c r="AJ284" i="6" s="1"/>
  <c r="Y102" i="23"/>
  <c r="AJ591" i="6" s="1"/>
  <c r="Y44" i="23"/>
  <c r="AJ559" i="6" s="1"/>
  <c r="Y67" i="23"/>
  <c r="Y114" i="23"/>
  <c r="AJ698" i="6" s="1"/>
  <c r="Y37" i="23"/>
  <c r="AJ642" i="6" s="1"/>
  <c r="Y74" i="23"/>
  <c r="Y106" i="23"/>
  <c r="AJ66" i="6" s="1"/>
  <c r="Y68" i="23"/>
  <c r="AJ473" i="6" s="1"/>
  <c r="Y60" i="23"/>
  <c r="AJ466" i="6" s="1"/>
  <c r="Y85" i="23"/>
  <c r="Y63" i="23"/>
  <c r="Y17" i="23"/>
  <c r="Y113" i="23"/>
  <c r="AJ638" i="6" s="1"/>
  <c r="Y54" i="23"/>
  <c r="Y52" i="23"/>
  <c r="Y123" i="23"/>
  <c r="AJ677" i="6" s="1"/>
  <c r="Y99" i="23"/>
  <c r="Y25" i="23"/>
  <c r="Y7" i="23"/>
  <c r="Y100" i="23"/>
  <c r="AJ651" i="6" s="1"/>
  <c r="Y76" i="23"/>
  <c r="Y89" i="23"/>
  <c r="AJ566" i="6" s="1"/>
  <c r="Y47" i="23"/>
  <c r="Y14" i="23"/>
  <c r="Y16" i="23"/>
  <c r="AJ11" i="6" s="1"/>
  <c r="Y20" i="23"/>
  <c r="Y62" i="23"/>
  <c r="Y30" i="23"/>
  <c r="AJ691" i="6" s="1"/>
  <c r="Y72" i="23"/>
  <c r="AJ78" i="6" s="1"/>
  <c r="Y77" i="23"/>
  <c r="AJ692" i="6" l="1"/>
  <c r="AJ697" i="6"/>
  <c r="AJ609" i="6"/>
  <c r="AJ695" i="6"/>
  <c r="AJ575" i="6"/>
  <c r="AJ669" i="6"/>
  <c r="AJ701" i="6"/>
  <c r="AJ664" i="6"/>
  <c r="AJ18" i="6"/>
  <c r="AJ678" i="6"/>
  <c r="AJ389" i="6"/>
  <c r="AJ687" i="6"/>
  <c r="AJ103" i="6"/>
  <c r="AJ680" i="6"/>
  <c r="AJ681" i="6"/>
  <c r="AJ106" i="6"/>
  <c r="AJ693" i="6"/>
  <c r="AJ676" i="6"/>
  <c r="AJ674" i="6"/>
  <c r="AJ531" i="6"/>
  <c r="AJ694" i="6"/>
  <c r="AJ663" i="6"/>
  <c r="AJ671" i="6"/>
  <c r="AJ690" i="6"/>
  <c r="AJ660" i="6"/>
  <c r="AJ667" i="6"/>
  <c r="AJ653" i="6"/>
  <c r="AJ665" i="6"/>
  <c r="AJ682" i="6"/>
  <c r="AJ626" i="6"/>
  <c r="AJ696" i="6"/>
  <c r="AJ657" i="6"/>
  <c r="AJ668" i="6"/>
  <c r="AJ679" i="6"/>
  <c r="AJ686" i="6"/>
  <c r="AJ643" i="6"/>
  <c r="AJ675" i="6"/>
  <c r="AJ616" i="6"/>
  <c r="AJ673" i="6"/>
  <c r="AJ672" i="6"/>
  <c r="AJ688" i="6"/>
  <c r="AJ472" i="6"/>
  <c r="AJ662" i="6"/>
  <c r="AJ308" i="6"/>
  <c r="AJ349" i="6"/>
  <c r="AJ31" i="6"/>
  <c r="AJ304" i="6"/>
  <c r="AJ645" i="6"/>
  <c r="AJ658" i="6"/>
  <c r="AJ652" i="6"/>
  <c r="AJ654" i="6"/>
  <c r="AJ561" i="6"/>
  <c r="AJ655" i="6"/>
  <c r="AJ37" i="6"/>
  <c r="AJ218" i="6"/>
  <c r="AJ637" i="6"/>
  <c r="AJ607" i="6"/>
  <c r="AJ639" i="6"/>
  <c r="AJ633" i="6"/>
  <c r="AJ635" i="6"/>
  <c r="AJ644" i="6"/>
  <c r="AJ640" i="6"/>
  <c r="AJ56" i="6"/>
  <c r="AJ634" i="6"/>
  <c r="AJ625" i="6"/>
  <c r="AJ631" i="6"/>
  <c r="AJ450" i="6"/>
  <c r="AJ648" i="6"/>
  <c r="AJ536" i="6"/>
  <c r="AJ641" i="6"/>
  <c r="AJ627" i="6"/>
  <c r="AJ630" i="6"/>
  <c r="AJ8" i="6"/>
  <c r="AJ101" i="6"/>
  <c r="AJ249" i="6"/>
  <c r="AJ111" i="6"/>
  <c r="AJ215" i="6"/>
  <c r="AJ375" i="6"/>
  <c r="AJ629" i="6"/>
  <c r="AJ216" i="6"/>
  <c r="AJ610" i="6"/>
  <c r="AJ628" i="6"/>
  <c r="AJ599" i="6"/>
  <c r="AJ623" i="6"/>
  <c r="AJ595" i="6"/>
  <c r="AJ621" i="6"/>
  <c r="AJ236" i="6"/>
  <c r="AJ620" i="6"/>
  <c r="AJ214" i="6"/>
  <c r="AJ617" i="6"/>
  <c r="AJ618" i="6"/>
  <c r="AJ614" i="6"/>
  <c r="AJ615" i="6"/>
  <c r="AJ594" i="6"/>
  <c r="AJ613" i="6"/>
  <c r="AJ612" i="6"/>
  <c r="AJ611" i="6"/>
  <c r="AJ459" i="6"/>
  <c r="AJ608" i="6"/>
  <c r="AJ576" i="6"/>
  <c r="AJ606" i="6"/>
  <c r="AJ605" i="6"/>
  <c r="AJ604" i="6"/>
  <c r="AJ540" i="6"/>
  <c r="AJ84" i="6"/>
  <c r="AJ603" i="6"/>
  <c r="AJ602" i="6"/>
  <c r="AJ273" i="6"/>
  <c r="AJ601" i="6"/>
  <c r="AJ596" i="6"/>
  <c r="AJ581" i="6"/>
  <c r="AJ592" i="6"/>
  <c r="AJ115" i="6"/>
  <c r="AJ589" i="6"/>
  <c r="AJ252" i="6"/>
  <c r="AJ588" i="6"/>
  <c r="AJ560" i="6"/>
  <c r="AJ587" i="6"/>
  <c r="AJ577" i="6"/>
  <c r="AJ586" i="6"/>
  <c r="AJ582" i="6"/>
  <c r="AJ585" i="6"/>
  <c r="AJ584" i="6"/>
  <c r="AJ574" i="6"/>
  <c r="AJ583" i="6"/>
  <c r="AJ502" i="6"/>
  <c r="AJ579" i="6"/>
  <c r="AJ558" i="6"/>
  <c r="AJ573" i="6"/>
  <c r="AJ544" i="6"/>
  <c r="AJ568" i="6"/>
  <c r="AJ380" i="6"/>
  <c r="AJ570" i="6"/>
  <c r="AJ454" i="6"/>
  <c r="AJ571" i="6"/>
  <c r="AJ172" i="6"/>
  <c r="AJ567" i="6"/>
  <c r="AJ386" i="6"/>
  <c r="AJ564" i="6"/>
  <c r="AJ565" i="6"/>
  <c r="AJ494" i="6"/>
  <c r="AJ572" i="6"/>
  <c r="AJ262" i="6"/>
  <c r="AJ137" i="6"/>
  <c r="AJ189" i="6"/>
  <c r="AJ489" i="6"/>
  <c r="AJ113" i="6"/>
  <c r="AJ562" i="6"/>
  <c r="AJ337" i="6"/>
  <c r="AJ556" i="6"/>
  <c r="AJ555" i="6"/>
  <c r="AJ553" i="6"/>
  <c r="AJ554" i="6"/>
  <c r="AJ597" i="6"/>
  <c r="AJ551" i="6"/>
  <c r="AJ552" i="6"/>
  <c r="AJ549" i="6"/>
  <c r="AJ550" i="6"/>
  <c r="AJ548" i="6"/>
  <c r="AJ546" i="6"/>
  <c r="AJ547" i="6"/>
  <c r="AJ62" i="6"/>
  <c r="AJ545" i="6"/>
  <c r="AJ543" i="6"/>
  <c r="AJ542" i="6"/>
  <c r="AJ541" i="6"/>
  <c r="AJ538" i="6"/>
  <c r="AJ280" i="6"/>
  <c r="AJ537" i="6"/>
  <c r="AJ55" i="6"/>
  <c r="AJ535" i="6"/>
  <c r="AJ532" i="6"/>
  <c r="AJ533" i="6"/>
  <c r="AJ47" i="6"/>
  <c r="AJ534" i="6"/>
  <c r="AJ529" i="6"/>
  <c r="AJ530" i="6"/>
  <c r="AJ527" i="6"/>
  <c r="AJ528" i="6"/>
  <c r="AJ525" i="6"/>
  <c r="AJ246" i="6"/>
  <c r="AJ526" i="6"/>
  <c r="AJ229" i="6"/>
  <c r="AJ17" i="6"/>
  <c r="AJ523" i="6"/>
  <c r="AJ524" i="6"/>
  <c r="AJ357" i="6"/>
  <c r="AJ30" i="6"/>
  <c r="AJ225" i="6"/>
  <c r="AJ34" i="6"/>
  <c r="AJ43" i="6"/>
  <c r="AJ428" i="6"/>
  <c r="AJ350" i="6"/>
  <c r="AJ42" i="6"/>
  <c r="AJ399" i="6"/>
  <c r="AJ248" i="6"/>
  <c r="AJ521" i="6"/>
  <c r="AJ522" i="6"/>
  <c r="AJ261" i="6"/>
  <c r="AJ520" i="6"/>
  <c r="AJ516" i="6"/>
  <c r="AJ266" i="6"/>
  <c r="AJ518" i="6"/>
  <c r="AJ519" i="6"/>
  <c r="AJ191" i="6"/>
  <c r="AJ4" i="6"/>
  <c r="AJ517" i="6"/>
  <c r="AJ382" i="6"/>
  <c r="AJ60" i="6"/>
  <c r="AJ25" i="6"/>
  <c r="AJ364" i="6"/>
  <c r="AJ41" i="6"/>
  <c r="AJ177" i="6"/>
  <c r="AJ20" i="6"/>
  <c r="AJ131" i="6"/>
  <c r="AJ222" i="6"/>
  <c r="AJ124" i="6"/>
  <c r="AJ277" i="6"/>
  <c r="AJ385" i="6"/>
  <c r="AJ104" i="6"/>
  <c r="AJ465" i="6"/>
  <c r="AJ61" i="6"/>
  <c r="AJ39" i="6"/>
  <c r="AJ504" i="6"/>
  <c r="AJ700" i="6"/>
  <c r="AJ482" i="6"/>
  <c r="AJ394" i="6"/>
  <c r="AJ481" i="6"/>
  <c r="AJ480" i="6"/>
  <c r="AJ497" i="6"/>
  <c r="AJ498" i="6"/>
  <c r="AJ501" i="6"/>
  <c r="AJ499" i="6"/>
  <c r="AJ500" i="6"/>
  <c r="AJ105" i="6"/>
  <c r="AJ508" i="6"/>
  <c r="AJ448" i="6"/>
  <c r="AJ444" i="6"/>
  <c r="AJ445" i="6"/>
  <c r="AJ446" i="6"/>
  <c r="AJ447" i="6"/>
  <c r="AJ449" i="6"/>
  <c r="AJ485" i="6"/>
  <c r="AJ486" i="6"/>
  <c r="AJ487" i="6"/>
  <c r="AJ488" i="6"/>
  <c r="AJ483" i="6"/>
  <c r="AJ484" i="6"/>
  <c r="AJ496" i="6"/>
  <c r="AJ495" i="6"/>
  <c r="AJ203" i="6"/>
  <c r="AJ512" i="6"/>
  <c r="AJ510" i="6"/>
  <c r="AJ511" i="6"/>
  <c r="AJ99" i="6"/>
  <c r="AJ474" i="6"/>
  <c r="AJ475" i="6"/>
  <c r="AJ476" i="6"/>
  <c r="AJ477" i="6"/>
  <c r="AJ461" i="6"/>
  <c r="AJ460" i="6"/>
  <c r="AJ462" i="6"/>
  <c r="AJ463" i="6"/>
  <c r="AJ464" i="6"/>
  <c r="AJ196" i="6"/>
  <c r="AJ513" i="6"/>
  <c r="AJ514" i="6"/>
  <c r="AJ515" i="6"/>
  <c r="AJ393" i="6"/>
  <c r="AJ503" i="6"/>
  <c r="AJ451" i="6"/>
  <c r="AJ452" i="6"/>
  <c r="AJ453" i="6"/>
  <c r="AJ479" i="6"/>
  <c r="AJ291" i="6"/>
  <c r="AJ493" i="6"/>
  <c r="AJ491" i="6"/>
  <c r="AJ492" i="6"/>
  <c r="AJ334" i="6"/>
  <c r="AJ443" i="6"/>
  <c r="AJ114" i="6"/>
  <c r="AJ455" i="6"/>
  <c r="AJ456" i="6"/>
  <c r="AJ457" i="6"/>
  <c r="AJ458" i="6"/>
  <c r="AJ702" i="6"/>
  <c r="AJ506" i="6"/>
  <c r="AJ507" i="6"/>
  <c r="AJ467" i="6"/>
  <c r="AJ468" i="6"/>
  <c r="AJ469" i="6"/>
  <c r="AJ470" i="6"/>
  <c r="AJ471" i="6"/>
  <c r="AJ373" i="6"/>
  <c r="AJ96" i="6"/>
  <c r="AJ509" i="6"/>
  <c r="AJ79" i="6"/>
  <c r="AJ139" i="6"/>
  <c r="AJ274" i="6"/>
  <c r="AJ338" i="6"/>
  <c r="AJ383" i="6"/>
  <c r="AJ371" i="6"/>
  <c r="AJ10" i="6"/>
  <c r="AJ122" i="6"/>
  <c r="AJ372" i="6"/>
  <c r="AJ374" i="6"/>
  <c r="AJ227" i="6"/>
  <c r="AJ2" i="6"/>
  <c r="AJ9" i="6"/>
  <c r="AJ345" i="6"/>
  <c r="AJ174" i="6"/>
  <c r="AJ438" i="6"/>
  <c r="AJ110" i="6"/>
  <c r="AJ185" i="6"/>
  <c r="AJ119" i="6"/>
  <c r="AJ283" i="6"/>
  <c r="AJ346" i="6"/>
  <c r="AJ133" i="6"/>
  <c r="AJ263" i="6"/>
  <c r="AJ6" i="6"/>
  <c r="AJ32" i="6"/>
  <c r="AJ311" i="6"/>
  <c r="AJ81" i="6"/>
  <c r="AJ74" i="6"/>
  <c r="AJ206" i="6"/>
  <c r="AJ388" i="6"/>
  <c r="AJ108" i="6"/>
  <c r="AJ351" i="6"/>
  <c r="AJ407" i="6"/>
  <c r="AJ260" i="6"/>
  <c r="AJ72" i="6"/>
  <c r="AJ279" i="6"/>
  <c r="AJ278" i="6"/>
  <c r="AJ73" i="6"/>
  <c r="AJ144" i="6"/>
  <c r="AJ391" i="6"/>
  <c r="AJ171" i="6"/>
  <c r="AJ145" i="6"/>
  <c r="AJ368" i="6"/>
  <c r="AJ117" i="6"/>
  <c r="AJ173" i="6"/>
  <c r="AJ348" i="6"/>
  <c r="AJ46" i="6"/>
  <c r="AJ184" i="6"/>
  <c r="AJ209" i="6"/>
  <c r="AJ136" i="6"/>
  <c r="AJ176" i="6"/>
  <c r="AJ175" i="6"/>
  <c r="AJ28" i="6"/>
  <c r="AJ85" i="6"/>
  <c r="AJ307" i="6"/>
  <c r="AJ384" i="6"/>
  <c r="AJ228" i="6"/>
  <c r="AJ198" i="6"/>
  <c r="AJ142" i="6"/>
  <c r="AJ366" i="6"/>
  <c r="AJ49" i="6"/>
  <c r="AJ35" i="6"/>
  <c r="AJ202" i="6"/>
  <c r="AJ390" i="6"/>
  <c r="AJ243" i="6"/>
  <c r="AJ98" i="6"/>
  <c r="AJ51" i="6"/>
  <c r="AJ427" i="6"/>
  <c r="AJ281" i="6"/>
  <c r="AJ64" i="6"/>
  <c r="AJ422" i="6"/>
  <c r="AJ276" i="6"/>
  <c r="AJ323" i="6"/>
  <c r="AJ423" i="6"/>
  <c r="AJ147" i="6"/>
  <c r="AJ352" i="6"/>
  <c r="AJ425" i="6"/>
  <c r="AJ297" i="6"/>
  <c r="AJ21" i="6"/>
  <c r="AJ296" i="6"/>
  <c r="AJ24" i="6"/>
  <c r="AJ116" i="6"/>
  <c r="AJ233" i="6"/>
  <c r="AJ188" i="6"/>
  <c r="AJ33" i="6"/>
  <c r="AJ187" i="6"/>
  <c r="AJ377" i="6"/>
  <c r="AJ76" i="6"/>
  <c r="AJ93" i="6"/>
  <c r="AJ344" i="6"/>
  <c r="AJ217" i="6"/>
  <c r="AJ164" i="6"/>
  <c r="AJ254" i="6"/>
  <c r="AJ67" i="6"/>
  <c r="AJ347" i="6"/>
  <c r="AJ433" i="6"/>
  <c r="AJ441" i="6"/>
  <c r="AJ326" i="6"/>
  <c r="AJ415" i="6"/>
  <c r="AJ328" i="6"/>
  <c r="AJ329" i="6"/>
  <c r="AJ330" i="6"/>
  <c r="AJ327" i="6"/>
  <c r="AJ190" i="6"/>
  <c r="AJ285" i="6"/>
  <c r="AJ429" i="6"/>
  <c r="AJ208" i="6"/>
  <c r="AJ5" i="6"/>
  <c r="AJ226" i="6"/>
  <c r="AJ38" i="6"/>
  <c r="AJ292" i="6"/>
  <c r="AJ294" i="6"/>
  <c r="AJ293" i="6"/>
  <c r="AJ231" i="6"/>
  <c r="AJ301" i="6"/>
  <c r="AJ317" i="6"/>
  <c r="AJ302" i="6"/>
  <c r="AJ370" i="6"/>
  <c r="AJ267" i="6"/>
  <c r="AJ419" i="6"/>
  <c r="AJ134" i="6"/>
  <c r="AJ418" i="6"/>
  <c r="AJ48" i="6"/>
  <c r="AJ154" i="6"/>
  <c r="AJ91" i="6"/>
  <c r="AJ241" i="6"/>
  <c r="AJ442" i="6"/>
  <c r="AJ417" i="6"/>
  <c r="AJ416" i="6"/>
  <c r="AJ82" i="6"/>
  <c r="AJ230" i="6"/>
  <c r="AJ100" i="6"/>
  <c r="AJ315" i="6"/>
  <c r="AJ151" i="6"/>
  <c r="AJ201" i="6"/>
  <c r="AJ153" i="6"/>
  <c r="AJ219" i="6"/>
  <c r="AJ322" i="6"/>
  <c r="AJ331" i="6"/>
  <c r="AJ259" i="6"/>
  <c r="AJ268" i="6"/>
  <c r="AJ332" i="6"/>
  <c r="AJ333" i="6"/>
  <c r="AJ270" i="6"/>
  <c r="AJ271" i="6"/>
  <c r="AJ128" i="6"/>
  <c r="AJ258" i="6"/>
  <c r="AJ223" i="6"/>
  <c r="AJ77" i="6"/>
  <c r="AJ54" i="6"/>
  <c r="AJ44" i="6"/>
  <c r="AJ405" i="6"/>
  <c r="AJ355" i="6"/>
  <c r="AJ90" i="6"/>
  <c r="AJ112" i="6"/>
  <c r="AJ354" i="6"/>
  <c r="AJ376" i="6"/>
  <c r="AJ182" i="6"/>
  <c r="AJ183" i="6"/>
  <c r="AJ247" i="6"/>
  <c r="AJ80" i="6"/>
  <c r="AJ410" i="6"/>
  <c r="AJ88" i="6"/>
  <c r="AJ107" i="6"/>
  <c r="AJ71" i="6"/>
  <c r="AJ186" i="6"/>
  <c r="AJ36" i="6"/>
  <c r="AJ22" i="6"/>
  <c r="AJ120" i="6"/>
  <c r="AJ7" i="6"/>
  <c r="AJ141" i="6"/>
  <c r="AJ83" i="6"/>
  <c r="AJ127" i="6"/>
  <c r="AJ300" i="6"/>
  <c r="AJ178" i="6"/>
  <c r="AJ63" i="6"/>
  <c r="AJ257" i="6"/>
  <c r="AJ65" i="6"/>
  <c r="AJ439" i="6"/>
  <c r="AJ440" i="6"/>
  <c r="AJ170" i="6"/>
  <c r="AJ256" i="6"/>
  <c r="AJ406" i="6"/>
  <c r="AJ413" i="6"/>
  <c r="AJ414" i="6"/>
  <c r="AJ437" i="6"/>
  <c r="AJ221" i="6"/>
  <c r="AJ253" i="6"/>
  <c r="AJ192" i="6"/>
  <c r="AJ255" i="6"/>
  <c r="AJ395" i="6"/>
  <c r="AJ435" i="6"/>
  <c r="AJ200" i="6"/>
  <c r="AJ336" i="6"/>
  <c r="AJ155" i="6"/>
  <c r="AJ156" i="6"/>
  <c r="AJ286" i="6"/>
  <c r="AJ397" i="6"/>
  <c r="AJ157" i="6"/>
  <c r="AJ287" i="6"/>
  <c r="AJ158" i="6"/>
  <c r="AJ387" i="6"/>
  <c r="AJ160" i="6"/>
  <c r="AJ212" i="6"/>
  <c r="AJ213" i="6"/>
  <c r="AJ404" i="6"/>
  <c r="AJ264" i="6"/>
  <c r="AJ269" i="6"/>
  <c r="AJ409" i="6"/>
  <c r="AJ400" i="6"/>
  <c r="AJ97" i="6"/>
  <c r="AJ324" i="6"/>
  <c r="AJ325" i="6"/>
  <c r="AJ195" i="6"/>
  <c r="AJ420" i="6"/>
  <c r="AJ58" i="6"/>
  <c r="AJ245" i="6"/>
  <c r="AJ312" i="6"/>
  <c r="AJ313" i="6"/>
  <c r="AJ379" i="6"/>
  <c r="AJ59" i="6"/>
  <c r="AJ159" i="6"/>
  <c r="AJ306" i="6"/>
  <c r="AJ16" i="6"/>
  <c r="AJ69" i="6"/>
  <c r="AJ40" i="6"/>
  <c r="AJ318" i="6"/>
  <c r="AJ13" i="6"/>
  <c r="AJ86" i="6"/>
  <c r="AJ250" i="6"/>
  <c r="AJ424" i="6"/>
  <c r="AJ251" i="6"/>
  <c r="AJ426" i="6"/>
  <c r="AJ89" i="6"/>
  <c r="AJ367" i="6"/>
  <c r="AJ339" i="6"/>
  <c r="AJ340" i="6"/>
  <c r="AJ421" i="6"/>
  <c r="AJ396" i="6"/>
  <c r="AJ143" i="6"/>
  <c r="AJ102" i="6"/>
  <c r="AJ320" i="6"/>
  <c r="AJ319" i="6"/>
  <c r="AJ199" i="6"/>
  <c r="AJ321" i="6"/>
  <c r="AJ135" i="6"/>
  <c r="AJ169" i="6"/>
  <c r="AJ411" i="6"/>
  <c r="AJ87" i="6"/>
  <c r="AJ152" i="6"/>
  <c r="AJ342" i="6"/>
  <c r="AJ220" i="6"/>
  <c r="AJ57" i="6"/>
  <c r="AJ412" i="6"/>
  <c r="AJ343" i="6"/>
  <c r="AJ242" i="6"/>
  <c r="AJ378" i="6"/>
  <c r="AJ381" i="6"/>
  <c r="AJ310" i="6"/>
  <c r="AJ282" i="6"/>
  <c r="AJ92" i="6"/>
  <c r="AJ132" i="6"/>
  <c r="AJ398" i="6"/>
  <c r="AJ207" i="6"/>
  <c r="AJ369" i="6"/>
  <c r="AJ53" i="6"/>
  <c r="AJ161" i="6"/>
  <c r="AJ148" i="6"/>
  <c r="AJ309" i="6"/>
  <c r="AJ341" i="6"/>
  <c r="AJ68" i="6"/>
  <c r="AJ70" i="6"/>
  <c r="AJ168" i="6"/>
  <c r="AJ121" i="6"/>
  <c r="AJ140" i="6"/>
  <c r="AJ126" i="6"/>
  <c r="AJ3" i="6"/>
  <c r="AJ211" i="6"/>
  <c r="AJ431" i="6"/>
  <c r="AJ26" i="6"/>
  <c r="AJ432" i="6"/>
  <c r="AJ29" i="6"/>
  <c r="AJ430" i="6"/>
  <c r="AJ210" i="6"/>
  <c r="AJ204" i="6"/>
  <c r="AJ303" i="6"/>
  <c r="AJ129" i="6"/>
  <c r="AJ163" i="6"/>
  <c r="AJ95" i="6"/>
  <c r="AJ299" i="6"/>
  <c r="AJ180" i="6"/>
  <c r="AJ162" i="6"/>
  <c r="AJ45" i="6"/>
  <c r="AJ290" i="6"/>
  <c r="AJ179" i="6"/>
  <c r="AJ14" i="6"/>
  <c r="AJ244" i="6"/>
  <c r="AJ240" i="6"/>
  <c r="AJ239" i="6"/>
  <c r="AJ15" i="6"/>
  <c r="AJ298" i="6"/>
  <c r="AJ436" i="6"/>
  <c r="AJ52" i="6"/>
  <c r="AJ363" i="6"/>
  <c r="AJ288" i="6"/>
  <c r="AJ205" i="6"/>
  <c r="AJ109" i="6"/>
  <c r="AJ289" i="6"/>
  <c r="AJ150" i="6"/>
  <c r="AJ408" i="6"/>
  <c r="AJ193" i="6"/>
  <c r="AJ237" i="6"/>
  <c r="AJ125" i="6"/>
  <c r="AJ295" i="6"/>
  <c r="AJ361" i="6"/>
  <c r="AJ23" i="6"/>
  <c r="AJ362" i="6"/>
  <c r="AJ138" i="6"/>
  <c r="AJ194" i="6"/>
  <c r="AJ149" i="6"/>
  <c r="AJ167" i="6"/>
  <c r="AJ316" i="6"/>
  <c r="AJ166" i="6"/>
  <c r="AJ314" i="6"/>
  <c r="AJ50" i="6"/>
  <c r="AJ165" i="6"/>
  <c r="AJ12" i="6"/>
  <c r="AJ94" i="6"/>
  <c r="AJ197" i="6"/>
  <c r="AJ401" i="6"/>
  <c r="AJ360" i="6"/>
  <c r="AJ356" i="6"/>
  <c r="AJ238" i="6"/>
  <c r="AJ402" i="6"/>
  <c r="AJ403" i="6"/>
  <c r="AJ358" i="6"/>
  <c r="AJ359" i="6"/>
  <c r="AJ434" i="6"/>
  <c r="T124" i="23"/>
  <c r="Y124" i="23" s="1"/>
  <c r="AJ590" i="6" s="1"/>
  <c r="AJ235" i="6" l="1"/>
  <c r="AJ234" i="6"/>
  <c r="AJ181" i="6"/>
  <c r="AJ353" i="6"/>
  <c r="AJ19" i="6"/>
  <c r="D211" i="4"/>
  <c r="D210" i="4" l="1"/>
  <c r="D209" i="4" l="1"/>
  <c r="D208" i="4" l="1"/>
  <c r="D95" i="4" l="1"/>
  <c r="D3" i="4" l="1"/>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Mateo Garces Cespedes</author>
  </authors>
  <commentList>
    <comment ref="A399" authorId="0" shapeId="0" xr:uid="{5AE1DC4A-2248-4E4E-88E2-184ED345136E}">
      <text>
        <r>
          <rPr>
            <b/>
            <sz val="9"/>
            <color indexed="81"/>
            <rFont val="Tahoma"/>
            <family val="2"/>
          </rPr>
          <t>Mateo Garces Cespedes:</t>
        </r>
        <r>
          <rPr>
            <sz val="9"/>
            <color indexed="81"/>
            <rFont val="Tahoma"/>
            <family val="2"/>
          </rPr>
          <t xml:space="preserve">
Este es el ultimo proyecto que se presento al gobernador el 09/04/2025 de la SIF</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A56655-2FD8-40CE-A773-C3D99435864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F85D1FB-0B7F-46B0-89C1-B6E5C3C37ED9}" name="WorksheetConnection_1.BASE DE DATOS GRAL (BACKUP 20250331).xlsm!PROYECTOS2" type="102" refreshedVersion="8" minRefreshableVersion="5">
    <extLst>
      <ext xmlns:x15="http://schemas.microsoft.com/office/spreadsheetml/2010/11/main" uri="{DE250136-89BD-433C-8126-D09CA5730AF9}">
        <x15:connection id="PROYECTOS2">
          <x15:rangePr sourceName="_xlcn.WorksheetConnection_1.BASEDEDATOSGRALBACKUP20250331.xlsmPROYECTOS21"/>
        </x15:connection>
      </ext>
    </extLst>
  </connection>
  <connection id="3" xr16:uid="{CBC3AAFC-E94E-4EC0-B72F-7F80348C882B}" name="WorksheetConnection_1.BASE DE DATOS GRAL (BACKUP 20250331).xlsm!Table8" type="102" refreshedVersion="8" minRefreshableVersion="5">
    <extLst>
      <ext xmlns:x15="http://schemas.microsoft.com/office/spreadsheetml/2010/11/main" uri="{DE250136-89BD-433C-8126-D09CA5730AF9}">
        <x15:connection id="Table8">
          <x15:rangePr sourceName="_xlcn.WorksheetConnection_1.BASEDEDATOSGRALBACKUP20250331.xlsmTable8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<sst xmlns="http://schemas.openxmlformats.org/spreadsheetml/2006/main" count="9667" uniqueCount="1937">
  <si>
    <t>RADICADO</t>
  </si>
  <si>
    <t>FECHA</t>
  </si>
  <si>
    <t>MUNICIPIO</t>
  </si>
  <si>
    <t>Nordeste</t>
  </si>
  <si>
    <t>Vegachí</t>
  </si>
  <si>
    <t>CONSTRUCCIÓN DE PARQUES DEL RIO, ETAPA 1, EN EL MUNICIPIO DE VEGACHÍ, ANTIOQUIA”</t>
  </si>
  <si>
    <t>Ajuste proyecto</t>
  </si>
  <si>
    <t>Espacio público adecuado</t>
  </si>
  <si>
    <t>Simón Jaramillo</t>
  </si>
  <si>
    <t>No favorable</t>
  </si>
  <si>
    <t>Magdalena Medio</t>
  </si>
  <si>
    <t>Puerto Triunfo</t>
  </si>
  <si>
    <t>Construcción de muelle Malecón turístico en la Cabecera municipal de Puerto Triunfo Antioquia</t>
  </si>
  <si>
    <t>David Londoño</t>
  </si>
  <si>
    <t>Valle de Aburrá</t>
  </si>
  <si>
    <t>Barbosa</t>
  </si>
  <si>
    <t>Intercambio vial sector 3</t>
  </si>
  <si>
    <t>Proyecto nuevo</t>
  </si>
  <si>
    <t>Vía urbana mejorada</t>
  </si>
  <si>
    <t>Valentín</t>
  </si>
  <si>
    <t>Oriente</t>
  </si>
  <si>
    <t>Parque lineal, Bosques urbanos</t>
  </si>
  <si>
    <t>Suroeste</t>
  </si>
  <si>
    <t>Urrao</t>
  </si>
  <si>
    <t>Construcción de pavimento rígido en vías urbanas y rurales del municipio de Urrao</t>
  </si>
  <si>
    <t>Vías terciarias mejoradas</t>
  </si>
  <si>
    <t>Manuel</t>
  </si>
  <si>
    <t>Rionegro</t>
  </si>
  <si>
    <t>Construcción del Puente Biblioteca en el municipio de Rionegro</t>
  </si>
  <si>
    <t>Equipamientos construidos</t>
  </si>
  <si>
    <t>Santa Bárbara</t>
  </si>
  <si>
    <t>Pavimentación de la vía Santa Bárbara - Fredonia (ruta 25) Fredonia Código 25AN02 en el Plan de Desarrollo Departamental 2024 - 2027</t>
  </si>
  <si>
    <t>Abejorral</t>
  </si>
  <si>
    <t>Placa huella Abejorral - Purima</t>
  </si>
  <si>
    <t>Norte</t>
  </si>
  <si>
    <t>Donmatías</t>
  </si>
  <si>
    <t>Pavimentación de 11km de la vía Riogrande - Bellavista (05237VT073)</t>
  </si>
  <si>
    <t>Urabá</t>
  </si>
  <si>
    <t>Carepa</t>
  </si>
  <si>
    <t>Solicitud de apoyo y acompañamiento integral a la Gestión territorial - Remitido por el ministerio de ambiente</t>
  </si>
  <si>
    <t>Otros</t>
  </si>
  <si>
    <t>Jhony Mira</t>
  </si>
  <si>
    <t>Pavimentación de la vía que conduce al corregimiento portachuelo en Amalfí desde el municipio de Vegachí (05858VT61) "Alejandría - Cascajo"</t>
  </si>
  <si>
    <t>Traslado</t>
  </si>
  <si>
    <t>Bajo Cauca</t>
  </si>
  <si>
    <t>Caucasia</t>
  </si>
  <si>
    <t>Aeropuerto Regional - Parque Lineal (Ciclo vía) - Peopuesta proyectos en desarrollo Bajo Cauca Antioqueño. Finca la Mariela - Caucasía, Antioquia</t>
  </si>
  <si>
    <t>Occidente</t>
  </si>
  <si>
    <t>Armenia</t>
  </si>
  <si>
    <t>Recuperación, pavimentación y mantenimiento a la malla vial que comunica al municipio de Armenia con el municipio de Titiribí</t>
  </si>
  <si>
    <t>Incluir el plan de negocios del PTI, en el plan de Desarrollo de Antioquia Firme
financiación para la terminación de los estudios de la pre-factibilidad y el acompañamiento del lincenciamiento ante la ANI.</t>
  </si>
  <si>
    <t>Petición</t>
  </si>
  <si>
    <t>Támesis</t>
  </si>
  <si>
    <t>Vía entre corregimiento de San Pablo y vereda Naranjal (Codigo 05856VT104)</t>
  </si>
  <si>
    <t>Tarso</t>
  </si>
  <si>
    <t>Solicitud de Pavimentación vía Peñalisa - La Bodega - Tarso, La Bodega - Pueblorico con codigo 25BAN03-1</t>
  </si>
  <si>
    <t>Vías secundarias mejoradas</t>
  </si>
  <si>
    <t>San José de la Montaña</t>
  </si>
  <si>
    <t>Mejoramiento de la red vial urbana Municipio de San josé de la Montaña</t>
  </si>
  <si>
    <t>Laura Sánchez</t>
  </si>
  <si>
    <t>Mejoramiento de vías rurales en los municipios de Belmira y San José de la Montaña, Antioquia</t>
  </si>
  <si>
    <t>Fredonia</t>
  </si>
  <si>
    <t xml:space="preserve">Solicitud pavimentación vía corregimiento Marsella </t>
  </si>
  <si>
    <t>San Pedro de Urabá</t>
  </si>
  <si>
    <t>Construcción de pavimento rígido en vías del casco urbano del municipio de San Pedro de Urabá, Antiquia</t>
  </si>
  <si>
    <t>San Juan de Urabá</t>
  </si>
  <si>
    <t>Construcción de placa huella en la vía acceso al corregimiento de Belén Municipio de San Juan de Urabá, Antioquia</t>
  </si>
  <si>
    <t>Yolombó</t>
  </si>
  <si>
    <t>Mejoramiento vías urbanas municipio de Yolombó</t>
  </si>
  <si>
    <t>Construcción del ámbito patrimonio del proyecto Paisajes del Agua en el Municipio de Rionegro</t>
  </si>
  <si>
    <t>Alejandría</t>
  </si>
  <si>
    <t>Estudios y diseños para plaza de feria ganadera en el municipio de Alejandría - Antioquia</t>
  </si>
  <si>
    <t>Estudios y diseños para proyectos de infraestructura realizados</t>
  </si>
  <si>
    <t>Construcción del espacio público parques de la quebrada Donmatías, Antioquia - Etapa 1</t>
  </si>
  <si>
    <t>Turbo</t>
  </si>
  <si>
    <t>Construcción de la fase dos del malecón turístico del Distrito de Turbo</t>
  </si>
  <si>
    <t>Envigado</t>
  </si>
  <si>
    <t>Diagnóstico inicial de vías terciarias</t>
  </si>
  <si>
    <t>Vías terciarias mantenidas</t>
  </si>
  <si>
    <t>Construcción de la apertura vial entre la calle 16 y la carrera 22 de la zona urbana del municipio de Alejandría</t>
  </si>
  <si>
    <t>Malecón turístico cebecera municipal Puerto Triunfo</t>
  </si>
  <si>
    <t>Pavimentación vía secundaria Barbosa - Concepción</t>
  </si>
  <si>
    <t>Vías secundarias mantenidas</t>
  </si>
  <si>
    <t>Mejoramiento y mantenimiento mediante pavimentación en asfalto de la vía El Chaquiro (Ruta 25) - corregimiento de Aragón (Código 25AN10) Zona rural del municipio de Santa Rosa de Osos - Antioquia</t>
  </si>
  <si>
    <t>Sonsón</t>
  </si>
  <si>
    <t>Construcción de vías urbanas en el municipio de Sonsón Antioquia</t>
  </si>
  <si>
    <t>Solicitud de construcción de vía en el sector Quebrada Arriba, Los Lagos y Matazano (Barbosa - Donmatías)</t>
  </si>
  <si>
    <t>Construcción de pavimento en el barrio Brisas de Urabá del municipio de San Pedro de Urabá, Antioquia</t>
  </si>
  <si>
    <t>Pueblorrico</t>
  </si>
  <si>
    <t>Mejoramiento de vías del circuito productivo Pueblorrico . Ye a la Bodega - La Bodega (Andes)</t>
  </si>
  <si>
    <t>Valparaíso</t>
  </si>
  <si>
    <t>Parque principal - Segunda etapa</t>
  </si>
  <si>
    <t>Amagá</t>
  </si>
  <si>
    <t>Construcción de la antigua plaza de mercado para adecuar y poner en funcionamiento la casa de justicia o centro de convivencia</t>
  </si>
  <si>
    <t>Construcción del ecoparque lineal La Vara en el municipio de San Pedro de Urabá</t>
  </si>
  <si>
    <t>Sopetrán</t>
  </si>
  <si>
    <t>Proyecto de pavimentación en la vía Sopetrán - Belmira</t>
  </si>
  <si>
    <t>San Carlos</t>
  </si>
  <si>
    <t>Pavimentación y urbanismo en cncreto rígido en la zona urbana del municipio de San Carlos, departamento de Antioquia (Etapa 2)</t>
  </si>
  <si>
    <t>Pavimentación de 3 kilómetros de la vía Bellavista - Riogrande</t>
  </si>
  <si>
    <t>Mejoramiento con pavimento rígido de las vías del circuito productivo rural de la subregión suroeste en el municipio de Pueblorrico</t>
  </si>
  <si>
    <t>La Pintada</t>
  </si>
  <si>
    <t>Mejoramiento vía Buenos Aires en el municipio de La Pintada</t>
  </si>
  <si>
    <t>Concepción</t>
  </si>
  <si>
    <t>Pavimentación de 870 m de la vía Concepción - Alejandría 'Los Pomos'
SOLO PRESENTA INFORME DE INSPECCIÓN OCULAR</t>
  </si>
  <si>
    <t>Construcción e implementación de la ciudadela de innovación agroempresarial regional, en el municipio de Sonsón</t>
  </si>
  <si>
    <t>Mejoramiento de vías terciarias de las veredas Mulatico, Patio Bonito y Morrón del municipio de Tarso, Antioquia mediante la construcción de pavimentación de Placa huella</t>
  </si>
  <si>
    <t>Construcción de la nueva Plaza e mercadi del Municipio de Rionegro y la renovación urbana de su entorno</t>
  </si>
  <si>
    <t>Maria Yanet Valencia</t>
  </si>
  <si>
    <t>Construcción del parque Villa Esperanza del municipio de San Pedro de Urabá, Antioquia</t>
  </si>
  <si>
    <t>Solicitud de mesas técnicas para proyectos presentados por parte del municipio</t>
  </si>
  <si>
    <t>Apartadó</t>
  </si>
  <si>
    <t>Construcción de pavimento rígido en vías urbanas , Barrio Obrero del municipio de Apartadó</t>
  </si>
  <si>
    <t>San Francisco</t>
  </si>
  <si>
    <t>Parque principal de San Francisco Antioquia</t>
  </si>
  <si>
    <t>La Ceja</t>
  </si>
  <si>
    <t>Plaza de mercado</t>
  </si>
  <si>
    <t>Carolina</t>
  </si>
  <si>
    <t>Chigorodó</t>
  </si>
  <si>
    <t>Pavimentación en concreto rígido , andenes peatonales y silvicultura en la calle 97 entre carrera 101 y 112 del municipio de Chigorodó, Antioquia</t>
  </si>
  <si>
    <t>Yarumal</t>
  </si>
  <si>
    <t>Intervención de la vía terciaria de acceso al corregimiento cedeño y sus veredas aledañas en el municipio de Yarumal, Antioquia afectada por la ola invernal</t>
  </si>
  <si>
    <t>Solicitud de pavimentación de vía Belmira Horizontes</t>
  </si>
  <si>
    <t>Construcción de placa huella y obras complementarias en la vía Támesis - San Pablo en el municipio de Támesis - Antioquia</t>
  </si>
  <si>
    <t>Pavimentación de 700 metros de pavimento rígido en la vía La Danta - Autopista Medellín - Bogotá</t>
  </si>
  <si>
    <t>Cocorná</t>
  </si>
  <si>
    <t>Mejoramiento del corredor turístico Cocorná - Maria Parda con la construcción de 2.6 km de pavimento rígido, en el municipio de Cocorná, Antioquia
ADJUNTO CON CONTRASEÑA</t>
  </si>
  <si>
    <t>Betania</t>
  </si>
  <si>
    <t>PAVIMENTACIÓN DE VÍAS URBANAS Y OBRAS DE CONTENCIÓN EN EL MUNICIPIO DE BETANIA ANTIOQUIA</t>
  </si>
  <si>
    <t xml:space="preserve">Construcción de pavimento rigido en vias urbanas, Barrio obrero del municipio de Apartadó. </t>
  </si>
  <si>
    <t>Mejoramiento de vías terciarias en la vereda Churido Medio, zona rural del municipio de Apartadó, Antioquia.</t>
  </si>
  <si>
    <t>Copacabana</t>
  </si>
  <si>
    <t xml:space="preserve">Pavimentación de 2,2 Km vía Medellín-Bogotá y Vereda Peñolcito
</t>
  </si>
  <si>
    <t>REHABILITACIÓN Y MEJORAMIENTO DE 1.5 KILOMETROS DE PAVIMENTACIÓN FLEXIBLE DE VÍA RURAL QUE CONDUCE HACIA LA VEREDA EL RODEO, MUNICIPIO DE SOPETRAN, ANTIOQUIA</t>
  </si>
  <si>
    <t>Puerto Nare</t>
  </si>
  <si>
    <t>MEJORAMIENTO DE LA RED VIAL URBANA DEL MUNICIO DE PUERTO NARE</t>
  </si>
  <si>
    <t>Briceño</t>
  </si>
  <si>
    <t>Mantenimiento de la vía terciaria que comunica la vereda El Roblal y el sector la Ye en el Municipio de Briceño, Antioquia.</t>
  </si>
  <si>
    <t>Gómez Plata</t>
  </si>
  <si>
    <t>Presentación de proyecto y EYD para Pavimentación vía El Guayabo – El Salto – Partidas a Guadalupe (62AN21-1-2)</t>
  </si>
  <si>
    <t>Construcción, estabilización y conformación de tramo de la banca en el sector "Mi Casita".</t>
  </si>
  <si>
    <t>Argelia</t>
  </si>
  <si>
    <t>Construcción de placa huella en la vía a la base militar Las Playas - La Quiebra</t>
  </si>
  <si>
    <t>Mejoramiento de la infraestructura vial mediante la construcción de pavimento rígido en la vía que comunica a la vereda La Pava del Municipio de Alejandría, Antioquia</t>
  </si>
  <si>
    <t>Jericó</t>
  </si>
  <si>
    <t xml:space="preserve">Mejoramiento y mantenimiento de vías rurales del municipio de Jericó Antioquia Av Circunvalar </t>
  </si>
  <si>
    <t>Titiribí</t>
  </si>
  <si>
    <t>Mejoramiento y recuperaciíon vial, conoxión cabecera municipal y el Centro Poblado Otramina</t>
  </si>
  <si>
    <t>Vigía del Fuerte</t>
  </si>
  <si>
    <t>MEJORAMIENTO DE VIA MEDIANTE LA CONSTRUCCION DE PLACA HUELLA EN EL TRAMO HOSPITAL BOTADERO A CIELO ABIERTO, ABSCISA K0+00 A LA ABSCISA K1+1710</t>
  </si>
  <si>
    <t>Puesto información turística, estudios y diseños del mirador de Titiribi, estudios y diseños para la construcción del resguardo ecoturístico en Urrao</t>
  </si>
  <si>
    <t>Segovia</t>
  </si>
  <si>
    <t>Proyecto Casa de la Cultura Fase 2</t>
  </si>
  <si>
    <t>Necoclí</t>
  </si>
  <si>
    <t>SOLICITUD INTERVENCION PARQUE EL TOTUMO</t>
  </si>
  <si>
    <t xml:space="preserve">ADECUACION DEL PARQUE SANTA ANA </t>
  </si>
  <si>
    <t>Jardín</t>
  </si>
  <si>
    <t>MANTENIMIENTO Y MEJORAMIENTO DEL PARQUE PRINCIPAL DE JARDIN</t>
  </si>
  <si>
    <t>AUNAR ESFUERZOS ENTRE EL DEPARTAMENTO DE ANTIOQUIA Y EL MUNICIPIO DE TARSO, PARA LA CONSTRUCCIÓN
DE LA PLACA HUELLA EN LAS VEREDAS LA ARBOLEDA Y CHAGUANÍ DE LA SUBREGIÓN SUROESTE EN EL MUNICIPIO DE TARSO</t>
  </si>
  <si>
    <t xml:space="preserve">Solicitud de varios proyectos:
1. Pavimentación de vías urbanas. 
2. Reparcheo y reparación de vías urbanas.
3. Pavimentación de vías terciarias (P.H).
4. Pavimentaqción de vías terciarias (Flexible).
5. Construcción de anden. </t>
  </si>
  <si>
    <t>Giraldo</t>
  </si>
  <si>
    <t>1. Construcción de pavimento rigido tramo K5+900 - K9+900 Vía Giraldo - Cuajarón (codigo 57479) vía terciaria</t>
  </si>
  <si>
    <t>Construcción Placa - Huella:
*Vereda El Progreso, Tramo 1: 600 metros
*Vereda Pio XII, Tramo 2: 500 metros</t>
  </si>
  <si>
    <t>Guarne</t>
  </si>
  <si>
    <t>Mejoramiento y recuperacion de 9 km de la via desde la cabecera municipal con la ye a girardota y a San Vicente Ferrer</t>
  </si>
  <si>
    <t>Construcción de placa huella en vías terciarias del municipio de San Roque
1 Km placa huella 
Repartido en 8 vías terciarías</t>
  </si>
  <si>
    <t>Santa Fe de Antioquia</t>
  </si>
  <si>
    <t xml:space="preserve">Solicitud de recursos para proyecto "PAVIMENTACION DE VIA EN PLACA HUELLA EN LA VEREDA PEDREGAL EN LA ZONA RURAL DEL MUNICIPIO DE SANTA FE DE ANTIOQUIA”
Valor a solicitar: $ 12.667.832.858.
Alcance: 5 Km. </t>
  </si>
  <si>
    <t>Anzá</t>
  </si>
  <si>
    <t xml:space="preserve">Tres (3) km de placa huella en las veredas La Chuscalita, La Quiebra y Monterredondo de nuestro municipio. </t>
  </si>
  <si>
    <t>El Bagre</t>
  </si>
  <si>
    <t>MEJORAMIENTO DE VÍA TERCIARIA MEDIANTE LA CONSTRUCCIÓN DE PLACA HUELLA EN LA VIA QUE
COMUNICA HACIA EL CORREGIMIENTO DE PUERTO CLAVER, ZONA RURAL DEL MUNICIPIO DE EL BAGRE.</t>
  </si>
  <si>
    <t>CONSTRUCCIÓN DE PLACA HUELLA DE LA VÍA TERCIARIA EL ENCANTO EN EL MUNICIPIO DE TÁMESIS DEL DEPARTAMENTO DE ANTIOQUIA</t>
  </si>
  <si>
    <t>CONSTRUCCIÓN DE PLACA HUELLA DE LA VÍA TERCIARIA LA ALACENA – EL HACHA EN EL MUNICIPIO DE TÁMESIS DEL DEPARTAMENTO DE ANTIOQUIA</t>
  </si>
  <si>
    <t>San Pedro de los Milagros</t>
  </si>
  <si>
    <t>MEJORAMIENTO DE VÍAS TERCIARIAS MEDIANTE EL USO DE PLACAS HUELLAS EN EL MUNICIPIO DE SAN PEDRO DE LOS MILAGROS</t>
  </si>
  <si>
    <t>MEJORAMIENTO DE LA VÍA TERCIARIA EN
PLACA HUELLA DEL SECTOR LA ESPERANZA DEL MUNICIPIO DE
ABEJORRAL – ANTIOQUIA</t>
  </si>
  <si>
    <t>Marinilla</t>
  </si>
  <si>
    <t xml:space="preserve">PAVIMENTACIÓN DE VÍAS RURALES EN EL MUNCIPIO DE MARINILLA ANTIOQUIA - PLACAHUELLA </t>
  </si>
  <si>
    <t>SGR</t>
  </si>
  <si>
    <t xml:space="preserve">SOLICITUD DE PAVIMENTACIÓN DE LA VÍA PEÑALISA – LA BODEGA, LA BODEGA – TARSO, LA BODEGA – PUEBLORRICO </t>
  </si>
  <si>
    <t xml:space="preserve">SOLICITUD DE INTERVENCION DE LA VÍA PEÑALISA – LA BODEGA, LA BODEGA – TARSO, LA BODEGA – PUEBLORRICO </t>
  </si>
  <si>
    <t>Cañasgordas</t>
  </si>
  <si>
    <t>Construcción Parque Corregimiento Cestillal Municipio de Cañasgordas.</t>
  </si>
  <si>
    <t>“CONSTRUCCIÓN DE PAVIMENTO RÍGIDO PARA MEJORAMIENTO DE LA VÍA HACIA LA VEREDA CORRENTOSO DESDE LA PARTIDA DE LONDRES, NECHÍ ANTIOQUIA”,</t>
  </si>
  <si>
    <t>pavimentacion 2km vias urbanas municipio santa fe de antioquia</t>
  </si>
  <si>
    <t>La Unión</t>
  </si>
  <si>
    <t>CONSTRUCCION Y MEJORAMIENTO
DE VIAS TERCIARIA</t>
  </si>
  <si>
    <t>MEJORAMIENTO DE LA ACCESIBILIDAD A LAS COMUNIDADES RURALES MEDIANTE LA CONSTRUCCIÓN DE PLACA HUELLA EN EL MUNICIPIO DE DONMATÍAS - ANTIOQUIA</t>
  </si>
  <si>
    <t>MEJORAMIENTO DE LA RED VIAL DEL CASCO URBANO MEDIANTE LA CONSTRUCCIÓN DE 1.0 Km DE VIAS PEATONALES EN CONCRETO REFORZADO EN EL MUNICIPIO DE VIGIA DEL FUERTE EN EL DEPARTAMENTO DE ANTIOQUIA</t>
  </si>
  <si>
    <t>Recursos propios</t>
  </si>
  <si>
    <t>Cáceres</t>
  </si>
  <si>
    <t>CONSTRUCCIÓN DE 2.4 KM DE PLACA HUELLA EN LA VÍA VEREDA LA EMBOSCADA Y VEREDA LA REVERZA EN EL MUNICIPIO DE CACERES ANTIOQUIA</t>
  </si>
  <si>
    <t>Arboletes</t>
  </si>
  <si>
    <t>CONSTRUCCION DE PAVIMENTO EN CONCRETO
RIGIDO EN LA ZONA URBANA DEL MUNICIPIO DE ARBOLETES ANTIOQUIA.</t>
  </si>
  <si>
    <t>ESTUDIOS Y DISEÑOS PARA LA CONSTRUCCION DE 1.7
KILOMETROS DE PLACA HUELLA EN LA VEREDA MORAVIA, ZONA RURAL DEL MUNICIPIO DE BRICEÑO-ANTIOQUIA</t>
  </si>
  <si>
    <t>Girardota</t>
  </si>
  <si>
    <t>MEJORAMIENTO DE VÍAS TERCIARIAS EN EL MUNICIPIO DE GIRARDOTA ANTIOQUIA SECTOR PORTACHUELO, HOLANDA BAJA Y ALTA.</t>
  </si>
  <si>
    <t>Mejoramiento y recuperación de las condiciones de movilidad entre el municipio de Girardota, valle de aburra y la "YE" que comunica con guarne, oriente antioqueño, y con el municipio de san Vicente de Ferrer.</t>
  </si>
  <si>
    <t xml:space="preserve">CONSTRUCCION DE PLACA HUELLA EN LAS VIA DE ACCESO AL CORREGIMIENTO DE NARANJITAS MUNICIPIO DE ARBOLETES ANTIOQUIA </t>
  </si>
  <si>
    <t>Zaragoza</t>
  </si>
  <si>
    <t>CONSTRUCCIÓN DE 5 KM DE PLACA HUELLA EN LA VÍA ZARAGOZA-EL
BAGRE, EN EL MARCO DE IMPLEMENTACIÓN DEL ACUERDO FINAL PARA
LA PAZ, ZONA RURAL DEL MUNICIPIO DE ZARAGOZA - ANTIOQUIA.</t>
  </si>
  <si>
    <t xml:space="preserve">Rehabilitación y mejoramiento de vías urbanas, en pavimento rígido con reposisión de redes de acueducto y alcantarillado en el municipio de Yarumal - Antioquia. </t>
  </si>
  <si>
    <t xml:space="preserve">SEGUNDA FASE DEL BULEVAR 27A </t>
  </si>
  <si>
    <t xml:space="preserve">REITERA SECRETARIA DE TURISMO LA SOLICITUD ANTERIOR (Puesto información turística, estudios y diseños del mirador de Titiribi, estudios y diseños para la construcción del resguardo ecoturístico en Urrao) Ya tenia respuesta radicada </t>
  </si>
  <si>
    <t>Construcción de un espacio multiproposito - parque principal - en el corregimiento Puerto Lopez del Municipio del Bagre</t>
  </si>
  <si>
    <t>CONSTRUCCION PARQUE DE SANTA ANA -MUNICIPIO DE TAMESIS -ANTIOQUIA</t>
  </si>
  <si>
    <t xml:space="preserve"> MEJORAMIENTO DE VÍA (VEREDA SAN ISIDRO - VEREDA BOQUERÓN) EN EL MUNICIPIO DE SAN FRANCISCO, ANTIOQUIA.</t>
  </si>
  <si>
    <t>El Santuario</t>
  </si>
  <si>
    <t>Valdivia</t>
  </si>
  <si>
    <t>CONSTRUCCIÓN DE PLACA HUELLA EN LAS ZONAS RURALES DE PUERTO RAUDAL Y RAUDAL VIEJO PARA MEJORAR LA MOVILIDAD EN LAS VEREDAS DEL MUNICIPIO DE VALDIVIA, ANTIOQUIA</t>
  </si>
  <si>
    <t>El Carmen de Viboral</t>
  </si>
  <si>
    <t xml:space="preserve">CONSTRUCCIÓN DE PLACA HUELLA EN LA VIA TERCIARIA EN EL MUNICIPIO DE EL CARMEN VIBORAL - ANTIOQUIA </t>
  </si>
  <si>
    <t>Construcción de pavimento rígido y optimización de redes de acueducto y alcantarillado en los barrios: La Magdalena, El Carmen, y Costa de Oro en el municipio de Cáceres, departamento de Antioquia.</t>
  </si>
  <si>
    <t>Liborina</t>
  </si>
  <si>
    <t>Mejoramiento de
vías terciarias y construcción de obras para la reducción del riesgo en zona rural del municipio de
Liborina.</t>
  </si>
  <si>
    <t>Andes</t>
  </si>
  <si>
    <t>MEJORAMIENTO DE LA
MALLA VIAL EN EL TRAMO ECOPARQUE REGIONAL MARIO ARAMBURO RESTREPO
CORREGIMIENTO DE SAN JOS</t>
  </si>
  <si>
    <t>CONSTRUCCIÓN DE PAVIMENTO RÍGIDO Y URBANISMO PARA MEJORAR LA MOVILIDAD EN EL MUNICIPIO DE CAREPA, ANTIOQUIA</t>
  </si>
  <si>
    <t>CONSTRUCCIÓN DE PAVIMENTO RÍGIDO DE VÍAS URBANAS DISPERSAS EN EL MUNICIPIO DE URRAO, ANTIOQUIA</t>
  </si>
  <si>
    <t>CONSTRUCCIÓN DE PLACA HUELLA EN LA VÍA QUE CONDUCE DESDE LA VEREDA CAMPO ALEGRE A LA VEREDA SANTA ROSITA, ZONA RURAL DEL
MUNICIPIO DE CAUCASIA"</t>
  </si>
  <si>
    <t>"ESTUDIOS Y DISEÑOS PARA ELMEJORAMIENTO Y REHABILITACIÓN DE LA VÍA YOLOMBAL CIRCUNVALAR GUARNE,PARA LA UNIÓN DEL VALLE DE ABURRÁ Y EL VALLE DE SAN NICOLÁSI</t>
  </si>
  <si>
    <t>"CONSTRUCCIÓN DE PAVIMENTO DELA VÍA DE ACCESO AL HOSPITAL DON BOSCO DEL CORREGIMIENTO DECURRULAO DEL DISTRITO DE TURBO, ANTIOQUIA”</t>
  </si>
  <si>
    <t>Ciudad Bolívar</t>
  </si>
  <si>
    <t>PAVIMENTACIÓN VÍA DE ACCESO DEL CORREGIMIENTO
ALFONSO LOPEZ, MUNICIPIO DE CIUDAD BOLIVAR - ANTIOQUIA</t>
  </si>
  <si>
    <t>REHABILITACION DE VIA HOLANDA PARTE ALTA Y HOLANDA PARTE BAJA DEL MUNICIPIO DE GIRARDOTA</t>
  </si>
  <si>
    <t>REHABILITACIÓN CON PAVIMENTO TIPO PLACA HUELLA DE LA VÍA TERCIARIA MANZANILLO EN EL MUNICIPIO DE CIUDAD BOLÍVAR, ANTIOQUIA</t>
  </si>
  <si>
    <t>Granada</t>
  </si>
  <si>
    <t>CONSTRUCCIÓN
DE PLACA HUELLA ENTRE VÍA LA QUIEBRA-SANTA ANA DEL MUNICIPIO DE
GRANADA</t>
  </si>
  <si>
    <t>onstruccin de pavimento rgido de la Calle 19 entre la
Carrera 19 y la Calle 20; de la Calle 20 entre la Calle 19 y la Carrera 21; de la Carrera 24 desde la Calle 20 y de
la Carrera 22 desde la Calle 23 del municipio de Cocorn</t>
  </si>
  <si>
    <t>Hispania</t>
  </si>
  <si>
    <t>MEJORAMIENTO DE 2.5 KILMETROS EN SISTEMA CONSTRUCTIVO DE PLACA HUELLA PARA VIAS TERCIARIAS DEL MUNICIPIO DE HISPANIA - ANTIOQUIA</t>
  </si>
  <si>
    <t>Montebello</t>
  </si>
  <si>
    <t>NTERVENCIN EN LAS VAS URBANAS
EN EL MUNICIPIO DE MONTEBELLO - 2024</t>
  </si>
  <si>
    <t xml:space="preserve">MEJORAMIENTO DE VA TERCIARIA EN EL VEREDA CALLE LARGA DEL MUNICIPIO  </t>
  </si>
  <si>
    <t>CONSTRUCCIÓN DE OBRAS DE MEJORAMIENTO URBANO DEL PARQUE MIRADOR PERLA DEL RÍO NECHÍ EN EL MUNICIPIO DE ZARAGOZA, ANTIOQUIA</t>
  </si>
  <si>
    <t>Paula Zapata</t>
  </si>
  <si>
    <t>CONSTRUCCIÓN DE PAVIMENTO EN PLACA HUELLA PARA LA VÍA A LA VEREDA: 
1. LA MESETA ($ 2.385.209.672)
2. SANTA ANA ($ 1.121.164.516)
3. EL CARMELO ($ 1.700.051.625)</t>
  </si>
  <si>
    <t>Catalina Hinestroza</t>
  </si>
  <si>
    <t>PAVIMENTACION Y URBANISMO EN CONCRETO RIGIDO ZONA URBANA DEL MUNICIPIO DE SAN CARLOS, DEPARTAMENTO DE ANTIOQUIA</t>
  </si>
  <si>
    <t>MEJORAMIENTO    DE    LA    VÍA    DEPARTAMENTAL    SONSÓN AGUADAS, MUNICIPIO DE SONSÓN ANTIOQUIA.</t>
  </si>
  <si>
    <t>Construcción de placa huellas en zonas rurales.</t>
  </si>
  <si>
    <t xml:space="preserve">MEJORAMIENTO DE VÍAS URBANAS EN EL BARRIO CONQUISTADORES DEL MUNICIPIO DE EL PEÑOL </t>
  </si>
  <si>
    <t xml:space="preserve">SOLICITUD DE ESTUDIOS Y EJECUCIÓN DE PROYECTO PLACA HUELLA RURAL. </t>
  </si>
  <si>
    <t>Cisneros</t>
  </si>
  <si>
    <t>CONSTRUCCION  DE  1.5  KILMETROS  DE  PAVIMENTO URBANO DEL MUNICIPIO DE CISNEROS</t>
  </si>
  <si>
    <t>Pavimentacin de 1,950 km de la via Iborra en la zona rural del municipio de Donmatas, del Departamento de Antioqui</t>
  </si>
  <si>
    <t>PAVIMENTACIN MEDIANTE EL SISTEMA CONSTRUCTIVO DE PLACA HUELLA, DE LA VÍA BETANIA  PEDRAL ARRIBA SECTOR SAN LUIS EN ZONA RURAL DEL MUNICIPIO DE BETANIA  ANTIOQUIA.</t>
  </si>
  <si>
    <t>CONSTRUCCIÓN DE PLACA HUELLA EN VIAS TERCIARIAS DEL MUNICIPIO DE EL SANTUARIO-ANTIOQUIA</t>
  </si>
  <si>
    <t>CONSTRUCCIÓN DE PAVIMENTO RIGIDO EN VIAS DEL BARRIO BUENOS
AIRES ZONA URBANA DEL MUNICIPIO DE CAUCASIA ANTIOQUIA</t>
  </si>
  <si>
    <t>Sabaneta</t>
  </si>
  <si>
    <t>Proyecto intercambio vial de la calle 77 sur entre la carrera 45 y carrera 46 y sus lazos de conexión.</t>
  </si>
  <si>
    <t>PAVIMENTACIN DE VÍS uRBANAS EN EL MUNICIPIO DE PUERTO TRIUNFO - ANTIOQUIA</t>
  </si>
  <si>
    <t>MEJORAMIENTO Y REPOSICIN DE PAVIMENTO RGIDO EN VIAS URBANAS DE LA CABECERA MUNICIPAL, Y LOS CORREGIMIENTOS DE SAN JOSE DEL NUS Y PROVIDENCIA DEL MUNICIPIO DE SAN ROQUE, DEPARTAMENTO DE ANTIOQUIA</t>
  </si>
  <si>
    <t>ESTUDIOS Y DISENOS PARA LA TERCERA ETAPA DE LA VIA INTERMEDIA</t>
  </si>
  <si>
    <t>PAVIMENTACION VÍA FATIMA EN EL MUNICIPIO DE DONMATIAS</t>
  </si>
  <si>
    <t>Frontino</t>
  </si>
  <si>
    <t>PAVIMENTACION VÍA FRONTINO NUTIBARA MUNICIPIO DE FRONTINO</t>
  </si>
  <si>
    <t>Murindó</t>
  </si>
  <si>
    <t>CONSTRUCCIÓN DE PUENTES PEATONALES EN CONCRETO EN LA CABECERA MUNICIPAL DE MURINDÓ - ANTIOQUIA</t>
  </si>
  <si>
    <t>Uramita</t>
  </si>
  <si>
    <t>PAVIMENTACIÓN Y ADECUACIÓN DE VÍA EN EL BARRIO EL SOCORRO Y LA COPA EN LA ZONA URBANA DEL MUNICIPIO DE URAMITA, ANTIOQUIA</t>
  </si>
  <si>
    <t xml:space="preserve"> plaza de mercado del municipio de amagá</t>
  </si>
  <si>
    <t xml:space="preserve">Construcción parque recreativo obrero en la zona urbana de la cabecera municipal </t>
  </si>
  <si>
    <t>cicloruta municipio de marinilla</t>
  </si>
  <si>
    <t xml:space="preserve">Construcción de placa huella en las vias terciearias del municipio de Liborina </t>
  </si>
  <si>
    <t>“CONSTRUCCIÓN DEL PUENTE VEHICULAR EL RETEN SOBRE EL RIO PEDRAL, ZONA RURAL DEL MUNICIPIO DE BETANIA - ANTIOQUIA.”</t>
  </si>
  <si>
    <t>SOLICITUD SOLICITUD DE APOYO PARA LA COFINANCIACION EN LA EJECUCION DEL PROYECTO PAVIMENTACION EN CONCRETO RIGIDO -TIPO PLACA HUELLA- EN LA ZONA URBANA CORREGIMIENTO CEDRO Y PUEBLITO DEL MUNICIPIO DE YARUMAL</t>
  </si>
  <si>
    <t>Julián Suárez</t>
  </si>
  <si>
    <t>PARQUE LINEAL - BOSQUES URBANOS DEL MUNICIPIO DE EL RETIRO</t>
  </si>
  <si>
    <t>San Luis</t>
  </si>
  <si>
    <t>PROYECTO DE PAVIMENTACIÓN DE LA VÍA SAN LUIS - CHOCÓ</t>
  </si>
  <si>
    <t>Mabel García</t>
  </si>
  <si>
    <t>Olaya</t>
  </si>
  <si>
    <t>Construccion de pavimento flexible en la vía que conduce al corregimiento Llanadas del Municipio de Olaya.</t>
  </si>
  <si>
    <t>Mejoramiento de la red vial urbana del municipio de Puerto Nare</t>
  </si>
  <si>
    <t xml:space="preserve">Mejoramiento y Construcción de obras complementarias dobdre la vía PR14+500 Codigo 6201 - Vereda La Pola - Puerto Escondido - Puerto Cesar - La Playita del municipio de Turbo Antioquia. </t>
  </si>
  <si>
    <t>MEJORAMIENTO DE LA VÍA TERCIARIA EN PLACA HUELLA DEL SECTOR LA ESPERANZA DEL MUNICIPIO DE ABEJORRAL – ANTIOQUIA.</t>
  </si>
  <si>
    <t>Solicitud de recursos para la cofinanciaón y ejecución de varias obras de infraestructura en el municipio de Jardín Antioquia. 
- Pavimentación de vías urbanas 
- Reparcheo y repavimentación de vías urbanas
- Construcción de placa huella 
- pavimentacvión de vías terciarias con pavimento flexible.
-Construcción de andenes o pasarelas peatonales en vía secundaria (Resguardo Karmata-Rúa).</t>
  </si>
  <si>
    <t>ESPACIO PÚBLICO PARA LA CARRERA 47: VIAS, ANDENES Y CICLORRUTA</t>
  </si>
  <si>
    <t>CONSTRUCCION Y ADECUACION DE LA VIA RURAL DELA VEREDA PIEDRAHITA EN EL MUNICIPIO DE DONMATIAS DEL DEPARTAMENTO DE ANTIOQUIA</t>
  </si>
  <si>
    <t>Venecia</t>
  </si>
  <si>
    <t>PAVIMENTACION DE 1 KILOMETRO DE VIA URBANA</t>
  </si>
  <si>
    <t>MEJORAMIENTO VIA BUENOS AIRES MUNICIPIO DE LA PINTADA</t>
  </si>
  <si>
    <t>RADICAR ENTREGA DE ESTUDIOS Y DISENOS PARA EL PROYECTO ESPACIO PUBLICO PARA LA CARRERA 47: VIAS, ANDENES Y CICLORRUTA EN EL MUNICIPIO DE EL SANTUARIO ANTIOQUIA.</t>
  </si>
  <si>
    <t>MEJORAMIENTO DE CALLE CEMENTERIO EN EL CORREGIMIENTO DE PUERTO VALDIVIA, MUNICIPIO DE VALDIVIA ANTIOQUIA</t>
  </si>
  <si>
    <t>Campamento</t>
  </si>
  <si>
    <t>MEJORAMIENTO DE LA VIA CAMPAMENTO-VEREDA EL LIMON MEDIANTE LA EJECUCION DE PLACA HUELLA</t>
  </si>
  <si>
    <t>Placa huella</t>
  </si>
  <si>
    <t>proyecto de pavimentaciónde víasurbanas en el municipio de Vegachí para su cofinanciacióncon la Gobernación de Antioquia2025</t>
  </si>
  <si>
    <t>Construcción de placa huella de la vía terciaría el respaldo</t>
  </si>
  <si>
    <t>PAVIMENTACIÓN MEDIANTE EL SISTEMA CONSTRUCTIVO DE PLACA HUELLA, DE LA VIA BETANIA  PEDRAL ARRIBA SECTOR SAN LUIS EN ZONA RURAL DEL MUNICIPIO DE BETANIA  ANTIOQUIA.</t>
  </si>
  <si>
    <t xml:space="preserve"> CONSTRUCCION DE PAVIMENTO EN PLACA HUELLA VEREDA LA CUCARACHA CORREGIMIENTO DE CURRULAO
DEL DISTRITO DE TURBO ANTIOQUIA</t>
  </si>
  <si>
    <t>Lizzeth Urueña Romero</t>
  </si>
  <si>
    <t>PROYECTO DE UN TERCER KILOMETRO DE PLACA HUELLA</t>
  </si>
  <si>
    <t xml:space="preserve">San Jerónimo </t>
  </si>
  <si>
    <t>PROYECTO MEJORAMIENTO VIAL MEDIANTE LA CONSTRUCCION DE
PLACA HUELLA EN ZONA RURAL DEL MUNICIPIO DE SAN JERONIMO.</t>
  </si>
  <si>
    <t>CONSTRUCCIÓN DEL PUENTE VEHÍCULAR LLANADAS EN LA VIA TERCIARIA "BRICEÑOLAS
BRISAS DEL MUNICIPIO DE BRICEÑO, ANTIOQUIA</t>
  </si>
  <si>
    <t>PRESENTACION PROYECTO PAVIMENTACION VIAS URBANAS (440M) DEL MUNICIPIO
DE SAN JERONIMO</t>
  </si>
  <si>
    <t>PROYECTO CONSTRUCCION DE OBRAS MITIGACION Y OBRAS TRANSVERSALES EN LA
VIA QUE CONDUCE AL CORREGIMIENTO EL LLANO Y OCHALI DEL MUNICIPIO DE YARUMAL</t>
  </si>
  <si>
    <t>PAVIMENTACIÓN 3.0 KM DE PLACA HUELLA</t>
  </si>
  <si>
    <t>PLACA HUELLA 100 MTS VEREDA VAHITOS</t>
  </si>
  <si>
    <t>PLACA HUELLA 100 MTS VEREDA EL TABOR</t>
  </si>
  <si>
    <t>PLACA HUELLA 100 MTS VEREDA TAFETANES</t>
  </si>
  <si>
    <t>MEJORAMIENTO VEREDA CRISTALINA CRUCES</t>
  </si>
  <si>
    <t>INTERVENCIÓN PUNTO CRÍTICO CAMILO C - EL CINCO - FREDONIA SECTOR MI CASITA</t>
  </si>
  <si>
    <t>CONSTRUCCIÓN DE PLACA HUELLA ENTRE LA VIA LA QUIEBRA - SANTA ANA</t>
  </si>
  <si>
    <t>CONSTRUCCION DE PLACA HUELLAS EN VIAS TERCIARIAS DEL MUNICIPIO DE EL SANTUARIO-ANTIOQUIA</t>
  </si>
  <si>
    <t>CONSTRUCCION DEL PUENTE
VEHICULAR EL RETN SOBRE EL RO PEDRAL, ZONA RURAL DEL MUNICIPIO DE BETANIA -
ANTIOQUIA</t>
  </si>
  <si>
    <t>Mejoramiento de Vías Rurales del Municipio de San Francisco Mediante la aplicación de
Estabilizantes en la capa de rodadura._x000D_</t>
  </si>
  <si>
    <t>MEJORAMIENTO DE LA RED VIAL DEL CASCO URBANO MEDIANTE 
LA CONSTRUCCION DE 2.5 Km DE VIAS PEATONALES EN CONCRETO REFORZADO EN EL MUNICIPIO DE MURINDÓ EN EL DEPARTAMENTO DE ANTIOQUIA</t>
  </si>
  <si>
    <t>Maceo</t>
  </si>
  <si>
    <t>MEJORAMIENTO DE VÍAS TERCIARIAS MEDIANTE LA CONSTRUCCIÓN DE PLACA HUELLA EN LOS MUNICIPIOS DE MACEO VEREDA SAN IGNACIO Y YOLOMBÓ VEREDA LOS ANDES DEL DEPARTAMENTO DE ANTIOQUIA</t>
  </si>
  <si>
    <t>ID_RADICADOS</t>
  </si>
  <si>
    <t>DIAS TRANSCURRIDOS</t>
  </si>
  <si>
    <t>SUBREGIÓN (BLOQUEAR)</t>
  </si>
  <si>
    <t>ID PROYECTOS</t>
  </si>
  <si>
    <t>PROYECTOS</t>
  </si>
  <si>
    <t>TIPO DE SOLICITUD</t>
  </si>
  <si>
    <t>PRESUPUESTO (ELIMINAR)</t>
  </si>
  <si>
    <t>OBSERVACIONES</t>
  </si>
  <si>
    <t xml:space="preserve">Respondido </t>
  </si>
  <si>
    <t>Pendiente</t>
  </si>
  <si>
    <t>El Retiro</t>
  </si>
  <si>
    <t>Santa Rosa de Osos</t>
  </si>
  <si>
    <t>Espera directriz</t>
  </si>
  <si>
    <t>Entrerríos</t>
  </si>
  <si>
    <t>San Roque</t>
  </si>
  <si>
    <t>CONSTRUCCIÓN DE PAVIMENTO RÍGIDO TIPO PLACA HUELLA Y OBRAS COMPLEMENTARIAS EN LA VÍA TAMESIS -VALPARAISO</t>
  </si>
  <si>
    <t>Nechí</t>
  </si>
  <si>
    <t>CONSTRUCCIÓN DE PLACA HUELLA EN VÍAS TERCIARIAS DEL MUNICIPIO DE EL SANTUARIO (LA AURORA-PALMARCITO-EL CARMELO-PORTACHUELO-SERRANIA)</t>
  </si>
  <si>
    <t>MEJORAMIENTO DE LA VÍA TERCIARIA DEL SECTOR VILLETA DELMUNICIPIO DE ARGELIA, ANTIOQUIA</t>
  </si>
  <si>
    <t>El Peñol</t>
  </si>
  <si>
    <t>Ajuste al radicado anterior</t>
  </si>
  <si>
    <t>San Jerónimo</t>
  </si>
  <si>
    <t>"CONSTRUCCION DE PUENTE VEHICULAR EN
LA VEREDA EL PIRU DEL MUNICIPIO DE SAN PEDRO DE URABA, ANTIOQUIA"</t>
  </si>
  <si>
    <t>"MEJORAMIENTO DE VIAS TERCIARIAS MEDIANTE LA
CONSTRUCCION DE PLACA HUELLA EN EL SECTOR LAS TERESAS DEL MUNICIPIO DE LA UNION"</t>
  </si>
  <si>
    <t>Betulia</t>
  </si>
  <si>
    <t>SOLICITUD CONSTRUCCIÓNDE MANHOL EN LA VIA SECTOR LA Y LA ZONA URBANA DEL MUNICIPIODE BETULIA</t>
  </si>
  <si>
    <t>Yondó</t>
  </si>
  <si>
    <t>Solicitud de financiación del Proyecto Integrador “Construcción de puentes vehiculares en la vía Cantagallo (Bolívar) – Yondó (Antioquia) para la interconexión vial Regional del Sur de Bolívar con Antioquia, Santander y el interior del País</t>
  </si>
  <si>
    <t>Belmira</t>
  </si>
  <si>
    <t>CONSTRUCCIÓN  DE GAVIONES PARA PUNTOS CRITICOS DE LA VIA DE LA VEREDA RIO ARRIBA, ZONA RURAL  DEL  MUNICIPIO  DE  BELMIRA,  ANTIOQUIA</t>
  </si>
  <si>
    <t>Caldas</t>
  </si>
  <si>
    <t xml:space="preserve">Solicitud para la contrucción de placa huella en la vereda Salinas parte alta. </t>
  </si>
  <si>
    <t xml:space="preserve">Solicitud presentada por la JAC salinas del municipio de Caldas, se debe definir la competencia de la vía para su atención. </t>
  </si>
  <si>
    <t>PAVIMENTO RÍGIDO ZONA URBANA SAN JERÓNIMO</t>
  </si>
  <si>
    <t>Financiacion de materiales.No relaciona presupuesto ni anexo técnico. Presenta registro fotográfico</t>
  </si>
  <si>
    <t>PAVIMENTACIN 2 KILMETROS DE VAS TERCIARIAS EN DIFERENTES SECTORES DEL MUNICIPIO DE CISNEROS</t>
  </si>
  <si>
    <t>Estudios para pavimentación de 2 km de vías rurales. Adjunta estudios y diseños</t>
  </si>
  <si>
    <t xml:space="preserve">PAVIMENTACIN DE 1.5 KILMETROS DE PAVIMENTO URBANO </t>
  </si>
  <si>
    <t>Estudios para pavimentación de 1,5 km vías urbanas. Adjunta estudios y diseños</t>
  </si>
  <si>
    <t>20/02/2025</t>
  </si>
  <si>
    <t>Reiteración de solicitud de estudios y diseños para la recuperación de la vía  CAMILO C - EL CINCO - FREDONIA</t>
  </si>
  <si>
    <t>25/02/2025</t>
  </si>
  <si>
    <t>CONSTRUCCIÓN DE PAVIMENTO EN CONCRETO RÍGIDO EN EL CORREGIMIENTO DE PAJILLAL, ZONA RURAL DEL MUNICIPIO DE ARBOLETES ANTIOQUIA</t>
  </si>
  <si>
    <t>Contiene estudios y diseños</t>
  </si>
  <si>
    <t>Placa huella para las veredas La Miel, Fátima La Loma y Corregimiento San José</t>
  </si>
  <si>
    <t>No presenta estudios ni presupuesto</t>
  </si>
  <si>
    <t>Caramanta</t>
  </si>
  <si>
    <t>Construcción de 2.4 km de Placa Huella en la Vereda Palmichal y Corregimiento de Sucre</t>
  </si>
  <si>
    <t>Presenta estudios técnicos y presupuesto</t>
  </si>
  <si>
    <t>Dabeiba</t>
  </si>
  <si>
    <t>Mejoramiento de vias terciarias en las veredas antado y el pital del municipio de Dabeiba</t>
  </si>
  <si>
    <t>No presenta presupuesto. Presenta estudios</t>
  </si>
  <si>
    <t>Solicitud de información sobre acuerdos pactados en reunión de directiva confuncionarios de Infraestructura del Departamento</t>
  </si>
  <si>
    <t>Mateo Garces</t>
  </si>
  <si>
    <t>Solicitud informacion referente a la ejecucion,mantenimientos, rehabilitacion o intervancion en la malla vial de segunda y tercera categoria que es competencia de la Gobernacion de Antioquia</t>
  </si>
  <si>
    <t>Solicitud representante a la camara Pedro Baracutao Garcia Ospina</t>
  </si>
  <si>
    <t>Santo Domingo</t>
  </si>
  <si>
    <t>ESTUDIOS Y DISEÑOS PARA 8 KILOMETROS DE VIAS TERCIARIAS EN DIFERENTES SECTORES DEL MUNICIPIO DE SANTO DOMINGO</t>
  </si>
  <si>
    <t xml:space="preserve">Solicitud apoyo Municipio de Venecia - Solicitud Mesa de trabajo - vía Venecia mi casita la Mina a cargo del Departamento </t>
  </si>
  <si>
    <t>PAVIMENTACIÓN DE VÍAS URBANAS EN EL MUNICIPIO DE HISPANIA – DEPARTAMENTO DE ANTIOQUIA”</t>
  </si>
  <si>
    <t>Solicitud cofinanciación proyecto 90% Departamento - 10% Municipio</t>
  </si>
  <si>
    <t>Reemplazo puente vehicular vereda El Empuje</t>
  </si>
  <si>
    <t>Solicitud</t>
  </si>
  <si>
    <t>"Mejoramiento de vias terciarias mediante pavimento flexible en el sector de las veredas de el penol, riochico y yerbabuenal del municipio de Entrerrios"</t>
  </si>
  <si>
    <t xml:space="preserve">Presentación de Estudios, Diseños y presupuesto. </t>
  </si>
  <si>
    <t>Reavilitación y mejoramiento de 1.5 km  de pavimento flexible de vía rural que conduce a la vereda El Rodeo del municipio de Sopetran</t>
  </si>
  <si>
    <t>TRANSFORMACIÓN  URBANÍSTICA  DE  LA  CALLE  97  Y  VÍAS ALEDAÑAS, PARA LA MOVILIDAD SEGURA DE TODOS Y TODAS EN EL MUNICIPIO DE CHIGORODÓ</t>
  </si>
  <si>
    <t>Presental el proyecto con el fin de que sea cofinanciado 50% el Departamento y 50% el municipio.
Presentan enlace para descarga de EyD pero es necesario solicitar acceso al propietario de la carpeta</t>
  </si>
  <si>
    <t>ID_NECESIDAD</t>
  </si>
  <si>
    <t>NECESIDAD</t>
  </si>
  <si>
    <t>SUBREGION</t>
  </si>
  <si>
    <t>LONGITUD</t>
  </si>
  <si>
    <t>LATITUD</t>
  </si>
  <si>
    <t>PDET</t>
  </si>
  <si>
    <t>ZOMAC</t>
  </si>
  <si>
    <t>RADICADOS ASOCIADOS</t>
  </si>
  <si>
    <t>FASE PROYECTO</t>
  </si>
  <si>
    <t>ORDEN VIAL</t>
  </si>
  <si>
    <t>OBSERVACION</t>
  </si>
  <si>
    <t>Parque</t>
  </si>
  <si>
    <t>Intercambio Vial</t>
  </si>
  <si>
    <t>Urbana</t>
  </si>
  <si>
    <t>Edificio Institucional</t>
  </si>
  <si>
    <t>Pavimento Flexible</t>
  </si>
  <si>
    <t>Segundo Orden</t>
  </si>
  <si>
    <t>Tercer Orden</t>
  </si>
  <si>
    <t>General</t>
  </si>
  <si>
    <t>Placahuella</t>
  </si>
  <si>
    <t>Pavimento Rígido</t>
  </si>
  <si>
    <t>Equipamento</t>
  </si>
  <si>
    <t>Malecón</t>
  </si>
  <si>
    <t>Plaza de Mercado</t>
  </si>
  <si>
    <t>Pavimentación de 870 m de la vía Concepción - Alejandría 'Los Pomos' SOLO PRESENTA INFORME DE INSPECCIÓN OCULAR</t>
  </si>
  <si>
    <t>Solo presenta informe con inspeccion ocular</t>
  </si>
  <si>
    <t>Puntos de Atención Prioritaria</t>
  </si>
  <si>
    <t>Mejoramiento del corredor turístico Cocorná - Maria Parda con la construcción de 2.6 km de pavimento rígido, en el municipio de Cocorná, Antioquia</t>
  </si>
  <si>
    <t>Puntos de Atencion Prioritaria</t>
  </si>
  <si>
    <t xml:space="preserve">Solicitud de varios proyectos: 1. Pavimentación de vías urbanas.  2. Reparcheo y reparación de vías urbanas. 3. Pavimentación de vías terciarias (P.H). 4. Pavimentaqción de vías terciarias (Flexible). 5. Construcción de anden. </t>
  </si>
  <si>
    <t>Construcción Placa - Huella: *Vereda El Progreso, Tramo 1: 600 metros *Vereda Pio XII, Tramo 2: 500 metros</t>
  </si>
  <si>
    <t>Construcción de placa huella en vías terciarias del municipio de San Roque 1 Km placa huella  Repartido en 8 vías terciarías</t>
  </si>
  <si>
    <t xml:space="preserve">Solicitud de recursos para proyecto "PAVIMENTACION DE VIA EN PLACA HUELLA EN LA VEREDA PEDREGAL EN LA ZONA RURAL DEL MUNICIPIO DE SANTA FE DE ANTIOQUIA” Valor a solicitar: $ 12.667.832.858. Alcance: 5 Km. </t>
  </si>
  <si>
    <t>MEJORAMIENTO DE VÍA TERCIARIA MEDIANTE LA CONSTRUCCIÓN DE PLACA HUELLA EN LA VIA QUE COMUNICA HACIA EL CORREGIMIENTO DE PUERTO CLAVER, ZONA RURAL DEL MUNICIPIO DE EL BAGRE.</t>
  </si>
  <si>
    <t>Pavimento Rigido</t>
  </si>
  <si>
    <t>CONSTRUCCION Y MEJORAMIENTO DE VIAS TERCIARIA</t>
  </si>
  <si>
    <t>CONSTRUCCION DE PAVIMENTO EN CONCRETO RIGIDO EN LA ZONA URBANA DEL MUNICIPIO DE ARBOLETES ANTIOQUIA.</t>
  </si>
  <si>
    <t>ESTUDIOS Y DISEÑOS PARA LA CONSTRUCCION DE 1.7 KILOMETROS DE PLACA HUELLA EN LA VEREDA MORAVIA, ZONA RURAL DEL MUNICIPIO DE BRICEÑO-ANTIOQUIA</t>
  </si>
  <si>
    <t>CONSTRUCCIÓN DE 5 KM DE PLACA HUELLA EN LA VÍA ZARAGOZA-EL BAGRE, EN EL MARCO DE IMPLEMENTACIÓN DEL ACUERDO FINAL PARA LA PAZ, ZONA RURAL DEL MUNICIPIO DE ZARAGOZA - ANTIOQUIA.</t>
  </si>
  <si>
    <t>Mejoramiento de vías terciarias y construcción de obras para la reducción del riesgo en zona rural del municipio de Liborina.</t>
  </si>
  <si>
    <t>MEJORAMIENTO DE LA MALLA VIAL EN EL TRAMO ECOPARQUE REGIONAL MARIO ARAMBURO RESTREPO CORREGIMIENTO DE SAN JOS</t>
  </si>
  <si>
    <t>Estudios y Diseños</t>
  </si>
  <si>
    <t>PAVIMENTACIÓN VÍA DE ACCESO DEL CORREGIMIENTO ALFONSO LOPEZ, MUNICIPIO DE CIUDAD BOLIVAR - ANTIOQUIA</t>
  </si>
  <si>
    <t>Construccin de pavimento rgido de la Calle 19 entre la Carrera 19 y la Calle 20; de la Calle 20 entre la Calle 19 y la Carrera 21; de la Carrera 24 desde la Calle 20 y de la Carrera 22 desde la Calle 23 del municipio de Cocorn</t>
  </si>
  <si>
    <t>NTERVENCIN EN LAS VAS URBANAS EN EL MUNICIPIO DE MONTEBELLO - 2024</t>
  </si>
  <si>
    <t>Pavimento Articulado</t>
  </si>
  <si>
    <t>CONSTRUCCIÓN DE PAVIMENTO RIGIDO EN VIAS DEL BARRIO BUENOS AIRES ZONA URBANA DEL MUNICIPIO DE CAUCASIA ANTIOQUIA</t>
  </si>
  <si>
    <t>Puente Peatonal</t>
  </si>
  <si>
    <t>Ciclo Ruta</t>
  </si>
  <si>
    <t>SOLICITUD DE APOYO PARA LA COFINANCIACION EN LA EJECUCION DEL PROYECTO PAVIMENTACION EN CONCRETO RIGIDO -TIPO PLACA HUELLA- EN LA ZONA URBANA CORREGIMIENTO CEDRO Y PUEBLITO DEL MUNICIPIO DE YARUMAL</t>
  </si>
  <si>
    <t>Proyecto de pavimentaciónde víasurbanas en el municipio de Vegachí para su cofinanciacióncon la Gobernación de Antioquia2025</t>
  </si>
  <si>
    <t>CONSTRUCCION DE PAVIMENTO EN PLACA HUELLA VEREDA LA CUCARACHA CORREGIMIENTO DE CURRULAO DEL DISTRITO DE TURBO ANTIOQUIA</t>
  </si>
  <si>
    <t>PROYECTO MEJORAMIENTO VIAL MEDIANTE LA CONSTRUCCION DE PLACA HUELLA EN ZONA RURAL DEL MUNICIPIO DE SAN JERONIMO.</t>
  </si>
  <si>
    <t>CONSTRUCCIÓN DEL PUENTE VEHÍCULAR LLANADAS EN LA VIA TERCIARIA "BRICEÑOLAS BRISAS DEL MUNICIPIO DE BRICEÑO, ANTIOQUIA</t>
  </si>
  <si>
    <t>Puente Vehicular</t>
  </si>
  <si>
    <t>PRESENTACION PROYECTO PAVIMENTACION VIAS URBANAS (440M) DEL MUNICIPIO DE SAN JERONIMO</t>
  </si>
  <si>
    <t>PROYECTO CONSTRUCCION DE OBRAS MITIGACION Y OBRAS TRANSVERSALES EN LA VIA QUE CONDUCE AL CORREGIMIENTO EL LLANO Y OCHALI DEL MUNICIPIO DE YARUMAL</t>
  </si>
  <si>
    <t>CONSTRUCCION DEL PUENTE VEHICULAR EL RETN SOBRE EL RIO PEDRAL, ZONA RURAL DEL MUNICIPIO DE BETANIA - ANTIOQUIA</t>
  </si>
  <si>
    <t>Puentes</t>
  </si>
  <si>
    <t>CONSTRUCCIÓN DE ESTRIBO Y ALETAS DE UN COSTADO DEL PUENTE VEHICULAR EL RETEN SOBRE EL RIO PEDRAL, ZONA RURAL DEL MUNICIPIO DE BETANIA - ANTIOQUIA. Documentacion entregada por el municipio</t>
  </si>
  <si>
    <t>Estabilización</t>
  </si>
  <si>
    <t>MEJORAMIENTO DE LA RED VIAL DEL CASCO URBANO MEDIANTE  LA CONSTRUCCION DE 2.5 Km DE VIAS PEATONALES EN CONCRETO REFORZADO EN EL MUNICIPIO DE MURINDÓ EN EL DEPARTAMENTO DE ANTIOQUIA</t>
  </si>
  <si>
    <t>MEJORAMIENTO DE VIAS RURALES EN SISTEMA CONSTRUCTIVO PLACA HUELLA PARA LA VEREDA MORRON DEL MUNICIPIO DE CONCORDIA , ANTIOQUIA.</t>
  </si>
  <si>
    <t>Concordia</t>
  </si>
  <si>
    <t>Construcción de placa huellas en las vías terciarias del municipio de Jardín, Antioquia</t>
  </si>
  <si>
    <t>MEJORAMIENTO DE VÍAS RURALES: PLACA HUELLAS EN EL MUNICIPIO DE EL RETIRO ANTIOQUIA</t>
  </si>
  <si>
    <t>MEJORAMIENTO RED VIAL TERCIARIA EN LAS VEREDA LA MANGA, NOQUE, LA GARCIA, ANOCOZCA, EL CHOCHAL, ROMERAL, SAN JUAN, LOS PINOS EN ZONA RURAL DEL MUNICIPIO DE CAICEDO -ANTIOQUIA - TRAMO VIAL VEREDA LA MANGA ABSCISA 2+400 - 5+000</t>
  </si>
  <si>
    <t>Caicedo</t>
  </si>
  <si>
    <t>ESTUDIOS Y DISEÑOS PARA LA PAVIMENTACION DE VIA EN PLACA HUELLA EN LA VEREDA TONUSCO EN LA ZONA RURAL DEL  MUNICIPIO DE SANTA FE DE ANTIOQUIA</t>
  </si>
  <si>
    <t>ESTUDIOS Y DISEÑOS PARA LA PAVIMENTACION DE VIA EN PLACA HUELLA EN LA VEREDA EL TUNAL EN LA ZONA RURAL DEL MUNICIPIO DE SANTA FE DE ANTIOQUIA"</t>
  </si>
  <si>
    <t>ESTUDIOS Y DISEÑOS PARA LA CONSTRUCCIÓN DE 2.6 KILÓMETROS DE PLACA HUELLAS EN LAS VIAS TERCIARIAS Y/O RURALES DEL MUNICIPIO DE PEQUE ANTIOQUIA.</t>
  </si>
  <si>
    <t>Peque</t>
  </si>
  <si>
    <t>MEJORAMIENTO DE LAS VÍAS RURALES EN LOS MUNICIPIOS DE BELMIRA Y SAN JOSE DE LA MONTAÑA, ANTIOQUIA</t>
  </si>
  <si>
    <t>CONSTRUCCIÓN DE PLACA HUELLA EN LA ZONA RURAL DEL MUNICIPIO DE BELMIRA, ANTIOQUIA (VEREDA EL ZANCUDITO)</t>
  </si>
  <si>
    <t>CONSTRUCCIÓN DE PLACA HUELLA EN LA ZONA RURAL DEL MUNICIPIO DE BELMIRA, ANTIOQUIA</t>
  </si>
  <si>
    <t>Construcción nuevo relleno sanitario del municipio de Puerto Nare</t>
  </si>
  <si>
    <t>CONSTRUCCIÓN DE 1.200m DE PLACA HUELLA DE LA VÍA TERCIARIA PARAJE LOS ALPES - VEREDA LA MESETA EN EL MUNICIPIO DE TITIRIBÍ DEL DEPARTAMENTO DE ANTIOQUIA</t>
  </si>
  <si>
    <t>ESTUDIOS Y DISEÑOS PARA 6 KILOMETROS DE VIAS TERCIARIAS EN DIFERENTES SECTORES DEL MUNICIPIO DE SAN FRANCISCO</t>
  </si>
  <si>
    <t>ESTUDIOS Y DISEÑOS PARA EL MEJORAMIENTO DE VÍA (SAN FRANCISCO – GUACALES) EN EL MUNICIPIO DE SAN FRANCISCO, ANTIOQUIA</t>
  </si>
  <si>
    <t>CONSTRUCCIÓN DE PLACA HUELLA DE LA VÍA YOLOMBÓ-CORREGIMIENTO EL RUBÍ EN EL MUNICIPIO DE YOLOMBÓ-ANTIOQUIA</t>
  </si>
  <si>
    <t>CONSTRUCCIÓN DE PLACA HUELLA PARA MEJORAMIENTO DE LA VIA ENTRE EL CEMENTERIO - LA I.E. LAS FLORES Y ENTRE EL CORREGIMIENTO LAS FLORES Y EL SECTOR LAS PISCINAS, NECHÍ – ANTIOQUIA</t>
  </si>
  <si>
    <t>Reportado en presentacion de estrategia de consolidacion territorial para la paz en la subregion del Bajo Cauca.</t>
  </si>
  <si>
    <t>CONSTRUCCIÓN DE PLACA HUELLA PARA MEJORAMIENTO DE LA VIA ENTRE LA VEREDA EL ONCE Y EL SECTOR LAS PISCINAS, NECHÍ- ANTIOQUIA</t>
  </si>
  <si>
    <t>MEJORAMIENTO DE LA ACCESIBILIDAD A LAS COMUNIDAD EL BARRO MEDIANTE LA CONSTRUCCIÓN DE PLACA HUELLA EN EL MUNICIPIO DE ANGELOPOLIS</t>
  </si>
  <si>
    <t>Angelópolis</t>
  </si>
  <si>
    <t>CONSTRUCCIÓN DE PLACA HUELLA CAMINOS DEL PROGRESO PARA CREER. MONTEBELLO, ANTIOQUIA</t>
  </si>
  <si>
    <t>CONSTRUCCIÓN DE PLACA HUELLA EN LA VÍA TERCIARIA  SIENAGA-MANGLAR DEL MUNICIPIO DE GIRALDO</t>
  </si>
  <si>
    <t>Anorí</t>
  </si>
  <si>
    <t>El Chico -Golgota El Diamante -Golgota La Luz -Guadual -Los Cuervos</t>
  </si>
  <si>
    <t>San Rafael</t>
  </si>
  <si>
    <t>San Francisco: Pailania – La Maravilla.Argelia: La Mina - San Antonio. Guatapé: La Aurora Sonadora-Tramo 1 .Guatapé: Ramal Alto Aranzo-Tramo 2 .San Francisco: Pailania – La Maravilla.</t>
  </si>
  <si>
    <t>REGALIAS REGIONALES Caracolí: Vía El Bagre .Cisneros: Cisneros - Campo Alegra - La Delgadita - Brasil .Puerto Nare: Vía La Clara .Yondó: Anillo vial Las Lomas - La Raya - El Paraiso</t>
  </si>
  <si>
    <t>Caracolí</t>
  </si>
  <si>
    <t>Guacas Arriba ,La Jota ,La Mora ,Barcino ,San Matías ,Guacas Abajo</t>
  </si>
  <si>
    <t xml:space="preserve">CONSTRUCCION DE PAVIMENTO EN PLACA HUELLA VEREDA GALLETA CORREGIMIENTO DE CURRULAO Y VEREDA LOS ALPES DEL CORREGIMIENTO EL TRES DEL DISTRITO DE TURBO ANTIOQUIA </t>
  </si>
  <si>
    <t>CONSTRUCCIÓN  DE PLACA HUELLA SECTOR MATABLANCO EN EL MUNICIPIO DE ANGOSTURA</t>
  </si>
  <si>
    <t>Angostura</t>
  </si>
  <si>
    <t>Puente Gavino Conexión vial nueva Puente nuevo. Ubicado sobre el rio Porce, por fuera de la vía actual. L= 130,0m S= 11,0m</t>
  </si>
  <si>
    <t>Conexión nueva entre las vías El Mango Amalfi (25AN12-1-1) y la vía Puente Gavino - Gómez Plata - Carolina del Príncipe - La Herradura - Partidas a Guadalupe - Guadalupe (62AN21-1).   Requiere adquisición de predios y estudios y diseños para diseño geométrico vía de acceso.  4600005828 de 2016</t>
  </si>
  <si>
    <t>Puente Mi Casita (Fredonia) - Venecia L= 22,40m S= 9,40m</t>
  </si>
  <si>
    <t>Puente en mal estado. Con poca capacidad hidráulica. Para reemplazar en el corto o  mediano plazo.  4600007002 de 2017</t>
  </si>
  <si>
    <t>Puente La Fabiana - El Líbano - Támesis L= 69,35m S= 8,2m</t>
  </si>
  <si>
    <t>Reemplazo puente existente.  4600012998 de 2021</t>
  </si>
  <si>
    <t>Puente urbano Cisneros L=65m</t>
  </si>
  <si>
    <t>Puente via El Volcan L=40m</t>
  </si>
  <si>
    <t>Puente vehicular sonadora, municpioo de Granada. L=13,5m</t>
  </si>
  <si>
    <t>Puente Las Margaritas L=30m</t>
  </si>
  <si>
    <t>Puente Sopetran-el Sabanzo L=62m</t>
  </si>
  <si>
    <t>Puente Montenegro (La Fabiana)- Valparaiso L=60 S=8,10</t>
  </si>
  <si>
    <t xml:space="preserve">Puente sobre la quebrada Sabaletas. Requiere estudios y probable reubicación en un sitio más estable.  </t>
  </si>
  <si>
    <t>Puente Salgar - La Cámara La Quiebra L= 30,0m S= 7,30m</t>
  </si>
  <si>
    <t>Salgar</t>
  </si>
  <si>
    <t xml:space="preserve">PRIORITARIO. Puente sobre quebrada La Liboriana en el área urbana de Salgar. Acción inmediata: Requiere reparación inmediata. Reforzamiento de vigas. Acción de medianto plazo: Reemplazo del puente.  </t>
  </si>
  <si>
    <t>Puente trinidad  L=25 m</t>
  </si>
  <si>
    <t>No reporta informacion en diagnostico 2025</t>
  </si>
  <si>
    <t xml:space="preserve">Puente Santa Fe de Antioquia - Puente de Occidente - La Ye (Sopetrán) L=200 ,S vehicular= 3,0 m ,Pasarelas: 2 de 1,0m c/u
</t>
  </si>
  <si>
    <t xml:space="preserve">Puente emblemático del Departamento cuya conservación es un imperativo categórico de primera importancia. </t>
  </si>
  <si>
    <t>Puente Valparaíso - Caramanta - Puente Arquía,Km 9+600, L= 20,0m S= 7,30m</t>
  </si>
  <si>
    <t xml:space="preserve">PRIORITARIO. Viaducto o Muro contención para reponer puente metálico modular.  </t>
  </si>
  <si>
    <t>Puente El Peñol - Guatapé - San Rafael Km 12+705</t>
  </si>
  <si>
    <t xml:space="preserve">PRIORITARIO. Puente con poca capacidad hidráulica y vigas longitudinales en algo grado de deterioro por impacto de rocas trasportadas por la corriente. Reemplazo del puente URGENTE.  </t>
  </si>
  <si>
    <t>Puente Autopista - San Luis Km 1+328</t>
  </si>
  <si>
    <t>Puente Barbosa - Concepción Km 11+786</t>
  </si>
  <si>
    <t>Puente Barbosa - Concepción Km 12+178</t>
  </si>
  <si>
    <t>Puente Cocorná Ramal Granada Km 3+288</t>
  </si>
  <si>
    <t xml:space="preserve">Puente La Virgen. Puente que colapsó el 25 de enero de 2025,  </t>
  </si>
  <si>
    <t>Puente Cocorná Ramal Granada Km 7+178</t>
  </si>
  <si>
    <t xml:space="preserve">Puente San Bartolo. Puente que colapsó el 25 enero 2025 </t>
  </si>
  <si>
    <t>Puente Carepa - Saiza Km 24+200 L= 8,0m ,S= 6,0m</t>
  </si>
  <si>
    <t xml:space="preserve">Puente el Cerro.  Puente con pilas de cimentación cortas, y con alto grado de socavación. Sitio geológicamente inestable. Falla inminente.  </t>
  </si>
  <si>
    <t>Puente Carepa - Saiza Km 16+728 L= 60,0m ,S= 5,0</t>
  </si>
  <si>
    <t xml:space="preserve">Puente sobre un flujo de escombros. Sin sección hidráulica requerida. Puente con falla Total. Restitución inmediata. 
Este puente se visito con el Secretario de Infraestructura y se definió mantener un paso con maquinaria por la complejidad de la situación generada por el arrastre de materiales.  </t>
  </si>
  <si>
    <t>Puente Carepa - Saiza Km 2+600 L= 20,0m, S= 7,30m</t>
  </si>
  <si>
    <t xml:space="preserve">Puente necesario para sustituir un boxcoulver triple en muy mal estado. Corto Plazo.  </t>
  </si>
  <si>
    <t>Puente San José del Nus - Caracolí</t>
  </si>
  <si>
    <t xml:space="preserve">Se requiere puente nuevo ya que el existente es muy estrecho y no suple la necesidad de carga y de tránsito actual sobre la vía.  </t>
  </si>
  <si>
    <t>Puente Santiago Berrío - Mulas - Cruces Km 20+000 L= 60,0m ,S= 8,10m</t>
  </si>
  <si>
    <r>
      <rPr>
        <b/>
        <sz val="11"/>
        <color rgb="FFFF0000"/>
        <rFont val="Calibri"/>
        <family val="2"/>
        <scheme val="minor"/>
      </rPr>
      <t>YA HACEN PARTE DE CONTRATO PUERTO NARE QUE ESTA EN PROCES</t>
    </r>
    <r>
      <rPr>
        <sz val="11"/>
        <color rgb="FFFF0000"/>
        <rFont val="Calibri"/>
        <family val="2"/>
        <scheme val="minor"/>
      </rPr>
      <t>O</t>
    </r>
    <r>
      <rPr>
        <sz val="11"/>
        <color rgb="FF000000"/>
        <rFont val="Calibri"/>
        <family val="2"/>
        <scheme val="minor"/>
      </rPr>
      <t xml:space="preserve">.PRIORITARIO. Se requiere puente nuevo ya que el existente es muy estrecho y no suple la necesidad de carga y de tránsito actual sobre la vía.  </t>
    </r>
  </si>
  <si>
    <t>Puente San Jerónimo - Poleal - San Pedro de Los Milagros Km 16+200</t>
  </si>
  <si>
    <t xml:space="preserve">Se requiere puente nuevo ya que el existente es no tiene capacidad hidráulica y presenta falla en estribo.   </t>
  </si>
  <si>
    <t>Puente San Fermín (Ruta 25) - Briceño Km 9+400 L= 26,0m S= 8,10m</t>
  </si>
  <si>
    <t>Puente con diseños. El puente actual tiene poca capacidad hidráulica y no responde a ningún parámetro de alineamiento vial. El puente está en una curva con muy poco radio de curvatura.  4600007028 de 2017</t>
  </si>
  <si>
    <t>Puente San José del Nus - Caracolí Km 17+00 L= 60,0m S= 8,10m</t>
  </si>
  <si>
    <r>
      <rPr>
        <b/>
        <sz val="11"/>
        <color rgb="FFFF0000"/>
        <rFont val="Calibri"/>
        <family val="2"/>
        <scheme val="minor"/>
      </rPr>
      <t>Puente sobre línea férrea</t>
    </r>
    <r>
      <rPr>
        <sz val="11"/>
        <color rgb="FF000000"/>
        <rFont val="Calibri"/>
        <family val="2"/>
        <scheme val="minor"/>
      </rPr>
      <t>. Dado que se preve modificación de trazado de linea férrea este puente debe aplazarse y solamente realizar mantenimiento. 4600007028 de 2017</t>
    </r>
  </si>
  <si>
    <t>Puente Santiago Berrío - Mulas - Cruces Km 9+600 L= 39,30m ,S= 8,10m</t>
  </si>
  <si>
    <r>
      <rPr>
        <b/>
        <sz val="11"/>
        <color rgb="FFFF0000"/>
        <rFont val="Calibri"/>
        <family val="2"/>
        <scheme val="minor"/>
      </rPr>
      <t>YA HACEN PARTE DE CONTRATO PUERTO NARE QUE ESTA EN PROCESO</t>
    </r>
    <r>
      <rPr>
        <sz val="11"/>
        <color rgb="FF000000"/>
        <rFont val="Calibri"/>
        <family val="2"/>
        <scheme val="minor"/>
      </rPr>
      <t>.PRIORITARIO. Puente sobre caño Tolones. Prioridad dado que la vía está en proceso de pavimentación.4600007028 de 2017</t>
    </r>
  </si>
  <si>
    <t>Puente Pajarito - San Pedro de Los Milagros - Entrerríos - Santa Rosa de Osos Km 9+912 L= 13,0m S= 11,0m</t>
  </si>
  <si>
    <r>
      <rPr>
        <b/>
        <sz val="11"/>
        <color rgb="FFFF0000"/>
        <rFont val="Calibri"/>
        <family val="2"/>
        <scheme val="minor"/>
      </rPr>
      <t xml:space="preserve">Pertenece a via lactea </t>
    </r>
    <r>
      <rPr>
        <sz val="11"/>
        <color rgb="FFFF0000"/>
        <rFont val="Calibri"/>
        <family val="2"/>
        <scheme val="minor"/>
      </rPr>
      <t>.</t>
    </r>
    <r>
      <rPr>
        <sz val="11"/>
        <color rgb="FF000000"/>
        <rFont val="Calibri"/>
        <family val="2"/>
        <scheme val="minor"/>
      </rPr>
      <t>Puente con problemas de apoyo. Se encuentra en zona con dificultad geotécnica. Se debe reemplazar en el corto o mediano plazo. 46000007028 de 2017</t>
    </r>
  </si>
  <si>
    <t>Puente Buenos Aires (Ruta 62) - Abriaquí Km 28+900 L= 25,0m S= 7,70m</t>
  </si>
  <si>
    <t>Abriaquí</t>
  </si>
  <si>
    <t>YA ESTA EN PROYECTO DE PAVIMENTACION</t>
  </si>
  <si>
    <t>Puente El Tres - San Pedro de Urabá Km 25+000 L= 60,90m S= 8,10m</t>
  </si>
  <si>
    <t>Puente Montebello - El Aguacate - El Cairo Km 20+900 L= 42,22m S= 6,70m</t>
  </si>
  <si>
    <r>
      <rPr>
        <sz val="11"/>
        <color rgb="FF000000"/>
        <rFont val="Calibri"/>
        <family val="2"/>
        <scheme val="minor"/>
      </rPr>
      <t xml:space="preserve">Puente en mal estado. Con poca capacidad hidráulica. Para reemplazar en el corto o  mediano plazo.  4600007002 de 2017. </t>
    </r>
    <r>
      <rPr>
        <b/>
        <sz val="11"/>
        <color rgb="FFFF0000"/>
        <rFont val="Calibri"/>
        <family val="2"/>
        <scheme val="minor"/>
      </rPr>
      <t>VERIFICAR SI YA SE CONSTRUYO</t>
    </r>
  </si>
  <si>
    <t>Puente La Sierra (Corregimiento de Puerto Nare)- Puerto Serviez (Corregimiento de Puerto Boyacá).  N/A L= sin información S= sin información.</t>
  </si>
  <si>
    <t>Proyecto especial - estrategico</t>
  </si>
  <si>
    <t>Puente Primavera- Amagá- Bolombolo Km 61+000 L= sin información S= sin información.</t>
  </si>
  <si>
    <t>"CONSTRUCCION DE PUENTE VEHICULAR EN LA VEREDA EL PIRU DEL MUNICIPIO DE SAN PEDRO DE URABA, ANTIOQUIA"</t>
  </si>
  <si>
    <t>"MEJORAMIENTO DE VIAS TERCIARIAS MEDIANTE LA CONSTRUCCION DE PLACA HUELLA EN EL SECTOR LAS TERESAS DEL MUNICIPIO DE LA UNION"</t>
  </si>
  <si>
    <t>Atencion a puntos prioritarios Campamento - Rio Nechí - Ye de Anorí</t>
  </si>
  <si>
    <t>Puntos criticos identificados y priorizados en diagnostico realizado en febrero de 2025.</t>
  </si>
  <si>
    <t>Atencion a puntos prioritarios Anorí - Ye de Anorí - El Mango</t>
  </si>
  <si>
    <t>Atencion a puntos prioritarios La Cortada - El Mango</t>
  </si>
  <si>
    <t>Atencion a puntos prioritarios Porcesito - Puente Gavino - La Cortada - Yolombó - Yalí - Playas - Vegachí</t>
  </si>
  <si>
    <t>Atencion a puntos prioritarios El Mango - Amalfí</t>
  </si>
  <si>
    <t>Amalfi</t>
  </si>
  <si>
    <t>Atencion a puntos prioritarios Caramanta - Cristales - San Roque</t>
  </si>
  <si>
    <t>Atencion a puntos prioritarios La Ese - Angostura - La Ye (Partidas a Angostura) - La Herradura</t>
  </si>
  <si>
    <t>Atencion a puntos prioritarios Llanos de Cuivá (Ruta 25) - Partidas a San José de la Montaña - San José de La Montaña</t>
  </si>
  <si>
    <t>Atencion a puntos prioritarios Partidas a San José de la Montaña - San Andrés de Cuerquia - Matanzas -Pescadero - Ituango</t>
  </si>
  <si>
    <r>
      <rPr>
        <b/>
        <sz val="11"/>
        <color rgb="FFFF0000"/>
        <rFont val="Calibri"/>
        <family val="2"/>
        <scheme val="minor"/>
      </rPr>
      <t>Muro de contencion cuenta con diseños</t>
    </r>
    <r>
      <rPr>
        <sz val="11"/>
        <color rgb="FF000000"/>
        <rFont val="Calibri"/>
        <family val="2"/>
        <scheme val="minor"/>
      </rPr>
      <t xml:space="preserve"> .Puntos criticos identificados y priorizados en diagnostico realizado en febrero de 2025.</t>
    </r>
  </si>
  <si>
    <t>Atencion a puntos prioritarios Yarumal - La Ese - Campamento</t>
  </si>
  <si>
    <t>Atencion a puntos prioritarios San Fermín (Ruta 25) - Briceño</t>
  </si>
  <si>
    <t>Atencion a puntos prioritarios Paso por Valdivia</t>
  </si>
  <si>
    <t>Atencion a puntos prioritarios La Apartada (San José de La Montaña) - Partidas (San José de la Montaña) - Toledo - Matanzas (No incluye tramo urbano de Toledo)</t>
  </si>
  <si>
    <t>Atencion a puntos prioritarios Puente Gabino - Gómez Plata - El Guayabo - Carolina del Príncipe - La Herradura - Partidas a Guadalupe - Guadalupe.</t>
  </si>
  <si>
    <r>
      <rPr>
        <b/>
        <sz val="11"/>
        <color rgb="FFFF0000"/>
        <rFont val="Calibri"/>
        <family val="2"/>
        <scheme val="minor"/>
      </rPr>
      <t>Muro de contencion en K41+900 ya tiene diseños</t>
    </r>
    <r>
      <rPr>
        <sz val="11"/>
        <color rgb="FF000000"/>
        <rFont val="Calibri"/>
        <family val="2"/>
        <scheme val="minor"/>
      </rPr>
      <t>.Puntos criticos identificados y priorizados en diagnostico realizado en febrero de 2025.</t>
    </r>
  </si>
  <si>
    <t>Atencion a puntos prioritarios Cáceres - El Tigre - Alto Tamaná - La Chilona (Bajo Cauca)</t>
  </si>
  <si>
    <t>Atencion a puntos prioritarios Campo Alegre (Ruta 25 - Caucasia) - Colorado - Nechí</t>
  </si>
  <si>
    <t>Atencion a puntos prioritarios El Tres - San Pedro de Urabá</t>
  </si>
  <si>
    <t>Atencion a puntos prioritarios Carepa-Saiza</t>
  </si>
  <si>
    <t>Atencion a puntos prioritarios Mellitos - El Tambito</t>
  </si>
  <si>
    <t>Atencion a puntos prioritarios Arboletes - El Tambito</t>
  </si>
  <si>
    <t>Solicitud de financiación del Proyecto Integrador “Construcción de puentes vehiculares en la vía Cantagallo (Bolívar) –Yondó (Antioquia) parala interconexión vial Regional del Sur de Bolívar con Antioquia, Santander y el interior del País</t>
  </si>
  <si>
    <t>Atencion a puntos prioritarios San José del Nus – Caracolí . Vía en asfalto.</t>
  </si>
  <si>
    <t>Atencion a puntos prioritarios Alto Dolores – Maceo.  Vía pavimentada.</t>
  </si>
  <si>
    <t>Atencion a puntos prioritarios Marsellas – Virginias – Caracolí Vía en afirmado.</t>
  </si>
  <si>
    <t>Atencion a puntos prioritarios La Usa (Río Cauca) - Caicedo</t>
  </si>
  <si>
    <t xml:space="preserve">Atencion a puntos prioritarios Alto del chuscal - Armenia - La Herradura - Titiribí </t>
  </si>
  <si>
    <t>Atencion a puntos prioritarios Chorodó (Ruta 62) - Frontino</t>
  </si>
  <si>
    <t>Atencion a puntos prioritarios Frontino - La Herradura - La Balsa</t>
  </si>
  <si>
    <t>Atencion a puntos prioritarios Frontino - Abriaquí</t>
  </si>
  <si>
    <t>Atencion a puntos prioritarios Pinguro - Buriticá</t>
  </si>
  <si>
    <t>Buriticá</t>
  </si>
  <si>
    <t>Atencion a puntos prioritarios Puente de Occidente - Olaya -Liborina</t>
  </si>
  <si>
    <t>Atencion a puntos prioritarios Liborina - Sabanalarga</t>
  </si>
  <si>
    <t xml:space="preserve">Atencion a puntos prioritarios La Miserenga (Cruce Ruta 62) - Ebéjico - Sevilla - Heliconia - Alto del Chuscal </t>
  </si>
  <si>
    <t>Ebéjico</t>
  </si>
  <si>
    <t>Atencion a puntos prioritarios Alto del Chuscal - San Antonio de Prado</t>
  </si>
  <si>
    <t>Medellín</t>
  </si>
  <si>
    <t>Atencion a puntos prioritarios Rubicón - Cestillal</t>
  </si>
  <si>
    <t>Atencion a puntos prioritarios Dabeiba - Camparrusia</t>
  </si>
  <si>
    <t>Atencion a puntos prioritarios Paso Ancho - Nutibara - Murrí</t>
  </si>
  <si>
    <t>Atencion a puntos prioritarios El Puerto (Cruce Ruta 6204) - La Miserenga (Cruce Ruta 6204A)</t>
  </si>
  <si>
    <t>Atencion a puntos prioritarios El Botón - Paso Ancho - Frontino</t>
  </si>
  <si>
    <t>Atencion a puntos prioritarios Liborina - San Diego - El Cardal - Partidas (San Jose De la Montaña)</t>
  </si>
  <si>
    <t>Atencion a puntos prioritarios Sopetrán - Horizontes - Belmira</t>
  </si>
  <si>
    <t>Atencion a puntos prioritarios LA CEJA - VARIANTE COLMENAS -ABEJORRAL Vía en Pavimento Asfáltico</t>
  </si>
  <si>
    <t>Atencion a puntos prioritarios LA FRONTERA (RUTA 56)-MESOPOTAMIA-ABJEORRAL</t>
  </si>
  <si>
    <t>Atencion a puntos prioritarios MORELIA (RUTA 56)-ABEJORRAL</t>
  </si>
  <si>
    <t>Atencion a puntos prioritarios SONSON-LA QUIEBRA-NARIÑO</t>
  </si>
  <si>
    <t>Atencion a puntos prioritarios LA QUIEBRA-ARGELIA</t>
  </si>
  <si>
    <t>Atencion a puntos prioritarios SANTO DOMINGO SAVIO-PIEDRAS BLANCAS-GUARNE (CRUCE RUTA 60)</t>
  </si>
  <si>
    <t>Atencion a puntos prioritarios GUARNE-YOLOMBAL-SAN VICENTE</t>
  </si>
  <si>
    <t>Atencion a puntos prioritarios CRUCERO (CRUCE RUTA 60)-SAN VICENTE</t>
  </si>
  <si>
    <t>San Vicente Ferrer</t>
  </si>
  <si>
    <t>Atencion a puntos prioritarios SAN VICENTE-EL PEÑOL</t>
  </si>
  <si>
    <t>Atencion a puntos prioritarios MARINILLA-EL SANTUARIO-CARMEN DE VIBORAL-CANADA (No incluye tramos urbanos de Santuario y Carmen de Viboral)</t>
  </si>
  <si>
    <t>Atencion a puntos prioritarios EL PEÑOL-GUATAPE-EL BISCOCHO-SAN RAFAEL (No incluye tramo urbano de Guatape)</t>
  </si>
  <si>
    <t>Atencion a puntos prioritarios LA AURORA-SONADORA-GUATAPE</t>
  </si>
  <si>
    <t>Guatapé</t>
  </si>
  <si>
    <t>Atencion a puntos prioritarios SAN RAFAEL-LA PALMA-LA HOLANDA-SAN CARLOS</t>
  </si>
  <si>
    <t>Atencion a puntos prioritarios AUTOPISTA-EL RAMAL-GRANADA</t>
  </si>
  <si>
    <t>Atencion a puntos prioritarios GRANADA-EL CHOCO-SAN CARLOS</t>
  </si>
  <si>
    <t>Atencion a puntos prioritarios AUTOPISTA-COCORNA</t>
  </si>
  <si>
    <t>Atencion a puntos prioritarios COCORNA-EL RAMAL (GRANADA)</t>
  </si>
  <si>
    <t>Atencion a puntos prioritarios LA PIÑUELA-SAN FRANCISCO</t>
  </si>
  <si>
    <t>Atencion a puntos prioritarios AUTOPISTA-SAN LUIS</t>
  </si>
  <si>
    <t>Atencion a puntos prioritarios BARBOSA-CONCEPCION</t>
  </si>
  <si>
    <t>Atencion a puntos prioritarios CONCEPCION-ALEJANDRIA</t>
  </si>
  <si>
    <t>Atencion a puntos prioritarios CONCEPCION-SAN VICENTE</t>
  </si>
  <si>
    <t>Atencion a puntos prioritarios SAN ROQUE-SAN LORENZO-LA PALMA</t>
  </si>
  <si>
    <t>Atencion a puntos prioritarios SANTO DOMINGO TERMALES-ALEJANDRIA</t>
  </si>
  <si>
    <t>Atencion a puntos prioritarios ALEJANDRIA-EL BISCOCHO (SAN RAFAEL)</t>
  </si>
  <si>
    <t>Atencion a puntos prioritarios PUENTE LINDA-PUERTO VENUS</t>
  </si>
  <si>
    <t>Nariño</t>
  </si>
  <si>
    <t>Atencion a puntos prioritarios AUTOPISTA-AQUITANIA</t>
  </si>
  <si>
    <t>Atencion a puntos prioritarios Albania - Titiribí</t>
  </si>
  <si>
    <t>Atencion a puntos prioritarios Altamira - Betulia</t>
  </si>
  <si>
    <t>Atencion a puntos prioritarios Concordia - El Socorro - Betulia</t>
  </si>
  <si>
    <t>Atencion a puntos prioritarios El Barroso - El Chaquiro - El Salgar</t>
  </si>
  <si>
    <t>Atencion a puntos prioritarios Pueblorrico - San José - Ye a la Bodega - La Bodega (Andes)</t>
  </si>
  <si>
    <t>Atencion a puntos prioritarios Versalles - Montebello</t>
  </si>
  <si>
    <t>Atencion a puntos prioritarios Camilocé - El Cinco - Fredonia</t>
  </si>
  <si>
    <t>Atencion a puntos prioritarios Mi Casita (Fredonia) - Venecia</t>
  </si>
  <si>
    <t>Atencion a puntos prioritarios Pueblorrico - Jericó</t>
  </si>
  <si>
    <t>Atencion a puntos prioritarios Puerto Boy - Betania</t>
  </si>
  <si>
    <t>Atencion a puntos prioritarios Remolino - Hispania - Puerto Boy - La Bodega - Andes - Jardín - Alto de Ventanas (No incluye tramo urbano de Jardín)</t>
  </si>
  <si>
    <t>Atencion a puntos prioritarios Valparaíso - Támesis</t>
  </si>
  <si>
    <t>Atencion a puntos prioritarios La Tolva - Piedra Verde - Ye a Fredonia</t>
  </si>
  <si>
    <t>Atencion a puntos prioritarios Santa Bárbara (Ruta 25) - Ye a Fredonia - Fredonia</t>
  </si>
  <si>
    <t>Atencion a puntos prioritarios Támesis - Puente Lata</t>
  </si>
  <si>
    <t>Atencion a puntos prioritarios Ye a La Bodega (Andes) - Buenos Aires - Puente Lata - Jericó</t>
  </si>
  <si>
    <t>Atencion a puntos prioritarios Concordia - La Quiebra - Betulia</t>
  </si>
  <si>
    <t>Atencion a puntos prioritarios Betulia - San José - Urrao</t>
  </si>
  <si>
    <t>Atencion a puntos prioritarios Peñalisa (Ruta 25B) - La Bodega - Tarso - Pueblorrico (No incluye tramo urbano de Tarso)</t>
  </si>
  <si>
    <t>Atencion a puntos prioritarios San José - Pabón - La Eme</t>
  </si>
  <si>
    <t>Atencion a puntos prioritarios Caicedo - Urrao</t>
  </si>
  <si>
    <t>Puente via La Loma - Orobugo Arriba longitud 54m</t>
  </si>
  <si>
    <t>Puente prioritario, el 80% de los habitantes de la zona selvatica de Urrao lo utilizan y en este momento tiene  un puente completamente inseguro</t>
  </si>
  <si>
    <t>Puente via Construcción de puente vehicular sobre el rio Aurra, interconexión entre la antigua via al mar y la doble calzada, sector  Leticia, san jeronimo - Antioquia longitud 30m</t>
  </si>
  <si>
    <t>Puente prioritario, conecta dos vías de intreres para el Departamento así mismo es el principal punto de conexión con la zona rural.</t>
  </si>
  <si>
    <t>Puente sobre la quebrada El Pato, municipio de San Juan de Urabá longitud 26m</t>
  </si>
  <si>
    <t>Construcción de puente vehicular postensado de 35 metros en la Vereda la alondra del municipio de Yalí. longitud 35m</t>
  </si>
  <si>
    <t>Yalí</t>
  </si>
  <si>
    <t>Construcción de puente peatonal de 60 metros en la Vereda La Argentina del municipio de Yalí. longitud 60m</t>
  </si>
  <si>
    <t>Puente Mellitos - El Tambito Km 25+800 puente L=18M H=20M</t>
  </si>
  <si>
    <t>Perdida total de la banca por creciente de quebrada, dejando incomunicada parte de la comunidad y del Centro Educativo Rural El Guadual</t>
  </si>
  <si>
    <t>Afectación de puente artesanal construido por la comunidad con tubería de concreto no reforzada que por el alto caudal de la quebrada cuando llueve y el paso de vehículos tipo volqueta generó aplastamiento de dichos tubos.</t>
  </si>
  <si>
    <t>Colapso del puente el infante en el año 2013 por incendio, lo que causó que los habitantes  de la vereda el brasil parte baja quedara incomunicada y tengan que tomar caminos alternos para el acceso al casco urbano.</t>
  </si>
  <si>
    <t>Se requiere puente peatonal sobre el Río Nare, en la vereda San Julián del municipio de San Rafael y La vereda Santa Teresa del Municipio de San Roque, para comunicar estas dos veredas y así facilitar la comercialización de productos agrícolas de estas dos veredas.</t>
  </si>
  <si>
    <t>Puente Paso Ancho-Nutibara-Murri Km 23+700 L=14 m, 4 m galibo</t>
  </si>
  <si>
    <t>Puente Paso Ancho-Nutibara-Murri km 27+820 L=16 m, 6 m galibo</t>
  </si>
  <si>
    <t>Puente Paso Ancho-Nutibara-Murri km 34+900 L=14 m, 4 m galibo</t>
  </si>
  <si>
    <t>Puente peatonal casa blanca en el municipio de Granada Antioquia</t>
  </si>
  <si>
    <t>Puente Quebrada La Clara Longitud 13,80, ancho 5.00</t>
  </si>
  <si>
    <t>Estudios y diseños incompletos</t>
  </si>
  <si>
    <t>Puente Quebrada El Chocho Longitud 13,50, ancho 6.00</t>
  </si>
  <si>
    <t>Puente corregimiento Buenos Aires Longitud 13,00, ancho 6.00</t>
  </si>
  <si>
    <t>Puente Obras de protección en puentes La Ceniza y La Barrancuda N/A</t>
  </si>
  <si>
    <t>Puente Vereda La Solita, rio Taparto Longitud 33,00, ancho 5.00</t>
  </si>
  <si>
    <t>Puente Quebrada Gaviria Morrón Longitud 15,00, ancho 3.00</t>
  </si>
  <si>
    <t>Puente Llanadas Longitud 21,00, ancho 6.60</t>
  </si>
  <si>
    <t>Puente Bocas de Chikamoke Longitud 60,00, ancho 2.50</t>
  </si>
  <si>
    <t>Puente El Guamito Longitud 10,00, ancho 1.70</t>
  </si>
  <si>
    <t>Puente Vegas de Chiquinquirá Longitud 8,00, ancho 4.00</t>
  </si>
  <si>
    <t>Puente Vereda La Comarca sobre el Rio Mulato Longitud 60,00, ancho 2.50</t>
  </si>
  <si>
    <t>Puente Quebrada San Julián Longitud 16,00, ancho 5.00</t>
  </si>
  <si>
    <t>Puente tierra  contrucción de muro de concreto y pilas reforzadas</t>
  </si>
  <si>
    <t>Puente San Juancito Arriba Longitud 20,00 Ancho:</t>
  </si>
  <si>
    <t>Puente Zona Urbana- Sector Palmichala Longitud:7,50m  Ancho: 4 m</t>
  </si>
  <si>
    <t>Puente Vereda Isleta Longitud:24,00m Ancho: 2,5m</t>
  </si>
  <si>
    <t>Puente Sector Cachambal-Maracaibo Longitud 12,00 Ancho: 4 m</t>
  </si>
  <si>
    <t>Puente Vereda San Antonio, Puente Juan Vara Longitud: 28,00 m Ancho: 4 m</t>
  </si>
  <si>
    <t>Puente San Antonio-Zaragoza Longitud: 28,00 m Ancho: 4 m</t>
  </si>
  <si>
    <t>Puente Sector la Guajira abajo Longitud: 14 m Ancho: 5 m</t>
  </si>
  <si>
    <t>Puente Vereda El Jordan Longitud: 17 m Ancho: 6.6 m</t>
  </si>
  <si>
    <t>Puente Sector Arenales Longitud: 10 m Ancho: 7.45 m</t>
  </si>
  <si>
    <t>Puente Sector Santa Tereza Longitud: 30 m Ancho: 1.2 m</t>
  </si>
  <si>
    <t>Puente Sector Chocholoma Longitud: 25 m Ancho: 5 m</t>
  </si>
  <si>
    <t>Vereda La Arenera Longitud: 100 m Ancho: 2 m</t>
  </si>
  <si>
    <t>Puente Vereda El Uno Longitud: 60 m Ancho: 2 m</t>
  </si>
  <si>
    <t>Puente San Bartolo Longitud: 24 m Ancho: 6.6 m</t>
  </si>
  <si>
    <t>Puente Madre Vieja</t>
  </si>
  <si>
    <t>YA HACEN PARTE DE CONTRATO PUERTO NARE QUE ESTA EN PROCESO.</t>
  </si>
  <si>
    <t>Construccion placa huella via Caucasia - Margento</t>
  </si>
  <si>
    <t>Proyecto estructurado. Reportado en presentacion de estrategia de consolidacion territorial para la paz en la subregion del Bajo Cauca.</t>
  </si>
  <si>
    <t>Construccion placa huella via El Oriente - El Pando</t>
  </si>
  <si>
    <t>Construccion placa huella via Descanso - Puerto Colombia</t>
  </si>
  <si>
    <t>Construccion pavimento rigido Asovivienda</t>
  </si>
  <si>
    <t>Construccion pavimento rigido Via La Troncal - Corregimeinto de Puerto Antioquia (1,5 km)</t>
  </si>
  <si>
    <t>Tarazá</t>
  </si>
  <si>
    <t>Construccion flexible rigido via Colorado - Nechí (via secundaria 8,6 km)</t>
  </si>
  <si>
    <t>Construccion placa huella via Puerto Lopez</t>
  </si>
  <si>
    <t>Construccion placa huella via Puerto Claver</t>
  </si>
  <si>
    <t>"LA PALMIRA - SECTOR EL GUASQUIAN-FILO DE LA INDIA - 340,37 ml ,LA PALMIRA-SECTOR LA CLARA - 378,59 ml ,LA PALMIRA-SECTOR VILLA DEL LAGO - 1.243,74 m ,LA PALMIRA-SECTOR EL CHAVERRA - 537,30 ml"</t>
  </si>
  <si>
    <t>Solicitud de estudios y diseños para la recuperación de la vía  CAMILO C - EL CINCO - FREDONIA</t>
  </si>
  <si>
    <t>Recuperación de la vía  CAMILO C - EL CINCO - FREDONIA</t>
  </si>
  <si>
    <t>CONSTRUCCION DE OBRAS DE PROTECCION EN DIFERENTES SECTORES DEL MUNICIPIO DE CAÑASGORDAS EN ANTIOQUIA</t>
  </si>
  <si>
    <t>CONSTRUCCION DE MURO DE CONTENCION PARA LA REDUCCION DE RIESGOS DE DESASTRE EN LA ZONA URBANA DEL MUNICIPIO DE ANZA</t>
  </si>
  <si>
    <t>EJECUCION DE OBRAS DE MITIGACION EN EL RIO NUS Y QUEBRADA SAN GERMAN DEL MUNICIPIO DE CISNEROS</t>
  </si>
  <si>
    <t>Muros de contencion de la quebrada San German y la Rivera del Rio Nus</t>
  </si>
  <si>
    <t>CONSTRUCCION MURO DE CONTENCION DEL MUNICIPIO DE ARGELIA</t>
  </si>
  <si>
    <t>Atencion a puntos prioritarios en le municipios de Cañasgordas</t>
  </si>
  <si>
    <t>Cuatro puntos criticos entre puentes y reposicion de banca</t>
  </si>
  <si>
    <t>Mejoramiento de vías terciarias en las veredas La Quiebra, Los Medios y La Merced, en el municipio de Granada, en Fase III</t>
  </si>
  <si>
    <t>Urbanismo</t>
  </si>
  <si>
    <t>REPOSICIÓN DE LA MALLA VIAL DE LAS VÍAS TERCIARIAS DEL SECTOR LA MANUELA, VEREDA PANTANILLO Y VEREDA PERICO DEL MUNICIPIO DE ENVIGADO</t>
  </si>
  <si>
    <t>Reposicion de pavimento por pavimento flexible de 8.2km de vias terciarias , longitud distribuida en tres vias.</t>
  </si>
  <si>
    <t xml:space="preserve">Puente Churimbo </t>
  </si>
  <si>
    <t>Encargado</t>
  </si>
  <si>
    <t>Cristian</t>
  </si>
  <si>
    <t>Estado Proyecto</t>
  </si>
  <si>
    <t>Esperando priorización</t>
  </si>
  <si>
    <t>Fase proyecto</t>
  </si>
  <si>
    <t>Tipo de proyecto (Plan de Desarrollo)</t>
  </si>
  <si>
    <t>Túnel y vías e acceso construidas</t>
  </si>
  <si>
    <t>Aeropuertos o aeródromos mejorados</t>
  </si>
  <si>
    <t>Sistema de transporte público de pasajeros fortalecido</t>
  </si>
  <si>
    <t xml:space="preserve">Vía primaria mantenida </t>
  </si>
  <si>
    <t>Cables aéreos sostenibles construidos y operando</t>
  </si>
  <si>
    <t>Muelles o embarcaderos mejorados</t>
  </si>
  <si>
    <t>Vía férrea estructurada</t>
  </si>
  <si>
    <t>Estudios de preinversión para el sistema férreo realizado</t>
  </si>
  <si>
    <t>Sistema de transporte público de pasajeros cofinanciado</t>
  </si>
  <si>
    <t>Estabilizacion</t>
  </si>
  <si>
    <t>Fuente de financiación</t>
  </si>
  <si>
    <t>Valorización</t>
  </si>
  <si>
    <t>Obras por impuestos</t>
  </si>
  <si>
    <t>Estado respuesta radicado</t>
  </si>
  <si>
    <t>Programas</t>
  </si>
  <si>
    <t>Placahuellas</t>
  </si>
  <si>
    <t>Atencion a Puntos Criticos</t>
  </si>
  <si>
    <t>Estado Necesidad</t>
  </si>
  <si>
    <t>Priorizada</t>
  </si>
  <si>
    <t>Trasladada</t>
  </si>
  <si>
    <t>Revision requisitos minimos</t>
  </si>
  <si>
    <t>Subsanacion</t>
  </si>
  <si>
    <t>Mesas Tecnicas</t>
  </si>
  <si>
    <t>Asignacion CAE</t>
  </si>
  <si>
    <t>Solicitud CDP/ Asignacion CAE</t>
  </si>
  <si>
    <t>Aprobacion CIC</t>
  </si>
  <si>
    <t>Aprobacion COS</t>
  </si>
  <si>
    <t>Firma Convenio</t>
  </si>
  <si>
    <t>Estado Proyecto Regalias</t>
  </si>
  <si>
    <t>Condicion E&amp;D</t>
  </si>
  <si>
    <t>Completos</t>
  </si>
  <si>
    <t>Incompletos</t>
  </si>
  <si>
    <t>No tiene</t>
  </si>
  <si>
    <t>Completos desactualizados</t>
  </si>
  <si>
    <t>Incompletos desactualizados</t>
  </si>
  <si>
    <t>Orden vial</t>
  </si>
  <si>
    <t>Tipologia</t>
  </si>
  <si>
    <t>Anden</t>
  </si>
  <si>
    <t>Peatonalización</t>
  </si>
  <si>
    <t>Túnel</t>
  </si>
  <si>
    <t>Aeropuerto</t>
  </si>
  <si>
    <t>Embarcadero</t>
  </si>
  <si>
    <t xml:space="preserve">Muelle </t>
  </si>
  <si>
    <t>Viaducto</t>
  </si>
  <si>
    <t>Muro de Contención</t>
  </si>
  <si>
    <t>Primer Orden</t>
  </si>
  <si>
    <t>Municipio</t>
  </si>
  <si>
    <t>Sub region</t>
  </si>
  <si>
    <t>Longitud</t>
  </si>
  <si>
    <t>Latitud</t>
  </si>
  <si>
    <t>6,632282</t>
  </si>
  <si>
    <t>6,376061</t>
  </si>
  <si>
    <t>6,038708</t>
  </si>
  <si>
    <t>6,909655</t>
  </si>
  <si>
    <t>5,657194</t>
  </si>
  <si>
    <t>6,109719</t>
  </si>
  <si>
    <t>6,885175</t>
  </si>
  <si>
    <t>7,074703</t>
  </si>
  <si>
    <t>6,302641</t>
  </si>
  <si>
    <t>7,882968</t>
  </si>
  <si>
    <t>8,849317</t>
  </si>
  <si>
    <t>5,731474</t>
  </si>
  <si>
    <t>6,155667</t>
  </si>
  <si>
    <t>6,439195</t>
  </si>
  <si>
    <t>Bello</t>
  </si>
  <si>
    <t>6,333587</t>
  </si>
  <si>
    <t>6,606319</t>
  </si>
  <si>
    <t>5,74615</t>
  </si>
  <si>
    <t>6,115208</t>
  </si>
  <si>
    <t>7,112803</t>
  </si>
  <si>
    <t>6,720759</t>
  </si>
  <si>
    <t>7,578366</t>
  </si>
  <si>
    <t>6,405607</t>
  </si>
  <si>
    <t>6,091077</t>
  </si>
  <si>
    <t>6,979771</t>
  </si>
  <si>
    <t>6,753859</t>
  </si>
  <si>
    <t>6,409829</t>
  </si>
  <si>
    <t>5,54853</t>
  </si>
  <si>
    <t>7,755148</t>
  </si>
  <si>
    <t>Carolina del Príncipe</t>
  </si>
  <si>
    <t>6,725995</t>
  </si>
  <si>
    <t>7,977278</t>
  </si>
  <si>
    <t>7,666147</t>
  </si>
  <si>
    <t>6,537829</t>
  </si>
  <si>
    <t>5,850273</t>
  </si>
  <si>
    <t>6,058295</t>
  </si>
  <si>
    <t>6,394348</t>
  </si>
  <si>
    <t>6,045738</t>
  </si>
  <si>
    <t>6,348557</t>
  </si>
  <si>
    <t>6,998112</t>
  </si>
  <si>
    <t>6,485603</t>
  </si>
  <si>
    <t>6,325615</t>
  </si>
  <si>
    <t>7,5975</t>
  </si>
  <si>
    <t>6,082885</t>
  </si>
  <si>
    <t>6,219349</t>
  </si>
  <si>
    <t>6,062454</t>
  </si>
  <si>
    <t>6,136871</t>
  </si>
  <si>
    <t>6,566273</t>
  </si>
  <si>
    <t>6,166695</t>
  </si>
  <si>
    <t>5,928039</t>
  </si>
  <si>
    <t>6,776066</t>
  </si>
  <si>
    <t>6,246631</t>
  </si>
  <si>
    <t>6,680808</t>
  </si>
  <si>
    <t>6,379472</t>
  </si>
  <si>
    <t>6,683269</t>
  </si>
  <si>
    <t>6,142892</t>
  </si>
  <si>
    <t>Guadalupe</t>
  </si>
  <si>
    <t>6,815069</t>
  </si>
  <si>
    <t>6,27787</t>
  </si>
  <si>
    <t>6,232461</t>
  </si>
  <si>
    <t>Heliconia</t>
  </si>
  <si>
    <t>6,206757</t>
  </si>
  <si>
    <t>5,799461</t>
  </si>
  <si>
    <t>Itagüí</t>
  </si>
  <si>
    <t>6,175079</t>
  </si>
  <si>
    <t>Ituango</t>
  </si>
  <si>
    <t>7,171629</t>
  </si>
  <si>
    <t>5,597542</t>
  </si>
  <si>
    <t>5,789748</t>
  </si>
  <si>
    <t>6,028062</t>
  </si>
  <si>
    <t>La Estrella</t>
  </si>
  <si>
    <t>6,145238</t>
  </si>
  <si>
    <t>5,743808</t>
  </si>
  <si>
    <t>5,973845</t>
  </si>
  <si>
    <t>6,677316</t>
  </si>
  <si>
    <t>6,552116</t>
  </si>
  <si>
    <t>6,173995</t>
  </si>
  <si>
    <t>5,946313</t>
  </si>
  <si>
    <t>6,97771</t>
  </si>
  <si>
    <t>Mutatá</t>
  </si>
  <si>
    <t>7,242875</t>
  </si>
  <si>
    <t>5,610777</t>
  </si>
  <si>
    <t>8,094129</t>
  </si>
  <si>
    <t>8,434526</t>
  </si>
  <si>
    <t>6,626492</t>
  </si>
  <si>
    <t>7,021029</t>
  </si>
  <si>
    <t>5,79158</t>
  </si>
  <si>
    <t>Puerto Berrío</t>
  </si>
  <si>
    <t>6,487028</t>
  </si>
  <si>
    <t>6,186025</t>
  </si>
  <si>
    <t>5,871318</t>
  </si>
  <si>
    <t>Remedios</t>
  </si>
  <si>
    <t>7,029424</t>
  </si>
  <si>
    <t>6,147148</t>
  </si>
  <si>
    <t>Sabanalarga</t>
  </si>
  <si>
    <t>6,850028</t>
  </si>
  <si>
    <t>6,149903</t>
  </si>
  <si>
    <t>5,964198</t>
  </si>
  <si>
    <t>San Andrés de Cuerquia</t>
  </si>
  <si>
    <t>6,916676</t>
  </si>
  <si>
    <t>6,187746</t>
  </si>
  <si>
    <t>5,963476</t>
  </si>
  <si>
    <t>6,44809</t>
  </si>
  <si>
    <t>6,85009</t>
  </si>
  <si>
    <t>8,758964</t>
  </si>
  <si>
    <t>6,043017</t>
  </si>
  <si>
    <t>6,46012</t>
  </si>
  <si>
    <t>8,276884</t>
  </si>
  <si>
    <t>6,293759</t>
  </si>
  <si>
    <t>6,485939</t>
  </si>
  <si>
    <t>6,282164</t>
  </si>
  <si>
    <t>5,875527</t>
  </si>
  <si>
    <t>6,556484</t>
  </si>
  <si>
    <t>6,643366</t>
  </si>
  <si>
    <t>6,473032</t>
  </si>
  <si>
    <t>7,079648</t>
  </si>
  <si>
    <t>5,714851</t>
  </si>
  <si>
    <t>Toledo</t>
  </si>
  <si>
    <t>Categoria</t>
  </si>
  <si>
    <t>REGIÓN</t>
  </si>
  <si>
    <t>CATEGORÍA</t>
  </si>
  <si>
    <t>INDICADOR LEY 617</t>
  </si>
  <si>
    <t>LÍMITE 617</t>
  </si>
  <si>
    <t>SEMÁFORO</t>
  </si>
  <si>
    <t>ESP</t>
  </si>
  <si>
    <t>Magdalena medio</t>
  </si>
  <si>
    <t>INGRESOS EJECUTADOS 2024
PROYECTADOS 2025</t>
  </si>
  <si>
    <t>GASTOS EJECUTADOS 2024
PROYECTADOS 2025</t>
  </si>
  <si>
    <t>AHORRO OPERACIONAL</t>
  </si>
  <si>
    <t>DEUDA IDEA
Incluye por desembolsar</t>
  </si>
  <si>
    <t>DEUDAS CON OTROS BANCOS 
Incluye por desembolsar</t>
  </si>
  <si>
    <t>SALDO TOTAL DEUDA PROYECTADA</t>
  </si>
  <si>
    <t>INDICADOR DE CAPACIDAD 
LEY 358 DE 1997</t>
  </si>
  <si>
    <t>CAPACIDAD MAXIMA DE ENDEUDAMIENTO AL 100%</t>
  </si>
  <si>
    <t>CAPACIDAD MAXIMA DE ENDEUDAMIENTO AL 80%</t>
  </si>
  <si>
    <t>CAPACIDAD MAXIMA DE ENDEUDAMIENTO AL 60%</t>
  </si>
  <si>
    <t>Deuda del IDEA sobre el total</t>
  </si>
  <si>
    <t>POSIBLE FUENTE FINANCIACION</t>
  </si>
  <si>
    <t>Presenta el proyecto con el fin de que sea cofinanciado 50% el Departamento y 50% el municipio.
Presentan enlace para descarga de EyD pero es necesario solicitar acceso al propietario de la carpeta</t>
  </si>
  <si>
    <t>Radicacion correo con estudios de proyecto en fase III de muro de contencion en carrera La Paz (casco urbano)</t>
  </si>
  <si>
    <t>Radicacion fisica de estudios de proyecto en fase III de muro de contencion en carrera La Paz (casco urbano)</t>
  </si>
  <si>
    <t>Presentacion proyecto de construccion muro de contencion carrera La Paz (correo electronico)</t>
  </si>
  <si>
    <t>Presentacion proyecto de construccion muro de contencion carrera La Paz (fisico)</t>
  </si>
  <si>
    <t>Proyecto construccion muro en entrada de municipio</t>
  </si>
  <si>
    <t>Estudios ya habian sido radicados en el 2024. Municipio envia presupuesto actualizado al presente año.</t>
  </si>
  <si>
    <t>Proyecto construccion muro de contencion Santa Ana</t>
  </si>
  <si>
    <t>Mitigacion de riesgos. Muros estimados con cartilla.</t>
  </si>
  <si>
    <t>Estudios ya habian sido radicados en el 2024. Municipio envia presupuesto actualizado al presente año. Puede ser competencia de DAGRAN</t>
  </si>
  <si>
    <t>Mitigacion de riesgos. Muros estimados con cartilla.^Puede ser competencia de DAGRAN</t>
  </si>
  <si>
    <t>FECHA RECEPCION NECESIDAD</t>
  </si>
  <si>
    <t>APORTE GOBERNACION</t>
  </si>
  <si>
    <t>Subsanables</t>
  </si>
  <si>
    <t>Subsanables desactualizados</t>
  </si>
  <si>
    <t>SGR Directas</t>
  </si>
  <si>
    <t>SGR Regionales 40%</t>
  </si>
  <si>
    <t>SGR Regionales 60%</t>
  </si>
  <si>
    <t>Viabilidad y registro</t>
  </si>
  <si>
    <t>Formulación y presentación</t>
  </si>
  <si>
    <t>Priorización y aprobación</t>
  </si>
  <si>
    <t>Designación de entidad ejecutora</t>
  </si>
  <si>
    <t>Variante vial para el municipio de Granada</t>
  </si>
  <si>
    <t>Informacion recibida por email 28/03/2025</t>
  </si>
  <si>
    <t>Perfil</t>
  </si>
  <si>
    <t>Prefactibilidad</t>
  </si>
  <si>
    <t>Factibilidad</t>
  </si>
  <si>
    <t>Priorizado</t>
  </si>
  <si>
    <t>Esperando fuente de financiacion</t>
  </si>
  <si>
    <t>Fuente de financiacion definida</t>
  </si>
  <si>
    <t>Proyecto en desarrollo</t>
  </si>
  <si>
    <t>No especifica</t>
  </si>
  <si>
    <t>Grand Total</t>
  </si>
  <si>
    <t>(All)</t>
  </si>
  <si>
    <t>Regalias regionales.</t>
  </si>
  <si>
    <t>ya se dio el recurso</t>
  </si>
  <si>
    <t>Otra fuente de financiacion</t>
  </si>
  <si>
    <t>Ya tiene financiacion</t>
  </si>
  <si>
    <t>Solicitud de adicion</t>
  </si>
  <si>
    <t>MEJORAMIENTO DE LA ACCESIBILIDAD A LAS COMUNIDADES RURALES MEDIANTE LA CONSTRUCCIÓN DE PLACA HUELLA EN EL MUNICIPIO DE DONMATÍAS - ANTIOQUIA (COLON)</t>
  </si>
  <si>
    <t>ASOCIACION AL PD</t>
  </si>
  <si>
    <t>TIPOLOGIA</t>
  </si>
  <si>
    <t>Estudios y diseños incompletos. Municipio entregara estudios el 15 de abril 2024</t>
  </si>
  <si>
    <t>Ya se aportaron recursos</t>
  </si>
  <si>
    <t>SEMÁFORO LEY 617</t>
  </si>
  <si>
    <t>MUNICIPIOS</t>
  </si>
  <si>
    <t>Estudios y diseños incompletos. Va por programa de puentes y PAP</t>
  </si>
  <si>
    <t>4 muros de contencion. Traslado de gestion de riesgos.</t>
  </si>
  <si>
    <t>Cuatro muros de contencion, 1 sector variante, 1 sector la piscina, 1 sector La Virgen- Carpinteria, 1 sector de Los Guaduales. Tienen diseños por cartilla.</t>
  </si>
  <si>
    <t>Proyecto recibido en FASE 2</t>
  </si>
  <si>
    <t xml:space="preserve">Proyecto esta en FASE 3.Puede ser competencia de DAGRAN. </t>
  </si>
  <si>
    <t>Tras visita del 25 de marzo se comprueba que el puente ya fue construido.Estudios y diseños incompletos.</t>
  </si>
  <si>
    <t>Puente construido por programa de puentes y PAP</t>
  </si>
  <si>
    <t>No remiten presupuestos , estudios tipo.</t>
  </si>
  <si>
    <t>La via pertenece al INVIAS, se debe solicitar permiso de intervencion. Pertenece a programa de puentes y PAP</t>
  </si>
  <si>
    <t>Es una peticion de una lidereza de la comunidad</t>
  </si>
  <si>
    <t>Puente va por programa de puentes y PAP</t>
  </si>
  <si>
    <t>Rehabilitacion y mejoramiento de 1.5 km  de pavimento flexible de vía rural que conduce a la vereda El Rodeo del municipio de Sopetran</t>
  </si>
  <si>
    <t>No tiene E&amp;D. GOB 50%, MUNIC 30%, COM 20%</t>
  </si>
  <si>
    <t>Se presenta perfil del proyecto</t>
  </si>
  <si>
    <t>Se encuentra en FASE 2</t>
  </si>
  <si>
    <t>Solicitud de financiacion a obra adicional de contrato en ejecucion</t>
  </si>
  <si>
    <t>Hace parte de un proyecto de regalias regionales</t>
  </si>
  <si>
    <t>Hay E&amp;D, por porgrama de puentes y PAP.2 muros de contencion en sector El Zancudo 2 muros de contencion sector Estrella</t>
  </si>
  <si>
    <t>Carpeta adjunta no contiene nada</t>
  </si>
  <si>
    <t>Se ejecuta por recursos propios. No reporta informacion en diagnostico 2025</t>
  </si>
  <si>
    <t>Presentan carta de solicitud. No presentan presupuesto ni estudios</t>
  </si>
  <si>
    <t>Presentan E&amp;D</t>
  </si>
  <si>
    <t>FASE 3 , se atendera por programa de puentes y PAP</t>
  </si>
  <si>
    <t>Radicado no tiene E&amp;D</t>
  </si>
  <si>
    <t>Financiacion para hacer estudios y diseños</t>
  </si>
  <si>
    <t>Peticion recursos adicionales</t>
  </si>
  <si>
    <t>FASE 1</t>
  </si>
  <si>
    <t>FASE 1 .No presenta estudios ni presupuesto</t>
  </si>
  <si>
    <t>PRIORIDAD</t>
  </si>
  <si>
    <t>SECRETARIA</t>
  </si>
  <si>
    <t>Construcción de placa huella y obras complementarias en la vía Támesis - San Pablo (Tamesis - Valparaiso)</t>
  </si>
  <si>
    <t>Son tres proyectos para los cuales CEDRA busca apoyo</t>
  </si>
  <si>
    <t>Propuesta proyectos en desarrollo Bajo Cauca Antioqueño. Finca la Mariela - Caucasía, Antioquia</t>
  </si>
  <si>
    <t>Cicloruta municipio de marinilla</t>
  </si>
  <si>
    <t>RECUPERACIÓN DE LAS VÍAS VEREDALES RIVERA CASCAJO - LÍMITE EL CARMEN Y MONTAÑITA LOS ALPES - LÍMITE EL SANTUARIO, POR MEDIO DE LA CONSTRUCCIÓN DE PLACA HUELLAS EN EL MUNICIPIO DE MARINILLA</t>
  </si>
  <si>
    <t>Tiene E&amp;D</t>
  </si>
  <si>
    <t>Construcción del Puente Biblioteca en el municipio de Rionegro - ADICION A PROYECTO EN EJECUCION</t>
  </si>
  <si>
    <t>Peticion por recursos para obra adicional</t>
  </si>
  <si>
    <t>Construcción del ámbito patrimonio del proyecto Paisajes del Agua en el Municipio de Rionegro -ADICION A PROYECTO EN EJECUCION</t>
  </si>
  <si>
    <t>No envian presupuesto</t>
  </si>
  <si>
    <t>Puente que fue repotenciado con vigas en acero y ha mantenido uso, sin embargo no se considera seguro y es necesario su reemplazo en el corto plazo.  Programa puentes y PAP</t>
  </si>
  <si>
    <t xml:space="preserve">
AUNAR ESFUERZOS PARA EL  MEJORAMIENTO DE LA INFRAESTRUCTURA EDUCATIVA, EN LA SEDE DE LA I.E. SAN ANDRES DEL MUNICIPIO DE GIRARDOTA.
</t>
  </si>
  <si>
    <t>AUNAR ESFUERZOS PARA EL MEJORAMIENTO DE LA INFRAESTRUCTURA FÍSICA DE LA ESCUELA NORMAL SUPERIOR MAGDALENA MEDIO.</t>
  </si>
  <si>
    <t>AUNAR ESFUERZOS PARA EL MEJORAMIENTO Y ADECUACIÓN DEL RESTAURANTE ESCOLAR DE LA I.E. JOSÉ PRIETO ARANGO SEDE SECUNDARIA DEL MUNICIPIO DE TARSO, ANTIOQUIA.</t>
  </si>
  <si>
    <t>SEDE YARUMITO</t>
  </si>
  <si>
    <t>AUNAR ESFUERZOS PARA LA REPOSICIÓN DE LA INFRAESTRUCTURA FÍSICA DE LAS INSTITUCIÓN EDUCATIVA PERLA DE CITARÁ DEL MUNICIPIO DE BETANIA.</t>
  </si>
  <si>
    <t>AUNAR ESFUERZOS PARA EL MEJORAMIENTO DE LA INSTITUCIÓN EDUCATIVA MURINDÓ.</t>
  </si>
  <si>
    <t>AUNAR ESFUERZOS PARA EL MEJORAMIENTO DE LA INFRAESTRUCTURA FÍSICA DE LAS SEDES EDUCATIVAS DEL MUNICIPIO DE AMAGÁ, ANTIOQUIA.</t>
  </si>
  <si>
    <t>AUNAR ESFUERZOS PARA LA TERMINACIÓN DE LA PRIMERA ETAPA DE LA INSTITUCIÓN EDUCATIVA EDUARDO AGUILAR, SEDE COLEGIO EDUARDO AGUILAR DEL MUNICIPIO DE YOLOMBÓ.</t>
  </si>
  <si>
    <t xml:space="preserve">
AUNAR ESFUERZOS PARA EL MEJORAMIENTO DE LA INFRAESTRUCTURA FÍSICA DE LAS SEDES EDUCATIVAS DEL MUNICIPIO DE ANDES, ANTIOQUIA.
</t>
  </si>
  <si>
    <t>AUNAR ESFUERZOS PARA EL MEJORAMIENTO DE LA INFRAESTRUCTURA FÍSICA DE LA INSTITUCIÓN EDUCATIVA CISNEROS - SEDE E.U. CONCEPCIÓN RESTREPO DEL MUNICIPIO DE CISNEROS.</t>
  </si>
  <si>
    <t>AUNAR ESFUERZOS PARA EL MEJORAMIENTO DE LA INFRAESTRUCTURA FÍSICA DE LAS I.E.R. JOSÉ ELÍAS SUAREZ SEDES BOCAS DE PALMITAS, I.E.R. MULATICOS-PIEDRECITAS SEDE LA JOBA  Y SEDE EL REPARO DEL MUNICIPIO DE NECOCLÍ.</t>
  </si>
  <si>
    <t>AUNAR ESFUERZOS PARA EL MEJORAMIENTO DE LA INFRAESTRUCTURA FÍSICA DEL CER PITAMORRIAL DEL MUNICIPIO DE NECOCLI</t>
  </si>
  <si>
    <t>AUNAR ESFUERZOS PARA EL MEJORAMIENTO DE LA I.E.R. EMBERÁ KARMATARRUA, C.E.R. LA ARBOLEDA, C.E.R. LA VARSOVIA, C.E.R. SERRANÍAS DEL MUNICIPIO DE JARDÍN.</t>
  </si>
  <si>
    <t>AUNAR ESFUERZOS PARA EL MEJORAMIENTO DE LA INFRAESTRUCTURA FÍSICA DE LAS I.E.R. SAN JOSÉ DEL NUS – SEDE COLEGIO SAN JOSÉ DEL NUS Y DE LA I.E.R. CRISTALES - SEDE COLEGIO CRISTALES</t>
  </si>
  <si>
    <t xml:space="preserve">AUNAR ESFUERZOS PARA EL MEJORAMIENTO DE LA INFRAESTRUCTURA FÍSICA  PARA LA I.E.R. TÉCNICO DE MARINILLA, SEDE C.E.R. GABRIEL DUQUE GÓMEZ (VDA MONTAÑITA) Y LA IER ROSALÍA HOYOS SEDE CER VICENTE ARBELÁEZ (VEREDA SALTO ABAJO) </t>
  </si>
  <si>
    <t>AUNAR ESFUERZOS PARA EL MEJORAMIENTO DE LA INFRAESTRUCTURA FÍSICA DE LA IE COCORNÁ, SEDE CER LAS CRUCES</t>
  </si>
  <si>
    <t>AUNAR ESFUERZOS PARA EL MEJORAMIENTO DE LA INFRAESTRUCTURA FISICA DE LAS IER ROSA MARIA PAVAS SEDE IE INTEGRAL PARA JOVENES Y ADULTOS CELIA RAMOS TORO DEL MUNICIPIO DE SONSON ANTIOQUIA</t>
  </si>
  <si>
    <t>AUNAR ESFUERZOS PARA EL MEJORAMIENTO DE LA INFRAESTRUCTURA FÍSICA DE LA IE MANUEL JOSE SIERRA DEL MUNIICPIO DE ANZA ANTIOQUIA.</t>
  </si>
  <si>
    <t xml:space="preserve">AUNAR ESFUERZOS PARA EL MEJORAMIENTO DE LA INFRAESTRUCTURA FÍSICADE LA I.E. LA MAGDALENA SEDE C.E.R. EL PORVENIR </t>
  </si>
  <si>
    <t>AUNAR ESFUERZOS PARA EL MEJORAMIENTO DE LA INFRAESTRUCTURA FÍSICA  DE LAS IE CHAPARRAL, SEDE ERI BERRACAL; IER EZEQUIEL SIERRA, SEDES CER LA TRINIDAD Y CER LA CANDELARIA; IER HOJAS ANCHAS, SEDE CER LA MOSQUITA; IE SANTO TOMÁS DE AQUINO, SEDE CER MONTAÑÉS ABAJO Y LA IER PIEDRAS BLANCAS, SEDE PUEBLITO,</t>
  </si>
  <si>
    <t>AUNAR ESFUERZOS PARA EL MEJORAMIENTO DE LA INFRAESTRUCTURA FÍSICA DE LA IE SAN RAFAEL, SEDE COLEGIO SAN RAFAEL</t>
  </si>
  <si>
    <t>AUNAR ESFUERZOS PARA EL MEJORAMIENTO DE LA INFRAESTRUCTURA FÍSICADE LA  I.E. NUESTRA SEÑORA DEL PILAR SEDE CER EL TRONCO</t>
  </si>
  <si>
    <t>AUNAR ESFUERZOS PARA EL MEJORAMIENTO DE LA INFRAESTRUCTURA FÍSICA DE LAS SEDES EDUCATIVAS DEL MUNICIPIO DE VALPARAISO.</t>
  </si>
  <si>
    <t xml:space="preserve">AUNAR ESFUERZOS PARA EL MEJORAMIENTO DE LA INFRAESTRUCTURA FÍSICA DE LA INSTITUCIÓN EDUCATIVA AURA MARÍA VALENCIA, SEDES PRIMARIA Y SECUNDARIA </t>
  </si>
  <si>
    <t>AUNAR ESFUERZOS PARA EL MEJORAMIENTO DE LA INFRAESTRUCTURA FÍSICA DE LAS SEDES EDUCATIVAS DEL MUNICIPIO DE EBEJICO.</t>
  </si>
  <si>
    <t>URABÁ (CONVENIO FUNDAUNIBAN)</t>
  </si>
  <si>
    <t>AUNAR ESFUERZOS PARA EL MEJORAMIENTO DE LA INFRAESTRUCTURA FÍSICA DE LA INSTITUCIÓN EDUCATIVA CISNEROS - SEDE LICEO CISNEROS Y SEDE JESUS MARIA DUQUE, DEL MUNICIPIO DE CISNEROS.</t>
  </si>
  <si>
    <t>AUNAR ESFUERZOS PARA EL MEJORAMIENTO DE LA INFRAESTRUCTURA FÍSICA DE LA INSTITUCIÓN EDUCATIVA EFE GOMEZ, SEDES LICEO EFE GOMEZ, E.U. EFE GOMEZ Y COLEGIO AMIGONIANO RAUL CARDONA ZAPATA, DEL MUNICIPIO DE VEGACHI.</t>
  </si>
  <si>
    <t>AUNAR ESFUERZOS PARA LA CONSTRUCCIÓN DE LA SEGUNDA ETAPA Y SUS OBRAS COMPLEMENTARIAS DE LA INSTITUCIÓN EDUCATIVA EDUARDO AGUILAR, SEDE COLEGIO EDUARDO AGUILAR   DEL MUNICIPIO DE YOLOMBÓ.</t>
  </si>
  <si>
    <t>AUNAR ESFUERZOS PARA LA CONSTRUCCIÓN DE LA SEGUNDA ETAPA Y SUS OBRAS COMPLEMENTARIAS DE LA INSTITUCIÓN EDUCATIVA RURAL PUERTO PERALES, SEDE  I.E.R. PUERTO PERALES DEL MUNICIPIO DE PUERTO TRIUNFO.</t>
  </si>
  <si>
    <t>AUNAR ESFUERZOS PARA EL MEJORAMIENTO DE LA INFRAESTRUCTURA FÍSICA DE LAS SEDES EDUCATIVAS DEL MUNICIPIO DE CAROLINA DEL PRINCIPE.</t>
  </si>
  <si>
    <t>AUNAR ESFUERZOS PARA EL MEJORAMIENTO DE LA INFRAESTRUCTURA FÍSICA DE LAS SEDES EDUCATIVAS DEL MUNICIPIO DE DONMATÍAS.</t>
  </si>
  <si>
    <t>AUNAR ESFUERZOS PARA EL MEJORAMIENTO DE LA INFRAESTRUCTURA FÍSICA DE LAS C.E.R. BOCA DEL MONTE Y I.E. MARCO TOBON MEJIA, DEL MUNICIPIO DE SANTA ROSA DE OSOS</t>
  </si>
  <si>
    <t>AUNAR ESFUERZOS PARA EL MEJORAMIENTO DE LA INFRAESTRUCTURA FÍSICA DE LAS C.E.R. YERBABUENAL - SEDES  C.E.R. POTRERO GRANDE,C. E. R. HUMBERTO LOPERA VILLA YC. E. R. EL PROGRESO DEL MUNICIPIO DE ENTRERRIOS</t>
  </si>
  <si>
    <t>AUNAR ESFUERZOS PARA EL MEJORAMIENTO DE LA INFRAESTRUCTURA FÍSICA DE LAS SEDES EDUCATIVAS DEL MUNICIPIO DE BELMIRA.</t>
  </si>
  <si>
    <t>AUNAR ESFUERZOS PARA EL MEJORAMIENTO DE LA INFRAESTRUCTURA FÍSICA DE LAS SEDES EDUCATIVAS DEL MUNICIPIO DE URAMITA.</t>
  </si>
  <si>
    <t>AUNAR ESFUERZOS PARA EL MEJORAMIENTO DE LA INFRAESTRUCTURA FÍSICA DE LAS SEDES EDUCATIVAS DEL MUNICIPIO DE DABEIBA.</t>
  </si>
  <si>
    <t>AUNAR ESFUERZOS PARA EL MEJORAMIENTO DE LA INFRAESTRUCTURA FÍSICA DE LAS SEDES EDUCATIVAS DEL MUNICIPIO DE HELICONIA.</t>
  </si>
  <si>
    <t>AUNAR ESFUERZOS PARA EL MEJORAMIENTO DE LA INFRAESTRUCTURA FÍSICA DE LAS SEDES EDUCATIVAS DEL MUNICIPIO DE CAÑASGORDAS.</t>
  </si>
  <si>
    <t>AUNAR ESFUERZOS PARA EL MEJORAMIENTO DE LA INFRAESTRUCTURA FÍSICA DE LAS SEDES EDUCATIVAS DEL MUNICIPIO DE SAN JERONIMO.</t>
  </si>
  <si>
    <t>AUNAR ESFUERZOS PARA EL MEJORAMIENTO DE LA INFRAESTRUCTURA FÍSICA DE LAS SEDES EDUCATIVAS DEL MUNICIPIO DE ARBOLETES.</t>
  </si>
  <si>
    <t>AUNAR ESFUERZOS PARA EL MEJORAMIENTO DE LA INFRAESTRUCTURA FÍSICA DE LAS SEDES EDUCATIVAS DEL MUNICIPIO DE SAN PEDRO DE URABÁ.</t>
  </si>
  <si>
    <t>AUNAR ESFUERZOS PARA EL MEJORAMIENTO DE LA INFRAESTRUCTURA FÍSICA DE LAS SEDES EDUCATIVAS DEL MUNICIPIO DE VENECIA.</t>
  </si>
  <si>
    <t>AUNAR ESFUERZOS PARA LA CONSTRUCCIÓN DE LA INSTITUCIÓN EDUCATIVA LA PINTADA, SEDE  I.E. LA PINTADA DEL MUNICIPIO DE PINTADA.</t>
  </si>
  <si>
    <t>AUNAR ESFUERZOS PARA EL MEJORAMIENTO DE LA INFRAESTRUCTURA FÍSICA DE LAS SEDES EDUCATIVAS DEL MUNICIPIO DE URRAO.</t>
  </si>
  <si>
    <t>AUNAR ESFUERZOS PARA LA CONSTRUCCIÓN DE LA INSTITUCIÓN EDUCATIVA RURAL PORCESITO, SEDE  I.E.R. PORCESITO DEL MUNICIPIO DE SANTO DOMINGO.</t>
  </si>
  <si>
    <t>AUNAR ESFUERZOS PARA EL MEJORAMIENTO DE LA INFRAESTRUCTURA FÍSICA DE LA INSTITUCIÓN EDUCATIVA RURAL EL GUARUMO, SEDE I.E.R. GUARUMO DEL MUNICIPIO DE CACERES.</t>
  </si>
  <si>
    <t>AUNAR ESFUERZOS PARA EL MEJORAMIENTO DE LA INFRAESTRUCTURA FÍSICA DE LA INSTITUCIÓN EDUCATIVA NECHÍ, SEDE PRINCIPAL Y SEDE SAN NICOLAS DEL MUNICIPIO DE NECHÍ.</t>
  </si>
  <si>
    <t>AUNAR ESFUERZOS PARA EL MEJORAMIENTO DE LA INFRAESTRUCTURA FÍSICA DE LA INSTITUCIÓN EDUCATIVA RARAL PAJULIA, SEDE CHILONA ABAJO DEL MUNICIPIO DE ZARAGOZA.</t>
  </si>
  <si>
    <t>AUNAR ESFUERZOS PARA EL MEJORAMIENTO DE LA INFRAESTRUCTURA FÍSICA DE LA INSTITUCIÓN EDUCATIVA LAS DELICIAS SEDE PRINCIPAL, LICEO EL BAGRE SEDE PORTUGAL, INSTUTUCIÓN EDUCATIVA RURAL MANESCA SEDE BROJOLA, APLIACION DE LA INSTITUCIÓN EDUCATIVA RURAL PUERTO LOPEZ DEL MUNICIPIO DE BAGRE.</t>
  </si>
  <si>
    <t>AUNAR ESFUERZOS PARA EL MEJORAMIENTO DE LA INFRAESTRUCTURA FÍSICA DE LA INSTITUCIÓN EDUCATIVA LA IMACULADA, SEDES I.E. LA IMACULADA PRINCIPAL Y SEDE EL CINCO Y DE LA I.E. ANTONIO ROLDAN BETANCOUR SEDE PRINCIPAL DEL MUNICIPIO DE TARAZÁ.</t>
  </si>
  <si>
    <t>AUNAR ESFUERZOS PARA LA REPOSICIÓN DEL C.E.R. REVENTON, MEJORAMIENTO DEL C.E.R. EL OLIVAR Y MEJORAMIENTO DEL I.E. PEDRO NEL OSPINA SEDE PRINCIPAL Y SEDE EMILIANA PEREZ DEL MUNICIPIO DE ITUANGO.</t>
  </si>
  <si>
    <t>AUNAR ESFUERZOS PARA EL MEJORAMIENTO DE LA INFRAESTRUCTURA FÍSICA DEL C.E.R. LA PAULINA SEDE LA ALEMANIA, Y EL I.E. VALDIVIA SEDE PRINCIPAL, SEDE PEDRO VAZQUEZ Y SEDE MUTABES, DEL MUNICIPIO DE VALDIVIA.</t>
  </si>
  <si>
    <t>AUNAR ESFUERZOS PARA LA REPOSICIÓN DEL INSITUCIÓN EDUCATIVA ANORÍ  SEDE PRINCIPAL  DEL MUNICIPIO DE ANORÍ.</t>
  </si>
  <si>
    <t>AUNAR ESFUERZOS PARA EL MEJORAMIENTO DE LA INFRAESTRUCTURA FÍSICA DE LAS SEDES EDUCATIVAS DEL MUNICIPIO DE BRISEÑO.</t>
  </si>
  <si>
    <t>AUNAR ESFUERZOS PARA EL MEJORAMIENTO DE LA INFRAESTRUCTURA FÍSICA MISERICORDIA SEDE PRINCIPAL Y LA INSTITUCIÓN EDUCATIVA SANTO DOMINGO SEDE PRINCIPAL  DEL MUNICIPIO DE CAUCASIA.</t>
  </si>
  <si>
    <t>AUNAR ESFUERZOS PARA EL MEJORAMIENTO DE LA INFRAESTRUCTURA FÍSICA DE LAS SEDES EDUCATIVAS DEL MUNICIPIO DE SAN JUAN DE URABÁ.</t>
  </si>
  <si>
    <t>AUNAR ESFUERZOS PARA EL MEJORAMIENTO DE LA INFRAESTRUCTURA FÍSICA DE LA INSTITUCIÓN EDUCATIVA PRESBITERO GERARDO MONTOYA - SEDE I.E. PRESBITERO GERARDO MONTOYA, DEL MUNICIPIO DE AMALFÍ.</t>
  </si>
  <si>
    <t>AUNAR ESFUERZOS PARA LA CONSTRUCCIÓN DE LA INSTITUCIÓN EDUCATIVA LOS ANGELES, SEDE I.E. LOS ANGELES DEL MUNICIPIO DE ANGELOPOLIS.</t>
  </si>
  <si>
    <t>AUNAR ESFUERZOS PARA EL MEJORAMIENTO DE LA INFRAESTRUCTURA FÍSICA DE C. E. R. SAN FERNANDO, SEDE C.E.R. LA GUAJIRA ARRIBA Y DEL C.E.R. SANTA ANA, SEDE EL CHOCHO, DEL MUNICIPIO DE ANGOSTURA.</t>
  </si>
  <si>
    <t>AUNAR ESFUERZOS PARA LA CONSTRUCCIÓN DE LA SEGUNDA ETAPA Y SUS OBRAS COMPLEMENTARIAS DE LA INSTITUCIÓN EDUCATIVALAS MALVINAS, SEDE PRINCIPAL  DEL MUNICIPIO DE CAUCACIA.</t>
  </si>
  <si>
    <t>AUNAR ESFUERZOS PARA EL MEJORAMIENTO DE LA INFRAESTRUCTURA FÍSICA DE LAS C.E.R. YERBABUENAL - SEDES C. E. R. LAS BRISAS Y C. E. R. EL PORVENIR DEL MUNICIPIO DE ENTRERRIOS</t>
  </si>
  <si>
    <t>AUNAR ESFUERZOS PARA EL MEJORAMIENTO DE LA INFRAESTRUCTURA FÍSICA DE LA INSTITUCIÓN EDUCATIVA RURAL DOLORES E ISMAEL RESTREPO Y LA INSTITUCIÓN EDUCATIVA IGNACIO BOTERO - SEDES I.E.R DOLORES E ISMAEL RESTREPO Y I.E. IGNACIO BOTERO VALLEJO, DEL MUNICIPIO DE RETIRO.</t>
  </si>
  <si>
    <t>AUNAR ESFUERZOS PARA EL MEJORAMIENTO DE LA INFRAESTRUCTURA FÍSICA DE LAS INSTITUCION EDUCATIVA RURAL BOCA DEL MONTE, SEDES HORACIO TORO OCHOA Y PRESBITERO SANTIAGO CALLE ROLDAN, DEL MUNICIPIO DE SANTA ROSA DE OSOS</t>
  </si>
  <si>
    <t>AUNAR ESFUERZOS PARA EL MEJORAMIENTO DE LA INFRAESTRUCTURA FÍSICA DE LA INSTITUCIÓN EDUCATIVA NORMAL SUPERIOR DE SAN ROQUE-SEDE I.E. NORMAL SUPERIOR DE SAN ROQUE Y DE LA INSTITUCIÓN EDUCATIVA PRESBITERO ABRAHAN JARAMILLO – SEDE I.E. PRESBITERIO ABRAHAN JARAMILLO, DEL MUNICIPIO DE SAN ROQUE.</t>
  </si>
  <si>
    <t>AUNAR ESFUERZOS PARA EL MEJORAMIENTO DE LA INFRAESTRUCTURA FÍSICA DE LA INSTITUCIÓN EDUCATIVA ROSA MARIA HENAO PAVAS - SEDE I.E. INTEGRAL PARA JOVENES Y ADULTOS CELIA RAMOS TORO, DEL MUNICIPIO DE SONSON</t>
  </si>
  <si>
    <t>AUNAR ESFUERZOS PARA LA CONSTRUCCIÓN DE LA TERCERA ETAPA Y SUS OBRAS COMPLEMENTARIAS DE LA INSTITUCIÓN EDUCATIVA JOSE MARIA VILLA, SEDE COLEGIO JOSE MARIA VILLA DEL MUNICIPIO DE SOPETRAN</t>
  </si>
  <si>
    <t>AUNAR ESFUERZOS PARA EL MEJORAMIENTO DE LA INFRAESTRUCTURA FÍSICA DE LA INSTITUCIÓN EDUCATIVA LORENZO YALÍ - SEDE LICEO LORENZO YALÍ Y E.U. YALÍ, DEL MUNICIPIO DE YALÍ</t>
  </si>
  <si>
    <t>AUNAR ESFUERZOS PARA EL MEJORAMIENTO DE LA INFRAESTRUCTURA FÍSICA DE LA INSTITUCION EDUCATIVA LLANOS DE CUIVÁ, DEL MUNICIPIO DE YARUMAL.</t>
  </si>
  <si>
    <t>AUNAR ESFUERZOS PARA EL MEJORAMIENTO DE LA INFRAESTRUCTURA FÍSICA DE LA INSTITUCION EDUCATIVA SAN LUIS- SEDE E.U.  FRANCISCO GALLEGO PEREZ Y E.U. VILLA FATIMA, DEL MUNICIPIO DE YARUMAL.</t>
  </si>
  <si>
    <t>La ceja</t>
  </si>
  <si>
    <t>San francisco</t>
  </si>
  <si>
    <t>Santa rosa de osos</t>
  </si>
  <si>
    <t>San roque</t>
  </si>
  <si>
    <t>Secretarias</t>
  </si>
  <si>
    <t>Secretaria de Infraestructura Física</t>
  </si>
  <si>
    <t>Secretaria de Educación</t>
  </si>
  <si>
    <t>Felipe Arbeláez</t>
  </si>
  <si>
    <t>María Cristina Mesa</t>
  </si>
  <si>
    <t>Ampliacion de la I.E. San Andrés</t>
  </si>
  <si>
    <t>Mejoramiento</t>
  </si>
  <si>
    <t>Adecuacion Restaurante escolar</t>
  </si>
  <si>
    <t>Proceso</t>
  </si>
  <si>
    <t>Mejoramiento y Reposición</t>
  </si>
  <si>
    <t>Actualización Vigencia Futura</t>
  </si>
  <si>
    <t>Reposición</t>
  </si>
  <si>
    <t>Proyección - RENTAN</t>
  </si>
  <si>
    <t>N/A</t>
  </si>
  <si>
    <t>Tutela Tutela Con proyecto</t>
  </si>
  <si>
    <t>Tutela Tutela Sin proyecto</t>
  </si>
  <si>
    <t>VF con COS 2024 Sin Contrato Priorizado</t>
  </si>
  <si>
    <t>VF con COS 2024 Sin Contrato Tutela</t>
  </si>
  <si>
    <t>VF con COS 2024 Sin Contrato Compromiso sin recursos</t>
  </si>
  <si>
    <t>VF con COS 2024 Sin Contrato Sin Recursos</t>
  </si>
  <si>
    <t>VF sin COS Sin Contrato Compromiso sin recursos</t>
  </si>
  <si>
    <t>VF sin COS Sin Contrato Sin Recursos</t>
  </si>
  <si>
    <t xml:space="preserve">  </t>
  </si>
  <si>
    <t>Necesidad Presentada Sin Contrato Sin Recursos</t>
  </si>
  <si>
    <t>Necesidad Presentada Sin Contrato Con proyecto</t>
  </si>
  <si>
    <t>Necesidad Presentada Sin Contrato Compromiso sin recursos</t>
  </si>
  <si>
    <t>Plaza de mercado postulada para adecuar y poner en funcionamiento la casa de justicia o centro de convivencia</t>
  </si>
  <si>
    <t>Reemplazo de MH en zona urbana que ha colapsado dejando una gran zocavacion</t>
  </si>
  <si>
    <t>Peticion para pavimentar via de segundo orden</t>
  </si>
  <si>
    <t>Peticion aporte para obras de recomposicion de banca</t>
  </si>
  <si>
    <t>Proyecto en FASE 2</t>
  </si>
  <si>
    <t>SOLICITUD DE ESTUDIOS Y EJECUCIÓN DE PROYECTO PLACA HUELLA RURAL VEREDA ALTAMIRA ZONA ALTA 250 m</t>
  </si>
  <si>
    <t xml:space="preserve">No presenta presupuesto  </t>
  </si>
  <si>
    <t>EL proyecto sera desarrollado entre el K0+000 saliendo de la cabecera municipal de Pueblorrico, hasta el K1+580 sector El Barcino</t>
  </si>
  <si>
    <t>El proyecto será desarrollado en la zona Rural del municipio de Pueblorrico; en la vía de tercer orden 25BAN03: Pueblorrico - Sinaí - La Bodega- Peñalisa, que comunica el casco urbano con las Veredas Corinto, Mulatos, Sinaí, Sevilla y Morrón; entre el km 2+100 desde la salida de la cabecera municipal sobre la calle 30 (Tiendas D1 Pueblorrico y Capilla San José) y el km 3+500</t>
  </si>
  <si>
    <t>Solicitud para incluir en PD 2024 pavimentacion de via secundaria Santa Barbara - Fredonia</t>
  </si>
  <si>
    <t>Via 2.5km que comunica corregimientos de San Pablo y la vereda el Narajal. FASE 1</t>
  </si>
  <si>
    <t>Peticion se ha hecho en multiples ocasiones. Reclaman un intervencion que nunca se hizo y piden apoyo</t>
  </si>
  <si>
    <t>Adicion a proyecto en ejecucion</t>
  </si>
  <si>
    <t>ADICION - Mejoramiento de vías terciarias de las veredas Mulatico, Patio Bonito y Morrón del municipio de Tarso, Antioquia mediante la construcción de pavimentación de Placa huella</t>
  </si>
  <si>
    <t>Construcción  de  Puestos  de  Información  Turística,Estudios y Diseños del Mirador de Titiribí, Estudios   y   Diseños   para   la   Construcción   del   Resguardo   Ecoturístico Sostenible en el Municipio de Urrao</t>
  </si>
  <si>
    <t>peticion de cooperar con la construccion de la segunda etapa del parque principal</t>
  </si>
  <si>
    <t>Puente estrecho que presenta incomodidad y riesgo en la vía. Debe reemplazarse en el corto plazo.  4600007002 de 2017. Se hara por medio de programa de puentes y PAP</t>
  </si>
  <si>
    <t>Parte de programa de puentes y PAP</t>
  </si>
  <si>
    <t>MEJORAMIENTO DE VIAS TERCIARIAS MEDIANTE EL USO DE PLACA HUELLA, EN LA VIA APARTADA DE SAN JUANCITO CEDRO - SANJUANCITO - CEDRO, DEL MUNICIPIO DE SAN PEDRO DE URABA, ANTIOQUIA 2km</t>
  </si>
  <si>
    <t>2025010065132</t>
  </si>
  <si>
    <t>Se ejecuto atravez de otro programa</t>
  </si>
  <si>
    <t>Puente estrecho de baja sección hidráulica y problemas recurrentes de socavación. Programa puentes y PAP</t>
  </si>
  <si>
    <t>No se encuentra mas informacion en radicado relacionado</t>
  </si>
  <si>
    <t>AUNAR ESFUERZOS PARA LA CONSTRUCCIÓN DE LA INSTITUCIÓN EDUCATIVALAS SAN FRANCISCO, SEDE I.E. SAN FRANCISCO  DEL MUNICIPIO DE SAN FRANCISCO.</t>
  </si>
  <si>
    <t>AUNAR ESFUERZOS PARA EL MEJORAMIENTO DE LA INFRAESTRUCTURA FÍSICA Y FUSIÓN DE LOS C.E.R. HIGERON Y C.E.R. JESUS MARIA (LA MIEL)  DEL MUNICIPIO DE CEJA.</t>
  </si>
  <si>
    <t>AUNAR ESFUERZOS PARA EL MEJORAMIENTO DE LA INFRAESTRUCTURA FÍSICA DE LA INSTITUCIÓN EDUCATIVA PEDRO LUIS ALVAREZ CORREA Y APLIACION DE LA INSTITUCIÓN EDUCATIVA FEDERICO ANGEL  DEL MUNICIPIO DE CALDAS.</t>
  </si>
  <si>
    <t>AUNAR ESFUERZOS PARA EL MEJORAMIENTO DE LA INFRAESTRUCTURA FÍSICA INSTITUCIÓN EDUCATIVA CELIA DUQUE SEDE PRINCIPAL  DEL MUNICIPIO DE ABEJORRAL.</t>
  </si>
  <si>
    <t>AUNAR ESFUERZOS PARA EL MEJORAMIENTO DE LA INFRAESTRUCTURA FÍSICA DE CINCO SEDES EDUCATIVAS DEL MUNICIPIO DE BARBOSA.</t>
  </si>
  <si>
    <t>AUNAR ESFUERZOS PARA EL MEJORAMIENTO DE LA INFRAESTRUCTURA FÍSICA DE LAS SEDES EDUCATIVAS DEL MUNICIPIO DE GRANADA.</t>
  </si>
  <si>
    <t>AUNAR ESFUERZOS PARA EL MEJORAMIENTO DE LA INFRAESTRUCTURA FÍSICA DE LA INSTITUCIÓN EDUCATIVA MONSEÑOR GERARDO PATIÑO, SEDE BUENOS AIRES DEL MUNICIPIO DE CACERES.</t>
  </si>
  <si>
    <t>AUNAR ESFUERZOS PARA LA CONSTRUCCIÓN  DE LA INFRAESTRUCTURA FÍSICA DE LA INSTITUCIÓN EDUCATIVA MANIZALES, SEDE NICARAGUA DEL MUNICIPIO DE CACERES.</t>
  </si>
  <si>
    <t>AUNAR ESFUERZOS PARA EL MEJORAMIENTO DE LA INFRAESTRUCTURA FÍSICA DE LA INSTITUCIÓN EDUCATIVA HERMANO DANIEL, SEDE PRIMARIA Y LA INSTITUCIÓN EDUCATIVA RURAL DORADAL DEL MUNICIPIO DE PUERTO TRIUNFO.</t>
  </si>
  <si>
    <t>AUNAR ESFUERZOS PARA EL MEJORAMIENTO DE LA INFRAESTRUCTURA FÍSICA DE LA INSTITUCIÓN EDUCATIVA RURAL LA SIERRA Y INSTITUCION EDUCATIVA CARLOS ARTURO DUQUE RAMIREZ DEL MUNICIPIO DE PUERTO NARE.</t>
  </si>
  <si>
    <t>AUNAR ESFUERZOS PARA EL MEJORAMIENTO DE LA INFRAESTRUCTURA FÍSICA DE LA INSTITUCIÓN EDUCATIVA PROCESA DELGADO, SEDE LICEO ALEJANDRIA DEL MUNICIPIO DE ALEJANDRIA.</t>
  </si>
  <si>
    <t>AUNAR ESFUERZOS PARA EL MEJORAMIENTO DE LA INFRAESTRUCTURA FÍSICA DE LA INSTITUCIÓN EDUCATIVA SANTA TERESA, SEDE PRINCIPAL DEL MUNICIPIO DE ARGELIA.</t>
  </si>
  <si>
    <t>VALOR NECESIDAD SED</t>
  </si>
  <si>
    <t>VALOR NECESIDAD SIF</t>
  </si>
  <si>
    <t>DIFERENCIA VALOR PROYECTOS CAPACIDAD ENDMT</t>
  </si>
  <si>
    <t>Tutela Tutela Con proyecto. En proceso de diseño.</t>
  </si>
  <si>
    <t>1 VALOR TOTAL PROYECTOS SIF +SED</t>
  </si>
  <si>
    <t>2 CAPACIDAD MAXIMA DE ENDEUDAMIENTO AL 60%</t>
  </si>
  <si>
    <t>3 COOFINANCIACION GOBERNACION 20%</t>
  </si>
  <si>
    <t>(2+3)</t>
  </si>
  <si>
    <t>SUMATORIA DE PROYECTOS SIF</t>
  </si>
  <si>
    <t>SUMATORIA DE PROYECTOS SED</t>
  </si>
  <si>
    <t>SUMA TOTAL</t>
  </si>
  <si>
    <t>SUMA TOTAL 2</t>
  </si>
  <si>
    <t>APORTE GOB</t>
  </si>
  <si>
    <t>APORTE GOB2</t>
  </si>
  <si>
    <t>SOBRANTE O FALTANTE</t>
  </si>
  <si>
    <t>SOBRANTE FALTANTE</t>
  </si>
  <si>
    <t>APORTE TOTAL IDEA + GOB</t>
  </si>
  <si>
    <t>No se puede acceder a la carpeta compartida</t>
  </si>
  <si>
    <t>Radicado no tiene mayor informacion</t>
  </si>
  <si>
    <t>Solicitud adicion recursos</t>
  </si>
  <si>
    <t>REPOSICIÓN DE LA MALLA VIAL DE LAS VIAS TERCIARIAS DEL SECTOR LA MANUELA, VEREDA PANTANILLO Y VEREDA PERICO DEL MUNICIPIO DE ENVIGADO</t>
  </si>
  <si>
    <t>No relaciona fase proyecto</t>
  </si>
  <si>
    <t>PROYECTO DE INTERVENCIÓN INTEGRAL EN LA CALLE DE LA CULTURA Y LA CALLE DE LA ALFARERÍA</t>
  </si>
  <si>
    <t>Construccion de pavimento rigido en la calle 9 entre carrera 9 y 12</t>
  </si>
  <si>
    <t>Construccion de pavimento rigido en la calle 10 entre carreras 10 y 11</t>
  </si>
  <si>
    <t>Pavimentacion calle 13</t>
  </si>
  <si>
    <t>Variante vial para el municipio</t>
  </si>
  <si>
    <t>Construccion de pavimento rigido en la via Zaragoza - El Bagre</t>
  </si>
  <si>
    <t>Solicitud de priorizacion de intervencion en puntos criticos de la via municipal caicedo anza, codigo 05125vt11</t>
  </si>
  <si>
    <t>Proyecto punto de atencion prioritaria La Esperanza - municipio de valparaiso -antioquia</t>
  </si>
  <si>
    <t>Solicitud de apoyo de estudios y diseños para la construcción de puentes vehiculares</t>
  </si>
  <si>
    <t>Proyecto construccion muro en entrada de municipio SC1</t>
  </si>
  <si>
    <t>PROYECTO DE ILUMINACIÓN VIA CIRCUNVALAR EN EL MUNICIPIO DE EL CARMEN DE VIBORAL, ANTIOQUIA</t>
  </si>
  <si>
    <t>Nuevo trazado de via de acceso a casco urbano debido a problemas de inestabilidad en via existente</t>
  </si>
  <si>
    <t>Apoyo para la financiacion de estudios  de dos puentes vehiculares en las veredas San Juan y San Antonio</t>
  </si>
  <si>
    <t>Apoyo coofinanciacion proyecto luminaria</t>
  </si>
  <si>
    <t>Solicitud concurrencia en cumplimiento de orden judicial</t>
  </si>
  <si>
    <t>Solicitud escalada a secretario para establecer el sentido de la respuesta</t>
  </si>
  <si>
    <t>Solicitud apoyo atencion PAP</t>
  </si>
  <si>
    <t>Disenos de muros cartilla ,veredas El Carmen (3) y Pantalio (1)</t>
  </si>
  <si>
    <t>Solicitud apoyo atencion PAP (veredas El Carmne y Pantalio)</t>
  </si>
  <si>
    <t>Propuesta remodelación Parque Principal Briceño Antioquia (recursos para estudios y diseños)</t>
  </si>
  <si>
    <t>Solicitud recursos para estudios y diseños via Caicedo Urrao</t>
  </si>
  <si>
    <t>Solicitud intervencion via Caicedo Urrao</t>
  </si>
  <si>
    <t>Solicitud recursos construccion puente sobre quebrada Babilla</t>
  </si>
  <si>
    <t>Presentacion proyecto mejoramiento mantenimiento y rehabilitacion del corredor vial de la circunvalar norte y las vias urbanas mediante la construccion de un puente vehicular urbano en el municipio de La Union</t>
  </si>
  <si>
    <t>Presentacion proyecto construccion BoxCulvert sobre la vereda La Almeria</t>
  </si>
  <si>
    <t>Se solicitan recursos económicos (no se especifica el monto) para realizar los estudios y diseños para la remodelación del parque principal del municipio de Briceño</t>
  </si>
  <si>
    <t>JAC Solicita pavimentacion de 5km y respuesta formal sobre el proyecto anunciado el 26 de julio de 2022 que pretendia hacer EYD de 2.5 km de via</t>
  </si>
  <si>
    <t>Solicitud intervencion via a cargo de la gobernacion</t>
  </si>
  <si>
    <t>Municipio solicita recursos para construccion de puente sobre la quebrada Babilla</t>
  </si>
  <si>
    <t>Consultor presenta proyecto para revision pero no se expresa la intencion del municipio</t>
  </si>
  <si>
    <t>Solicitud recursos para estudios y diseños via Caicedo Urrao. No aparece radicado en mercurio.</t>
  </si>
  <si>
    <t>Solicitud intervencion via Caicedo Urrao.No aparece radicado en mercurio.</t>
  </si>
  <si>
    <t>Construccion Puente Cedeño</t>
  </si>
  <si>
    <t>Presentacion estudios y diseños para Puente Cedeño</t>
  </si>
  <si>
    <t>Ya se habia radicado necesidad con anterioridad, en esta ocasión radican EYD</t>
  </si>
  <si>
    <t>Terminación de la carretera rural en la vereda Alto Bonito el municipio de Dabeiba.</t>
  </si>
  <si>
    <t>JAC Solicita terminar 2.2 Km de carretera que conduce a la vereda Alto Bonito la cual quedaria con una longitud de  4km</t>
  </si>
  <si>
    <t>Peticion hecha por JAC del sector</t>
  </si>
  <si>
    <t>Propuesta de mejoramiento y estabilización de la vía terciaria que conduce a la vereda Angosturita Claritas del municipio de Gómez Plata</t>
  </si>
  <si>
    <t>Remision de viabilidad tecnica y presupuesto actualizado puente El Vergel</t>
  </si>
  <si>
    <t>Remision de proyecto construccion obras de mitigacion para la rehabilitacion del puente vereda La Garcia</t>
  </si>
  <si>
    <t>Remisión de Proyecto Construcción Obras de Mitigación para la Rehabilitación de la Vía Cascajal</t>
  </si>
  <si>
    <t>Remisión de Intervención de Puntos Críticos en el Municipio de la Vía Municipal Caicedo – Anzá</t>
  </si>
  <si>
    <t>Presentación y Solicitud de Recursos para Construcción de Puente sobre la Quebrada El Mello en el Corregimiento de Villavicencio</t>
  </si>
  <si>
    <t xml:space="preserve">PROYECTO DE CONSTRUCCIÓN DEL TRAMO DE PLACAHUELLA EN LA VEREDA LA VEJEZ DEL MUNICIPIO DE ARBOLETES ANTIOQUIA. </t>
  </si>
  <si>
    <t>PROYECTO DE CONSTRUCCIÓN DEL TRAMO DE PLACAHUELLA EN LA VEREDA CAÑA BRAVA DEL MUNICIPIO DE SAN JUAN DE URABÁ</t>
  </si>
  <si>
    <t>PROYECTO DE CONSTRUCCIÓN DEL TRAMO DE PLACAHUELLA EN LA VEREDA MONTEBELLO DEL MUNICIPIO DE SAN JUAN DE URABÁ</t>
  </si>
  <si>
    <t>PROYECTO DE CONSTRUCCIÓN DEL TRAMO DE PLACAHUELLA EN LA VEREDA GUADUAL ABAJO DEL MUNICIPIO DE ARBOLETES, ANTIOQUIA,</t>
  </si>
  <si>
    <t>PROYECTO DE PLACA HUELLA CON LA JUNTA DE ACCION COMUNAL SUBTERRANEO DE SAN JUAN DE URABA</t>
  </si>
  <si>
    <t xml:space="preserve">PROYECTO DE PLACA HUELLA CON LA JUNTA DE ACCION COMUNAL CORREGIMIENTO BUENOS AIRES DE ARBOLETES </t>
  </si>
  <si>
    <t>PROYECTO DE PLACA HUELLA CON LA JUNTA DE ACCION COMUNAL MONTEBELLO DE SAN JUAN DE URABA</t>
  </si>
  <si>
    <t>PROYECTO DE TRAMOS DE PLACA HUELLA EN CONVENIO CON LAS JUNTAS DE ACCION COMUNAL DEL MUNICIPIO DE SAN PEDRO DE URABA</t>
  </si>
  <si>
    <t>PROYECTO DE CONSTRUCCIÓN DE PLACAHUELLAS EN LA VIA PLAYAS CARDAL DE LA ZONA RURAL DEL MUNICIPIO DE SAN RAFAEL, ANTIOQUIA</t>
  </si>
  <si>
    <t>PQRS - Vía Buenos Aires - La Bodega</t>
  </si>
  <si>
    <t>Solicitud de reunión para revisión de compromisos sobre intervención en la vía Toledo – San José de la Montaña</t>
  </si>
  <si>
    <t>PROYECTOS DE INVERSION CONSTRUCCION DE PAVIMENTO EN PLACA HUELLA VEREDA LA CUCARACHA CORREGIMIENTO DE CURRULAO DEL DISTRITO DE TURBO ANTIOQUIA</t>
  </si>
  <si>
    <t xml:space="preserve">CONSTRUCCION DE PLACA HUELLA EN LA VEREDA LA CALDA MUNICIPIO DE BARBOSA ANTIOQUIA </t>
  </si>
  <si>
    <t xml:space="preserve">CONSTRUCCION DE PLACA HUELLA EN LA VEREDA ALTAMIRA MUNICIPIO DE BARBOSA ANTIOQUIA  </t>
  </si>
  <si>
    <t xml:space="preserve">CONSTRUCCION DE PLACA HUELLA EN LA VEREDA GRACIANO MUNICIPIO DE BARBOSA ANTIOQUIA  </t>
  </si>
  <si>
    <t xml:space="preserve">PROYECTOS DE MEJORAMIENTO DE VIAS TERCIARIOS MEDIANTE LA CONSTRUCCIÓN DE PAVIMENTO RÍGIDO EN LAS VEREDAS MONCHOLO A LA VÍA NACIONAL Y LA VÍA QUE COMUNICA LA VEREDA ALMACIGO ALTO CON LA VEREDA PIEDRECITAS A LA VÍA NACIONAL FASE DOS UBICADOS EN EL MUNICIPIO DE NECOCLI ANTIOQUÍA </t>
  </si>
  <si>
    <t xml:space="preserve">PROYECTOS DE CONSTRUCCIÓN DE PLACAHUELLA O PAVIMENTO RÍGIDO EN EL SECTOR MATABLANCO DEL MUNICIPIO DE ANGOSTURA ANTIOQUÍA </t>
  </si>
  <si>
    <t>PROYECTO DE PAVIMENTO RIGIGO ITUANGO, SECTOR ALTO DEL BURRO</t>
  </si>
  <si>
    <t xml:space="preserve">PROYECTO DE PAVIMENTACIÓN DE VÍA TERCIARIA, SECTOR EL RECREO DEL MUNICIPIO DE NARIÑO ANTIOQUIA </t>
  </si>
  <si>
    <t>PROYECTO CONSTRUCCION OBRA DE MITIGACION PARA LA REHABILITACION DE LA VIA TERCIARIA VEREDA SAN JUAN, MUNICIPIO DE CAICEDO</t>
  </si>
  <si>
    <t>Solicitud presentada por JAC con el interes de participar en el proyecto</t>
  </si>
  <si>
    <t>Es el mismo proyecto del radicado siguiente</t>
  </si>
  <si>
    <t>Es el mismo proyecto del radicado anterior</t>
  </si>
  <si>
    <t>Pertenece al programa de Puentes y PAP. Priorizado</t>
  </si>
  <si>
    <t>Proyecto de construccion de la placa huella en la vereda La Cabaña</t>
  </si>
  <si>
    <t>Solicitud de estudios para la recuperacion sector el Amparo - Fredonia.</t>
  </si>
  <si>
    <t>Solicitud de estudios y diseños para la recuperación de la vía  CAMILO C - EL CINCO - FREDONIA sector El Amparo</t>
  </si>
  <si>
    <t>Solicitud apoyo para atencion a PAP Via Camilo C - El Cinco Fredonia , sector Mi Casita (60AN09)</t>
  </si>
  <si>
    <t>Solicitud apoyo para atencion a PAP Via Camilo C - El Cinco Fredonia , sector Mi Casita (60AN09) (PRESUPUESTO)</t>
  </si>
  <si>
    <t>Solicitud apoyo para atencion a PAP Via Camilo C - El Cinco Fredonia , sector El Amparo (60AN09)</t>
  </si>
  <si>
    <t>Solicitud apoyo para atencion a PAP Via Camilo C - El Cinco Fredonia , sector El Amparo (60AN09) (PRESUPUESTO)</t>
  </si>
  <si>
    <t>Recuperación de la vía  CAMILO C - EL CINCO - FREDONIA SECTOR EL AMPARO</t>
  </si>
  <si>
    <t>Placahuella 952 m</t>
  </si>
  <si>
    <t>Placahuella 570 m</t>
  </si>
  <si>
    <t>Placahuella 1150 m</t>
  </si>
  <si>
    <t>Son 4 proyectos distintos. El presupuesto es la suma de todos los proyectos</t>
  </si>
  <si>
    <t>PROGRAMA</t>
  </si>
  <si>
    <t>CONSTRUCCIÓN DE PAVIMENTO EN PLACA HUELLA PARA LA VÍA A LA VEREDA: 1. LA MESETA ($ 2.385.209.672) 2. SANTA ANA ($ 1.121.164.516) 3. EL CARMELO ($ 1.700.051.625)</t>
  </si>
  <si>
    <t>PRIORIZADO</t>
  </si>
  <si>
    <t>Malabrigo (2) -Mani del Cardal (6)-Pueblitos de los Sanchez-La Delgadita</t>
  </si>
  <si>
    <t>Placa huella Las Nieves-Las Casitas</t>
  </si>
  <si>
    <t>Potrerito (4 tramos)</t>
  </si>
  <si>
    <t>Priorizado el 04/04/2025</t>
  </si>
  <si>
    <t>Puente con diseños. El puente actual tiene poca capacidad hidráulica y no responde a ningún parámetro de alineamiento vial. El puente está en una curva con muy poco radio de curvatura.  4600007028 de 2017.Priorizado el 04/04/2025</t>
  </si>
  <si>
    <t>Conexión nueva entre las vías El Mango Amalfi (25AN12-1-1) y la vía Puente Gavino - Gómez Plata - Carolina del Príncipe - La Herradura - Partidas a Guadalupe - Guadalupe (62AN21-1).   Requiere adquisición de predios y estudios y diseños para diseño geométrico vía de acceso.  4600005828 de 2016.Priorizado 04/04/2025</t>
  </si>
  <si>
    <r>
      <rPr>
        <b/>
        <sz val="11"/>
        <color rgb="FFFF0000"/>
        <rFont val="Calibri"/>
        <family val="2"/>
        <scheme val="minor"/>
      </rPr>
      <t>Muro de contencion en K41+900 ya tiene diseños</t>
    </r>
    <r>
      <rPr>
        <sz val="11"/>
        <color rgb="FF000000"/>
        <rFont val="Calibri"/>
        <family val="2"/>
        <scheme val="minor"/>
      </rPr>
      <t>.Puntos criticos identificados y priorizados en diagnostico realizado en febrero de 2025.</t>
    </r>
    <r>
      <rPr>
        <sz val="11"/>
        <color theme="1"/>
        <rFont val="Calibri"/>
        <family val="2"/>
        <scheme val="minor"/>
      </rPr>
      <t>Priorizado 04/04/2025</t>
    </r>
  </si>
  <si>
    <t>Puente pertenece por programa de puentes y PAP</t>
  </si>
  <si>
    <t>Estudios y diseños incompletos. Va por programa de puentes y PAP. Priorizado el 04/04/2025</t>
  </si>
  <si>
    <t xml:space="preserve">Reemplazo puente existente.  4600012998 de 2021. </t>
  </si>
  <si>
    <t>Puente en mal estado. Con poca capacidad hidráulica. Para reemplazar en el corto o  mediano plazo.  4600007002 de 2017. Priorizado 04/04/2025</t>
  </si>
  <si>
    <t>Puente estrecho que presenta incomodidad y riesgo en la vía. Debe reemplazarse en el corto plazo.  4600007002 de 2017. Se hara por medio de programa de puentes y PAP. Priorizado el 04/04/2025</t>
  </si>
  <si>
    <t>Estudios y diseños incompletos. Priorizado el 04/04/2025</t>
  </si>
  <si>
    <t>Puente Vereda El Jordan Longitud: 17 m Ancho: 6.6 m (Camaron)</t>
  </si>
  <si>
    <t>Priorizado el  14/05/2025</t>
  </si>
  <si>
    <t>Estudios y diseños incompletos. Priorizado el 14/05/2025</t>
  </si>
  <si>
    <t>Hace parte del programa de Puentes y PAP. Priorizado 14/05/2025</t>
  </si>
  <si>
    <t>Estudios y diseños incompletos. Municipio entregara estudios el 15 de abril 2024. Priorizado 14/05/2025</t>
  </si>
  <si>
    <t>Muros de contencion de la quebrada San German y la Rivera del Rio Nus. TRASLADO A DAGRAN</t>
  </si>
  <si>
    <t>Estudios y diseños incompletos. Se trata de obras de proteccion en orillas de dos puentes</t>
  </si>
  <si>
    <t>Puente estrecho de baja sección hidráulica y problemas recurrentes de socavación. Programa puentes y PAP. No se encuentran en visita.</t>
  </si>
  <si>
    <t>Puente estrecho de baja sección hidráulica y problemas recurrentes de socavación. Programa puentes y PAP.No se encuentran en visita.</t>
  </si>
  <si>
    <t>Pertenece al programa de Puentes y PAP. Priorizado 14/05/2025</t>
  </si>
  <si>
    <t>Puentes metalicos</t>
  </si>
  <si>
    <t>Prirorizado 29/04/2025</t>
  </si>
  <si>
    <t>Puente Cocorná Ramal Granada Km 3+288 (San Bartolo - Cocorna)</t>
  </si>
  <si>
    <t>Puente Cocorná Ramal Granada Km 7+178 (La Trinidad - Cocorna)</t>
  </si>
  <si>
    <t>Tras visita del 25 de marzo se comprueba que el puente ya fue construido.</t>
  </si>
  <si>
    <t>Mantenimiento</t>
  </si>
  <si>
    <t>Priorizado 14/05/2025</t>
  </si>
  <si>
    <t>Priorizado 21/05/2025</t>
  </si>
  <si>
    <t>Construccion gaviones en la via de la vereda Rio Arriba</t>
  </si>
  <si>
    <t>Puente Pedral Abajo</t>
  </si>
  <si>
    <t>Boxculvert vereda La Linda (5.7182154 -75.9495000) 05091VT16</t>
  </si>
  <si>
    <t>Boxculvert vereda La Ladera (5.7364826 -75.9506357
) 05091VT16</t>
  </si>
  <si>
    <t>Obras hidraulicas para detener movimiento en masa vereda La Ladera (5.7182154 -75.9495000
) 05091VT02</t>
  </si>
  <si>
    <t>Muro de contencion vereda La Florida (5.7510758 -75.9943080
) 05091VT23</t>
  </si>
  <si>
    <t>Muro contencion recuperacion via El Respaldo</t>
  </si>
  <si>
    <t>Construcción obra de mitigación para la rehabilitación de la vía terciaria vereda San Juan</t>
  </si>
  <si>
    <t>Construcción obras de mitigación para la rehabilitación del puente vereda La García</t>
  </si>
  <si>
    <t>Obras mitigacion tramo Caicedo - La Salazar vereda Cascajal</t>
  </si>
  <si>
    <t>Muro de contencion 27 km de via urbana</t>
  </si>
  <si>
    <t>Punto critico muro La Magdalena</t>
  </si>
  <si>
    <t>Puntos criticos muro sector Marial</t>
  </si>
  <si>
    <t>Puntos criticos muro sector Palestina</t>
  </si>
  <si>
    <t>Muro de contencion El Salto</t>
  </si>
  <si>
    <t>PAP via La Tolva - Piedra Verde - La Ye PR 20+700</t>
  </si>
  <si>
    <t>Intervención en 4 puntos críticos de la vía secundaria “Guarne – Yolombal - San Vicente”</t>
  </si>
  <si>
    <t>Construccion de muros en pilotes y obras complementarias en la quebrada La Sucia</t>
  </si>
  <si>
    <t>Punto de atencion prioritaria PR 76+300 via Medellin Ituango (SC 3)</t>
  </si>
  <si>
    <t>Punto de atencion prioritaria PR 82+000 via Medellin Ituango (SC 2)</t>
  </si>
  <si>
    <t>Punto de atencion prioritaria PR 73+800 via Medellin Ituango (SC 4)</t>
  </si>
  <si>
    <t>Muro de contencion SC1</t>
  </si>
  <si>
    <t>Puente vehicular El Zanjon Vereda Florida</t>
  </si>
  <si>
    <t>La Mesenia l 14 x 3.5m (se debe incrementar longitud de 20 a 25 m)</t>
  </si>
  <si>
    <t>Muro de contencion Santa Ana</t>
  </si>
  <si>
    <t>Puente vehicular quebrada Juan Garcia (Liborina - Angelina)</t>
  </si>
  <si>
    <t>PAP via Liborina - San Jose de la Montaña km6+000</t>
  </si>
  <si>
    <t>PAP via Liborina - San Jose de la Montaña km6+300</t>
  </si>
  <si>
    <t>Puente militar km5+700</t>
  </si>
  <si>
    <t>Puente vehicular Alicante conecta los municipios de Maceo y Puerto Berrio aprox 45 m</t>
  </si>
  <si>
    <t>PROYECTO CONSTRUCCIÓN DE MURO DE CONTENCIÓN PARA MITIGACIÓN DEL RIESGO EN CARRERA LA PAZ MUNICIPIO DE PEQUE</t>
  </si>
  <si>
    <t>PAP Uramita - Peque KM 47+545 (62AN09)</t>
  </si>
  <si>
    <t>PUNTO CRITICO VIA 62AN29-1-1 Carretera Secundaria Departamental (La Ye - Remedios)</t>
  </si>
  <si>
    <t>Solicitud intervencion PAP via Piñuela - San Francisco PAP 1</t>
  </si>
  <si>
    <t>Solicitud intervencion PAP via Piñuela - San Francisco PAP 2</t>
  </si>
  <si>
    <t>Solicitud intervencion PAP via Piñuela - San Francisco PAP 3</t>
  </si>
  <si>
    <t>Solicitud intervencion PAP via Piñuela - San Francisco PAP 4</t>
  </si>
  <si>
    <t>Solicitud intervencion PAP via Piñuela - San Francisco PAP 5</t>
  </si>
  <si>
    <t>Solicitud intervencion PAP via Piñuela - San Francisco PAP 6</t>
  </si>
  <si>
    <t>La Apartada (San José de La Montaña) - Partidas (San José de la Montaña) - Toledo - Matanzas (No incluye tramo urbano de Toledo)</t>
  </si>
  <si>
    <t>Puente vereda La Manuela San José de la Montaña- Liborina (pontón 4m) 05091VT23</t>
  </si>
  <si>
    <t>Intervención de puentes vía terciaria y PAP en la vía San Luis- Chocó</t>
  </si>
  <si>
    <t>Muro de contencion KM1+080 via San Luis - El Choco</t>
  </si>
  <si>
    <t>Puente El Peñol - Guatapé - San Rafael Km 27+385</t>
  </si>
  <si>
    <t>SC1 Via San Jorge - San Roque (6.5018N -75.0186W)</t>
  </si>
  <si>
    <t>SC2 Via San Jorge - San Roque (6.5208N -74.9983W)</t>
  </si>
  <si>
    <t>SC3 Via San Jorge - San Roque (6.5309N -75.0038W)</t>
  </si>
  <si>
    <t>SC1 Via SAn Roque - La Palma (6.4429N-75.0347W)</t>
  </si>
  <si>
    <t>Muro de contencion sobre via La Santander - Sector Hospital</t>
  </si>
  <si>
    <t>Puente Vehicular vereda San Rafael corregimiento San Miguel (La Danta)</t>
  </si>
  <si>
    <t>Muro contencion en puente quebrada La Mica</t>
  </si>
  <si>
    <t>Via El Moral-Brugo PUNTO 1 L=20 m (7 02'13.2'' N 75 43'37.2'' W)</t>
  </si>
  <si>
    <t>Via El Moral-Brugo PUNTO 2 L=36 m (7 01'35.0'' N 75 43'06.8'' W)</t>
  </si>
  <si>
    <t>Puente vereda La Culebra</t>
  </si>
  <si>
    <t>Proyecto Punto de Atención Prioritaria la Esperanza - Municipio de Valparaíso -Antioquía PAP 1</t>
  </si>
  <si>
    <t>Proyecto Punto de Atención Prioritaria la Esperanza - Municipio de Valparaíso -Antioquía PAP 2</t>
  </si>
  <si>
    <t>Puente Sabaleta</t>
  </si>
  <si>
    <t>Mantenimiento Puente metalico urbano sobre Rio Guatape</t>
  </si>
  <si>
    <t>Reparacion Puente vehicular vereda El recreo</t>
  </si>
  <si>
    <t>Convenio</t>
  </si>
  <si>
    <t>Trasladar a DAGRAN</t>
  </si>
  <si>
    <t>Revisado pero pendiente por priorizacion</t>
  </si>
  <si>
    <t>Priorizado el 14/05/2025</t>
  </si>
  <si>
    <t>Revisado pero pendiente por priorizacion. Diseños de cartilla</t>
  </si>
  <si>
    <t>Priorizado el 14/05/2025. Pendiente entrega de EYD</t>
  </si>
  <si>
    <t>Priorizado el 04/04/2025.</t>
  </si>
  <si>
    <t>Priorizado el 04/04/2025. Posteriormente se desprioriza por ser via urbana</t>
  </si>
  <si>
    <t>Se ejecutara por OXI</t>
  </si>
  <si>
    <t>Sin EYD. Comunicado recibido el 11 de abril</t>
  </si>
  <si>
    <t>Sin EYD. Comunicado recibido el 11 de abril. Es un puente militar que debe ser devuelto al INVIAS</t>
  </si>
  <si>
    <t>Sin EYD. Posible puente militar. Comunicado del 10 de marzo sugiere cambiar de ubicación el puente proyectado</t>
  </si>
  <si>
    <t>EYD recibidos el 16 de mayo 2025</t>
  </si>
  <si>
    <t>Informe radicado el 2 de abril</t>
  </si>
  <si>
    <t>Pérdida de banca en el sector la Argollita de la vía 62AN29-1-1 Carretera Secundaria Departamental (La Ye - Remedios). En peligro banca y oleoductos. 15/05/2025 Se confirma con secretaria de planeacion que no existen estudios en fase 3. Pasa entonces de priorizado a pendiente.</t>
  </si>
  <si>
    <t>RAD 2025010139131. De los anexos del radicado se infiere que son seis PAP.</t>
  </si>
  <si>
    <t>Fue considerado para priorizacion el 04/04/2025 sin embargo por su alto costo no se ajustaba al programa de puentes y pap</t>
  </si>
  <si>
    <t>RAD 2025010180420</t>
  </si>
  <si>
    <t xml:space="preserve">Petición realizada atraves de oficio enviado el día 30/04/2025. </t>
  </si>
  <si>
    <t>Comunicado enviado el 09 de abril por email. Comunicado incluye diagnostico de 16 puentes sin E&amp;D.</t>
  </si>
  <si>
    <t>Estudios y diseños etapa 1</t>
  </si>
  <si>
    <t>Mantenimiento puente con valor patrimonial</t>
  </si>
  <si>
    <t>Apoyo para realizacion de EYD</t>
  </si>
  <si>
    <t>Puente vehicular Quebrada La Tigra - Altos de la Amalia</t>
  </si>
  <si>
    <t>Puente sobre la Avenida de los Estudiantes</t>
  </si>
  <si>
    <t>Puente La Florida</t>
  </si>
  <si>
    <t>Puente urbano</t>
  </si>
  <si>
    <t>Puente cruce quebrada San Pedro (entre Santo Domingo y Concepcion)</t>
  </si>
  <si>
    <t>CONSTRUCCIÓN DE PARQUES DEL RIO ETAPA 1 EN EL MUNICIPIO DE VEGACHÍ ANTIOQUIA”</t>
  </si>
  <si>
    <t>No tiene E&amp;D. GOB 50% MUNIC 30% COM 20%</t>
  </si>
  <si>
    <t>Propuesta proyectos en desarrollo Bajo Cauca Antioqueño. Finca la Mariela - Caucasía Antioquia</t>
  </si>
  <si>
    <t>Recuperación pavimentación y mantenimiento a la malla vial que comunica al municipio de Armenia con el municipio de Titiribí</t>
  </si>
  <si>
    <t>Solicitud de Pavimentación vía Peñalisa - La Bodega - Tarso La Bodega - Pueblorico con codigo 25BAN03-1</t>
  </si>
  <si>
    <t>Mejoramiento de vías rurales en los municipios de Belmira y San José de la Montaña Antioquia</t>
  </si>
  <si>
    <t>Construcción de pavimento rígido en vías del casco urbano del municipio de San Pedro de Urabá Antiquia</t>
  </si>
  <si>
    <t>Construcción del espacio público parques de la quebrada Donmatías Antioquia - Etapa 1</t>
  </si>
  <si>
    <t>Solicitud de construcción de vía en el sector Quebrada Arriba Los Lagos y Matazano (Barbosa - Donmatías)</t>
  </si>
  <si>
    <t>Construcción de pavimento en el barrio Brisas de Urabá del municipio de San Pedro de Urabá Antioquia</t>
  </si>
  <si>
    <t>EL proyecto sera desarrollado entre el K0+000 saliendo de la cabecera municipal de Pueblorrico hasta el K1+580 sector El Barcino</t>
  </si>
  <si>
    <t>El proyecto será desarrollado en la zona Rural del municipio de Pueblorrico; en la vía de tercer orden 25BAN03: Pueblorrico - Sinaí - La Bodega- Peñalisa que comunica el casco urbano con las Veredas Corinto Mulatos Sinaí Sevilla y Morrón; entre el km 2+100 desde la salida de la cabecera municipal sobre la calle 30 (Tiendas D1 Pueblorrico y Capilla San José) y el km 3+500</t>
  </si>
  <si>
    <t>Construcción e implementación de la ciudadela de innovación agroempresarial regional en el municipio de Sonsón</t>
  </si>
  <si>
    <t>ADICION - Mejoramiento de vías terciarias de las veredas Mulatico Patio Bonito y Morrón del municipio de Tarso Antioquia mediante la construcción de pavimentación de Placa huella</t>
  </si>
  <si>
    <t>Construcción del parque Villa Esperanza del municipio de San Pedro de Urabá Antioquia</t>
  </si>
  <si>
    <t>Construcción de pavimento rígido en vías urbanas  Barrio Obrero del municipio de Apartadó</t>
  </si>
  <si>
    <t>Pavimentación en concreto rígido  andenes peatonales y silvicultura en la calle 97 entre carrera 101 y 112 del municipio de Chigorodó Antioquia</t>
  </si>
  <si>
    <t>Intervención de la vía terciaria de acceso al corregimiento cedeño y sus veredas aledañas en el municipio de Yarumal Antioquia afectada por la ola invernal</t>
  </si>
  <si>
    <t>Mejoramiento del corredor turístico Cocorná - Maria Parda con la construcción de 2.6 km de pavimento rígido en el municipio de Cocorná Antioquia</t>
  </si>
  <si>
    <t>Mejoramiento de vías terciarias en la vereda Churido Medio zona rural del municipio de Apartadó Antioquia.</t>
  </si>
  <si>
    <t xml:space="preserve">Pavimentación de 22 Km vía Medellín-Bogotá y Vereda Peñolcito
</t>
  </si>
  <si>
    <t>Mantenimiento de la vía terciaria que comunica la vereda El Roblal y el sector la Ye en el Municipio de Briceño Antioquia.</t>
  </si>
  <si>
    <t>Construcción estabilización y conformación de tramo de la banca en el sector "Mi Casita".</t>
  </si>
  <si>
    <t>Mejoramiento de la infraestructura vial mediante la construcción de pavimento rígido en la vía que comunica a la vereda La Pava del Municipio de Alejandría Antioquia</t>
  </si>
  <si>
    <t>Mejoramiento y recuperaciíon vial conoxión cabecera municipal y el Centro Poblado Otramina</t>
  </si>
  <si>
    <t>MEJORAMIENTO DE VIA MEDIANTE LA CONSTRUCCION DE PLACA HUELLA EN EL TRAMO HOSPITAL BOTADERO A CIELO ABIERTO ABSCISA K0+00 A LA ABSCISA K1+1710</t>
  </si>
  <si>
    <t>Puesto información turística estudios y diseños del mirador de Titiribi estudios y diseños para la construcción del resguardo ecoturístico en Urrao</t>
  </si>
  <si>
    <t>Construcción  de  Puestos  de  Información  TurísticaEstudios y Diseños del Mirador de Titiribí Estudios   y   Diseños   para   la   Construcción   del   Resguardo   Ecoturístico Sostenible en el Municipio de Urrao</t>
  </si>
  <si>
    <t>AUNAR ESFUERZOS ENTRE EL DEPARTAMENTO DE ANTIOQUIA Y EL MUNICIPIO DE TARSO PARA LA CONSTRUCCIÓN
DE LA PLACA HUELLA EN LAS VEREDAS LA ARBOLEDA Y CHAGUANÍ DE LA SUBREGIÓN SUROESTE EN EL MUNICIPIO DE TARSO</t>
  </si>
  <si>
    <t>Construcción Placa - Huella: *Vereda El Progreso Tramo 1: 600 metros *Vereda Pio XII Tramo 2: 500 metros</t>
  </si>
  <si>
    <t xml:space="preserve">Tres (3) km de placa huella en las veredas La Chuscalita La Quiebra y Monterredondo de nuestro municipio. </t>
  </si>
  <si>
    <t>MEJORAMIENTO DE VÍA TERCIARIA MEDIANTE LA CONSTRUCCIÓN DE PLACA HUELLA EN LA VIA QUE COMUNICA HACIA EL CORREGIMIENTO DE PUERTO CLAVER ZONA RURAL DEL MUNICIPIO DE EL BAGRE.</t>
  </si>
  <si>
    <t>“CONSTRUCCIÓN DE PAVIMENTO RÍGIDO PARA MEJORAMIENTO DE LA VÍA HACIA LA VEREDA CORRENTOSO DESDE LA PARTIDA DE LONDRES NECHÍ ANTIOQUIA”</t>
  </si>
  <si>
    <t>ESTUDIOS Y DISEÑOS PARA LA CONSTRUCCION DE 1.7 KILOMETROS DE PLACA HUELLA EN LA VEREDA MORAVIA ZONA RURAL DEL MUNICIPIO DE BRICEÑO-ANTIOQUIA</t>
  </si>
  <si>
    <t>Mejoramiento y recuperación de las condiciones de movilidad entre el municipio de Girardota valle de aburra y la "YE" que comunica con guarne oriente antioqueño y con el municipio de san Vicente de Ferrer.</t>
  </si>
  <si>
    <t>CONSTRUCCIÓN DE 5 KM DE PLACA HUELLA EN LA VÍA ZARAGOZA-EL BAGRE EN EL MARCO DE IMPLEMENTACIÓN DEL ACUERDO FINAL PARA LA PAZ ZONA RURAL DEL MUNICIPIO DE ZARAGOZA - ANTIOQUIA.</t>
  </si>
  <si>
    <t xml:space="preserve">Rehabilitación y mejoramiento de vías urbanas en pavimento rígido con reposisión de redes de acueducto y alcantarillado en el municipio de Yarumal - Antioquia. </t>
  </si>
  <si>
    <t xml:space="preserve"> MEJORAMIENTO DE VÍA (VEREDA SAN ISIDRO - VEREDA BOQUERÓN) EN EL MUNICIPIO DE SAN FRANCISCO ANTIOQUIA.</t>
  </si>
  <si>
    <t>CONSTRUCCIÓN DE PLACA HUELLA EN LAS ZONAS RURALES DE PUERTO RAUDAL Y RAUDAL VIEJO PARA MEJORAR LA MOVILIDAD EN LAS VEREDAS DEL MUNICIPIO DE VALDIVIA ANTIOQUIA</t>
  </si>
  <si>
    <t>Construcción de pavimento rígido y optimización de redes de acueducto y alcantarillado en los barrios: La Magdalena El Carmen y Costa de Oro en el municipio de Cáceres departamento de Antioquia.</t>
  </si>
  <si>
    <t>CONSTRUCCIÓN DE PAVIMENTO RÍGIDO Y URBANISMO PARA MEJORAR LA MOVILIDAD EN EL MUNICIPIO DE CAREPA ANTIOQUIA</t>
  </si>
  <si>
    <t>CONSTRUCCIÓN DE PAVIMENTO RÍGIDO DE VÍAS URBANAS DISPERSAS EN EL MUNICIPIO DE URRAO ANTIOQUIA</t>
  </si>
  <si>
    <t>"ESTUDIOS Y DISEÑOS PARA ELMEJORAMIENTO Y REHABILITACIÓN DE LA VÍA YOLOMBAL CIRCUNVALAR GUARNEPARA LA UNIÓN DEL VALLE DE ABURRÁ Y EL VALLE DE SAN NICOLÁSI</t>
  </si>
  <si>
    <t>"CONSTRUCCIÓN DE PAVIMENTO DELA VÍA DE ACCESO AL HOSPITAL DON BOSCO DEL CORREGIMIENTO DECURRULAO DEL DISTRITO DE TURBO ANTIOQUIA”</t>
  </si>
  <si>
    <t>PAVIMENTACIÓN VÍA DE ACCESO DEL CORREGIMIENTO ALFONSO LOPEZ MUNICIPIO DE CIUDAD BOLIVAR - ANTIOQUIA</t>
  </si>
  <si>
    <t>CONSTRUCCIÓN DE OBRAS DE MEJORAMIENTO URBANO DEL PARQUE MIRADOR PERLA DEL RÍO NECHÍ EN EL MUNICIPIO DE ZARAGOZA ANTIOQUIA</t>
  </si>
  <si>
    <t>MEJORAMIENTO DE LA VÍA TERCIARIA DEL SECTOR VILLETA DELMUNICIPIO DE ARGELIA ANTIOQUIA</t>
  </si>
  <si>
    <t>PAVIMENTACION Y URBANISMO EN CONCRETO RIGIDO ZONA URBANA DEL MUNICIPIO DE SAN CARLOS DEPARTAMENTO DE ANTIOQUIA</t>
  </si>
  <si>
    <t>MEJORAMIENTO    DE    LA    VÍA    DEPARTAMENTAL    SONSÓN AGUADAS MUNICIPIO DE SONSÓN ANTIOQUIA.</t>
  </si>
  <si>
    <t>Pavimentacin de 1950 km de la via Iborra en la zona rural del municipio de Donmatas del Departamento de Antioqui</t>
  </si>
  <si>
    <t>MEJORAMIENTO Y REPOSICIN DE PAVIMENTO RGIDO EN VIAS URBANAS DE LA CABECERA MUNICIPAL Y LOS CORREGIMIENTOS DE SAN JOSE DEL NUS Y PROVIDENCIA DEL MUNICIPIO DE SAN ROQUE DEPARTAMENTO DE ANTIOQUIA</t>
  </si>
  <si>
    <t>PAVIMENTACIÓN Y ADECUACIÓN DE VÍA EN EL BARRIO EL SOCORRO Y LA COPA EN LA ZONA URBANA DEL MUNICIPIO DE URAMITA ANTIOQUIA</t>
  </si>
  <si>
    <t>ESPACIO PÚBLICO PARA LA CARRERA 47: VIAS ANDENES Y CICLORRUTA</t>
  </si>
  <si>
    <t>MEJORAMIENTO DE CALLE CEMENTERIO EN EL CORREGIMIENTO DE PUERTO VALDIVIA MUNICIPIO DE VALDIVIA ANTIOQUIA</t>
  </si>
  <si>
    <t>No remiten presupuestos  estudios tipo.</t>
  </si>
  <si>
    <t>CONSTRUCCIÓN DEL PUENTE VEHÍCULAR LLANADAS EN LA VIA TERCIARIA "BRICEÑOLAS BRISAS DEL MUNICIPIO DE BRICEÑO ANTIOQUIA</t>
  </si>
  <si>
    <t>CONSTRUCCION DEL PUENTE VEHICULAR EL RETN SOBRE EL RIO PEDRAL ZONA RURAL DEL MUNICIPIO DE BETANIA - ANTIOQUIA</t>
  </si>
  <si>
    <t>CONSTRUCCIÓN DE ESTRIBO Y ALETAS DE UN COSTADO DEL PUENTE VEHICULAR EL RETEN SOBRE EL RIO PEDRAL ZONA RURAL DEL MUNICIPIO DE BETANIA - ANTIOQUIA. Documentacion entregada por el municipio</t>
  </si>
  <si>
    <t>MEJORAMIENTO DE VIAS RURALES EN SISTEMA CONSTRUCTIVO PLACA HUELLA PARA LA VEREDA MORRON DEL MUNICIPIO DE CONCORDIA  ANTIOQUIA.</t>
  </si>
  <si>
    <t>Construcción de placa huellas en las vías terciarias del municipio de Jardín Antioquia</t>
  </si>
  <si>
    <t>MEJORAMIENTO RED VIAL TERCIARIA EN LAS VEREDA LA MANGA NOQUE LA GARCIA ANOCOZCA EL CHOCHAL ROMERAL SAN JUAN LOS PINOS EN ZONA RURAL DEL MUNICIPIO DE CAICEDO -ANTIOQUIA - TRAMO VIAL VEREDA LA MANGA ABSCISA 2+400 - 5+000</t>
  </si>
  <si>
    <t>MEJORAMIENTO DE LAS VÍAS RURALES EN LOS MUNICIPIOS DE BELMIRA Y SAN JOSE DE LA MONTAÑA ANTIOQUIA</t>
  </si>
  <si>
    <t>CONSTRUCCIÓN DE PLACA HUELLA EN LA ZONA RURAL DEL MUNICIPIO DE BELMIRA ANTIOQUIA (VEREDA EL ZANCUDITO)</t>
  </si>
  <si>
    <t>CONSTRUCCIÓN DE PLACA HUELLA EN LA ZONA RURAL DEL MUNICIPIO DE BELMIRA ANTIOQUIA</t>
  </si>
  <si>
    <t>ESTUDIOS Y DISEÑOS PARA EL MEJORAMIENTO DE VÍA (SAN FRANCISCO – GUACALES) EN EL MUNICIPIO DE SAN FRANCISCO ANTIOQUIA</t>
  </si>
  <si>
    <t>CONSTRUCCIÓN DE PLACA HUELLA PARA MEJORAMIENTO DE LA VIA ENTRE EL CEMENTERIO - LA I.E. LAS FLORES Y ENTRE EL CORREGIMIENTO LAS FLORES Y EL SECTOR LAS PISCINAS NECHÍ – ANTIOQUIA</t>
  </si>
  <si>
    <t>CONSTRUCCIÓN DE PLACA HUELLA PARA MEJORAMIENTO DE LA VIA ENTRE LA VEREDA EL ONCE Y EL SECTOR LAS PISCINAS NECHÍ- ANTIOQUIA</t>
  </si>
  <si>
    <t>CONSTRUCCIÓN DE PLACA HUELLA CAMINOS DEL PROGRESO PARA CREER. MONTEBELLO ANTIOQUIA</t>
  </si>
  <si>
    <t>Guacas Arriba La Jota La Mora Barcino San Matías Guacas Abajo</t>
  </si>
  <si>
    <t>Puente Gavino Conexión vial nueva Puente nuevo. Ubicado sobre el rio Porce por fuera de la vía actual. L= 1300m S= 110m</t>
  </si>
  <si>
    <t>Puente Mi Casita (Fredonia) - Venecia L= 2240m S= 940m</t>
  </si>
  <si>
    <t>Puente La Fabiana - El Líbano - Támesis L= 6935m S= 82m</t>
  </si>
  <si>
    <t>Puente vehicular sonadora municpioo de Granada. L=135m</t>
  </si>
  <si>
    <t>Puente Montenegro (La Fabiana)- Valparaiso L=60 S=810</t>
  </si>
  <si>
    <t>Puente Salgar - La Cámara La Quiebra L= 300m S= 730m</t>
  </si>
  <si>
    <t>Puente Valparaíso - Caramanta - Puente ArquíaKm 9+600 L= 200m S= 730m</t>
  </si>
  <si>
    <t>Puente que fue repotenciado con vigas en acero y ha mantenido uso sin embargo no se considera seguro y es necesario su reemplazo en el corto plazo.  Programa puentes y PAP</t>
  </si>
  <si>
    <t xml:space="preserve">Puente La Virgen. Puente que colapsó el 25 de enero de 2025  </t>
  </si>
  <si>
    <t>Puente Carepa - Saiza Km 24+200 L= 80m S= 60m</t>
  </si>
  <si>
    <t xml:space="preserve">Puente el Cerro.  Puente con pilas de cimentación cortas y con alto grado de socavación. Sitio geológicamente inestable. Falla inminente.  </t>
  </si>
  <si>
    <t>Puente Carepa - Saiza Km 16+728 L= 600m S= 50</t>
  </si>
  <si>
    <t>Puente Carepa - Saiza Km 2+600 L= 200m S= 730m</t>
  </si>
  <si>
    <t>Puente Santiago Berrío - Mulas - Cruces Km 20+000 L= 600m S= 810m</t>
  </si>
  <si>
    <t>Puente San Fermín (Ruta 25) - Briceño Km 9+400 L= 260m S= 810m</t>
  </si>
  <si>
    <t>Puente San José del Nus - Caracolí Km 17+00 L= 600m S= 810m</t>
  </si>
  <si>
    <t>Puente Santiago Berrío - Mulas - Cruces Km 9+600 L= 3930m S= 810m</t>
  </si>
  <si>
    <t>Puente Pajarito - San Pedro de Los Milagros - Entrerríos - Santa Rosa de Osos Km 9+912 L= 130m S= 110m</t>
  </si>
  <si>
    <t>Puente Buenos Aires (Ruta 62) - Abriaquí Km 28+900 L= 250m S= 770m</t>
  </si>
  <si>
    <t>Puente El Tres - San Pedro de Urabá Km 25+000 L= 6090m S= 810m</t>
  </si>
  <si>
    <t>Puente Montebello - El Aguacate - El Cairo Km 20+900 L= 4222m S= 670m</t>
  </si>
  <si>
    <t>"CONSTRUCCION DE PUENTE VEHICULAR EN LA VEREDA EL PIRU DEL MUNICIPIO DE SAN PEDRO DE URABA ANTIOQUIA"</t>
  </si>
  <si>
    <t>Solicitud de financiación del Proyecto Integrador “Construcción de puentes vehiculares en la vía Cantagallo (Bolívar) –Yondó (Antioquia) parala interconexión vial Regional del Sur de Bolívar con Antioquia Santander y el interior del País</t>
  </si>
  <si>
    <t>Puente prioritario el 80% de los habitantes de la zona selvatica de Urrao lo utilizan y en este momento tiene  un puente completamente inseguro.Priorizado el 04/04/2025</t>
  </si>
  <si>
    <t>Puente via Construcción de puente vehicular sobre el rio Aurra interconexión entre la antigua via al mar y la doble calzada sector  Leticia san jeronimo - Antioquia longitud 30m</t>
  </si>
  <si>
    <t>Puente prioritario conecta dos vías de intreres para el Departamento así mismo es el principal punto de conexión con la zona rural.</t>
  </si>
  <si>
    <t>Perdida total de la banca por creciente de quebrada dejando incomunicada parte de la comunidad y del Centro Educativo Rural El Guadual</t>
  </si>
  <si>
    <t>Colapso del puente el infante en el año 2013 por incendio lo que causó que los habitantes  de la vereda el brasil parte baja quedara incomunicada y tengan que tomar caminos alternos para el acceso al casco urbano.</t>
  </si>
  <si>
    <t>Se requiere puente peatonal sobre el Río Nare en la vereda San Julián del municipio de San Rafael y La vereda Santa Teresa del Municipio de San Roque para comunicar estas dos veredas y así facilitar la comercialización de productos agrícolas de estas dos veredas.</t>
  </si>
  <si>
    <t>Puente Paso Ancho-Nutibara-Murri Km 23+700 L=14 m 4 m galibo</t>
  </si>
  <si>
    <t>Puente Paso Ancho-Nutibara-Murri km 27+820 L=16 m 6 m galibo</t>
  </si>
  <si>
    <t>Puente Paso Ancho-Nutibara-Murri km 34+900 L=14 m 4 m galibo</t>
  </si>
  <si>
    <t>CONSTRUCCIÓN  DE GAVIONES PARA PUNTOS CRITICOS DE LA VIA DE LA VEREDA RIO ARRIBA ZONA RURAL  DEL  MUNICIPIO  DE  BELMIRA  ANTIOQUIA</t>
  </si>
  <si>
    <t>FASE 3  se atendera por programa de puentes y PAP. Priorizado el 04/04/2025</t>
  </si>
  <si>
    <t>Puente Quebrada La Clara Longitud 1380 ancho 5.00</t>
  </si>
  <si>
    <t>Puente Quebrada El Chocho Longitud 1350 ancho 6.00</t>
  </si>
  <si>
    <t>Estudios y diseños incompletos Priorizado el 14/05/2025</t>
  </si>
  <si>
    <t>Puente Quebrada Gaviria Morrón Longitud 1500 ancho 3.00</t>
  </si>
  <si>
    <t>Estudios y diseños incompletos. Visitado pendiente por priorizacion</t>
  </si>
  <si>
    <t>Puente Llanadas Longitud 2100 ancho 6.60</t>
  </si>
  <si>
    <t>Puente Bocas de Chikamoke Longitud 6000 ancho 2.50</t>
  </si>
  <si>
    <t>Puente El Guamito Longitud 1000 ancho 1.70</t>
  </si>
  <si>
    <t>Puente Vegas de Chiquinquirá Longitud 800 ancho 4.00</t>
  </si>
  <si>
    <t>Puente Vereda La Comarca sobre el Rio Mulato Longitud 6000 ancho 2.50</t>
  </si>
  <si>
    <t>Puente Quebrada San Julián Longitud 1600 ancho 5.00</t>
  </si>
  <si>
    <t>Puente San Juancito Arriba Longitud 2000 Ancho:</t>
  </si>
  <si>
    <t>Puente Zona Urbana- Sector Palmichala Longitud:750m  Ancho: 4 m</t>
  </si>
  <si>
    <t>Puente Vereda Isleta Longitud:2400m Ancho: 25m</t>
  </si>
  <si>
    <t>Puente Sector Cachambal-Maracaibo Longitud 1200 Ancho: 4 m</t>
  </si>
  <si>
    <t>Puente Vereda San Antonio Puente Juan Vara Longitud: 2800 m Ancho: 4 m</t>
  </si>
  <si>
    <t>Puente San Antonio-Zaragoza Longitud: 2800 m Ancho: 4 m</t>
  </si>
  <si>
    <t>Estudios para pavimentación de 15 km vías urbanas. Adjunta estudios y diseños</t>
  </si>
  <si>
    <t>CONSTRUCCIÓN DE PAVIMENTO EN CONCRETO RÍGIDO EN EL CORREGIMIENTO DE PAJILLAL ZONA RURAL DEL MUNICIPIO DE ARBOLETES ANTIOQUIA</t>
  </si>
  <si>
    <t>Placa huella para las veredas La Miel Fátima La Loma y Corregimiento San José</t>
  </si>
  <si>
    <t>Construccion pavimento rigido Via La Troncal - Corregimeinto de Puerto Antioquia (15 km)</t>
  </si>
  <si>
    <t>Construccion flexible rigido via Colorado - Nechí (via secundaria 86 km)</t>
  </si>
  <si>
    <t>"LA PALMIRA - SECTOR EL GUASQUIAN-FILO DE LA INDIA - 34037 ml LA PALMIRA-SECTOR LA CLARA - 37859 ml LA PALMIRA-SECTOR VILLA DEL LAGO - 1.24374 m LA PALMIRA-SECTOR EL CHAVERRA - 53730 ml"</t>
  </si>
  <si>
    <t>Cuatro muros de contencion 1 sector variante 1 sector la piscina 1 sector La Virgen- Carpinteria 1 sector de Los Guaduales. Tienen diseños por cartilla.</t>
  </si>
  <si>
    <t>Hay E&amp;D por porgrama de puentes y PAP.2 muros de contencion en sector El Zancudo 2 muros de contencion sector Estrella</t>
  </si>
  <si>
    <t>Mejoramiento de vías terciarias en las veredas La Quiebra Los Medios y La Merced en el municipio de Granada en Fase III</t>
  </si>
  <si>
    <t>"Mejoramiento de vias terciarias mediante pavimento flexible en el sector de las veredas de el penol riochico y yerbabuenal del municipio de Entrerrios"</t>
  </si>
  <si>
    <t xml:space="preserve">Presentación de Estudios Diseños y presupuesto. </t>
  </si>
  <si>
    <t>TRANSFORMACIÓN  URBANÍSTICA  DE  LA  CALLE  97  Y  VÍAS ALEDAÑAS PARA LA MOVILIDAD SEGURA DE TODOS Y TODAS EN EL MUNICIPIO DE CHIGORODÓ</t>
  </si>
  <si>
    <t>REPOSICIÓN DE LA MALLA VIAL DE LAS VÍAS TERCIARIAS DEL SECTOR LA MANUELA VEREDA PANTANILLO Y VEREDA PERICO DEL MUNICIPIO DE ENVIGADO</t>
  </si>
  <si>
    <t>Reposicion de pavimento por pavimento flexible de 8.2km de vias terciarias  longitud distribuida en tres vias.</t>
  </si>
  <si>
    <t>La via pertenece al INVIAS se debe solicitar permiso de intervencion. Pertenece a programa de puentes y PAP. Priorizado 04/04/2025</t>
  </si>
  <si>
    <t>MEJORAMIENTO DE VIAS TERCIARIAS MEDIANTE EL USO DE PLACA HUELLA EN LA VIA APARTADA DE SAN JUANCITO CEDRO - SANJUANCITO - CEDRO DEL MUNICIPIO DE SAN PEDRO DE URABA ANTIOQUIA 2km</t>
  </si>
  <si>
    <t>El proyecto contempla pavimento articulado andenes alumbrado y otras obras urbanisticas</t>
  </si>
  <si>
    <t>Solicitud de priorizacion de intervencion en puntos criticos de la via municipal caicedo anza codigo 05125vt11</t>
  </si>
  <si>
    <t>Municipio solicita apoyo para llevar proyecto a FASE III. Son dos puentes la soledad y Jardin solo el primero tiene EYD. Priorizado 14/05/2025</t>
  </si>
  <si>
    <t>PROYECTO DE ILUMINACIÓN VIA CIRCUNVALAR EN EL MUNICIPIO DE EL CARMEN DE VIBORAL ANTIOQUIA</t>
  </si>
  <si>
    <t>Disenos de muros cartilla veredas El Carmen (3) y Pantalio (1)</t>
  </si>
  <si>
    <t>PROYECTO DE CONSTRUCCIÓN DEL TRAMO DE PLACAHUELLA EN LA VEREDA GUADUAL ABAJO DEL MUNICIPIO DE ARBOLETES ANTIOQUIA</t>
  </si>
  <si>
    <t>PROYECTO DE PAVIMENTO RIGIDO ITUANGO SECTOR ALTO DEL BURRO</t>
  </si>
  <si>
    <t xml:space="preserve">PROYECTO DE PAVIMENTACIÓN DE VÍA TERCIARIA SECTOR EL RECREO DEL MUNICIPIO DE NARIÑO ANTIOQUIA </t>
  </si>
  <si>
    <t>PROYECTO CONSTRUCCION OBRA DE MITIGACION PARA LA REHABILITACION DE LA VIA TERCIARIA VEREDA SAN JUAN MUNICIPIO DE CAICEDO</t>
  </si>
  <si>
    <t>Construcción de placa huella en la vía acceso al corregimiento de Belén Municipio de San Juan de Urabá Antioquia</t>
  </si>
  <si>
    <t>CONSTRUCCIÓN DE PLACA HUELLA EN LA VÍA QUE CONDUCE DESDE LA VEREDA CAMPO ALEGRE A LA VEREDA SANTA ROSITA ZONA RURAL DEL MUNICIPIO DE CAUCASIA"</t>
  </si>
  <si>
    <t>Puente Sector La Manuela vereda La Julia</t>
  </si>
  <si>
    <t>Boxculvert vereda Curadientesruta Nutibara - Curadientessector Sector - Madre Laura (Box Culvert)KM 2845</t>
  </si>
  <si>
    <t>Boxculvert vereda Piedras Blancas ruta Vía Vereda Piedras Blanca Parte Altasector Sector - La Escuela (Box Culvert)KM 186</t>
  </si>
  <si>
    <t>Boxculvert vereda La Honda ruta Anillo Vial La Hondasector Sector la Hondita (Box Culvert)KM 742</t>
  </si>
  <si>
    <t>Boxculvert vereda Chontaduroruta Paso Ancho- Chontaduro sector Entrada Chontaduro (Box Culvert)KM 2238</t>
  </si>
  <si>
    <t>Boxculvert vereda Musinga ruta Ramal a Musinga Grande sector Sector- Puente Roto (Box Culvert)KM 117</t>
  </si>
  <si>
    <t>Puente corregimiento Caribia L=70 m B =44 m</t>
  </si>
  <si>
    <t>Perdida de banca en via autopista- San Luis cod 60AN19 Lat 6.0487149 Long -75.0048403</t>
  </si>
  <si>
    <t>Puente Santa Fe de Antioquia - Puente de Occidente - La Ye (Sopetrán) L=200 S vehicular= 30 m Pasarelas: 2 de 10m c/u</t>
  </si>
  <si>
    <t>Muro no puedo ser completado en contrato original existen estudios y diseños pero no existe claridad sobre que se debe hacer especificamente</t>
  </si>
  <si>
    <t>Puente Nueva Granada via 7 de agosto San Jose de Mulatos</t>
  </si>
  <si>
    <t>Reparacion Puente vereda Palmichal sector La Palma</t>
  </si>
  <si>
    <t>Solicitud de recursos Puente Belmira (Sector El Vergel)</t>
  </si>
  <si>
    <t>Solicitud intervencion puntos de atencion prioritaria via secundaria La Piñuela - San Francisco</t>
  </si>
  <si>
    <t>Presentacion proyecto construccion de puente vehicular en vereda San Rafael, corregimiento de San Miguel (La Danta)</t>
  </si>
  <si>
    <t>Solicitud recursos para proyecto de pavimentacion de vias urbanizacion Las Vegas (3.275 m2)</t>
  </si>
  <si>
    <t>JAC Urbanizacion Las Vegas</t>
  </si>
  <si>
    <t>Pavimentacion urbanizacion Las Vegas</t>
  </si>
  <si>
    <t>Construccion de placa huella en las vias rurales del municipio de Venecia Antioquia</t>
  </si>
  <si>
    <t>Cuenta con EYD</t>
  </si>
  <si>
    <t>CONSTRUCCIÓN DE PAVIMENTO FLEXIBLE, PAVIMENTO RÍGIDO Y ATENCIÓN DE PUNTO CRÍTICO EN LAS VEREDAS SAN ANDRÉS, MERCEDES ABREGO Y POTRERITO DEL MUNICIPIO DE GIRARDOTA - ANTIOQUIA</t>
  </si>
  <si>
    <t>Cuenta con EYD. Ademas del pavimento flexible, contempla pavimento rigido, placahuellas y estabilizacion de taludes.</t>
  </si>
  <si>
    <t>DISEÑOS PARA LA CONSTRUCCIÓN DE UN MURO EN EL PUNTO CRÍTICO KM 1+700, VÍA SAN LUIS – CHOCÓ.</t>
  </si>
  <si>
    <t>Proyecto priorizado en programa de Puentes y PAP</t>
  </si>
  <si>
    <t>MEJORAMIENTO DE VÍA TERCIARIA MEDIANTE LA CONSTRUCCIÓN DE PLACA HUELLA EN LA VÍA QUE COMUNICA HACIA EL CORREGIMIENTO DE PUERTO CLAVER, ZONA RURAL.</t>
  </si>
  <si>
    <t>SOLICITUD PARA PARTICIPAR EN LA CONVOCATORIA DE LA GOBERNACIÓN PARA EL MEJORAMIENTO Y MANTENIMIENTO DE  LA  RED VIAL TERCIARIA  DEL DEPARTAMENTO DE ANTIOQUIA</t>
  </si>
  <si>
    <t>Anexa listado de red vial terciaria del municipio</t>
  </si>
  <si>
    <t>Es una peticion que pone a consideracion el listado de red terciaria del municipio para ser intervenido. No hay proyecto formulado.</t>
  </si>
  <si>
    <t>MEJORAMIENTO DE VIAS TERCIARIAS EN LAS VEREDAS ANTADO Y EL PITAL DEL MUNICIPIO DE DABEIBA</t>
  </si>
  <si>
    <t>Enlace Wetransfer vencido</t>
  </si>
  <si>
    <t xml:space="preserve">PROYECTO PUENTE AVENIDA LOS ESTUDIANTES MUNICIPIO DE RIONEGRO” </t>
  </si>
  <si>
    <t>Radican EYD</t>
  </si>
  <si>
    <t>MEJORAMIENTO Y RECUPERACIÓN DE LAS CONDICIONES DE MOVILIDAD ENTRE EL VALLE DE ABURRA CON EL VALLE DE SAN RAFAEL A TRAVÉS DE LA VÍA VEREDA SAN DIEGO - VEREDA EL PALMAR DE MUNICIPIO DE GIRARDOTA CON LA VEREDA EL PALMAR DEL MUNICIPIO DE GUARNE.</t>
  </si>
  <si>
    <t>Adjunta ppto y EYD</t>
  </si>
  <si>
    <t>Adjunta presupuesto y estudios y diseños</t>
  </si>
  <si>
    <t>CONSTRUCCION DE PAVIMENTO RIGIDO VIA RURAL COMPRENDIDA ENTRE LA TRONCAL DEL OCCIDENTE - CORREGIMIENTO DE PIAMONTE, ZONA RURAL DEL MUNICIPIO DE CACERES, ANTIOQUA</t>
  </si>
  <si>
    <t>ESTUDIOS Y DISEÑOS PARA PROYECCION DE PUENTE VEHICULAR LA
LOMA SOBRE EL RIO SAN ANDRES</t>
  </si>
  <si>
    <t>Estudios y diseños para proyecto de puente vehicular La Loma sobre el Rio San Andres</t>
  </si>
  <si>
    <t>PROYECTO PAVIMENTACION EN CONCRETO RIGIDO -TIPO PLACA HUELLA EN LA
VIA DE ACCESO A LOS CORREGIMIENTOS CEDRO Y PUEBLITO DEL MUNICIPIO DE
YARUMAL, ANTIOQUIA</t>
  </si>
  <si>
    <t>PROPUESTA PARA LA CONSTRUCCIÓN DE PLACA HUELLA EN EL MUNICIPIO.</t>
  </si>
  <si>
    <t>Punto critico VIA El Tres - Tres San Pedro K9+400</t>
  </si>
  <si>
    <t>Proyecto construccion de 2km de placa huella veredas Cordillera-Palenque</t>
  </si>
  <si>
    <t>Peticion para considerar tres proyectos de placahuella radicados en el 2024</t>
  </si>
  <si>
    <t>Cuenta con EYD entregados en USB</t>
  </si>
  <si>
    <t>Proyecto construccion de 1km de placa huella (ubicación indeterminada)</t>
  </si>
  <si>
    <t>Proyecto construccion de 2km de placa huella veredas Las Cuatro- Palenque</t>
  </si>
  <si>
    <t>Puente Vereda La Solita rio Taparto Longitud 3300 ancho 5.00 (Puente Nuevo)</t>
  </si>
  <si>
    <t>Observaciones tercera revision Puente Nuevo Betania</t>
  </si>
  <si>
    <t>Propuesta construccion puente Corregimiento Angelina-Vereda el tunal Santa fe de Antioquia y Puntos críticos vía Liborina-San José de la Montaña 62AN14-1</t>
  </si>
  <si>
    <t>Prentacion proyecto de puente corregimiento llanos de urarco</t>
  </si>
  <si>
    <t>Presentacion proyecto de puente en la vereda palenque</t>
  </si>
  <si>
    <t>Presentacion y solicitud de recursos para el proyecto construccion de puente en la vereda Remigio</t>
  </si>
  <si>
    <t>Priorizado del programa de Puentes y PAP</t>
  </si>
  <si>
    <t>Se solicita la construccion de un puente y atencion de varios PAP en vias a cargo del departamento</t>
  </si>
  <si>
    <t>Requiere subsanaciones. Puesto en conocimiento de Dir de infraestructura y apoyo territorial</t>
  </si>
  <si>
    <t>Puesto en conocimiento de Dir de infraestructura y apoyo territorial</t>
  </si>
  <si>
    <t>Al momento de recuperar informacion el enlace Wetransfer estaba vencido</t>
  </si>
  <si>
    <t>Proyecto de pavimentacion en zona urbana Las Vegas</t>
  </si>
  <si>
    <t>Proyecto ya habia sido presentado por la comunidad. Este radicado es del muncipio y tiene EYD</t>
  </si>
  <si>
    <t>Compromiso secretario.Solicitud JAC Las Vegas y alcaldia de Marinilla radica EYD</t>
  </si>
  <si>
    <t>Propuesta para la terminación del proyecto en la vía La Balastera, Vereda Ancón 1.</t>
  </si>
  <si>
    <t xml:space="preserve">Solicitud nueva, municipio solicita apoyo economico para terminacion de mejoramiento de la vía La Balastera por un alcance de 1.64 Km, 
mencian que con el convenio interadministrativo 4600015847 del 2023 entre la Gobernación y el municipio no terminaron la totalidad de la vía. </t>
  </si>
  <si>
    <t>Puente sobre la quebrada El Paso municipio de San Juan de Urabá longitud 26m</t>
  </si>
  <si>
    <t>Propuesta construccion puente VEHICULAR Corregimiento Angelina-Vereda el tunal Santa fe de Antioquia y Puntos críticos vía Liborina-San José de la Montaña 62AN14-1</t>
  </si>
  <si>
    <t>Prentacion proyecto de puente VEHICULAR corregimiento llanos de Urarco</t>
  </si>
  <si>
    <t>Presentacion proyecto de puente VEHICULAR en la vereda Palenque</t>
  </si>
  <si>
    <t>Presentacion y solicitud de recursos para el proyecto construccion de puente VEHICULAR en la vereda Remigio</t>
  </si>
  <si>
    <t>Cuenta con concepto tecnico favorable</t>
  </si>
  <si>
    <t>Solicitud presentada por JAC</t>
  </si>
  <si>
    <t>CONSTRUCCION Y MEJORAMIENTO DE VIAS TERCIARIA (Chalarca-Cuatro Esquinas-Siete Quebradas-Via La Cabaña-Las Teresas-san Francisco-Guarango)</t>
  </si>
  <si>
    <t>Construcción de placa huella en las vias terciearias del municipio de Liborina 2KM</t>
  </si>
  <si>
    <t>MEJORAMIENTO DE VÍAS TERCIARIAS MEDIANTE LA CONSTRUCCIÓN DE PLACA HUELLA EN LOS MUNICIPIOS DE MACEO VEREDA SAN IGNACIO Y YOLOMBÓ VEREDA LOS ANDES DEL DEPARTAMENTO DE ANTIOQUIA 5KM</t>
  </si>
  <si>
    <t>RECUPERACIÓN DE LAS VÍAS VEREDALES RIVERA CASCAJO - LÍMITE EL CARMEN Y MONTAÑITA LOS ALPES - LÍMITE EL SANTUARIO POR MEDIO DE LA CONSTRUCCIÓN DE PLACA HUELLAS EN EL MUNICIPIO DE MARINILLA 4,8 km</t>
  </si>
  <si>
    <t>PROYECTO MEJORAMIENTO VIAL MEDIANTE LA CONSTRUCCION DE PLACA HUELLA EN ZONA RURAL DEL MUNICIPIO DE SAN JERONIMO. 1km</t>
  </si>
  <si>
    <t>PROYECTO DE CONSTRUCCIÓN DE PLACAHUELLAS EN LA VIA PLAYAS CARDAL DE LA ZONA RURAL DEL MUNICIPIO DE SAN RAFAEL ANTIOQUIA 1km</t>
  </si>
  <si>
    <t>PROYECTO DE UN TERCER KILOMETRO DE PLACA HUELLA, 1 Km placa huella  Repartido en 8 vías terciarías</t>
  </si>
  <si>
    <t>ESTUDIOS Y DISEÑOS PARA LA PAVIMENTACION DE VIA EN PLACA HUELLA EN LA VEREDA TONUSCO EN LA ZONA RURAL DEL  MUNICIPIO DE SANTA FE DE ANTIOQUIA 5km</t>
  </si>
  <si>
    <t>ESTUDIOS Y DISEÑOS PARA LA PAVIMENTACION DE VIA EN PLACA HUELLA EN LA VEREDA EL TUNAL EN LA ZONA RURAL DEL MUNICIPIO DE SANTA FE DE ANTIOQUIA" 5km</t>
  </si>
  <si>
    <t>Via 2.5km que comunica corregimientos de San Pablo y la vereda el Narajal</t>
  </si>
  <si>
    <t>MEJORAMIENTO Y RECUPERACIÓN DE LAS CONDICIONES DE MOVILIDAD ENTRE EL VALLE DE ABURRÁ CON EL VALLE DE SAN RAFAEL A TRAVÉS DE LA VÍA VEREDA SAN DIEGO - VEREDA EL PALMAR DEL MUNICIPIO DE GIRARDOTA CON LA VEREDA EL PALAMAR DEL MUNICIPIO DE GUARNE</t>
  </si>
  <si>
    <t>CONSTRUCCION OBRA DE MITIGACION PARA LA
REHABILITACION DE LA VIA CAICEDO-ANOCOZCA SECTOR EL PLAYON, MUNICIPIO DE
CAICEDO</t>
  </si>
  <si>
    <t>Mejoramiento vial de 4km en las veredas Santa Rita, San Antonio, Ovejas, La Graciela, Corrientes y El Coral, del municipio de San Vicente Ferrer</t>
  </si>
  <si>
    <t>Ya se había presentado, solo que se ajsutó el presupuesto</t>
  </si>
  <si>
    <t>Muro pantalla en gaviones</t>
  </si>
  <si>
    <t>Solicitud hecha por la JAC en conjunto con las alcaldias de Rionegro y El Carmen</t>
  </si>
  <si>
    <t>Solcitud pavimentacion 500 mts via UdeA quebrada La Pereira</t>
  </si>
  <si>
    <t>MEJORAMIENTO DE LA VÍA TERCIARIA EN PLACA HUELLA DEL SECTOR LA ESPERANZA DEL MUNICIPIO DE ABEJORRAL – ANTIOQUIA. 2KM</t>
  </si>
  <si>
    <t>PROYECTOS DE CONSTRUCCIÓN DE PLACAHUELLA O PAVIMENTO RÍGIDO EN EL SECTOR MATABLANCO DEL MUNICIPIO DE ANGOSTURA ANTIOQUÍA 3KM</t>
  </si>
  <si>
    <t>CONSTRUCCION DE PLACA HUELLA EN LAS VIA DE ACCESO AL CORREGIMIENTO DE NARANJITAS MUNICIPIO DE ARBOLETES ANTIOQUIA 1500</t>
  </si>
  <si>
    <t>PAVIMENTACIÓN MEDIANTE EL SISTEMA CONSTRUCTIVO DE PLACA HUELLA DE LA VIA BETANIA  PEDRAL ARRIBA SECTOR SAN LUIS EN ZONA RURAL DEL MUNICIPIO DE BETANIA  ANTIOQUIA. 1,015 KM</t>
  </si>
  <si>
    <t>MEJORAMIENTO DE LA VIA CAMPAMENTO-VEREDA EL LIMON MEDIANTE LA EJECUCION DE PLACA HUELLA 3 KM</t>
  </si>
  <si>
    <t>CONSTRUCCIÓN DE PLACA HUELLA EN LA VIA TERCIARIA EN EL MUNICIPIO DE EL CARMEN VIBORAL - ANTIOQUIA (CORREGIMIENTO LA CHAPA) 1KM</t>
  </si>
  <si>
    <t>REHABILITACIÓN CON PAVIMENTO TIPO PLACA HUELLA DE LA VÍA TERCIARIA MANZANILLO EN EL MUNICIPIO DE CIUDAD BOLÍVAR ANTIOQUIA 1KM</t>
  </si>
  <si>
    <t>CONSTRUCCIÓN DE PLACA HUELLA EN VIAS TERCIARIAS DEL MUNICIPIO DE EL SANTUARIO-ANTIOQUIA 1km</t>
  </si>
  <si>
    <t>Informe candidatos puentes metalicos</t>
  </si>
  <si>
    <t>Solicitud recursos puentes corregimiento Buenos Aires</t>
  </si>
  <si>
    <t>Copia de respuesta de David Gomez a municipio con observaciones para subsanar</t>
  </si>
  <si>
    <t>Municipio pone a consideracion 3 puntos criticos que podrian ser atendidos con puentes metalicos</t>
  </si>
  <si>
    <t>PAP suceptibles a instalacion de puentes metalicos</t>
  </si>
  <si>
    <t>Puentes y boxculvert corregimiento Buenos Aires</t>
  </si>
  <si>
    <t>El proyecto radicado incluye varios puentes y boxculvert</t>
  </si>
  <si>
    <t>Puente Metalico</t>
  </si>
  <si>
    <t>Puente vehicular vereda El Porvenir sobre quebrada el Chocho L= 18 B = 6 m</t>
  </si>
  <si>
    <t>Solo cuenta con un informe topografico</t>
  </si>
  <si>
    <t>Radicado el 15 de mayo. Comunicado por David Gomez</t>
  </si>
  <si>
    <t>Construccion de puente vehicular Becuarando via terciaria  L 30 B 5,60 m</t>
  </si>
  <si>
    <t>Proyecto de construccion 4 km de placa huellas en el municipio de El Santuario</t>
  </si>
  <si>
    <t>Oficio informa que avanza la consultoria para el diseño de 4 km de placahuella repartidos en 34 tramos</t>
  </si>
  <si>
    <t>El municipio informa que avanza la consultoria para 4km de placa huellas</t>
  </si>
  <si>
    <t>Construccion de puente sobre la quebrada de Chorrofrio en la vereda San Blas, zona rural San Carlos</t>
  </si>
  <si>
    <t>Oficio tiene anexo especificaciones tecnicas, presupuesto detallado, estudios de suelos, estudio hidrologico, memorias de calculo estructural y levantamiento topografico</t>
  </si>
  <si>
    <t>Construccion de puente vehicular sobre la quebrada de Chorrofrio en la vereda San Blas, L 15 B 4,5</t>
  </si>
  <si>
    <t>MEJORAMIENTO DE LA PLAZA DE MERCADO PARA DINAMIZAR LA ECONOMÍA DE TODOS Y TODAS EN EL MUNICIPIO DE CHIGORODÓ</t>
  </si>
  <si>
    <t>Mejoramiento de la infraestructura vial existente, a través de la construcción de pavimento flexible en , el cual se encuentra los tramos sector Castalia y Calle 9 - Avenida Circunvalar, municipio de Jericó</t>
  </si>
  <si>
    <t>CONSTRUCCIÓN DEL CERRAMIENTO Y OBRAS COMPLEMENTARIAS DEL CENTRO DÍA DE NECOCLI</t>
  </si>
  <si>
    <t xml:space="preserve">CONSTRUCCIÓN DE PLACA HUELLAS EN EL MUNICIPIO DE SAN ANDRES DE CUERQUIA EN LAS VEREDAS ALTO SECO, ENTRE EL SECTOR MONTEBELLO Y LAS CRUCES Y VEREDA TRAVESIAS </t>
  </si>
  <si>
    <t>Se radican tres proyectos de placa huellas</t>
  </si>
  <si>
    <t>2025010265169</t>
  </si>
  <si>
    <t>Construccion placahuella sector Altoseco 1,1 km</t>
  </si>
  <si>
    <t>Construccion placahuella sector Montebello y Cruces 1,2km</t>
  </si>
  <si>
    <t>Construccion placahuella sectorTravesias 0,325 km</t>
  </si>
  <si>
    <t>Placa huellas 2025-1</t>
  </si>
  <si>
    <t>CONSTRUCCION PLACAHUELLA SECTORES ANGOSTURA Y CHILIMACO 1,8 km</t>
  </si>
  <si>
    <t>Mejorar accesibilidad del transporte vial entre el corregimiento Las Mercedes y la vereda La Estrella 2km</t>
  </si>
  <si>
    <t>13 Tramos 2,65km</t>
  </si>
  <si>
    <t xml:space="preserve">Decreto firmado. RAD 2025070002470 </t>
  </si>
  <si>
    <t>Decreto firmado . RAD 2025070002471</t>
  </si>
  <si>
    <t>Solicitud apoyo a atencion puentos criticos en vias terciarias K 3+952</t>
  </si>
  <si>
    <t>Solicitud apoyo a atencion puentos criticos en vias terciarias K 5+120</t>
  </si>
  <si>
    <t>11/06/2025 Gob y scrt priorizan ejecucion</t>
  </si>
  <si>
    <t>Muro de contencion K3+952 via vereda Sardinas, Quebradona, El Bagre y Pital</t>
  </si>
  <si>
    <t>Muro de contencion K5+120 via vereda Sardinas, Quebradona, El Bagre y Pital</t>
  </si>
  <si>
    <t>Solicitud construccion placahuellas Barrio San Luis</t>
  </si>
  <si>
    <t>Solicitud construccion proyectos de placa huellas</t>
  </si>
  <si>
    <t>Solicitud de construccion de puente vehicular - Vereda Colmenas</t>
  </si>
  <si>
    <t>Puesta en consideracion de la cofinanciacion rehabilitacion via Holanda parte alta y baja F3 (9850 M)</t>
  </si>
  <si>
    <t>Mejoramiento de vias mediante la construccion de placahuellas sectores La Feria y base militar y las veredas El Rosario, San Agustin y la quiebra F2 (24 KM)</t>
  </si>
  <si>
    <t>Entrega de estudios y diseños 1km placahuella municipio de Olaya (dos tramos de 400 y 600 mts)</t>
  </si>
  <si>
    <t>Mejoramiento de la vía Angelópolis - El Barro, mediante la intervención de una longitud total de 2,5 kilómetros, a través de la construcción de placa huella</t>
  </si>
  <si>
    <t>Construcción de una placa huella con una longitud total de 400 metros, que conecta el casco urbano del municipio con el Centro Vida, el gimnasio al aire libre y la cancha de fútbol en grama sintética.</t>
  </si>
  <si>
    <t>Construccion de un Puente Vehicular con longitud de 20m para  brindar una soluciuon definitiva a la via 60AN10 - Paso Nivel (Ruta 60) - Ye Amagá - Angelópolis</t>
  </si>
  <si>
    <t>Valor estimado por tenores. Informacion solo incluye trazado geometrico y levantamiento topografico. Respuesta general</t>
  </si>
  <si>
    <t>Placa huellas 2025-2</t>
  </si>
  <si>
    <t>Traslado a DAGRAN</t>
  </si>
  <si>
    <t>Priorizado el 14/05/2025. Pendiente entrega de EYD. Se confirma que no hay EYD</t>
  </si>
  <si>
    <t>Puente en muy mal estado. Refuerzo longitudinal expuesto es imperativo su reemplazo</t>
  </si>
  <si>
    <t>Puentes y PAP 2025-1</t>
  </si>
  <si>
    <t>CONSTRUCCION OBRA DE MITIGACION PARA LA REHABILITACION DE LA VIA CAICEDO-ANOCOZCA SECTOR EL PLAYON, MUNICIPIO DE CAICEDO</t>
  </si>
  <si>
    <t>Construcción de un (1) kilómetro de vía en placa huella, 350 metros entrada al casco urbano del corregimiento, 150 metros en la vereda La Manga, 150 metros en la vereda La Soledad, 150 metros en la vereda La Malena y 200 metros sector El Penderisco</t>
  </si>
  <si>
    <t>Construcción de un (1) kilómetro de vía en placa huella, 300 metros Vereda Insor, sector Quebrada de Minas, 300 metros en la vereda Macanal, 200 metros en la vereda Buenos Aires sector madero parte baja, 200 metros en la vereda La Unión</t>
  </si>
  <si>
    <t xml:space="preserve">Presidente acción comunal corregimiento San Pascual, solicita este proyecto segun reunión en el despacho. </t>
  </si>
  <si>
    <t xml:space="preserve">Presidente JAC Buenos Aires Parte Alta, solicita este proyecto segun reunión en el despacho. </t>
  </si>
  <si>
    <t>Apoyo para realizar estudios y diseños sobre la Vía de Tercer Orden Salgar – Concilio Código 05642VT29 con una longitud de 7.2 km a fin de presentar proyecto al mecanismo de Obras por Impuestos. Por un valor de Quinientos Cincuenta y Seis Millones Novecientos Veinte Mil Pesos M/Cte ($556.920.000).</t>
  </si>
  <si>
    <t>Recursos para hacer estudios y diseños</t>
  </si>
  <si>
    <t>Mejoramiento de vias terciarias mediante la pavimentacion de la via que conduce a la vereda el tunal del municipio de santa fe de antioquia</t>
  </si>
  <si>
    <t>CONSTRUCCIÓN DE BOX-CULVERT EN ZONA URBANA DEL MUNICIPIO DE CHOGORODÓ</t>
  </si>
  <si>
    <t>Manifestación de Interés y solicitud para la celebración de convenio interadministrativo para la pavimentación de vías urbanas y rurales en Zaragoza</t>
  </si>
  <si>
    <t xml:space="preserve">Estudios y diseños tecnicos para construcción de oscho (8) kilometros en placa huella en diferentes veredad del municipio de Santo Domingo. </t>
  </si>
  <si>
    <t>Construir un puente que facilite la comunicación entre la comunidad indígena y el resto de Vallesi, y garantizar la provisión de servicios básicos.</t>
  </si>
  <si>
    <t>PAVIMENTACIÓN DE LA VÍA ENTRE SAN PEDRO DE URABÁ ANTIOQUIA - VALENCIA, CORDOBA Y LA VÍA TARAZÁ, ANTIOQUIA - SAN JOSÉ DE URÉ, CORDOBA.</t>
  </si>
  <si>
    <t>No relaciona</t>
  </si>
  <si>
    <t>"La presente Solicitud es un traslado realizado desde la PRESIDENCIA DE LA REPUBLICA, conforma a solicitud realizada desde el municipio de San Pedro de Urabá a esta, en la cual se solicita la PAVIMENTACIÓN DE LA VÍA ENTRE SAN PEDRO DE URABÁ ANTIOQUIA - VALENCIA - CORDOBA Y LA VÍA TARAZÁ, ANTIOQUIA - SAN JOSÉ DE URÉ, CORDOBA. Según el municipio, son compromisos pactados en la RAP.
De igual forma solicitan reunión entre personal de los Departamentos de Cordobá y Antioquia, para discutir y definir acciones concretas para el desarrollo."</t>
  </si>
  <si>
    <t>Puente: Construcción de un puente que conecte la comunidad indígena con el resto de Vallesi, facilitando el acceso a la educación y otros servicios esenciales.</t>
  </si>
  <si>
    <t>Municipio solicita intervenir los siguientes sectores:
SECTOR EL RAYO
SECTOR EL ROBLE
SECTOR LA COMBA
SECTOR LA EME
SECTOR PIEDRA GORDA
SECTOR PIEDRAS BLANCAS
SECTOR PRIMAVERA
SECTOR SAN FRANCISCO</t>
  </si>
  <si>
    <t>Mejoramiento de vias terciarias mediante la pavimentacion de la via que conduce a la vereda el tunal del municipio de santa fe de antioquia 5,15 km</t>
  </si>
  <si>
    <t xml:space="preserve"> 5,15 km de placa huella</t>
  </si>
  <si>
    <t>Peticion para ser considerado en programa de convenio solidario</t>
  </si>
  <si>
    <t>La presente Solicitud es un traslado realizado desde la PRESIDENCIA DE LA REPUBLICA, conforma a solicitud realizada desde el municipio de San Pedro de Urabá a esta, en la cual se solicita la PAVIMENTACIÓN DE LA VÍA ENTRE SAN PEDRO DE URABÁ ANTIOQUIA - VALENCIA - CORDOBA Y LA VÍA TARAZÁ, ANTIOQUIA - SAN JOSÉ DE URÉ, CORDOBA. Según el municipio, son compromisos pactados en la RAP.</t>
  </si>
  <si>
    <t>11/06/2025 Gob y scrt priorizan ejecucion(indicado por alcalde)</t>
  </si>
  <si>
    <t>Construcción de placa huella en la vereda el Tunal del Municipio de Santa Fe de Antioquia</t>
  </si>
  <si>
    <t>Se ajusta alcance y cambia ppto</t>
  </si>
  <si>
    <t>El 25 de junio se recibe version mas reciente de este proyecto</t>
  </si>
  <si>
    <t>CONSTRUCCION DE VIAS INTERNAS DEL PROYECTO RENOVACION URBANISTICA DEL MUNICIPIO DE TURBO, DEPARTAMENTO DE ANTIOQUIA 1052 M PAV RIGIDO</t>
  </si>
  <si>
    <t>CONSTRUCCIÓN DE 1,005 KILOMETROS DE PAVIMENTO RIGIDO EN LA VEREDA LOS CEDROS Y 1,023 KILOMETROS DE PAVIMENTO RIGIDO EN LA VEREDA LA CIENAGA, EN JURISDICCIÓN DEL MUNICIPIO DE SAN JERONIMO, SUBREGIÓN OCCIDENTE DEL DEPARTAMENTO DE ANTIOQUIA</t>
  </si>
  <si>
    <t>CONSTRUCCIÓN DE OBRAS VIALES PARA MEJORAR LA CONECTIVIDAD DE NUESTRAS COMUNIDADES NEGRAS DE PUERTO GIRÓN ZONA RURAL DEL MUNICIPIO DE APARTADÓ, ANTIOQUIA”,</t>
  </si>
  <si>
    <t>La vía del corregimiento de Puerto Girón, Vereda el Diamante y Vereda San Pablo, cuenta con un total de 13,40km, de los cuales se propone la construcción de pavimento rígido por 3,68 km.</t>
  </si>
  <si>
    <t>Presentación y solicitud de recursos para el proyecto construcción placahuellas vereda Quebrada Honda 1km F3</t>
  </si>
  <si>
    <t>Petición construcción puente metálico sector Playa Linda (Sonsón - San Francisco) F1</t>
  </si>
  <si>
    <t>Petición JAC Santa Barbara atención a vía secundaria Santa Barbara - Fredonia</t>
  </si>
  <si>
    <t>Proyecto construcción puente La Asunción</t>
  </si>
  <si>
    <t>"MEJORAMIENTO DE 2 KM VIALES MEDIANTE EL SISTEMA CONSTRUCTIVO DE PLACA HUELLA EN EL CORREDOR VÍAL EN ANDES-SANTA RITA, EN EL MUNICIPIO DE ANDES, DEPARTAMENTO DE ANTIOQUIA"</t>
  </si>
  <si>
    <t>Santa Rita 2 km placa huella ,Corrigieron solicitud con radicado 2025010316440</t>
  </si>
  <si>
    <t>Presenta fotografías. No adjunta presupuesto ni estudios y diseños. Radicado por parte del Secretario Horacio Gallón</t>
  </si>
  <si>
    <t>Construcción de 2,4 km de placa huella en las veredas Ciénega  y  Los Cedros</t>
  </si>
  <si>
    <t>Presenta carpeta drive con estudios y diseños</t>
  </si>
  <si>
    <t>Peticion JAC.Presenta fotografías. No adjunta presupuesto ni estudios y diseños</t>
  </si>
  <si>
    <t>Solicitud placa huella junta de acción comunal vereda porvenir tulapa del municipio de turbo JAC</t>
  </si>
  <si>
    <t>Solicitud placa huella junta de acción comunal corregimiento el alto mulatos del municipio de turbo.JAC</t>
  </si>
  <si>
    <t>Peticion JAC</t>
  </si>
  <si>
    <t>MEJORAMIENTO DE VÍA (VEREDA SAN ISIDRO – VEREDA BOQUERON) EN EL MUNICIPIO DE SAN FRANCISCO, ANTIOQUIA</t>
  </si>
  <si>
    <t>Presenta carpeta drive con estudios y diseños. Mismo nombre de la vía que se aprobó en la convocatoria de regalías de marzo de 2025. Alcance 1 km</t>
  </si>
  <si>
    <t>PROYECTO MEJORAMIENTO Y MANTENIMIENTO DE LA VÍA SEVILLA - VALDIVIA EN EL DEPARTAMENTO DE ANTIOQUIA.</t>
  </si>
  <si>
    <t>Se presenta carpeta drive con estudios y diseños, pendientes de revisión.
Se da respuesta general</t>
  </si>
  <si>
    <t>Mejoramiento de la via terciaria que comunica la vereda El Dique y el casco urbano del municipio de Yondó</t>
  </si>
  <si>
    <t>Se presenta por parte de la secretaria de planeación del municipio de Yondó el proyecto Mejoramiento de la via terciaria que comunica la vereda El Dique y el casco urbano del municipio de Yondó. Con una longitud de 1,477 km.</t>
  </si>
  <si>
    <t>Solicitud contruccion puente peatonal sobre quebrada La Arabia (limites entre el municipio de Puerto Nare y corregimiento Puerto Garza [municipio de San Carlos] y mejoramiento instalaciones feria de ganado F1</t>
  </si>
  <si>
    <t>JAC de la comunidad hace peticion</t>
  </si>
  <si>
    <t>Presentacion proyecto puente vehicular vereda Cachumbal y Maracibo, sobre quebrada Cachumbal L 14,5 B 4,60 F3</t>
  </si>
  <si>
    <t>Puente vehicular la Culebra L 16 F1</t>
  </si>
  <si>
    <t>Necesidad ya detectada con anterioridad, en esta occasion municipio allega diseños de cartilla</t>
  </si>
  <si>
    <t>Atencion a PAP Santa Bárbara ( Ruta 25) – Ye a Fredonia – Fredonia con código 25AN02, Abejorral – El Cairo – La Elvira ( Santa Bárbara) con código 56AN05-2</t>
  </si>
  <si>
    <t>Copia remitida por Desarrollo Fisico en caso de que se necesite estructurar un proyecto</t>
  </si>
  <si>
    <t>Presentacion documentos puente vereda Colmenas (La Culebra) F2</t>
  </si>
  <si>
    <t>Presentacion documentos puente vereda Colmenas (La Culebra) (DOCUMENTOS FISICOS) F2</t>
  </si>
  <si>
    <t>“MEJORAMIENTO DE 3 KM VIALES MEDIANTE EL SISTEMA CONSTRUCTIVO DE PLACA HUELLA EN EL CORREDOR VÍAL EN ANDES-SANTA RITA, EN EL MUNICIPIO DE ANDES, DEPARTAMENTO DE ANTIOQUIA”.</t>
  </si>
  <si>
    <t>"CONSTRUCCIÓN DE 1.2KM DE PACLA HUELLA, EN LAS VEREDAS LA ESPERANZA - LA VENTANA -  EL PAJUÍ Y FARALLONES, DEL MUNICIPIO DE SAN FRANCISCO"</t>
  </si>
  <si>
    <t>Se solicita por parte del alcalde del municipio de Andes el “MEJORAMIENTO DE 3 KM VIALES MEDIANTE EL SISTEMA CONSTRUCTIVO DE PLACA HUELLA EN EL CORREDOR VÍAL EN ANDES-SANTA RITA, EN EL MUNICIPIO DE ANDES, DEPARTAMENTO DE ANTIOQUIA”</t>
  </si>
  <si>
    <t>Se solicita por parte del alcalde (E) del municipio de San Francisco la "CONSTRUCCIÓN DE 1.2KM DE PACLA HUELLA, EN LAS VEREDAS LA ESPERANZA - LA VENTANA -  EL PAJUÍ Y FARALLONES, DEL MUNICIPIO DE SAN FRANCISCO"</t>
  </si>
  <si>
    <t>Solicitud aporte recursos para finalizar la aprtura de via terciaria nueva comunidad Chado arriba JAC</t>
  </si>
  <si>
    <t>Solicitan convenio por materiales y horas de maquinaria</t>
  </si>
  <si>
    <t>Presentancion proyecto de adecuacion y mantenimiento de la via terciaria Comunidad y Holanda</t>
  </si>
  <si>
    <t>En el sector La Comunidad se proyecta placahuella mientras que el La Holanda pavimento rigido</t>
  </si>
  <si>
    <t>Peticion Construccion placahuella JAC vereda Casanova</t>
  </si>
  <si>
    <t>Peticion Construccion placahuella JAC vereda Manuel Cuello</t>
  </si>
  <si>
    <t>Solicitud construccion placahuellas Barrio San Luis JAC</t>
  </si>
  <si>
    <t>Solicitud  de  ejecución  de  obras  de  placa  huella  en las  veredas  del Corregimiento El Dos, Municipio de Turbo –Antioquia JAC</t>
  </si>
  <si>
    <t>Se realiza por parte del vicepresidente de la J.A.C, la Solicitud de inversión para el mejoramiento integral de vías rurales en la Vereda
Panorama, Carepa, Antioquia.
2.774 km y 5 box coulvert</t>
  </si>
  <si>
    <t>Solicitud de inversión para el mejoramiento integral de vías rurales en la Vereda Panorama, Carepa, Antioquia. JAC</t>
  </si>
  <si>
    <t>Peticion JAC. Se realiza por parte del vicepresidente de la J.A.C, la Solicitud de inversión para el mejoramiento integral de vías rurales en la Vereda
Panorama, Carepa, Antioquia.
2.774 km y 5 box coulvert</t>
  </si>
  <si>
    <t>Solicitud construccion proyectos de placa huellas JAC Vereda La Sola y JAC Vereda La Aduana</t>
  </si>
  <si>
    <t>Petición mejoramiento vía entre urbanización La Nueva y la vereda Murrapal F1 JAC Murrapal</t>
  </si>
  <si>
    <t xml:space="preserve">Peticion JAC  </t>
  </si>
  <si>
    <t>Proyecto estaba incluido en programa de placahuellas 2025-2, sin emabrgo, municipio priorizo un tramo distinto (El Guadual 1 km)</t>
  </si>
  <si>
    <t>Presenta WeTransfer con paquete de estudios y diseños. En caso de vencimiento pedir nuevamente</t>
  </si>
  <si>
    <t>Presentacion proyecto de inversion denominado "Mejoramiento de la via terciaria que conduce al corregimiento de La Danta" 3km</t>
  </si>
  <si>
    <t>Presentacion proyecto mejoramiento y recuperacion vial conexion cabecera municipal y centro poblado Otramina 1km</t>
  </si>
  <si>
    <t>Presentacion y solicitud financiacion 1km pavimento flexible</t>
  </si>
  <si>
    <t>1km via que comunica cabecera con centro porblado Otramina</t>
  </si>
  <si>
    <t>Peticion presentada por el señor Alexander Palacio. Esta persona soporta necesidad con informe del DAGRAN</t>
  </si>
  <si>
    <t>Solicituds presentada por la comunidad el dia 29/04/2025 en reunion en la SIF</t>
  </si>
  <si>
    <t>Solicitud recursos para el proyecto de construccion, rehabilitacion y renovacion de andesnes y obras complementarias</t>
  </si>
  <si>
    <t>Alcaldesa solicita seguimiento a esta solicitud</t>
  </si>
  <si>
    <t>Radicado no tiene anexos tecnicos</t>
  </si>
  <si>
    <t>Presentacion proyecto de mejoramiento de la red vial en el casco urbano y los corregimientos de Buchado y San Antonio de Padua mediante construccion de 1.0 km de vias peatonales</t>
  </si>
  <si>
    <t>Son pasarelas peatonales</t>
  </si>
  <si>
    <t>Se trata de 1km de pasarelas peatonales</t>
  </si>
  <si>
    <t>Presentacion proyecto de mejoramiento vias urbanas mediante la pavimentacion en concreto rigido 1 km</t>
  </si>
  <si>
    <t>Pavimentacion rigida Carrera 2 zona urbana</t>
  </si>
  <si>
    <t>CONSTRUCCION, MEJORAMIENTO, MANTENIMIENTO Y REPARACION DE 500 METROS DE LA VIA TERCIARIA EN EL SECTOR RINCÓN DE LA VEREDA GRACIANO DEL MUNICIPIO DE BARBOSA – ANTIOQUIA</t>
  </si>
  <si>
    <t>Construccion de placa huella en las vias rurales del municipio de Venecia Antioquia - acceso principal veredas Palenque y Arabia</t>
  </si>
  <si>
    <t>Solicitud sin informacion detallada del proyecto</t>
  </si>
  <si>
    <t>Construcción de pavimento en concreto rígido en la calle 59 (chiguiros), barrios 24 de diciembre - villa Carmen del corregimiento de currulao del distrito de Turbo Antioquia</t>
  </si>
  <si>
    <t>Mejoramiento con pavimento rígido para la integración de barrios de esperanza y vida en el casco urbano del distrito de turbo, Antioquia 15.85 KM</t>
  </si>
  <si>
    <t>Cuenta con E y D. Vias urbanas. 15.85 KM</t>
  </si>
  <si>
    <t>E y D fase 2. 1km vias urbanas</t>
  </si>
  <si>
    <t>Municipio envia exploraciones de suelos en el sector , MGA y presupuesto. 1km vias urbanas</t>
  </si>
  <si>
    <t>Proyecto placa huella via Dojura sector El Coco 2km</t>
  </si>
  <si>
    <t>Placa huella vereda Chorros Blancos, Yarumal - Antioquia</t>
  </si>
  <si>
    <t>Dice tener estudios y diseños, sin embargo solo se cuenta con trazado geometrico y cartera de topografia. Ademas rotulos de diseños hacen referencia a diseños de otra via en otro municipio (San Luis)</t>
  </si>
  <si>
    <t>Peticion atención de puentes con problemas estructurales graves en las veredas Carretero, Sabaletas y La Toscana, municipio de Fredonia</t>
  </si>
  <si>
    <t>Se presenta un informe de visita del DAGRAN del 12 de junio.Punto critico del sector el Amparo ya se habia reportado con anterioridad. Son 4 puntos criticos</t>
  </si>
  <si>
    <t>Cuenta con E y D</t>
  </si>
  <si>
    <t>Presentacion proyecto placa huella vereda Bocas de Don Juan N2 (1.24 km)</t>
  </si>
  <si>
    <t xml:space="preserve">Cuenta con E y D  </t>
  </si>
  <si>
    <t>Solicitud enviada por la JAC del sector</t>
  </si>
  <si>
    <t>Peticion JAC del sector</t>
  </si>
  <si>
    <t>Solicitud construccion placahuellas vereda La Toyosa (100 m) JAC</t>
  </si>
  <si>
    <t>Solicitud intervencion via Monasterio Padres Benedictinos JAC PARTE 1</t>
  </si>
  <si>
    <t>Solicitud intervencion via Monasterio Padres Benedictinos JAC PARTE 2</t>
  </si>
  <si>
    <t>Solicitud construccion placa huella vereda Siete Hermana corregimiento La Candelaria (120 m) JAC</t>
  </si>
  <si>
    <t>Solicitud cofinanciacion proyecto construccion placahuella en el resguardo indigena Chontadural Canero 1,045 km</t>
  </si>
  <si>
    <t>Fase 3</t>
  </si>
  <si>
    <t>Solicitud construccion placa huella vereda Las Mercedes JAC</t>
  </si>
  <si>
    <t>Solicitud construccion placa huella vereda Toribio Medio, corregimiento Pueblo Bello JAC</t>
  </si>
  <si>
    <t>Solicitud construccion placa huella vereda San Pablo Tulapa JAC</t>
  </si>
  <si>
    <t>Solicitud construccion placa huella vereda Mono Macho corregimiento Puerto Bello JAC</t>
  </si>
  <si>
    <t>Construccion 2.6 km de placa huella en las vias terciarias y /o rurales</t>
  </si>
  <si>
    <t>Ya se habia presentado un proyecto similar</t>
  </si>
  <si>
    <t>Subsanacion proyecto Placahuella via vereda Quebradona</t>
  </si>
  <si>
    <t>Subsanacion de proyectos</t>
  </si>
  <si>
    <t>Solicitud cofinanciacion construccion placahuella en la vereda San Juancito CONVENIO MATERIALES</t>
  </si>
  <si>
    <t>CONVENIO MATERIALES</t>
  </si>
  <si>
    <t>Solicitud apoyo construccion de placa huella y muro de contencion en gaviones en vereda La Maria</t>
  </si>
  <si>
    <t>Se llega solicitud y diagnostico</t>
  </si>
  <si>
    <t>Solicitud construccion placahuella tramos Las Coles, La Caturrera, La Entrada a la Escuela y La Cancha 300 mts JAC</t>
  </si>
  <si>
    <t>Solcitud apoyo construccion pavimentacion rigida 6,3 km via Giraldo - Cuajaron</t>
  </si>
  <si>
    <t>Via a cargo del INVIAS</t>
  </si>
  <si>
    <t>Solicitud mejoramiento de la via terciaria que conduce al corregimiento de la Danta</t>
  </si>
  <si>
    <t>Solicitud reconstruccion puente vereda Mazorcal entre El Carmen de Viboral y La Union</t>
  </si>
  <si>
    <t>Solicitud priorizacion puntos criticos</t>
  </si>
  <si>
    <t>Presentacion punto critico vereda El Carmen</t>
  </si>
  <si>
    <t>Levantamiento topografico y demas estudios Puente ChorroFrio</t>
  </si>
  <si>
    <t>Presentacion de estudios y diseños para construccion de puente sobre la quebrada La Pulgarina para conexion de la carrera 49 y calle 44</t>
  </si>
  <si>
    <t>Es una via terciaria a cargo del municipio</t>
  </si>
  <si>
    <t>Es una via terciaria a cargo del municipio. Solicitud de apoyo para la atencion de cuatro puntos criticos en vias terciarias del municipio de Dabeiba. Envian matriz de priorizacion con estimado de cada una de las posibles soluciones.</t>
  </si>
  <si>
    <t>Es una via terciaria a cargo del municipio. Allegan informe sobre el PAP , planos de cartilla y un presupuesto. Ubicacion Vereda El Carmen 6°01'45.5"N 75°32'24.7"W</t>
  </si>
  <si>
    <t>Este proyecto ya habia sido radicado. Municipio envia complemento de EYD</t>
  </si>
  <si>
    <t>En radicado solo se encuentra PMT del proyecto. Posteriormente, via correo electronico (13/08/2025) , envian el paquete de EYD completo</t>
  </si>
  <si>
    <t>El radicado no tiene anexo los estudios y diseños. Estos se solicitan via correo electronico</t>
  </si>
  <si>
    <t>Presentacion proyecto construccion de puente vehicular y obras complementarias sobre quebrada El Salado sector Calicanto</t>
  </si>
  <si>
    <t>Presentacion obras mitigacion riesgo puente Ecogan</t>
  </si>
  <si>
    <t>No tiene radicadao. Municipio entrega paquete con EYD el 22/08/2025 durante reunion en SIF</t>
  </si>
  <si>
    <t>PAVIMENTACION DE LA VIA DEL TRAYECTO GIRARDOTA, LIMONAR, LA HOLANDA Y EL ESPINAL HASTA SAN PEDRO DE LOS MILAGROS</t>
  </si>
  <si>
    <t xml:space="preserve">Es un radicado de la JAC de la vereda el Espinal de San Pedro de los Milagros solicitando informacion del proyecto </t>
  </si>
  <si>
    <t>Pavimentación de la vía que conecta la Cabecera Urbana del Municipio y el AETCR Llanogrande del Municipio de Dabeiba Antioquía</t>
  </si>
  <si>
    <t xml:space="preserve">Es un radicado de  solicitud de apoyo para la signacion de recursos para la pavimentacion de la via que cominica el casco urbano de Dabeiba con el AETCR Llanogrande de Dabeiba,y no hay archivos adjuntos </t>
  </si>
  <si>
    <t>Solicitud de apoyo para construcción de placa huella en las veredas San Antonio y San Juan Llano – Municipio de Concepción, Antioquia.</t>
  </si>
  <si>
    <t xml:space="preserve">Es un radicado de la comunidad de las veredas de San Antonio y San Juan del Llano del Municipio de Cocepción  solicitando apoyo con recursos económicos y técnicos para la construccion de una placa huella, en la solicitud adjuntaron fotografias de los puntos a intervenir </t>
  </si>
  <si>
    <t>Solicitud  de  apoyo  para  la  construcción  definitiva  del  puente  sobre  el  río Dolores y mejoramiento de vía rural.</t>
  </si>
  <si>
    <t>Radicado de la JAC de la vereda Concepción del Municipio de Angostura, en la solicitud adjuntaron las fotografias de los puntos en la via y el puente a aintervenir.</t>
  </si>
  <si>
    <t>CONSTRUCCIÓN DE OBRAS DE PROTECCIÓN SOBRE LA MARGEN IZQUIERDA DEL RIO NARE EN EL CORREGIMIENTO LA PESCA DEL MUNICIPIO DE PUERTO NARE"</t>
  </si>
  <si>
    <t xml:space="preserve">En el radicado  se anexan los archivos de los estudios tecnicos del proyecto. </t>
  </si>
  <si>
    <t>Intervención de vía terciaria que comunica la vereda Río Arriba – Los Pantanos con los municipios de Guadalupe y Angostura (Municipio de Angostura)</t>
  </si>
  <si>
    <t>En el radicado 2025010392178 adjuntan registro fotográfico y describen la situación presentada en la vía. No incluye estudios técnicos. Se da respuesta con carta tipo.</t>
  </si>
  <si>
    <t xml:space="preserve">El alcalde del municipio de Necoclí solicita en cumplimiento de los requisitos definidos por la INFRAESTRUCTURA FISICA presento a ustedes el proyecto "MEJORAMIENTO, MANTENIMIENTO Y RECUPERACION DE LA VIA QUE CONDUCE DE LA CEIBITA AL RESGUARDO INDIGENA EL CAIMAN, ZONA RURAL DEL MUNICIPIO DE NECOCLÍ, ANTIOQUIA" ID 1541742 con el propósito de que sea analizado para su viabilización, priorización y aprobación. </t>
  </si>
  <si>
    <t>Pavimentación vía rural acceso a la vereda Honduras en el corregimiento Doradal, municipio de Puerto Triunfo - Antioquia.</t>
  </si>
  <si>
    <t>Solicitud del municipio de Puerto Triunfo. m</t>
  </si>
  <si>
    <t>Presentacion proyecto de intervencion de sitios criticos de riesgo municipio de Toledo (son 6)</t>
  </si>
  <si>
    <t>Seis PAP sectores: El Naranjo (x2), Helechales (x2), Miraflores, Urbano-Barracas. Es posible que algunos sean comptencia de DAGRAN toda vez que no afectan vias (SC1 Naranjo, SC2 Naranjo y SC6 Miraflores). COntiene Topografia, diagnostico, informes (contienen diseños), ppto, cronograma, flujo de inversion, especificaciones tecnicas, PMT, PMA, doc de profesionales</t>
  </si>
  <si>
    <t>Ajuste a proyecto puente vereda Cachumbal y Maracaibo</t>
  </si>
  <si>
    <t xml:space="preserve">Ajuste proyecto </t>
  </si>
  <si>
    <t>Ajuste a proyecto, ya se habia presentado con anterioridad</t>
  </si>
  <si>
    <t>Radicacion proyecto puente vehicular Divino Niño 05887VT68 L 50m B 5m</t>
  </si>
  <si>
    <t>Enlace Google Drive contiene topografia, estudio de suelos, hidrologia/hidraulica, PMA, diseño estructural, ppto y gestion predial</t>
  </si>
  <si>
    <t xml:space="preserve">Presentacion Puente en vereda Ripea L 14 m B 5.4 m </t>
  </si>
  <si>
    <t>Enlace Google Drive contiene los 25 componentes de regalias</t>
  </si>
  <si>
    <t>Remision de diseños para convenio estabilizacion vereda Manga vereda Soledad 5 km</t>
  </si>
  <si>
    <t>Enlace en Google Drive contiene levantamiento topografico, estudio de suelos, diseños geometrico, hidrologia/hidraulica y diagnostico</t>
  </si>
  <si>
    <t>Informe visita puente La Arenera</t>
  </si>
  <si>
    <t>Informe de visita hecha por David Gomez y puesto en conocimiento de la Direccion de Estructuracion de proyectos</t>
  </si>
  <si>
    <t>Radicacion proyecto pavimentacion vias secundarias (60AN09-2/60AN11)</t>
  </si>
  <si>
    <t xml:space="preserve">se recibio  la solicitud del municipio de Fredonia, pero sin archivos adjuntos </t>
  </si>
  <si>
    <t>Radicacion proyecto puente vehicular vereda el Venado L 8m B 5m</t>
  </si>
  <si>
    <t>Enlace Google Drive contiene componente tipicos de proyectos regalias. Via no codificada</t>
  </si>
  <si>
    <t xml:space="preserve">Radicacion proyecto de mantenimiento y reconstruccion de la via San Nicolas </t>
  </si>
  <si>
    <t xml:space="preserve">se recibio la solicitud del municipio de La Ceja, sin archivos adjuntos </t>
  </si>
  <si>
    <t>Radicacion  de proyecto de puntos criticos en el municipio de Guadalupe (PAP Laguna 05315VT53)</t>
  </si>
  <si>
    <t>Cuenta con todos los componentes basicos de diseño</t>
  </si>
  <si>
    <t>Radicacion  de proyecto de puntos criticos en el municipio de Guadalupe (Puente peatonal San Pablo L 20 A 2.90)</t>
  </si>
  <si>
    <t>Puente peatonal cerca a la via terciaria 05134VT17</t>
  </si>
  <si>
    <t>Radicacion de proyecto de puntos criticos en el municipio de Guadalupe (Puente vehicular San Bacilio L 24 A 5.70 + placahuella 1281 m)</t>
  </si>
  <si>
    <t>Incluye proyecto de puente vehicular y placahuella</t>
  </si>
  <si>
    <t>Proyecto para el mejoramiento de la capa de rodadura mediante construcción de placa huello en puntos críticos de las vías terciarias del municipio de Pueblorrico, Antioquia</t>
  </si>
  <si>
    <t>En el radicado 2025010427845 el municipio de Pueblorrico adjunta link de descarga del proyecto, el cual se le comparte al compañero Julián Suárez para su revisión, sin embargo, se da respuesta con carta tipo.</t>
  </si>
  <si>
    <t>Construcción del sendero peatonal de peregrinación 621 m</t>
  </si>
  <si>
    <t>No se presentan estudios, se presenta solo el presupuesto para la adecuación de sendero peatonal, considerando solo materiales y presupuesto completo.</t>
  </si>
  <si>
    <t>"MEJORAMIENTO, MANTENIMIENTO Y RECUPERACIÓN DE LA VÍA QUE CONDUCE DE LA CEIBITA AL RESGUARDO INDÍGENA EL CAIMÁN, ZONA RURAL DEL MUNICIPIO DE NECOCLÍ, ANTIOQUIA"</t>
  </si>
  <si>
    <t xml:space="preserve">Es un radicado de  solicitud de apoyo para la signacion de recursos para la pavimentacion de la via qu cominica el casco urbano de Dabeiba con el AETCR Llanogrande de Dabeiba,y no hay archivos adjuntos </t>
  </si>
  <si>
    <t xml:space="preserve">Es un radicado de la comunidad de las veredas de San Antonio y San Juan del Llano solicitando apoyo con recursos económicos y técnicos para la construccion de una placa huella, en la solicitud adjuntaron fotografias de los puntos a intervenir </t>
  </si>
  <si>
    <t xml:space="preserve">Solicitud del municipio de Puerto Triunfo. m </t>
  </si>
  <si>
    <t>Enlace en Google Drive contiene levantamiento topografico, estudio de suelos, diseños geometrico, hidrologia/hidraulica y diagnostico. No tiene PPTO</t>
  </si>
  <si>
    <t>se recibio la solicitud del municipio de Fredonia, pero sin archivos adjuntos</t>
  </si>
  <si>
    <t>No se presentan estudios, se presenta solo el presupuesto preliminar para la adecuación de sendero peatonal, considerando solo materiales y presupuesto completo.</t>
  </si>
  <si>
    <t>“Transformación urbanística en el barrio Kennedy para la movilidad segura de todos y todas en el Municipio de Chigorodó”</t>
  </si>
  <si>
    <t>“TRANSFORMACIÓN  URBANÍSTICA    EN    EL    BARRIO GUAYABAL, PARA LA MOVILIDAD SEGURA DE TODOS Y TODAS EN EL MUNICIPIO DE CHIGORODÓ”</t>
  </si>
  <si>
    <t xml:space="preserve">Mejoramiento y recuperación de las condiciones de movilidad entre el valle de Aburra con el valle de San Nicolas a traves de la via vereda San Diego - vereda El Palmar del municipio de Girardota con la vereda El Palmar del municipio de Guarne </t>
  </si>
  <si>
    <t>SOLICITUD PRESENTACION PROYECTO ADECUACION Y REHABILITACION DE LA VIA YOLOMBAL CIRCUNVALAR GUARNE, PARA LA UNION DEL VALLE DE ABURRA Y EL VALLE DE SAN NICOLAS - GUARNE ( 9 kilometros )</t>
  </si>
  <si>
    <t>Solicitud apoyo construccion puente en la via Circunvalar</t>
  </si>
  <si>
    <t>Respuesta a fichas subsanacion Puente Las Margaritas</t>
  </si>
  <si>
    <t>Radicacion proyecto de puentes La Loma y El Volcan (Oficializacion radicado)</t>
  </si>
  <si>
    <t>Copia informe visita tecnica via Valle de Toledo - Buena Vista (PAP) (0510VT31)</t>
  </si>
  <si>
    <t>Solicitud apoyo por colapso de puente vereda Belen (via no codificada)</t>
  </si>
  <si>
    <t>Radicacion proyecto construccion puente variante Danta L14 B 5</t>
  </si>
  <si>
    <t>“CONSTRUCCIÓN DEL PARQUE LINEAL DEL MUNICIPIODE SAN ROQUE”</t>
  </si>
  <si>
    <t xml:space="preserve">"CONSTRUCCIÓN DE OBRAS DE PROTECCION DE DOS PUENTES, SOBRE LA QUEBRADA LA CENIZA DELCORREGIMIENTO LAS PLATAS Y LAS BARRANCUDAS, CORREGIMIENTO PAJILLA DEL MUNICIPIO DE ARBOLETES, ANTIOQUIA. </t>
  </si>
  <si>
    <t>PRESENTACION PROYECTO PAVIMENTACION UN (1) KILOMETRO DEL PASO URBANO DEL MUNICIPIO DE GRANADA ANTIOQUIA</t>
  </si>
  <si>
    <t xml:space="preserve">El enlace de Google Drive contiene estudios de Suelo y Hidrologicos, levantamiento Topografico, diseños Arquitectonicos , Estructurales, hidrosanitarios y electricos, Presupuestos, Inventario Forestal , e Informe de Diseño de Pavimento </t>
  </si>
  <si>
    <t xml:space="preserve">Solicitud enviada por el municipio de Chigorodó, valor de obra:  $ 1.292.536.504, interventoria: $ 103.257.309, via Urbana del municipio. </t>
  </si>
  <si>
    <t>Solicitud enviada por el municipio de Arboletes, valor de obra:  $ 1.605.614.702, interventoria: $ 155.025.255, via en los corregimientos las platas, Las Barracudas y Pajilla.</t>
  </si>
  <si>
    <t>Solicitud enviada por el municipio de Girardotaq estaba incluido el presupuesto de la obra $ 13,563,112,347</t>
  </si>
  <si>
    <t xml:space="preserve">El enlace de Google Drive contiene estudios de Suelo y Hidrologicos, Geometrico,levantamiento Topografico, diseños  Estructurales, Presupuestos, e Informe de Diseño de Pavimento,PAGA, PMT,especificaciones, procesos constructivos, cronograma, resumen ejecutivo y planos de detalle </t>
  </si>
  <si>
    <t xml:space="preserve">En el enlace que anexa el municicpio de Granada con la solicitud, se encuentra los anexos de  localizacion, clima, geotecnia, transito, modelacion y diseños de pavimentacion </t>
  </si>
  <si>
    <t>En este oficio se encuentra presupuesto, hidrologico/ hidraulico , estudio geotecnico y solo un plano estructural</t>
  </si>
  <si>
    <t>Contiene subsanaciones a proyecto original</t>
  </si>
  <si>
    <t>Oficializacion de entrega de estudios y diseños a la gobernacion</t>
  </si>
  <si>
    <t>Copia de informe tecnico a visita de punto critico</t>
  </si>
  <si>
    <t>Se adjunta reporte de DAGRAN de julio de 2025 y reporte del muncipio indicando que el puente colapso el 02 de octubre del mismo año</t>
  </si>
  <si>
    <t>Enlace contiene ppto, diseños estructurales, estudio de suelos, estudios hidrologicos y hidraulicos ,diseño geometrico y topografia</t>
  </si>
  <si>
    <t>Remision proyecto puente quebrada Gibraltar  05364VT89 L 25 B 5,30</t>
  </si>
  <si>
    <t>MEJORAMIENTO DE VÍAS URBANAS EN PAVIMENTO RÍGIDO EN ZONAS URBANAS DE LOS MUNICIPIOS DE LIBORINA, SABANALARGA, ANTIOQUIA</t>
  </si>
  <si>
    <t>Petición de ayuda para mejorar vía terciaria del corregimiento pajillal</t>
  </si>
  <si>
    <t>Solicitud de pavimentación de 10,6 kilómetros de vía terciaria en el municipio de Belmira, Antioquia.</t>
  </si>
  <si>
    <t>ADECUACIÓN Y MEJORAMIENTO DEL PARQUE PRINCIPAL Y PARQUE LA MISERICORDIA DEL MUNICIPIO DE LIBORINA</t>
  </si>
  <si>
    <t>CONSTRUCCION DEL PUENTE VEHICULAR QUE COMUNICA LA VEREDA SAN PEDRO CON EL CASCO URBANO DEL MUNICIPIO DE ALEJANDRIA ANTIOQUIA</t>
  </si>
  <si>
    <t>Evaluar puntos prioritarios Fredonia - Vereda Piedra Verde con codigo 60AN11</t>
  </si>
  <si>
    <t>MEJORAMIENTO DE LA INFRAESTRUCTURA VIAL MEDIANTE LA CONSTRUCCIÓN UN PAVIMENTO RÍGIDO EN LA VIA TERCIARIA DENOMINADA ALEJANDRÍA - BIZCOCHO DEL MUNICIPIO DE ALEJANDRÍA - ANTIOQUIA</t>
  </si>
  <si>
    <t>Pavimentación en concreto rígido y placa huella en la zona urbana del corregimiento Cedro y Pueblito del municipio de Yarumal</t>
  </si>
  <si>
    <t xml:space="preserve">Placa huella del Corregimiento la Balsilla del municipio de San Juan de Uraba </t>
  </si>
  <si>
    <t>MEJORAMIENTO VIAL MEDIANTE LA CONSTRUCCION DE PLACA HUELLA EN LA VEREDA EL PANDO, TIGRE 1, 2, 3 DEL MUNICIPIO DE CAUCASIA, ANTIOQUIA</t>
  </si>
  <si>
    <t>PROYECTO PLACA HUELLA PAJILLAL ARBOLETES ANTIOQUIA</t>
  </si>
  <si>
    <t>ESTUDIOS Y DISENOS PLACA HUELLA MINITAS -SAN MATIAS</t>
  </si>
  <si>
    <t>Construcción de obra hidráulica en el municipio de Chigorodó del departamento de Antioquia</t>
  </si>
  <si>
    <t>Mejoramiento de las vías en el marco del parque principal con adoquín.</t>
  </si>
  <si>
    <t>SOLICITUD DE APOYO DEL MEJORAMIENTO DE LA MALLA VIAL DEL CASCO URBANO DEL MUNICIPIO DE LIBORINA</t>
  </si>
  <si>
    <t>Semi – peatonalización polígono de conservación, Municipio de El Retiro</t>
  </si>
  <si>
    <t>PRESENTACION Y SOLICITUD RECURSOS PROYECTO CONSTRUCCION DE PAVIMENTO RIGIDO EN LA CALLE 92 ENTRE LA CARRERA 102 HASTA LA CARRERA 105 Y CALLE 98B ENTRE CARRERA 104 - 105 DEL MUNICIPIO DE CHIGORODO ANTIOQUIA.</t>
  </si>
  <si>
    <t xml:space="preserve">PLACA HUELLA MINITAS SAN MATÍAS SGR- GRANADA </t>
  </si>
  <si>
    <t>MEJORAMIENTO MEDIANTE LA PAVIMENTACIÓN EN CONCRETO RÍGIDO DE VÍAS URBANAS, EN EL MUNICIPIO DE VIGÍA DEL FUERTE, DEPARTAMENTODE ANTIOQUIA,</t>
  </si>
  <si>
    <t>Construcción de pavimento rígido calle 28 entre cra 30 y 35, calle 31 entre cra 30 y 32, calle 32a entre cra 30 y 31, calle 33 entre cra 30 y 33, cra 31 entre calle 31 y 33, en el Corregimiento de el Tres Municipio de Turbo, Departamento de Antioquia</t>
  </si>
  <si>
    <t>Construcción de pavimento en concreto rígido en la Calle 59 (Chiguiros), Barrios 24 de Diciembre - Villa Carmen del Corregimiento de Currulao del Distrito de Turbo Antioquia</t>
  </si>
  <si>
    <t>CONSTRUCCION DE PLACA HUELLA EN LA VÍA QUE CONDUCE DESDE EL CORREGIMIENTO DE CAMPO ALEGRE HACIA EL CORREGIMIENTO DE SANTA ROSITA DESDE LA ABSCISA K1+250 HASTA LA K2+250, ZONA RURAL DEL MUNICIPIO DE CAUCASIA.</t>
  </si>
  <si>
    <t>PLACA HUELLA DE LA VEREDA LA RENTA CORREGIMIENTO EL BRASIL DEL MUNICIPIO DE EBÉJICO, ANTIOQUIA</t>
  </si>
  <si>
    <t>CONSTRUCCIÓN DE PLACA HUELLA EN LA VÍA QUE CONDUCE AL CORREGIMIENTO DE EL JORDÁN VEREDA LLANADAS MUNICIPIO DE SAN CARLOS, ANTIOQUIA</t>
  </si>
  <si>
    <t>Solicitud de apoyo para la construcción de placa huella en la vereda Piedrecitas</t>
  </si>
  <si>
    <t>PAVIMENTACIÓN TIPO PLACA HUELLA EN LAS VEREDAS (BRISAS - ZANCUDO - RIO GRANDE - PEÑOL) DEL MUNICIPIO DE ENTRERRÍOS</t>
  </si>
  <si>
    <t>Rehabilitación de tramos críticos en las diferentes veredas del municipio de El Santuario-Construcción de placa huella</t>
  </si>
  <si>
    <t>MEJORAMIENTO DE VIAS TERCIARIAS MEDIANTE LA CONSTRUCCIÓN DE PLACA HUELLA EN LA VEREDA EL ESPINALDEL MUNICIPIO DE SANTAFÉ DE ANTIOQUIA</t>
  </si>
  <si>
    <t>CONSTRUCCION DE PLACA HUELLA VEREDA CHUSCALITO MUNICIPIO DE LA UNIÓN, ANTIOQUIA</t>
  </si>
  <si>
    <t>CONSTRUCCION DE 5.0 KM DE PLACA HUELLA ENEL CORREGIMIENTO DE BARRO BLANCO PARA COFINANCIACION</t>
  </si>
  <si>
    <t>MEJORAMIENTO DE 3 KM VIALES MEDIANTE EL SISTEMA CONSTRUCTIVO DE PLACA HUELLA EN EL CORREDOR VIAL EN ANDES-SANTA RITA, EN EL MUNICIPIO DE ANDES, DEPARTAMENTO DE ANTIOQUIA</t>
  </si>
  <si>
    <t>MEJORAMIENTO EN PAVIMENTO FLEXIBLE Y URBANISMO EN EL SECTOR PUERTO HORMIGA DEL CORREGIMIENTO SAN  MIGUEL DEL TIGRE EN EL MUNICIPIO DE YONDÓ</t>
  </si>
  <si>
    <t xml:space="preserve">Puente colgante en el corregimiento de pueblo bello hasta la vereda la ilusion, la union y nueva esperanza del municipio de Turbo </t>
  </si>
  <si>
    <t>MEJORAMIENTO DE VÍAS URBANAS EN PAVIMENTO RÍGIDO EN ZONAS URBANAS DE LOS MUNICIPIOS DELIBORINA, SABANALARGA, ANTIOQUIA</t>
  </si>
  <si>
    <t>Repavimentación y reparcheo de la vía 25AN17-2 (ZARAGOZA-CRUZADA-BELEN-REMEDIOS), en el municipio de Remedios.</t>
  </si>
  <si>
    <t>Proyectos de pavimentacion de vias urbanas para el municipio de Granada</t>
  </si>
  <si>
    <t>CONSTRUCCIÓN DE OBRAS VIALES PARA MEJORAR LA CONECTIVIDAD DE NUESTRAS COMUNIDADES NEGRAS DE PUERTO GIRÓN, ZONA RURAL DEL MUNICIPIO DE APARTADÓ, ANTIOQUIA,</t>
  </si>
  <si>
    <t>Se remiten estudios y diseños por correo electronico con copia a ing Juan Fernando , Mateo Garces y Lizzeth</t>
  </si>
  <si>
    <t xml:space="preserve">Mediante este radicado el Municipio de Liborina hace la solicitud de pavimentacion urbana  tanto de liborina como del municipio de Sabanalarga. </t>
  </si>
  <si>
    <t xml:space="preserve">Proyecto presentado por el municipio de Liborina </t>
  </si>
  <si>
    <t>Derecho de petición realizado por comunidad, señor WALTER LEANDRO AGUIRRE MAZO, se traslada al municipio de Belmira por ser tema de su competencia</t>
  </si>
  <si>
    <t>Alcaldesa del municipio de Liborina, prioriza el proyecto ADECUACIÓN Y MEJORAMIENTO DEL PARQUE PRINCIPAL Y PARQUE LA MISERICORDIA DEL MUNICIPIO DE LIBORINA</t>
  </si>
  <si>
    <t xml:space="preserve">El municipio anexo a la solicitud el presupuesto y el estudio geotecnico del proyecto </t>
  </si>
  <si>
    <t>El municipio solo envio la solicitud con fotografias y las coordenadas  de los puntos a intervenir</t>
  </si>
  <si>
    <t xml:space="preserve">El municipio en la solicitud anexo toda la doumentacion del proyecto </t>
  </si>
  <si>
    <t xml:space="preserve">En el oficio de solicitud vino anexado el valor total de la obra </t>
  </si>
  <si>
    <t xml:space="preserve">En la solicutud se anaxa la documentacion de manifestacion de interes y presupuesto del proyecto por parte de JAC de la Vereda la Balsilla </t>
  </si>
  <si>
    <t>En la solicitud anexan toda la informacion del proyecto</t>
  </si>
  <si>
    <t xml:space="preserve">se recibio la solicitud del municipio sin archivos adjuntos </t>
  </si>
  <si>
    <t>En la solicutud se anaxa la documentacion de manifestacion de interes y presupuesto del proyecto por parte de JAC del corregimeinto la Pajilla</t>
  </si>
  <si>
    <t xml:space="preserve">La JAC de la vereda La Renta del corregimiento El Brasil enviaron la solicitud, para acceder a la proxima convocatoria de placa huellas que la Gobernacion  adelante </t>
  </si>
  <si>
    <t xml:space="preserve">La JAC de la vereda Llanadas  envia la solicitud para la construccion de 200 metros de placa huella </t>
  </si>
  <si>
    <t xml:space="preserve">La JAC de la vereda Piedrecitas envia la solicitud para la construccion de 500 m aproximados de placa huella </t>
  </si>
  <si>
    <t xml:space="preserve">Enviaron  solicitud con la propuesta del proyecto en un Drive adjunto </t>
  </si>
  <si>
    <t>Se recibe la solicitud del municipio con los documentos  del proyecto adjuntos en el Drive</t>
  </si>
  <si>
    <t>Se recibe la solicitud del municipio con los documentos del proyecto adjuntos en el Drive</t>
  </si>
  <si>
    <t xml:space="preserve">Solicitud por parte del  señor Ricardo Gutierrez para gestionar 800 metros de placa huella en el municipio de Granada vereda Chuscalito, sector donde fue el accidente del avion del equipo Brasileño de futbol Chapecoense </t>
  </si>
  <si>
    <t xml:space="preserve">Se recibe la solicitud del municipio con el presupusto adjunto </t>
  </si>
  <si>
    <t>El alcalde del muncipio de Ciudad Bolivar mediante la presente Solicitamos sus buenos oficios para el mejoramiento de las vías en el marco del parque principal con adoquín.</t>
  </si>
  <si>
    <t>La alcaldesa del muncipio de Liborina mediante la presente realiza la SOLICITUD DE APOYO DEL MEJORAMIENTO DE LA MALLA VIAL DEL CASCO URBANO DEL MUNICIPIO DE LIBORINA</t>
  </si>
  <si>
    <t xml:space="preserve">En la solicitud anexan un enlace en Drive que solicita acceso para ingresar y ver toda la doumentacion del proyecto </t>
  </si>
  <si>
    <t xml:space="preserve">solicitud de peticion de la JAC de la vereda la ilusion </t>
  </si>
  <si>
    <t>Derecho de petición realizado por María del Carmen De la Hoz Rodríguez Representante Legal de ASOPROGROPAR, se traslada al municipio de Arboletes por ser tema de su competencia</t>
  </si>
  <si>
    <t>La JAC de la vereda Llanadas  envia la solicitud para la construccion de 200 metros de placa huella</t>
  </si>
  <si>
    <t xml:space="preserve">Solicitud por parte del  señor  Ricardo Gutierrez para gestionar 800 metros de placa huella en el municipio de Granada vereda Chuscalito, sector donde fue el accidente del avion del equipo Brasileño de futbol Chapecoense </t>
  </si>
  <si>
    <t>Rehabilitación de tramos críticos en las diferentes veredas del municipio de El Santuario-Construcción de placa huella 2KM</t>
  </si>
  <si>
    <t>Es la subsanacion a observaciones con respecto a documentos adjuntos a oficios anteriores</t>
  </si>
  <si>
    <t>La alcaldesa del muncipio de Liborina mediante la presente realiza la SOLICITUD DE APOYO DEL MEJORAMIENTO DE LA MALLA VIAL DEL CASCO URBANO DEL MUNICIPIO DE LIBORINA. En el oficio se da un valor estimado, no hay presupuesto.</t>
  </si>
  <si>
    <t>Solo se allegan diseños arquitectonicos y presupuesto</t>
  </si>
  <si>
    <t>Puente vehicular Nendo L 32 B 7</t>
  </si>
  <si>
    <t>Informacion llega en un sobre entregado al secretario el 20 de noviembre. COntiene un breve oficio, CD y USB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</si>
</sst>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 #,##0;[Red]\-&quot;$&quot;\ #,##0"/>
    <numFmt numFmtId="8" formatCode="&quot;$&quot;\ #,##0.00;[Red]\-&quot;$&quot;\ #,##0.00"/>
    <numFmt numFmtId="42" formatCode="_-&quot;$&quot;\ * #,##0_-;\-&quot;$&quot;\ * #,##0_-;_-&quot;$&quot;\ * &quot;-&quot;_-;_-@_-"/>
    <numFmt numFmtId="41" formatCode="_-* #,##0_-;\-* #,##0_-;_-* &quot;-&quot;_-;_-@_-"/>
    <numFmt numFmtId="44" formatCode="_-&quot;$&quot;\ * #,##0.00_-;\-&quot;$&quot;\ * #,##0.00_-;_-&quot;$&quot;\ * &quot;-&quot;??_-;_-@_-"/>
    <numFmt numFmtId="43" formatCode="_-* #,##0.00_-;\-* #,##0.00_-;_-* &quot;-&quot;??_-;_-@_-"/>
    <numFmt numFmtId="164" formatCode="_(&quot;$&quot;* #,##0.00_);_(&quot;$&quot;* \(#,##0.00\);_(&quot;$&quot;* &quot;-&quot;??_);_(@_)"/>
    <numFmt numFmtId="165" formatCode="_-&quot;$&quot;* #,##0.00_-;\-&quot;$&quot;* #,##0.00_-;_-&quot;$&quot;* &quot;-&quot;??_-;_-@_-"/>
    <numFmt numFmtId="166" formatCode="_(&quot;$&quot;\ * #,##0.00_);_(&quot;$&quot;\ * \(#,##0.00\);_(&quot;$&quot;\ * &quot;-&quot;??_);_(@_)"/>
    <numFmt numFmtId="167" formatCode="_ * #,##0.00_ ;_ * \-#,##0.00_ ;_ * &quot;-&quot;??_ ;_ @_ "/>
    <numFmt numFmtId="168" formatCode="_ &quot;$&quot;\ * #,##0.00_ ;_ &quot;$&quot;\ * \-#,##0.00_ ;_ &quot;$&quot;\ * &quot;-&quot;??_ ;_ @_ "/>
    <numFmt numFmtId="169" formatCode="&quot;$&quot;#,##0.00"/>
    <numFmt numFmtId="170" formatCode="d/mm/yyyy;@"/>
    <numFmt numFmtId="171" formatCode="0.0%"/>
    <numFmt numFmtId="172" formatCode="_ &quot;$&quot;\ * #,##0_ ;_ &quot;$&quot;\ * \-#,##0_ ;_ &quot;$&quot;\ * &quot;-&quot;_ ;_ @_ "/>
  </numFmts>
  <fonts count="40">
    <font>
      <sz val="11"/>
      <color theme="1"/>
      <name val="Calibri"/>
      <family val="2"/>
      <scheme val="minor"/>
    </font>
    <font>
      <sz val="11"/>
      <color theme="1"/>
      <name val="Calibri"/>
      <family val="2"/>
      <scheme val="minor"/>
    </font>
    <font>
      <sz val="11"/>
      <color theme="1"/>
      <name val="Arial Narrow"/>
      <family val="2"/>
    </font>
    <font>
      <b/>
      <sz val="11"/>
      <color theme="1"/>
      <name val="Arial Narrow"/>
      <family val="2"/>
    </font>
    <font>
      <sz val="11"/>
      <color theme="1"/>
      <name val="Calibri"/>
      <family val="2"/>
      <scheme val="minor"/>
    </font>
    <font>
      <sz val="10"/>
      <name val="Arial"/>
      <family val="2"/>
    </font>
    <font>
      <sz val="11"/>
      <color indexed="8"/>
      <name val="Calibri"/>
      <family val="2"/>
    </font>
    <font>
      <b/>
      <sz val="11"/>
      <color theme="1"/>
      <name val="Aptos Estrechos"/>
    </font>
    <font>
      <sz val="11"/>
      <color rgb="FFFF0000"/>
      <name val="Calibri"/>
      <family val="2"/>
      <scheme val="minor"/>
    </font>
    <font>
      <sz val="10"/>
      <color rgb="FF202122"/>
      <name val="Arial"/>
      <family val="2"/>
    </font>
    <font>
      <sz val="9"/>
      <color theme="1"/>
      <name val="Arial"/>
      <family val="2"/>
    </font>
    <font>
      <sz val="8"/>
      <name val="Calibri"/>
      <family val="2"/>
      <scheme val="minor"/>
    </font>
    <font>
      <sz val="11"/>
      <color rgb="FFFF0000"/>
      <name val="Calibri"/>
      <family val="2"/>
      <scheme val="minor"/>
    </font>
    <font>
      <b/>
      <sz val="11"/>
      <color rgb="FFFF0000"/>
      <name val="Calibri"/>
      <family val="2"/>
      <scheme val="minor"/>
    </font>
    <font>
      <sz val="11"/>
      <color rgb="FF000000"/>
      <name val="Calibri"/>
      <family val="2"/>
      <scheme val="minor"/>
    </font>
    <font>
      <b/>
      <sz val="11"/>
      <color rgb="FFFF0000"/>
      <name val="Calibri"/>
      <family val="2"/>
      <scheme val="minor"/>
    </font>
    <font>
      <sz val="11"/>
      <color rgb="FF242424"/>
      <name val="Aptos Narrow"/>
      <family val="2"/>
    </font>
    <font>
      <sz val="11"/>
      <color rgb="FF000000"/>
      <name val="Calibri"/>
      <family val="2"/>
    </font>
    <font>
      <sz val="10"/>
      <color theme="1"/>
      <name val="Arial Narrow"/>
      <family val="2"/>
    </font>
    <font>
      <b/>
      <sz val="10"/>
      <color theme="0"/>
      <name val="Arial Narrow"/>
      <family val="2"/>
    </font>
    <font>
      <b/>
      <sz val="10"/>
      <color theme="1"/>
      <name val="Arial Narrow"/>
      <family val="2"/>
    </font>
    <font>
      <sz val="10"/>
      <name val="Arial Narrow"/>
      <family val="2"/>
    </font>
    <font>
      <sz val="11"/>
      <color rgb="FF000000"/>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sz val="11"/>
      <color theme="1"/>
      <name val="Calibri"/>
      <family val="2"/>
      <scheme val="minor"/>
    </font>
    <font>
      <sz val="9"/>
      <color indexed="81"/>
      <name val="Tahoma"/>
      <family val="2"/>
    </font>
    <font>
      <b/>
      <sz val="9"/>
      <color indexed="81"/>
      <name val="Tahoma"/>
      <family val="2"/>
    </font>
    <font>
      <sz val="11"/>
      <color theme="1"/>
      <name val="Calibri"/>
      <family val="2"/>
      <scheme val="minor"/>
    </font>
    <font>
      <sz val="11"/>
      <color theme="1"/>
      <name val="Calibri"/>
      <family val="2"/>
      <scheme val="minor"/>
    </font>
    <font>
      <sz val="10"/>
      <color rgb="FF000000"/>
      <name val="Times New Roman"/>
      <family val="1"/>
    </font>
    <font>
      <sz val="10"/>
      <name val="MS Sans Serif"/>
      <family val="2"/>
    </font>
    <font>
      <sz val="11"/>
      <color theme="1"/>
      <name val="Calibri"/>
      <family val="2"/>
      <scheme val="minor"/>
    </font>
    <font>
      <sz val="11"/>
      <color theme="1"/>
      <name val="Calibri"/>
      <family val="2"/>
      <scheme val="minor"/>
    </font>
    <font>
      <sz val="9"/>
      <color rgb="FF000000"/>
      <name val="Aptos Estrechos"/>
    </font>
    <font>
      <sz val="11"/>
      <color rgb="FF000000"/>
      <name val="Aptos Estrechos"/>
    </font>
    <font>
      <sz val="11"/>
      <color rgb="FF242424"/>
      <name val="Aptos Narrow"/>
      <charset val="1"/>
    </font>
    <font>
      <sz val="11"/>
      <color theme="1"/>
      <name val="Calibri"/>
      <scheme val="minor"/>
    </font>
    <font>
      <sz val="11"/>
      <color rgb="FF000000"/>
      <name val="Calibri"/>
      <family val="2"/>
      <charset val="1"/>
      <scheme val="minor"/>
    </font>
  </fonts>
  <fills count="16">
    <fill>
      <patternFill patternType="none"/>
    </fill>
    <fill>
      <patternFill patternType="gray125"/>
    </fill>
    <fill>
      <patternFill patternType="solid">
        <fgColor theme="0" tint="-0.14999847407452621"/>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theme="5" tint="-0.249977111117893"/>
        <bgColor indexed="64"/>
      </patternFill>
    </fill>
    <fill>
      <patternFill patternType="solid">
        <fgColor theme="7" tint="0.39997558519241921"/>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theme="9" tint="0.79998168889431442"/>
      </patternFill>
    </fill>
    <fill>
      <patternFill patternType="solid">
        <fgColor theme="9" tint="-0.499984740745262"/>
        <bgColor theme="9" tint="-0.499984740745262"/>
      </patternFill>
    </fill>
    <fill>
      <patternFill patternType="solid">
        <fgColor theme="9" tint="0.79998168889431442"/>
        <bgColor indexed="64"/>
      </patternFill>
    </fill>
    <fill>
      <patternFill patternType="solid">
        <fgColor rgb="FFD9D9D9"/>
        <bgColor rgb="FFD9D9D9"/>
      </patternFill>
    </fill>
    <fill>
      <patternFill patternType="solid">
        <fgColor theme="0" tint="-0.14999847407452621"/>
        <bgColor theme="0" tint="-0.14999847407452621"/>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right style="thin">
        <color rgb="FF000000"/>
      </right>
      <top/>
      <bottom/>
      <diagonal/>
    </border>
    <border>
      <left/>
      <right/>
      <top/>
      <bottom style="thin">
        <color theme="1"/>
      </bottom>
      <diagonal/>
    </border>
    <border>
      <left/>
      <right style="thin">
        <color indexed="64"/>
      </right>
      <top/>
      <bottom/>
      <diagonal/>
    </border>
    <border>
      <left style="thin">
        <color rgb="FF000000"/>
      </left>
      <right style="thin">
        <color rgb="FF000000"/>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style="thin">
        <color theme="1"/>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63">
    <xf numFmtId="0" fontId="0"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4" fillId="0" borderId="0"/>
    <xf numFmtId="165" fontId="4" fillId="0" borderId="0" applyFont="0" applyFill="0" applyBorder="0" applyAlignment="0" applyProtection="0"/>
    <xf numFmtId="0" fontId="5" fillId="0" borderId="0"/>
    <xf numFmtId="0" fontId="5" fillId="0" borderId="0"/>
    <xf numFmtId="0" fontId="4" fillId="0" borderId="0"/>
    <xf numFmtId="166" fontId="4" fillId="0" borderId="0" applyFont="0" applyFill="0" applyBorder="0" applyAlignment="0" applyProtection="0"/>
    <xf numFmtId="166" fontId="6" fillId="0" borderId="0" applyFont="0" applyFill="0" applyBorder="0" applyAlignment="0" applyProtection="0"/>
    <xf numFmtId="43" fontId="6" fillId="0" borderId="0" applyFont="0" applyFill="0" applyBorder="0" applyAlignment="0" applyProtection="0"/>
    <xf numFmtId="167" fontId="5" fillId="0" borderId="0" applyFont="0" applyFill="0" applyBorder="0" applyAlignment="0" applyProtection="0"/>
    <xf numFmtId="9" fontId="6" fillId="0" borderId="0" applyFont="0" applyFill="0" applyBorder="0" applyAlignment="0" applyProtection="0"/>
    <xf numFmtId="0" fontId="4" fillId="0" borderId="0"/>
    <xf numFmtId="43" fontId="6" fillId="0" borderId="0" applyFont="0" applyFill="0" applyBorder="0" applyAlignment="0" applyProtection="0"/>
    <xf numFmtId="0" fontId="5"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0" fontId="5" fillId="0" borderId="0"/>
    <xf numFmtId="0" fontId="6" fillId="0" borderId="0"/>
    <xf numFmtId="168" fontId="5" fillId="0" borderId="0" applyFont="0" applyFill="0" applyBorder="0" applyAlignment="0" applyProtection="0"/>
    <xf numFmtId="164" fontId="4" fillId="0" borderId="0" applyFont="0" applyFill="0" applyBorder="0" applyAlignment="0" applyProtection="0"/>
    <xf numFmtId="44" fontId="4" fillId="0" borderId="0" applyFont="0" applyFill="0" applyBorder="0" applyAlignment="0" applyProtection="0"/>
    <xf numFmtId="41" fontId="4" fillId="0" borderId="0" applyFont="0" applyFill="0" applyBorder="0" applyAlignment="0" applyProtection="0"/>
    <xf numFmtId="9" fontId="4" fillId="0" borderId="0" applyFont="0" applyFill="0" applyBorder="0" applyAlignment="0" applyProtection="0"/>
    <xf numFmtId="42" fontId="4"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1" fillId="0" borderId="0"/>
    <xf numFmtId="0" fontId="31" fillId="0" borderId="0"/>
    <xf numFmtId="0" fontId="32" fillId="0" borderId="0"/>
    <xf numFmtId="40" fontId="32" fillId="0" borderId="0" applyFont="0" applyFill="0" applyBorder="0" applyAlignment="0" applyProtection="0"/>
    <xf numFmtId="9" fontId="32" fillId="0" borderId="0" applyFont="0" applyFill="0" applyBorder="0" applyAlignment="0" applyProtection="0"/>
    <xf numFmtId="9" fontId="5" fillId="0" borderId="0" applyFont="0" applyFill="0" applyBorder="0" applyAlignment="0" applyProtection="0"/>
    <xf numFmtId="0" fontId="6" fillId="0" borderId="0"/>
    <xf numFmtId="0" fontId="5" fillId="0" borderId="0"/>
    <xf numFmtId="0" fontId="5" fillId="0" borderId="0"/>
    <xf numFmtId="0" fontId="1" fillId="0" borderId="0"/>
    <xf numFmtId="41" fontId="5" fillId="0" borderId="0" applyFont="0" applyFill="0" applyBorder="0" applyAlignment="0" applyProtection="0"/>
    <xf numFmtId="42" fontId="5" fillId="0" borderId="0" applyFont="0" applyFill="0" applyBorder="0" applyAlignment="0" applyProtection="0"/>
    <xf numFmtId="172" fontId="5" fillId="0" borderId="0" applyFont="0" applyFill="0" applyBorder="0" applyAlignment="0" applyProtection="0"/>
    <xf numFmtId="0" fontId="1" fillId="0" borderId="0"/>
    <xf numFmtId="41" fontId="1" fillId="0" borderId="0" applyFont="0" applyFill="0" applyBorder="0" applyAlignment="0" applyProtection="0"/>
    <xf numFmtId="0" fontId="1" fillId="0" borderId="0"/>
    <xf numFmtId="41" fontId="1" fillId="0" borderId="0" applyFont="0" applyFill="0" applyBorder="0" applyAlignment="0" applyProtection="0"/>
    <xf numFmtId="42" fontId="1" fillId="0" borderId="0" applyFont="0" applyFill="0" applyBorder="0" applyAlignment="0" applyProtection="0"/>
    <xf numFmtId="41" fontId="5" fillId="0" borderId="0" applyFont="0" applyFill="0" applyBorder="0" applyAlignment="0" applyProtection="0"/>
    <xf numFmtId="42" fontId="5" fillId="0" borderId="0" applyFont="0" applyFill="0" applyBorder="0" applyAlignment="0" applyProtection="0"/>
    <xf numFmtId="41" fontId="1" fillId="0" borderId="0" applyFont="0" applyFill="0" applyBorder="0" applyAlignment="0" applyProtection="0"/>
    <xf numFmtId="0" fontId="6" fillId="0" borderId="0"/>
    <xf numFmtId="44" fontId="1"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1" fillId="0" borderId="0"/>
    <xf numFmtId="44" fontId="1"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0" fontId="5" fillId="0" borderId="0"/>
    <xf numFmtId="0" fontId="1" fillId="0" borderId="0"/>
    <xf numFmtId="44" fontId="1" fillId="0" borderId="0" applyFont="0" applyFill="0" applyBorder="0" applyAlignment="0" applyProtection="0"/>
  </cellStyleXfs>
  <cellXfs count="274">
    <xf numFmtId="0" fontId="0" fillId="0" borderId="0" xfId="0"/>
    <xf numFmtId="0" fontId="2" fillId="0" borderId="0" xfId="0" applyFont="1" applyAlignment="1">
      <alignment horizontal="center"/>
    </xf>
    <xf numFmtId="0" fontId="3" fillId="0" borderId="0" xfId="0" applyFont="1" applyAlignment="1">
      <alignment horizontal="center"/>
    </xf>
    <xf numFmtId="0" fontId="0" fillId="0" borderId="0" xfId="0" applyAlignment="1">
      <alignment horizontal="center"/>
    </xf>
    <xf numFmtId="0" fontId="7" fillId="0" borderId="3" xfId="0" applyFont="1" applyBorder="1" applyAlignment="1">
      <alignment horizontal="center" vertical="center"/>
    </xf>
    <xf numFmtId="0" fontId="7" fillId="0" borderId="2" xfId="0" applyFont="1" applyBorder="1" applyAlignment="1">
      <alignment horizontal="center" vertical="center" wrapText="1"/>
    </xf>
    <xf numFmtId="0" fontId="7" fillId="0" borderId="0" xfId="0" applyFont="1" applyAlignment="1">
      <alignment horizontal="center" vertical="center" wrapText="1"/>
    </xf>
    <xf numFmtId="169" fontId="7" fillId="0" borderId="0" xfId="0" applyNumberFormat="1" applyFont="1" applyAlignment="1">
      <alignment horizontal="center" vertical="center" wrapText="1"/>
    </xf>
    <xf numFmtId="2" fontId="0" fillId="0" borderId="0" xfId="0" applyNumberFormat="1"/>
    <xf numFmtId="0" fontId="0" fillId="0" borderId="0" xfId="0" applyAlignment="1">
      <alignment horizontal="center" vertical="center"/>
    </xf>
    <xf numFmtId="1" fontId="0" fillId="0" borderId="0" xfId="0" applyNumberFormat="1" applyAlignment="1">
      <alignment horizontal="center" vertical="center" wrapText="1"/>
    </xf>
    <xf numFmtId="14" fontId="0" fillId="0" borderId="0" xfId="0" applyNumberFormat="1" applyAlignment="1">
      <alignment horizontal="center" vertical="center" wrapText="1"/>
    </xf>
    <xf numFmtId="164" fontId="0" fillId="0" borderId="0" xfId="22" applyFont="1" applyFill="1" applyBorder="1"/>
    <xf numFmtId="49" fontId="0" fillId="0" borderId="0" xfId="0" applyNumberFormat="1"/>
    <xf numFmtId="1" fontId="8" fillId="0" borderId="0" xfId="0" applyNumberFormat="1" applyFont="1" applyAlignment="1">
      <alignment horizontal="center" vertical="center" wrapText="1"/>
    </xf>
    <xf numFmtId="1" fontId="0" fillId="0" borderId="0" xfId="0" applyNumberFormat="1" applyAlignment="1">
      <alignment horizontal="center" vertical="center"/>
    </xf>
    <xf numFmtId="0" fontId="9" fillId="0" borderId="0" xfId="0" applyFont="1" applyAlignment="1">
      <alignment horizontal="center" vertical="center" wrapText="1"/>
    </xf>
    <xf numFmtId="0" fontId="0" fillId="0" borderId="5" xfId="0" applyBorder="1"/>
    <xf numFmtId="2" fontId="0" fillId="0" borderId="5" xfId="0" applyNumberFormat="1" applyBorder="1"/>
    <xf numFmtId="0" fontId="10" fillId="0" borderId="0" xfId="0" applyFont="1" applyAlignment="1">
      <alignment horizontal="left" vertical="center" wrapText="1"/>
    </xf>
    <xf numFmtId="2" fontId="10" fillId="0" borderId="0" xfId="0" applyNumberFormat="1" applyFont="1" applyAlignment="1">
      <alignment horizontal="left" vertical="center" wrapText="1"/>
    </xf>
    <xf numFmtId="0" fontId="10" fillId="2" borderId="0" xfId="0" applyFont="1" applyFill="1" applyAlignment="1">
      <alignment horizontal="left" vertical="center" wrapText="1"/>
    </xf>
    <xf numFmtId="2" fontId="10" fillId="2" borderId="0" xfId="0" applyNumberFormat="1" applyFont="1" applyFill="1" applyAlignment="1">
      <alignment horizontal="left" vertical="center" wrapText="1"/>
    </xf>
    <xf numFmtId="164" fontId="0" fillId="0" borderId="0" xfId="22" applyFont="1"/>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1" fontId="0" fillId="0" borderId="0" xfId="0" applyNumberFormat="1" applyAlignment="1">
      <alignment horizontal="center"/>
    </xf>
    <xf numFmtId="0" fontId="0" fillId="0" borderId="0" xfId="0" applyAlignment="1">
      <alignment wrapText="1"/>
    </xf>
    <xf numFmtId="164" fontId="0" fillId="0" borderId="0" xfId="22" applyFont="1" applyFill="1"/>
    <xf numFmtId="170" fontId="0" fillId="0" borderId="0" xfId="0" applyNumberFormat="1" applyAlignment="1">
      <alignment horizontal="center" vertical="center" wrapText="1"/>
    </xf>
    <xf numFmtId="0" fontId="0" fillId="0" borderId="1" xfId="0" applyBorder="1" applyAlignment="1">
      <alignment horizontal="center" vertical="center" wrapText="1"/>
    </xf>
    <xf numFmtId="0" fontId="0" fillId="0" borderId="0" xfId="0" applyAlignment="1" applyProtection="1">
      <alignment horizontal="center"/>
      <protection hidden="1"/>
    </xf>
    <xf numFmtId="49" fontId="0" fillId="0" borderId="0" xfId="0" applyNumberFormat="1" applyAlignment="1">
      <alignment horizontal="center"/>
    </xf>
    <xf numFmtId="0" fontId="0" fillId="0" borderId="0" xfId="0" applyAlignment="1" applyProtection="1">
      <alignment horizontal="center"/>
      <protection locked="0"/>
    </xf>
    <xf numFmtId="0" fontId="7" fillId="0" borderId="6" xfId="0" applyFont="1" applyBorder="1" applyAlignment="1" applyProtection="1">
      <alignment horizontal="center" vertical="center" wrapText="1"/>
      <protection locked="0"/>
    </xf>
    <xf numFmtId="0" fontId="0" fillId="0" borderId="0" xfId="0" applyAlignment="1" applyProtection="1">
      <alignment wrapText="1"/>
      <protection locked="0"/>
    </xf>
    <xf numFmtId="0" fontId="0" fillId="0" borderId="0" xfId="0" applyProtection="1">
      <protection locked="0"/>
    </xf>
    <xf numFmtId="0" fontId="7" fillId="0" borderId="0" xfId="0" applyFont="1" applyAlignment="1" applyProtection="1">
      <alignment horizontal="center" vertical="center" wrapText="1"/>
      <protection locked="0"/>
    </xf>
    <xf numFmtId="169" fontId="7" fillId="0" borderId="4" xfId="0" applyNumberFormat="1"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7" fillId="0" borderId="3" xfId="0" applyFont="1" applyBorder="1" applyAlignment="1">
      <alignment horizontal="center" vertical="center" wrapText="1"/>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pplyProtection="1">
      <alignment horizontal="center" vertical="center" wrapText="1"/>
      <protection locked="0"/>
    </xf>
    <xf numFmtId="0" fontId="0" fillId="0" borderId="0" xfId="0" applyAlignment="1" applyProtection="1">
      <alignment horizontal="center" wrapText="1"/>
      <protection locked="0"/>
    </xf>
    <xf numFmtId="0" fontId="0" fillId="0" borderId="0" xfId="0" applyAlignment="1" applyProtection="1">
      <alignment horizontal="center" wrapText="1"/>
      <protection hidden="1"/>
    </xf>
    <xf numFmtId="164" fontId="0" fillId="0" borderId="0" xfId="22" applyFont="1" applyAlignment="1" applyProtection="1">
      <alignment wrapText="1"/>
      <protection locked="0"/>
    </xf>
    <xf numFmtId="0" fontId="0" fillId="3" borderId="0" xfId="0" applyFill="1" applyAlignment="1">
      <alignment horizontal="center" vertical="center" wrapText="1"/>
    </xf>
    <xf numFmtId="164" fontId="0" fillId="0" borderId="0" xfId="22" applyFont="1" applyAlignment="1" applyProtection="1">
      <alignment horizontal="center" vertical="center" wrapText="1"/>
      <protection locked="0"/>
    </xf>
    <xf numFmtId="0" fontId="7" fillId="0" borderId="6" xfId="0" applyFont="1" applyBorder="1" applyAlignment="1" applyProtection="1">
      <alignment horizontal="center" vertical="center"/>
      <protection locked="0"/>
    </xf>
    <xf numFmtId="0" fontId="13" fillId="0" borderId="0" xfId="0" applyFont="1" applyProtection="1">
      <protection locked="0"/>
    </xf>
    <xf numFmtId="0" fontId="8" fillId="0" borderId="0" xfId="0" applyFont="1" applyAlignment="1" applyProtection="1">
      <alignment horizontal="left"/>
      <protection locked="0"/>
    </xf>
    <xf numFmtId="14" fontId="0" fillId="0" borderId="0" xfId="0" applyNumberFormat="1" applyAlignment="1">
      <alignment horizontal="center"/>
    </xf>
    <xf numFmtId="49" fontId="12" fillId="0" borderId="0" xfId="0" applyNumberFormat="1" applyFont="1"/>
    <xf numFmtId="0" fontId="7" fillId="0" borderId="9" xfId="0" applyFont="1" applyBorder="1" applyAlignment="1">
      <alignment horizontal="center" vertical="center" wrapText="1"/>
    </xf>
    <xf numFmtId="0" fontId="16" fillId="0" borderId="0" xfId="0" applyFont="1"/>
    <xf numFmtId="0" fontId="15" fillId="0" borderId="0" xfId="0" applyFont="1" applyProtection="1">
      <protection locked="0"/>
    </xf>
    <xf numFmtId="0" fontId="0" fillId="5" borderId="0" xfId="0" applyFill="1" applyProtection="1">
      <protection locked="0"/>
    </xf>
    <xf numFmtId="0" fontId="7" fillId="0" borderId="4" xfId="0" applyFont="1" applyBorder="1" applyAlignment="1" applyProtection="1">
      <alignment horizontal="center" vertical="center"/>
      <protection locked="0"/>
    </xf>
    <xf numFmtId="0" fontId="17" fillId="0" borderId="0" xfId="0" applyFont="1" applyAlignment="1">
      <alignment horizontal="center" wrapText="1"/>
    </xf>
    <xf numFmtId="0" fontId="17" fillId="0" borderId="0" xfId="0" applyFont="1"/>
    <xf numFmtId="0" fontId="17" fillId="0" borderId="0" xfId="0" applyFont="1" applyAlignment="1">
      <alignment wrapText="1"/>
    </xf>
    <xf numFmtId="0" fontId="1" fillId="0" borderId="0" xfId="0" applyFont="1" applyAlignment="1">
      <alignment horizontal="center" vertical="center"/>
    </xf>
    <xf numFmtId="14" fontId="1" fillId="0" borderId="0" xfId="0" applyNumberFormat="1" applyFont="1" applyAlignment="1">
      <alignment horizontal="center" vertical="center" wrapText="1"/>
    </xf>
    <xf numFmtId="1" fontId="1" fillId="0" borderId="0" xfId="0" applyNumberFormat="1" applyFont="1" applyAlignment="1">
      <alignment horizontal="center" vertical="center" wrapText="1"/>
    </xf>
    <xf numFmtId="0" fontId="1" fillId="0" borderId="0" xfId="0" applyFont="1" applyAlignment="1" applyProtection="1">
      <alignment horizontal="center"/>
      <protection locked="0"/>
    </xf>
    <xf numFmtId="0" fontId="1" fillId="0" borderId="0" xfId="0" applyFont="1"/>
    <xf numFmtId="49" fontId="1" fillId="0" borderId="0" xfId="0" applyNumberFormat="1" applyFont="1"/>
    <xf numFmtId="164" fontId="1" fillId="0" borderId="0" xfId="22" applyFont="1" applyFill="1" applyBorder="1"/>
    <xf numFmtId="0" fontId="1" fillId="0" borderId="0" xfId="0" applyFont="1" applyProtection="1">
      <protection locked="0"/>
    </xf>
    <xf numFmtId="0" fontId="1" fillId="0" borderId="0" xfId="0" applyFont="1" applyAlignment="1" applyProtection="1">
      <alignment wrapText="1"/>
      <protection locked="0"/>
    </xf>
    <xf numFmtId="0" fontId="18" fillId="0" borderId="1" xfId="0" applyFont="1" applyBorder="1" applyAlignment="1">
      <alignment horizontal="center" vertical="center"/>
    </xf>
    <xf numFmtId="3" fontId="20" fillId="7" borderId="1" xfId="0" applyNumberFormat="1" applyFont="1" applyFill="1" applyBorder="1" applyAlignment="1" applyProtection="1">
      <alignment horizontal="center" vertical="center" wrapText="1"/>
      <protection locked="0"/>
    </xf>
    <xf numFmtId="0" fontId="0" fillId="0" borderId="0" xfId="0" quotePrefix="1" applyAlignment="1">
      <alignment horizontal="center" vertical="center"/>
    </xf>
    <xf numFmtId="9" fontId="0" fillId="0" borderId="0" xfId="0" applyNumberFormat="1" applyAlignment="1">
      <alignment horizontal="center" vertical="center"/>
    </xf>
    <xf numFmtId="171" fontId="18" fillId="0" borderId="1" xfId="25" applyNumberFormat="1" applyFont="1" applyFill="1" applyBorder="1" applyAlignment="1">
      <alignment horizontal="center"/>
    </xf>
    <xf numFmtId="9" fontId="18" fillId="0" borderId="1" xfId="25" applyFont="1" applyFill="1" applyBorder="1" applyAlignment="1">
      <alignment horizontal="center"/>
    </xf>
    <xf numFmtId="0" fontId="18" fillId="0" borderId="1" xfId="0" applyFont="1" applyBorder="1" applyAlignment="1">
      <alignment horizontal="center"/>
    </xf>
    <xf numFmtId="0" fontId="18" fillId="8" borderId="0" xfId="0" applyFont="1" applyFill="1" applyAlignment="1">
      <alignment horizontal="center" vertical="center"/>
    </xf>
    <xf numFmtId="0" fontId="18" fillId="0" borderId="0" xfId="0" applyFont="1" applyAlignment="1">
      <alignment horizontal="center" vertical="center"/>
    </xf>
    <xf numFmtId="0" fontId="18" fillId="8" borderId="0" xfId="0" applyFont="1" applyFill="1"/>
    <xf numFmtId="0" fontId="18" fillId="0" borderId="0" xfId="0" applyFont="1"/>
    <xf numFmtId="0" fontId="18" fillId="8" borderId="1" xfId="0" applyFont="1" applyFill="1" applyBorder="1" applyAlignment="1">
      <alignment horizontal="center" vertical="center"/>
    </xf>
    <xf numFmtId="3" fontId="20" fillId="9" borderId="1" xfId="0" applyNumberFormat="1" applyFont="1" applyFill="1" applyBorder="1" applyAlignment="1" applyProtection="1">
      <alignment horizontal="center" vertical="center" wrapText="1"/>
      <protection locked="0"/>
    </xf>
    <xf numFmtId="0" fontId="20" fillId="7" borderId="1" xfId="0" applyFont="1" applyFill="1" applyBorder="1" applyAlignment="1" applyProtection="1">
      <alignment horizontal="center" vertical="center" wrapText="1"/>
      <protection locked="0"/>
    </xf>
    <xf numFmtId="10" fontId="20" fillId="7" borderId="1" xfId="25" applyNumberFormat="1" applyFont="1" applyFill="1" applyBorder="1" applyAlignment="1" applyProtection="1">
      <alignment horizontal="center" vertical="center" wrapText="1"/>
      <protection locked="0"/>
    </xf>
    <xf numFmtId="10" fontId="18" fillId="0" borderId="1" xfId="25" applyNumberFormat="1" applyFont="1" applyFill="1" applyBorder="1" applyAlignment="1">
      <alignment horizontal="center" vertical="center"/>
    </xf>
    <xf numFmtId="10" fontId="18" fillId="0" borderId="1" xfId="25" applyNumberFormat="1" applyFont="1" applyFill="1" applyBorder="1" applyAlignment="1">
      <alignment horizontal="center"/>
    </xf>
    <xf numFmtId="3" fontId="20" fillId="10" borderId="1" xfId="0" applyNumberFormat="1" applyFont="1" applyFill="1" applyBorder="1" applyAlignment="1" applyProtection="1">
      <alignment horizontal="center" vertical="center" wrapText="1"/>
      <protection locked="0"/>
    </xf>
    <xf numFmtId="3" fontId="20" fillId="10" borderId="10" xfId="0" applyNumberFormat="1" applyFont="1" applyFill="1" applyBorder="1" applyAlignment="1" applyProtection="1">
      <alignment horizontal="center" vertical="center" wrapText="1"/>
      <protection locked="0"/>
    </xf>
    <xf numFmtId="49" fontId="1" fillId="0" borderId="0" xfId="0" applyNumberFormat="1" applyFont="1" applyAlignment="1">
      <alignment horizontal="center"/>
    </xf>
    <xf numFmtId="0" fontId="17" fillId="0" borderId="0" xfId="0" applyFont="1" applyAlignment="1" applyProtection="1">
      <alignment horizontal="center" vertical="center"/>
      <protection locked="0"/>
    </xf>
    <xf numFmtId="0" fontId="17" fillId="0" borderId="0" xfId="0" applyFont="1" applyAlignment="1">
      <alignment horizontal="center"/>
    </xf>
    <xf numFmtId="49" fontId="0" fillId="0" borderId="0" xfId="0" applyNumberFormat="1" applyAlignment="1">
      <alignment wrapText="1"/>
    </xf>
    <xf numFmtId="0" fontId="19" fillId="6" borderId="8" xfId="0" applyFont="1" applyFill="1" applyBorder="1" applyAlignment="1" applyProtection="1">
      <alignment horizontal="center" vertical="center"/>
      <protection locked="0"/>
    </xf>
    <xf numFmtId="0" fontId="18" fillId="0" borderId="8" xfId="0" applyFont="1" applyBorder="1" applyAlignment="1">
      <alignment horizontal="center" vertical="center"/>
    </xf>
    <xf numFmtId="0" fontId="18" fillId="0" borderId="8" xfId="0" applyFont="1" applyBorder="1" applyAlignment="1">
      <alignment horizontal="center"/>
    </xf>
    <xf numFmtId="3" fontId="20" fillId="10" borderId="11" xfId="0" applyNumberFormat="1" applyFont="1" applyFill="1" applyBorder="1" applyAlignment="1" applyProtection="1">
      <alignment horizontal="center" vertical="center" wrapText="1"/>
      <protection locked="0"/>
    </xf>
    <xf numFmtId="0" fontId="0" fillId="0" borderId="7" xfId="0" applyBorder="1" applyAlignment="1">
      <alignment horizontal="center"/>
    </xf>
    <xf numFmtId="0" fontId="18" fillId="0" borderId="12" xfId="0" applyFont="1" applyBorder="1" applyAlignment="1">
      <alignment horizontal="center" vertical="center"/>
    </xf>
    <xf numFmtId="0" fontId="18" fillId="0" borderId="13" xfId="0" applyFont="1" applyBorder="1" applyAlignment="1">
      <alignment horizontal="center" vertical="center"/>
    </xf>
    <xf numFmtId="10" fontId="18" fillId="0" borderId="13" xfId="25" applyNumberFormat="1" applyFont="1" applyFill="1" applyBorder="1" applyAlignment="1">
      <alignment horizontal="center" vertical="center"/>
    </xf>
    <xf numFmtId="10" fontId="18" fillId="0" borderId="13" xfId="25" applyNumberFormat="1" applyFont="1" applyFill="1" applyBorder="1" applyAlignment="1">
      <alignment horizontal="center"/>
    </xf>
    <xf numFmtId="171" fontId="18" fillId="0" borderId="13" xfId="25" applyNumberFormat="1" applyFont="1" applyFill="1" applyBorder="1" applyAlignment="1">
      <alignment horizontal="center"/>
    </xf>
    <xf numFmtId="9" fontId="18" fillId="0" borderId="13" xfId="25" applyFont="1" applyFill="1" applyBorder="1" applyAlignment="1">
      <alignment horizontal="center"/>
    </xf>
    <xf numFmtId="0" fontId="0" fillId="0" borderId="14" xfId="0" applyBorder="1" applyAlignment="1">
      <alignment horizontal="center"/>
    </xf>
    <xf numFmtId="164" fontId="18" fillId="0" borderId="1" xfId="22" applyFont="1" applyBorder="1" applyAlignment="1" applyProtection="1">
      <alignment horizontal="center"/>
      <protection locked="0"/>
    </xf>
    <xf numFmtId="164" fontId="18" fillId="0" borderId="1" xfId="22" applyFont="1" applyBorder="1" applyAlignment="1">
      <alignment horizontal="center"/>
    </xf>
    <xf numFmtId="164" fontId="18" fillId="8" borderId="1" xfId="22" applyFont="1" applyFill="1" applyBorder="1" applyAlignment="1">
      <alignment horizontal="center"/>
    </xf>
    <xf numFmtId="164" fontId="21" fillId="0" borderId="1" xfId="22" applyFont="1" applyBorder="1" applyAlignment="1" applyProtection="1">
      <alignment horizontal="center"/>
      <protection locked="0"/>
    </xf>
    <xf numFmtId="164" fontId="18" fillId="0" borderId="0" xfId="22" applyFont="1" applyAlignment="1" applyProtection="1">
      <alignment horizontal="center"/>
      <protection locked="0"/>
    </xf>
    <xf numFmtId="164" fontId="18" fillId="0" borderId="13" xfId="22" applyFont="1" applyBorder="1" applyAlignment="1" applyProtection="1">
      <alignment horizontal="center"/>
      <protection locked="0"/>
    </xf>
    <xf numFmtId="164" fontId="18" fillId="0" borderId="13" xfId="22" applyFont="1" applyBorder="1" applyAlignment="1">
      <alignment horizontal="center"/>
    </xf>
    <xf numFmtId="164" fontId="18" fillId="8" borderId="13" xfId="22" applyFont="1" applyFill="1" applyBorder="1" applyAlignment="1">
      <alignment horizontal="center"/>
    </xf>
    <xf numFmtId="164" fontId="18" fillId="0" borderId="1" xfId="22" applyFont="1" applyBorder="1" applyAlignment="1">
      <alignment horizontal="center" vertical="center"/>
    </xf>
    <xf numFmtId="164" fontId="18" fillId="0" borderId="13" xfId="22" applyFont="1" applyBorder="1" applyAlignment="1">
      <alignment horizontal="center" vertical="center"/>
    </xf>
    <xf numFmtId="14" fontId="0" fillId="0" borderId="0" xfId="0" applyNumberFormat="1" applyAlignment="1" applyProtection="1">
      <alignment horizontal="center"/>
      <protection locked="0"/>
    </xf>
    <xf numFmtId="14" fontId="0" fillId="5" borderId="0" xfId="0" applyNumberFormat="1" applyFill="1" applyAlignment="1" applyProtection="1">
      <alignment horizontal="center"/>
      <protection locked="0"/>
    </xf>
    <xf numFmtId="14" fontId="0" fillId="0" borderId="0" xfId="0" applyNumberFormat="1" applyAlignment="1" applyProtection="1">
      <alignment horizontal="center" wrapText="1"/>
      <protection locked="0"/>
    </xf>
    <xf numFmtId="14" fontId="1" fillId="0" borderId="0" xfId="0" applyNumberFormat="1" applyFont="1" applyAlignment="1">
      <alignment horizontal="center"/>
    </xf>
    <xf numFmtId="14" fontId="1" fillId="0" borderId="0" xfId="0" applyNumberFormat="1" applyFont="1" applyAlignment="1" applyProtection="1">
      <alignment horizontal="center"/>
      <protection locked="0"/>
    </xf>
    <xf numFmtId="164" fontId="1" fillId="0" borderId="0" xfId="22" applyFont="1" applyFill="1" applyProtection="1">
      <protection locked="0"/>
    </xf>
    <xf numFmtId="0" fontId="10" fillId="2" borderId="5" xfId="0" applyFont="1" applyFill="1" applyBorder="1" applyAlignment="1">
      <alignment horizontal="left" vertical="center" wrapText="1"/>
    </xf>
    <xf numFmtId="2" fontId="10" fillId="2" borderId="5" xfId="0" applyNumberFormat="1" applyFont="1" applyFill="1" applyBorder="1" applyAlignment="1">
      <alignment horizontal="left" vertical="center" wrapText="1"/>
    </xf>
    <xf numFmtId="0" fontId="0" fillId="0" borderId="1" xfId="0" applyBorder="1"/>
    <xf numFmtId="0" fontId="0" fillId="0" borderId="1" xfId="0" applyBorder="1" applyAlignment="1">
      <alignment horizontal="left" wrapText="1"/>
    </xf>
    <xf numFmtId="0" fontId="0" fillId="9" borderId="0" xfId="0" applyFill="1" applyAlignment="1" applyProtection="1">
      <alignment horizontal="center" vertical="center" wrapText="1"/>
      <protection locked="0"/>
    </xf>
    <xf numFmtId="3" fontId="7" fillId="7" borderId="4" xfId="0" applyNumberFormat="1" applyFont="1" applyFill="1" applyBorder="1" applyAlignment="1" applyProtection="1">
      <alignment horizontal="center" vertical="center" wrapText="1"/>
      <protection locked="0"/>
    </xf>
    <xf numFmtId="3" fontId="7" fillId="9" borderId="4" xfId="0" applyNumberFormat="1"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10" fontId="7" fillId="7" borderId="4" xfId="25" applyNumberFormat="1" applyFont="1" applyFill="1" applyBorder="1" applyAlignment="1" applyProtection="1">
      <alignment horizontal="center" vertical="center" wrapText="1"/>
      <protection locked="0"/>
    </xf>
    <xf numFmtId="3" fontId="7" fillId="10" borderId="4" xfId="0" applyNumberFormat="1" applyFont="1" applyFill="1" applyBorder="1" applyAlignment="1" applyProtection="1">
      <alignment horizontal="center" vertical="center" wrapText="1"/>
      <protection locked="0"/>
    </xf>
    <xf numFmtId="9" fontId="0" fillId="0" borderId="0" xfId="25" applyFont="1" applyAlignment="1">
      <alignment horizontal="center" wrapText="1"/>
    </xf>
    <xf numFmtId="164" fontId="0" fillId="0" borderId="1" xfId="0" applyNumberFormat="1" applyBorder="1"/>
    <xf numFmtId="0" fontId="0" fillId="0" borderId="1" xfId="0" pivotButton="1" applyBorder="1"/>
    <xf numFmtId="0" fontId="0" fillId="0" borderId="1" xfId="0" applyBorder="1" applyAlignment="1">
      <alignment horizontal="left"/>
    </xf>
    <xf numFmtId="164" fontId="7" fillId="7" borderId="4" xfId="22" applyFont="1" applyFill="1" applyBorder="1" applyAlignment="1" applyProtection="1">
      <alignment horizontal="center" vertical="center" wrapText="1"/>
      <protection locked="0"/>
    </xf>
    <xf numFmtId="164" fontId="0" fillId="0" borderId="0" xfId="22" applyFont="1" applyAlignment="1">
      <alignment horizontal="center" wrapText="1"/>
    </xf>
    <xf numFmtId="164" fontId="0" fillId="0" borderId="0" xfId="0" applyNumberFormat="1" applyAlignment="1">
      <alignment horizontal="center" wrapText="1"/>
    </xf>
    <xf numFmtId="0" fontId="0" fillId="0" borderId="1" xfId="0" pivotButton="1" applyBorder="1" applyAlignment="1">
      <alignment horizontal="center" vertical="center" wrapText="1"/>
    </xf>
    <xf numFmtId="0" fontId="0" fillId="4" borderId="0" xfId="0" applyFill="1" applyAlignment="1" applyProtection="1">
      <alignment horizontal="center" vertical="center" wrapText="1"/>
      <protection locked="0"/>
    </xf>
    <xf numFmtId="0" fontId="17" fillId="4" borderId="0" xfId="0" applyFont="1" applyFill="1" applyAlignment="1">
      <alignment horizontal="center" wrapText="1"/>
    </xf>
    <xf numFmtId="164" fontId="0" fillId="0" borderId="0" xfId="22" applyFont="1" applyBorder="1" applyAlignment="1" applyProtection="1">
      <alignment horizontal="center" vertical="center" wrapText="1"/>
      <protection locked="0"/>
    </xf>
    <xf numFmtId="164" fontId="0" fillId="0" borderId="0" xfId="22" applyFont="1" applyBorder="1" applyAlignment="1">
      <alignment horizontal="center" wrapText="1"/>
    </xf>
    <xf numFmtId="9" fontId="0" fillId="0" borderId="0" xfId="25" applyFont="1" applyBorder="1" applyAlignment="1">
      <alignment horizontal="center" wrapText="1"/>
    </xf>
    <xf numFmtId="164" fontId="1" fillId="0" borderId="0" xfId="22" applyFont="1" applyBorder="1" applyAlignment="1" applyProtection="1">
      <alignment wrapText="1"/>
      <protection locked="0"/>
    </xf>
    <xf numFmtId="164" fontId="0" fillId="0" borderId="0" xfId="22" applyFont="1" applyAlignment="1" applyProtection="1">
      <protection locked="0"/>
    </xf>
    <xf numFmtId="0" fontId="7" fillId="0" borderId="0" xfId="0" applyFont="1" applyAlignment="1" applyProtection="1">
      <alignment horizontal="center" vertical="center"/>
      <protection locked="0"/>
    </xf>
    <xf numFmtId="0" fontId="17" fillId="0" borderId="0" xfId="0" applyFont="1" applyAlignment="1" applyProtection="1">
      <alignment horizontal="center"/>
      <protection locked="0"/>
    </xf>
    <xf numFmtId="42" fontId="0" fillId="0" borderId="0" xfId="26" applyFont="1" applyBorder="1" applyAlignment="1">
      <alignment vertical="center"/>
    </xf>
    <xf numFmtId="164" fontId="1" fillId="0" borderId="0" xfId="22" applyFont="1" applyFill="1" applyAlignment="1" applyProtection="1">
      <protection locked="0"/>
    </xf>
    <xf numFmtId="0" fontId="0" fillId="0" borderId="1" xfId="0" applyBorder="1" applyProtection="1">
      <protection locked="0"/>
    </xf>
    <xf numFmtId="0" fontId="22" fillId="0" borderId="13" xfId="0" applyFont="1" applyBorder="1" applyProtection="1">
      <protection locked="0"/>
    </xf>
    <xf numFmtId="164" fontId="1" fillId="0" borderId="0" xfId="22" applyFont="1" applyFill="1" applyBorder="1" applyProtection="1">
      <protection locked="0"/>
    </xf>
    <xf numFmtId="0" fontId="0" fillId="0" borderId="0" xfId="0" applyProtection="1">
      <protection hidden="1"/>
    </xf>
    <xf numFmtId="164" fontId="0" fillId="0" borderId="0" xfId="22" applyFont="1" applyFill="1" applyProtection="1">
      <protection locked="0"/>
    </xf>
    <xf numFmtId="164" fontId="0" fillId="0" borderId="0" xfId="22" applyFont="1" applyFill="1" applyAlignment="1">
      <alignment horizontal="center"/>
    </xf>
    <xf numFmtId="164" fontId="23" fillId="11" borderId="1" xfId="0" applyNumberFormat="1" applyFont="1" applyFill="1" applyBorder="1"/>
    <xf numFmtId="0" fontId="24" fillId="12" borderId="1" xfId="0" applyFont="1" applyFill="1" applyBorder="1" applyAlignment="1">
      <alignment horizontal="center" vertical="center" wrapText="1"/>
    </xf>
    <xf numFmtId="164" fontId="24" fillId="12" borderId="1" xfId="0" applyNumberFormat="1" applyFont="1" applyFill="1" applyBorder="1"/>
    <xf numFmtId="164" fontId="18" fillId="0" borderId="1" xfId="22" applyFont="1" applyFill="1" applyBorder="1" applyAlignment="1">
      <alignment horizontal="center"/>
    </xf>
    <xf numFmtId="3" fontId="20" fillId="13" borderId="1" xfId="0" applyNumberFormat="1" applyFont="1" applyFill="1" applyBorder="1" applyAlignment="1" applyProtection="1">
      <alignment horizontal="center" vertical="center" wrapText="1"/>
      <protection locked="0"/>
    </xf>
    <xf numFmtId="3" fontId="20" fillId="13" borderId="0" xfId="0" applyNumberFormat="1" applyFont="1" applyFill="1" applyAlignment="1" applyProtection="1">
      <alignment horizontal="center" vertical="center" wrapText="1"/>
      <protection locked="0"/>
    </xf>
    <xf numFmtId="164" fontId="18" fillId="0" borderId="0" xfId="22" applyFont="1" applyFill="1" applyBorder="1" applyAlignment="1">
      <alignment horizontal="center"/>
    </xf>
    <xf numFmtId="164" fontId="0" fillId="0" borderId="0" xfId="22" applyFont="1" applyFill="1" applyAlignment="1" applyProtection="1">
      <alignment horizontal="center" vertical="center" wrapText="1"/>
      <protection locked="0"/>
    </xf>
    <xf numFmtId="164" fontId="0" fillId="0" borderId="0" xfId="22" applyFont="1" applyFill="1" applyAlignment="1">
      <alignment horizontal="center" wrapText="1"/>
    </xf>
    <xf numFmtId="0" fontId="25" fillId="0" borderId="0" xfId="0" applyFont="1" applyAlignment="1">
      <alignment horizontal="center" vertical="center"/>
    </xf>
    <xf numFmtId="1" fontId="25" fillId="0" borderId="0" xfId="0" applyNumberFormat="1" applyFont="1" applyAlignment="1">
      <alignment horizontal="center" vertical="center" wrapText="1"/>
    </xf>
    <xf numFmtId="14" fontId="25" fillId="0" borderId="0" xfId="0" applyNumberFormat="1" applyFont="1" applyAlignment="1">
      <alignment horizontal="center" vertical="center" wrapText="1"/>
    </xf>
    <xf numFmtId="49" fontId="25" fillId="0" borderId="0" xfId="0" applyNumberFormat="1" applyFont="1"/>
    <xf numFmtId="0" fontId="25" fillId="0" borderId="0" xfId="0" applyFont="1"/>
    <xf numFmtId="8" fontId="25" fillId="0" borderId="0" xfId="0" applyNumberFormat="1" applyFont="1"/>
    <xf numFmtId="0" fontId="0" fillId="10" borderId="0" xfId="0" applyFill="1" applyAlignment="1">
      <alignment horizontal="center" wrapText="1"/>
    </xf>
    <xf numFmtId="164" fontId="0" fillId="0" borderId="0" xfId="22" applyFont="1" applyAlignment="1">
      <alignment horizontal="center"/>
    </xf>
    <xf numFmtId="164" fontId="0" fillId="0" borderId="0" xfId="0" applyNumberFormat="1" applyAlignment="1">
      <alignment horizontal="center"/>
    </xf>
    <xf numFmtId="9" fontId="0" fillId="0" borderId="0" xfId="25" applyFont="1" applyAlignment="1">
      <alignment horizontal="center"/>
    </xf>
    <xf numFmtId="49" fontId="25" fillId="0" borderId="0" xfId="0" applyNumberFormat="1" applyFont="1" applyAlignment="1">
      <alignment horizontal="center"/>
    </xf>
    <xf numFmtId="0" fontId="26" fillId="0" borderId="0" xfId="0" applyFont="1" applyAlignment="1">
      <alignment horizontal="center" vertical="center"/>
    </xf>
    <xf numFmtId="1" fontId="26" fillId="0" borderId="0" xfId="0" applyNumberFormat="1" applyFont="1" applyAlignment="1">
      <alignment horizontal="center" vertical="center" wrapText="1"/>
    </xf>
    <xf numFmtId="14" fontId="26" fillId="0" borderId="0" xfId="0" applyNumberFormat="1" applyFont="1" applyAlignment="1">
      <alignment horizontal="center" vertical="center" wrapText="1"/>
    </xf>
    <xf numFmtId="49" fontId="26" fillId="0" borderId="0" xfId="0" applyNumberFormat="1" applyFont="1" applyAlignment="1">
      <alignment horizontal="center"/>
    </xf>
    <xf numFmtId="14" fontId="14" fillId="0" borderId="0" xfId="0" applyNumberFormat="1" applyFont="1" applyAlignment="1">
      <alignment horizontal="center" vertical="center"/>
    </xf>
    <xf numFmtId="8" fontId="26" fillId="0" borderId="0" xfId="0" applyNumberFormat="1" applyFont="1" applyAlignment="1" applyProtection="1">
      <alignment wrapText="1"/>
      <protection locked="0"/>
    </xf>
    <xf numFmtId="164" fontId="26" fillId="0" borderId="0" xfId="22" applyFont="1" applyFill="1"/>
    <xf numFmtId="164" fontId="0" fillId="0" borderId="0" xfId="22" applyFont="1" applyProtection="1">
      <protection locked="0"/>
    </xf>
    <xf numFmtId="164" fontId="17" fillId="0" borderId="0" xfId="22" applyFont="1" applyAlignment="1">
      <alignment wrapText="1"/>
    </xf>
    <xf numFmtId="1" fontId="0" fillId="0" borderId="0" xfId="0" applyNumberFormat="1" applyAlignment="1" applyProtection="1">
      <alignment horizontal="center"/>
      <protection locked="0"/>
    </xf>
    <xf numFmtId="8" fontId="0" fillId="0" borderId="0" xfId="0" applyNumberFormat="1" applyAlignment="1" applyProtection="1">
      <alignment wrapText="1"/>
      <protection locked="0"/>
    </xf>
    <xf numFmtId="164" fontId="26" fillId="0" borderId="0" xfId="22" applyFont="1" applyFill="1" applyAlignment="1" applyProtection="1">
      <alignment wrapText="1"/>
      <protection locked="0"/>
    </xf>
    <xf numFmtId="0" fontId="26" fillId="0" borderId="0" xfId="0" applyFont="1"/>
    <xf numFmtId="0" fontId="0" fillId="0" borderId="0" xfId="0" applyAlignment="1" applyProtection="1">
      <alignment horizontal="left"/>
      <protection locked="0"/>
    </xf>
    <xf numFmtId="14" fontId="14" fillId="14" borderId="0" xfId="0" applyNumberFormat="1" applyFont="1" applyFill="1" applyAlignment="1">
      <alignment horizontal="center" vertical="center"/>
    </xf>
    <xf numFmtId="0" fontId="29" fillId="0" borderId="0" xfId="0" applyFont="1" applyAlignment="1">
      <alignment horizontal="center" vertical="center"/>
    </xf>
    <xf numFmtId="1" fontId="29" fillId="0" borderId="0" xfId="0" applyNumberFormat="1" applyFont="1" applyAlignment="1">
      <alignment horizontal="center" vertical="center" wrapText="1"/>
    </xf>
    <xf numFmtId="14" fontId="29" fillId="0" borderId="0" xfId="0" applyNumberFormat="1" applyFont="1" applyAlignment="1">
      <alignment horizontal="center" vertical="center" wrapText="1"/>
    </xf>
    <xf numFmtId="164" fontId="29" fillId="0" borderId="0" xfId="22" applyFont="1" applyFill="1"/>
    <xf numFmtId="0" fontId="1" fillId="0" borderId="0" xfId="0" applyFont="1" applyAlignment="1" applyProtection="1">
      <alignment horizontal="center" wrapText="1"/>
      <protection locked="0"/>
    </xf>
    <xf numFmtId="8" fontId="30" fillId="0" borderId="0" xfId="0" applyNumberFormat="1" applyFont="1" applyAlignment="1" applyProtection="1">
      <alignment wrapText="1"/>
      <protection locked="0"/>
    </xf>
    <xf numFmtId="0" fontId="30" fillId="0" borderId="0" xfId="0" applyFont="1" applyAlignment="1">
      <alignment horizontal="center" vertical="center"/>
    </xf>
    <xf numFmtId="1" fontId="30" fillId="0" borderId="0" xfId="0" applyNumberFormat="1" applyFont="1" applyAlignment="1">
      <alignment horizontal="center" vertical="center" wrapText="1"/>
    </xf>
    <xf numFmtId="14" fontId="30" fillId="0" borderId="0" xfId="0" applyNumberFormat="1" applyFont="1" applyAlignment="1">
      <alignment horizontal="center" vertical="center" wrapText="1"/>
    </xf>
    <xf numFmtId="164" fontId="30" fillId="0" borderId="0" xfId="22" applyFont="1" applyFill="1"/>
    <xf numFmtId="49" fontId="30" fillId="0" borderId="0" xfId="0" applyNumberFormat="1" applyFont="1" applyAlignment="1">
      <alignment horizontal="center"/>
    </xf>
    <xf numFmtId="0" fontId="14" fillId="14" borderId="0" xfId="0" applyFont="1" applyFill="1" applyAlignment="1">
      <alignment horizontal="center" vertical="center"/>
    </xf>
    <xf numFmtId="0" fontId="33" fillId="0" borderId="0" xfId="0" applyFont="1" applyAlignment="1">
      <alignment horizontal="center" vertical="center"/>
    </xf>
    <xf numFmtId="1" fontId="33" fillId="0" borderId="0" xfId="0" applyNumberFormat="1" applyFont="1" applyAlignment="1">
      <alignment horizontal="center" vertical="center" wrapText="1"/>
    </xf>
    <xf numFmtId="14" fontId="33" fillId="0" borderId="0" xfId="0" applyNumberFormat="1" applyFont="1" applyAlignment="1">
      <alignment horizontal="center" vertical="center" wrapText="1"/>
    </xf>
    <xf numFmtId="0" fontId="33" fillId="0" borderId="0" xfId="0" applyFont="1"/>
    <xf numFmtId="49" fontId="33" fillId="0" borderId="0" xfId="0" applyNumberFormat="1" applyFont="1" applyAlignment="1">
      <alignment horizontal="center"/>
    </xf>
    <xf numFmtId="6" fontId="33" fillId="0" borderId="0" xfId="0" applyNumberFormat="1" applyFont="1"/>
    <xf numFmtId="8" fontId="33" fillId="0" borderId="0" xfId="0" applyNumberFormat="1" applyFont="1"/>
    <xf numFmtId="49" fontId="0" fillId="0" borderId="0" xfId="0" applyNumberFormat="1" applyAlignment="1" applyProtection="1">
      <alignment horizontal="center"/>
      <protection locked="0"/>
    </xf>
    <xf numFmtId="164" fontId="0" fillId="15" borderId="0" xfId="22" applyFont="1" applyFill="1" applyBorder="1" applyAlignment="1">
      <alignment wrapText="1"/>
    </xf>
    <xf numFmtId="164" fontId="0" fillId="0" borderId="1" xfId="22" applyFont="1" applyBorder="1" applyAlignment="1" applyProtection="1">
      <alignment wrapText="1"/>
      <protection locked="0"/>
    </xf>
    <xf numFmtId="164" fontId="0" fillId="0" borderId="0" xfId="22" applyFont="1" applyFill="1" applyBorder="1" applyAlignment="1">
      <alignment wrapText="1"/>
    </xf>
    <xf numFmtId="164" fontId="0" fillId="0" borderId="0" xfId="22" applyFont="1" applyBorder="1" applyAlignment="1" applyProtection="1">
      <alignment wrapText="1"/>
      <protection locked="0"/>
    </xf>
    <xf numFmtId="0" fontId="0" fillId="0" borderId="1" xfId="0" applyBorder="1" applyAlignment="1">
      <alignment horizontal="left" indent="1"/>
    </xf>
    <xf numFmtId="0" fontId="34" fillId="0" borderId="0" xfId="0" applyFont="1" applyAlignment="1">
      <alignment horizontal="center" vertical="center"/>
    </xf>
    <xf numFmtId="1" fontId="34" fillId="0" borderId="0" xfId="0" applyNumberFormat="1" applyFont="1" applyAlignment="1">
      <alignment horizontal="center" vertical="center" wrapText="1"/>
    </xf>
    <xf numFmtId="0" fontId="34" fillId="0" borderId="0" xfId="0" applyFont="1"/>
    <xf numFmtId="49" fontId="34" fillId="0" borderId="0" xfId="0" applyNumberFormat="1" applyFont="1" applyAlignment="1">
      <alignment horizontal="center"/>
    </xf>
    <xf numFmtId="8" fontId="34" fillId="0" borderId="0" xfId="0" applyNumberFormat="1" applyFont="1" applyAlignment="1" applyProtection="1">
      <alignment wrapText="1"/>
      <protection locked="0"/>
    </xf>
    <xf numFmtId="0" fontId="14" fillId="14" borderId="0" xfId="0" applyFont="1" applyFill="1" applyAlignment="1" applyProtection="1">
      <alignment horizontal="center" vertical="center"/>
      <protection locked="0"/>
    </xf>
    <xf numFmtId="0" fontId="35" fillId="0" borderId="0" xfId="0" applyFont="1"/>
    <xf numFmtId="14" fontId="34" fillId="0" borderId="0" xfId="0" applyNumberFormat="1" applyFont="1" applyAlignment="1">
      <alignment horizontal="center" vertical="center" wrapText="1"/>
    </xf>
    <xf numFmtId="0" fontId="36" fillId="0" borderId="0" xfId="0" applyFont="1" applyAlignment="1">
      <alignment horizontal="center" vertical="center" wrapText="1"/>
    </xf>
    <xf numFmtId="0" fontId="35" fillId="0" borderId="0" xfId="0" applyFont="1" applyProtection="1">
      <protection locked="0"/>
    </xf>
    <xf numFmtId="0" fontId="36" fillId="14" borderId="0" xfId="0" applyFont="1" applyFill="1" applyAlignment="1">
      <alignment horizontal="center" vertical="center" wrapText="1"/>
    </xf>
    <xf numFmtId="0" fontId="1" fillId="0" borderId="0" xfId="0" applyFont="1" applyAlignment="1" applyProtection="1">
      <alignment horizontal="center" vertical="center" wrapText="1"/>
      <protection locked="0"/>
    </xf>
    <xf numFmtId="8" fontId="14" fillId="0" borderId="0" xfId="0" applyNumberFormat="1" applyFont="1" applyAlignment="1">
      <alignment horizontal="center" vertical="center"/>
    </xf>
    <xf numFmtId="14" fontId="0" fillId="0" borderId="0" xfId="0" applyNumberFormat="1" applyAlignment="1" applyProtection="1">
      <alignment horizontal="left"/>
      <protection locked="0"/>
    </xf>
    <xf numFmtId="164" fontId="34" fillId="0" borderId="0" xfId="22" applyFont="1" applyFill="1"/>
    <xf numFmtId="0" fontId="0" fillId="0" borderId="0" xfId="0" applyAlignment="1">
      <alignment horizontal="left"/>
    </xf>
    <xf numFmtId="49" fontId="0" fillId="0" borderId="0" xfId="0" applyNumberFormat="1" applyAlignment="1">
      <alignment horizontal="center" wrapText="1"/>
    </xf>
    <xf numFmtId="0" fontId="8" fillId="0" borderId="0" xfId="0" applyFont="1" applyAlignment="1" applyProtection="1">
      <alignment horizontal="center"/>
      <protection locked="0"/>
    </xf>
    <xf numFmtId="0" fontId="35" fillId="0" borderId="0" xfId="0" applyFont="1" applyAlignment="1" applyProtection="1">
      <alignment horizontal="center"/>
      <protection locked="0"/>
    </xf>
    <xf numFmtId="49" fontId="0" fillId="0" borderId="0" xfId="0" applyNumberFormat="1" applyAlignment="1" applyProtection="1">
      <alignment horizontal="center" wrapText="1"/>
      <protection locked="0"/>
    </xf>
    <xf numFmtId="14" fontId="0" fillId="0" borderId="0" xfId="0" applyNumberFormat="1" applyProtection="1">
      <protection locked="0"/>
    </xf>
    <xf numFmtId="0" fontId="14" fillId="14" borderId="0" xfId="0" applyFont="1" applyFill="1" applyAlignment="1">
      <alignment horizontal="center" vertical="center" wrapText="1"/>
    </xf>
    <xf numFmtId="0" fontId="14" fillId="0" borderId="0" xfId="0" applyFont="1" applyAlignment="1">
      <alignment horizontal="center" vertical="center"/>
    </xf>
    <xf numFmtId="0" fontId="14" fillId="0" borderId="0" xfId="0" applyFont="1" applyAlignment="1">
      <alignment horizontal="center" vertical="center" wrapText="1"/>
    </xf>
    <xf numFmtId="0" fontId="38" fillId="0" borderId="0" xfId="0" applyFont="1" applyFill="1" applyAlignment="1">
      <alignment horizontal="center" vertical="center"/>
    </xf>
    <xf numFmtId="1" fontId="38" fillId="0" borderId="0" xfId="0" applyNumberFormat="1" applyFont="1" applyFill="1" applyAlignment="1">
      <alignment horizontal="center" vertical="center" wrapText="1"/>
    </xf>
    <xf numFmtId="14" fontId="38" fillId="0" borderId="0" xfId="0" applyNumberFormat="1" applyFont="1" applyFill="1" applyAlignment="1">
      <alignment horizontal="center" vertical="center" wrapText="1"/>
    </xf>
    <xf numFmtId="0" fontId="14" fillId="14" borderId="0" xfId="0" applyFont="1" applyFill="1" applyAlignment="1">
      <alignment horizontal="center"/>
    </xf>
    <xf numFmtId="0" fontId="14" fillId="0" borderId="0" xfId="0" applyFont="1" applyAlignment="1">
      <alignment horizontal="center"/>
    </xf>
    <xf numFmtId="0" fontId="14" fillId="14" borderId="0" xfId="0" applyFont="1" applyFill="1"/>
    <xf numFmtId="0" fontId="14" fillId="0" borderId="0" xfId="0" applyFont="1"/>
    <xf numFmtId="6" fontId="14" fillId="14" borderId="0" xfId="0" applyNumberFormat="1" applyFont="1" applyFill="1"/>
    <xf numFmtId="0" fontId="14" fillId="0" borderId="0" xfId="0" applyFont="1" applyAlignment="1">
      <alignment wrapText="1"/>
    </xf>
    <xf numFmtId="0" fontId="14" fillId="14" borderId="0" xfId="0" applyFont="1" applyFill="1" applyAlignment="1">
      <alignment wrapText="1"/>
    </xf>
    <xf numFmtId="0" fontId="14" fillId="0" borderId="0" xfId="0" applyFont="1" applyAlignment="1">
      <alignment horizontal="left"/>
    </xf>
    <xf numFmtId="6" fontId="14" fillId="0" borderId="0" xfId="0" applyNumberFormat="1" applyFont="1"/>
    <xf numFmtId="0" fontId="37" fillId="0" borderId="0" xfId="0" applyFont="1"/>
    <xf numFmtId="0" fontId="37" fillId="14" borderId="0" xfId="0" applyFont="1" applyFill="1"/>
    <xf numFmtId="0" fontId="0" fillId="0" borderId="0" xfId="0" applyNumberFormat="1" applyAlignment="1" applyProtection="1">
      <alignment horizontal="center" wrapText="1"/>
      <protection hidden="1"/>
    </xf>
    <xf numFmtId="0" fontId="0" fillId="0" borderId="0" xfId="0" applyNumberFormat="1" applyAlignment="1">
      <alignment horizontal="center" wrapText="1"/>
    </xf>
    <xf numFmtId="0" fontId="0" fillId="0" borderId="0" xfId="0" applyNumberFormat="1" applyAlignment="1" applyProtection="1">
      <alignment horizontal="center" vertical="center" wrapText="1"/>
      <protection locked="0"/>
    </xf>
    <xf numFmtId="0" fontId="0" fillId="0" borderId="0" xfId="0" applyNumberFormat="1" applyAlignment="1" applyProtection="1">
      <alignment horizontal="center"/>
      <protection locked="0"/>
    </xf>
    <xf numFmtId="0" fontId="14" fillId="14" borderId="0" xfId="0" applyFont="1" applyFill="1" applyAlignment="1">
      <alignment horizontal="center" wrapText="1"/>
    </xf>
    <xf numFmtId="0" fontId="14" fillId="0" borderId="0" xfId="0" applyFont="1" applyAlignment="1">
      <alignment horizontal="center" wrapText="1"/>
    </xf>
    <xf numFmtId="14" fontId="14" fillId="0" borderId="0" xfId="0" applyNumberFormat="1" applyFont="1" applyAlignment="1">
      <alignment horizontal="center" vertical="center" wrapText="1"/>
    </xf>
    <xf numFmtId="14" fontId="14" fillId="14" borderId="0" xfId="0" applyNumberFormat="1" applyFont="1" applyFill="1" applyAlignment="1">
      <alignment horizontal="center" vertical="center" wrapText="1"/>
    </xf>
    <xf numFmtId="8" fontId="14" fillId="14" borderId="0" xfId="0" applyNumberFormat="1" applyFont="1" applyFill="1"/>
    <xf numFmtId="0" fontId="14" fillId="14" borderId="0" xfId="0" applyFont="1" applyFill="1" applyAlignment="1">
      <alignment horizontal="left"/>
    </xf>
    <xf numFmtId="0" fontId="14" fillId="0" borderId="0" xfId="0" applyNumberFormat="1" applyFont="1" applyAlignment="1" applyProtection="1">
      <alignment horizontal="center" vertical="center" wrapText="1"/>
      <protection locked="0"/>
    </xf>
    <xf numFmtId="8" fontId="38" fillId="0" borderId="0" xfId="0" applyNumberFormat="1" applyFont="1" applyAlignment="1" applyProtection="1">
      <alignment wrapText="1"/>
      <protection locked="0"/>
    </xf>
    <xf numFmtId="0" fontId="14" fillId="0" borderId="0" xfId="0" applyFont="1" applyFill="1" applyAlignment="1" applyProtection="1">
      <alignment horizontal="center" vertical="center"/>
      <protection locked="0"/>
    </xf>
    <xf numFmtId="0" fontId="14" fillId="0" borderId="0" xfId="0" applyFont="1" applyAlignment="1" applyProtection="1">
      <alignment horizontal="center" vertical="center" wrapText="1"/>
      <protection locked="0"/>
    </xf>
    <xf numFmtId="0" fontId="39" fillId="0" borderId="0" xfId="0" applyFont="1"/>
    <xf numFmtId="14" fontId="14" fillId="0" borderId="0" xfId="0" applyNumberFormat="1" applyFont="1" applyAlignment="1">
      <alignment horizontal="center"/>
    </xf>
    <xf numFmtId="6" fontId="39" fillId="0" borderId="0" xfId="0" applyNumberFormat="1" applyFont="1"/>
  </cellXfs>
  <cellStyles count="63">
    <cellStyle name="Comma [0] 2" xfId="24" xr:uid="{00000000-0005-0000-0000-000000000000}"/>
    <cellStyle name="Comma [0] 3" xfId="27" xr:uid="{04E0F3A4-BA9D-40A8-BF83-84B9EB4B9E8A}"/>
    <cellStyle name="Currency [0] 2" xfId="28" xr:uid="{FAC5E50D-FDAF-4196-A351-45A0734C6542}"/>
    <cellStyle name="Currency 2" xfId="23" xr:uid="{00000000-0005-0000-0000-000001000000}"/>
    <cellStyle name="Currency 3" xfId="52" xr:uid="{982FC23F-9D75-442B-8320-9C66F9145B16}"/>
    <cellStyle name="Currency 4" xfId="62" xr:uid="{21EF45B0-1997-454C-8314-C0031425528B}"/>
    <cellStyle name="Millares [0] 2" xfId="18" xr:uid="{00000000-0005-0000-0000-000002000000}"/>
    <cellStyle name="Millares [0] 2 2" xfId="48" xr:uid="{0AA8B1C6-5613-4FC9-B884-DD045B59EAF8}"/>
    <cellStyle name="Millares [0] 2 3" xfId="40" xr:uid="{CC968331-E72B-4E1C-A960-471CC46B3486}"/>
    <cellStyle name="Millares [0] 3" xfId="46" xr:uid="{D61568A7-0B82-41EA-96BC-38CA2363B16E}"/>
    <cellStyle name="Millares [0] 4" xfId="44" xr:uid="{88D09165-C289-4C53-B444-4DC9143DC0D9}"/>
    <cellStyle name="Millares [0] 4 2" xfId="50" xr:uid="{F2486A98-1572-48E8-8005-70661B60DBD7}"/>
    <cellStyle name="Millares 10" xfId="17" xr:uid="{00000000-0005-0000-0000-000003000000}"/>
    <cellStyle name="Millares 2" xfId="2" xr:uid="{00000000-0005-0000-0000-000004000000}"/>
    <cellStyle name="Millares 2 2" xfId="33" xr:uid="{34197137-A44D-47FB-AC85-C6C71E8CF011}"/>
    <cellStyle name="Millares 2 2 2" xfId="16" xr:uid="{00000000-0005-0000-0000-000005000000}"/>
    <cellStyle name="Millares 2 5 2" xfId="12" xr:uid="{00000000-0005-0000-0000-000006000000}"/>
    <cellStyle name="Millares 3 2" xfId="11" xr:uid="{00000000-0005-0000-0000-000007000000}"/>
    <cellStyle name="Millares 3 2 4" xfId="15" xr:uid="{00000000-0005-0000-0000-000008000000}"/>
    <cellStyle name="Moneda" xfId="22" builtinId="4"/>
    <cellStyle name="Moneda [0]" xfId="26" builtinId="7"/>
    <cellStyle name="Moneda [0] 2" xfId="41" xr:uid="{DF118499-7540-46B8-A8E3-CD0B92E11692}"/>
    <cellStyle name="Moneda [0] 2 2" xfId="49" xr:uid="{5376B7F9-7994-4D41-9CC6-BD5FA72DAEE7}"/>
    <cellStyle name="Moneda [0] 3" xfId="47" xr:uid="{B094FA3F-8A77-4E6A-BCB3-B5CF1680391D}"/>
    <cellStyle name="Moneda 10" xfId="10" xr:uid="{00000000-0005-0000-0000-00000A000000}"/>
    <cellStyle name="Moneda 2" xfId="9" xr:uid="{00000000-0005-0000-0000-00000B000000}"/>
    <cellStyle name="Moneda 2 2 2" xfId="21" xr:uid="{00000000-0005-0000-0000-00000C000000}"/>
    <cellStyle name="Moneda 3" xfId="5" xr:uid="{00000000-0005-0000-0000-00000D000000}"/>
    <cellStyle name="Moneda 3 2" xfId="42" xr:uid="{4407CA22-3F29-48E2-98C4-5F6A583A57EE}"/>
    <cellStyle name="Moneda 8" xfId="57" xr:uid="{C115F6E1-7420-4CB1-ADA2-EA283B752ECB}"/>
    <cellStyle name="Normal" xfId="0" builtinId="0"/>
    <cellStyle name="Normal 12" xfId="45" xr:uid="{F34A3D4F-3F11-468D-B808-7D4C8697F958}"/>
    <cellStyle name="Normal 14" xfId="56" xr:uid="{1241FBF8-0165-4001-B2CE-8DB62EA9473E}"/>
    <cellStyle name="Normal 2" xfId="1" xr:uid="{00000000-0005-0000-0000-00000F000000}"/>
    <cellStyle name="Normal 2 10 2 2" xfId="60" xr:uid="{AE2B6EC5-F4DB-4252-8662-9D5818CD272D}"/>
    <cellStyle name="Normal 2 2" xfId="7" xr:uid="{00000000-0005-0000-0000-000010000000}"/>
    <cellStyle name="Normal 2 2 2 2 2" xfId="37" xr:uid="{E0A6352D-29FB-4D19-863F-22689FA478C7}"/>
    <cellStyle name="Normal 2 2 3" xfId="32" xr:uid="{0B9FA42E-7411-4D9D-A428-42C2BFD0D75E}"/>
    <cellStyle name="Normal 2 3" xfId="31" xr:uid="{8E3CED5A-BB00-4679-B01D-816E89DF7391}"/>
    <cellStyle name="Normal 2 52 2 2" xfId="19" xr:uid="{00000000-0005-0000-0000-000011000000}"/>
    <cellStyle name="Normal 2 52 2 2 2" xfId="55" xr:uid="{86E4B9DD-06A8-4655-8605-1287E6F11A02}"/>
    <cellStyle name="Normal 2_FORMATOS_PARA_ENTREGAR 2" xfId="6" xr:uid="{00000000-0005-0000-0000-000012000000}"/>
    <cellStyle name="Normal 3" xfId="4" xr:uid="{00000000-0005-0000-0000-000013000000}"/>
    <cellStyle name="Normal 3 2" xfId="51" xr:uid="{952CF9B9-94BF-4D10-82A8-547774296BE3}"/>
    <cellStyle name="Normal 3 3 2 2 2" xfId="38" xr:uid="{59283AE6-3870-4207-AE51-BDC3CFC50887}"/>
    <cellStyle name="Normal 3_ADM-INGENIEROS 2 2" xfId="54" xr:uid="{831B57A3-96DC-4FEC-BA51-CAEDF5D6C675}"/>
    <cellStyle name="Normal 4" xfId="8" xr:uid="{00000000-0005-0000-0000-000014000000}"/>
    <cellStyle name="Normal 4 2 7 2" xfId="36" xr:uid="{BAA03BE8-5F85-4756-82A1-4ABBE07CD1F7}"/>
    <cellStyle name="Normal 5 11 3" xfId="43" xr:uid="{98F862ED-476E-44E8-8425-5A3BD0ACC140}"/>
    <cellStyle name="Normal 5 2 4" xfId="39" xr:uid="{B16BA7E4-E6D2-44D3-94A4-7FA18CDD525E}"/>
    <cellStyle name="Normal 6 2" xfId="14" xr:uid="{00000000-0005-0000-0000-000015000000}"/>
    <cellStyle name="Normal 6 2 2" xfId="61" xr:uid="{3CBEDEF0-04F7-4074-ABDE-2CF956949B63}"/>
    <cellStyle name="Normal 6 2 3" xfId="30" xr:uid="{FFEF3D75-FD0D-4B8C-9CA1-A996EC2E6627}"/>
    <cellStyle name="Normal 67" xfId="20" xr:uid="{00000000-0005-0000-0000-000016000000}"/>
    <cellStyle name="Percent 2" xfId="29" xr:uid="{A4825A64-1CD9-4131-8FE0-96A117C20393}"/>
    <cellStyle name="Porcentaje" xfId="25" builtinId="5"/>
    <cellStyle name="Porcentaje 2 2" xfId="59" xr:uid="{7336861A-927E-45CE-A523-18E2697624BB}"/>
    <cellStyle name="Porcentaje 2 2 2" xfId="35" xr:uid="{56523CDD-B39A-4629-B0DD-17B27422946D}"/>
    <cellStyle name="Porcentaje 4" xfId="13" xr:uid="{00000000-0005-0000-0000-000017000000}"/>
    <cellStyle name="Porcentual 2" xfId="3" xr:uid="{00000000-0005-0000-0000-000018000000}"/>
    <cellStyle name="Porcentual 2 2" xfId="34" xr:uid="{3FB653A0-7334-48E2-BE67-DD64EC3D232B}"/>
    <cellStyle name="Porcentual 2 2 5 2 2" xfId="53" xr:uid="{8779A4E0-1B50-4B75-8321-996ACCA8B264}"/>
    <cellStyle name="Porcentual 2 2 5 2 2 2" xfId="58" xr:uid="{29E76002-1D51-4040-BA8A-9C493990E5B1}"/>
  </cellStyles>
  <dxfs count="373">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wrapText="1"/>
    </dxf>
    <dxf>
      <alignment horizontal="center"/>
    </dxf>
    <dxf>
      <fill>
        <patternFill patternType="none">
          <bgColor auto="1"/>
        </patternFill>
      </fill>
    </dxf>
    <dxf>
      <alignment horizontal="center"/>
    </dxf>
    <dxf>
      <alignment horizontal="center"/>
    </dxf>
    <dxf>
      <fill>
        <patternFill patternType="none">
          <bgColor auto="1"/>
        </patternFill>
      </fill>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quot;$&quot;* #,##0.00_);_(&quot;$&quot;* \(#,##0.00\);_(&quot;$&quot;* &quot;-&quot;??_);_(@_)"/>
    </dxf>
    <dxf>
      <alignment wrapText="1" indent="0"/>
    </dxf>
    <dxf>
      <alignment wrapText="1" indent="0"/>
    </dxf>
    <dxf>
      <alignment wrapText="1" indent="0"/>
    </dxf>
    <dxf>
      <numFmt numFmtId="164" formatCode="_(&quot;$&quot;* #,##0.00_);_(&quot;$&quot;* \(#,##0.00\);_(&quot;$&quot;* &quot;-&quot;??_);_(@_)"/>
    </dxf>
    <dxf>
      <alignment vertical="center"/>
    </dxf>
    <dxf>
      <alignment vertical="center"/>
    </dxf>
    <dxf>
      <alignment wrapText="1"/>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font>
        <b val="0"/>
        <i val="0"/>
        <strike val="0"/>
        <condense val="0"/>
        <extend val="0"/>
        <outline val="0"/>
        <shadow val="0"/>
        <u val="none"/>
        <vertAlign val="baseline"/>
        <sz val="10"/>
        <color theme="1"/>
        <name val="Arial Narrow"/>
        <family val="2"/>
        <scheme val="none"/>
      </font>
      <numFmt numFmtId="164" formatCode="_(&quot;$&quot;* #,##0.00_);_(&quot;$&quot;* \(#,##0.00\);_(&quot;$&quot;* &quot;-&quot;??_);_(@_)"/>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Arial Narrow"/>
        <family val="2"/>
        <scheme val="none"/>
      </font>
      <numFmt numFmtId="164" formatCode="_(&quot;$&quot;* #,##0.00_);_(&quot;$&quot;* \(#,##0.00\);_(&quot;$&quot;* &quot;-&quot;??_);_(@_)"/>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Arial Narrow"/>
        <family val="2"/>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Arial Narrow"/>
        <family val="2"/>
        <scheme val="none"/>
      </font>
      <numFmt numFmtId="164" formatCode="_(&quot;$&quot;* #,##0.00_);_(&quot;$&quot;* \(#,##0.00\);_(&quot;$&quot;* &quot;-&quot;??_);_(@_)"/>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Arial Narrow"/>
        <family val="2"/>
        <scheme val="none"/>
      </font>
      <numFmt numFmtId="164" formatCode="_(&quot;$&quot;* #,##0.00_);_(&quot;$&quot;* \(#,##0.00\);_(&quot;$&quot;* &quot;-&quot;??_);_(@_)"/>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Arial Narrow"/>
        <family val="2"/>
        <scheme val="none"/>
      </font>
      <numFmt numFmtId="164" formatCode="_(&quot;$&quot;* #,##0.00_);_(&quot;$&quot;* \(#,##0.00\);_(&quot;$&quot;* &quot;-&quot;??_);_(@_)"/>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name val="Arial Narrow"/>
        <family val="2"/>
        <scheme val="none"/>
      </font>
      <numFmt numFmtId="164" formatCode="_(&quot;$&quot;* #,##0.00_);_(&quot;$&quot;* \(#,##0.00\);_(&quot;$&quot;* &quot;-&quot;??_);_(@_)"/>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0"/>
        <name val="Arial Narrow"/>
        <family val="2"/>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Narrow"/>
        <family val="2"/>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Narrow"/>
        <family val="2"/>
        <scheme val="none"/>
      </font>
      <numFmt numFmtId="171" formatCode="0.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Narrow"/>
        <family val="2"/>
        <scheme val="none"/>
      </font>
      <numFmt numFmtId="14" formatCode="0.0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Narrow"/>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Narrow"/>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Narrow"/>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Narrow"/>
        <family val="2"/>
        <scheme val="none"/>
      </font>
      <numFmt numFmtId="14"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Narrow"/>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Narrow"/>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Arial Narrow"/>
        <family val="2"/>
        <scheme val="none"/>
      </font>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Narrow"/>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Narrow"/>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Arial Narrow"/>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Arial Narrow"/>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Narrow"/>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Narrow"/>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bottom style="thin">
          <color indexed="64"/>
        </bottom>
      </border>
    </dxf>
    <dxf>
      <numFmt numFmtId="2" formatCode="0.00"/>
    </dxf>
    <dxf>
      <numFmt numFmtId="2" formatCode="0.00"/>
    </dxf>
    <dxf>
      <font>
        <b val="0"/>
        <i val="0"/>
        <strike val="0"/>
        <condense val="0"/>
        <extend val="0"/>
        <outline val="0"/>
        <shadow val="0"/>
        <u val="none"/>
        <vertAlign val="baseline"/>
        <sz val="10"/>
        <color rgb="FF202122"/>
        <name val="Arial"/>
        <scheme val="none"/>
      </font>
      <alignment horizontal="center" vertical="center"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textRotation="0" wrapText="1" indent="0" justifyLastLine="0" shrinkToFit="0" readingOrder="0"/>
    </dxf>
    <dxf>
      <alignment horizontal="center" textRotation="0" wrapText="1" indent="0" justifyLastLine="0" shrinkToFit="0" readingOrder="0"/>
    </dxf>
    <dxf>
      <alignment horizontal="center" textRotation="0" wrapText="1" indent="0" justifyLastLine="0" shrinkToFit="0" readingOrder="0"/>
    </dxf>
    <dxf>
      <alignment horizontal="center" textRotation="0" wrapText="1" indent="0" justifyLastLine="0" shrinkToFit="0" readingOrder="0"/>
    </dxf>
    <dxf>
      <numFmt numFmtId="0" formatCode="General"/>
      <alignment horizontal="center" textRotation="0" wrapText="1" indent="0" justifyLastLine="0" shrinkToFit="0" readingOrder="0"/>
    </dxf>
    <dxf>
      <numFmt numFmtId="0" formatCode="General"/>
      <alignment horizontal="center" textRotation="0" wrapText="1" indent="0" justifyLastLine="0" shrinkToFit="0" readingOrder="0"/>
    </dxf>
    <dxf>
      <numFmt numFmtId="0" formatCode="General"/>
      <alignment horizontal="center" textRotation="0" wrapText="1" indent="0" justifyLastLine="0" shrinkToFit="0" readingOrder="0"/>
    </dxf>
    <dxf>
      <alignment horizontal="center" textRotation="0" wrapText="1" indent="0" justifyLastLine="0" shrinkToFit="0" readingOrder="0"/>
    </dxf>
    <dxf>
      <numFmt numFmtId="0" formatCode="General"/>
      <alignment horizontal="center" textRotation="0" wrapText="1" indent="0" justifyLastLine="0" shrinkToFit="0" readingOrder="0"/>
    </dxf>
    <dxf>
      <numFmt numFmtId="0" formatCode="General"/>
      <alignment horizontal="center" textRotation="0" wrapText="1" indent="0" justifyLastLine="0" shrinkToFit="0" readingOrder="0"/>
    </dxf>
    <dxf>
      <numFmt numFmtId="0" formatCode="General"/>
      <alignment horizontal="center" textRotation="0" wrapText="1" indent="0" justifyLastLine="0" shrinkToFit="0" readingOrder="0"/>
    </dxf>
    <dxf>
      <numFmt numFmtId="0" formatCode="General"/>
      <alignment horizontal="center" textRotation="0" wrapText="1" indent="0" justifyLastLine="0" shrinkToFit="0" readingOrder="0"/>
    </dxf>
    <dxf>
      <numFmt numFmtId="0" formatCode="General"/>
      <alignment horizontal="center" textRotation="0" wrapText="1" indent="0" justifyLastLine="0" shrinkToFit="0" readingOrder="0"/>
    </dxf>
    <dxf>
      <alignment horizontal="center" textRotation="0" wrapText="1" indent="0" justifyLastLine="0" shrinkToFit="0" readingOrder="0"/>
    </dxf>
    <dxf>
      <numFmt numFmtId="0" formatCode="General"/>
      <alignment horizontal="center" vertical="bottom" textRotation="0" wrapText="1" indent="0" justifyLastLine="0" shrinkToFit="0" readingOrder="0"/>
    </dxf>
    <dxf>
      <alignment wrapText="0"/>
      <protection locked="0" hidden="0"/>
    </dxf>
    <dxf>
      <fill>
        <patternFill patternType="none">
          <fgColor indexed="64"/>
          <bgColor auto="1"/>
        </patternFill>
      </fill>
      <alignment horizontal="center" vertical="center" textRotation="0" wrapText="0" relativeIndent="-1" justifyLastLine="0" shrinkToFit="0" readingOrder="0"/>
      <protection locked="0" hidden="0"/>
    </dxf>
    <dxf>
      <fill>
        <patternFill patternType="none">
          <fgColor indexed="64"/>
          <bgColor auto="1"/>
        </patternFill>
      </fill>
      <alignment horizontal="center" vertical="center" textRotation="0" wrapText="0" indent="0" justifyLastLine="0" shrinkToFit="0" readingOrder="0"/>
      <protection locked="0" hidden="0"/>
    </dxf>
    <dxf>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protection locked="0" hidden="0"/>
    </dxf>
    <dxf>
      <font>
        <b val="0"/>
        <i val="0"/>
        <strike val="0"/>
        <condense val="0"/>
        <extend val="0"/>
        <outline val="0"/>
        <shadow val="0"/>
        <u val="none"/>
        <vertAlign val="baseline"/>
        <sz val="11"/>
        <color theme="1"/>
        <name val="Calibri"/>
        <scheme val="minor"/>
      </font>
      <alignment wrapText="1"/>
      <protection locked="0" hidden="0"/>
    </dxf>
    <dxf>
      <alignment horizontal="center" vertical="center" textRotation="0" wrapText="1" indent="0" justifyLastLine="0" shrinkToFit="0" readingOrder="0"/>
    </dxf>
    <dxf>
      <alignment horizontal="center" vertical="center" textRotation="0" wrapText="1" indent="0" justifyLastLine="0" shrinkToFit="0" readingOrder="0"/>
      <protection locked="0" hidden="0"/>
    </dxf>
    <dxf>
      <numFmt numFmtId="0" formatCode="General"/>
      <alignment horizontal="center" vertical="center" textRotation="0" wrapText="1" indent="0" justifyLastLine="0" shrinkToFit="0" readingOrder="0"/>
      <protection locked="0" hidden="0"/>
    </dxf>
    <dxf>
      <numFmt numFmtId="0" formatCode="General"/>
      <alignment horizontal="center" vertical="bottom" textRotation="0" wrapText="0" indent="0" justifyLastLine="0" shrinkToFit="0" readingOrder="0"/>
    </dxf>
    <dxf>
      <numFmt numFmtId="0" formatCode="General"/>
      <alignment horizontal="center" vertical="center" textRotation="0" wrapText="1" indent="0" justifyLastLine="0" shrinkToFit="0" readingOrder="0"/>
      <protection locked="0" hidden="0"/>
    </dxf>
    <dxf>
      <numFmt numFmtId="0" formatCode="General"/>
      <alignment horizontal="center" textRotation="0" wrapText="1" indent="0" justifyLastLine="0" shrinkToFit="0" readingOrder="0"/>
    </dxf>
    <dxf>
      <numFmt numFmtId="0" formatCode="General"/>
      <alignment horizontal="center" vertical="bottom" textRotation="0" wrapText="1" indent="0" justifyLastLine="0" shrinkToFit="0" readingOrder="0"/>
      <protection locked="1" hidden="1"/>
    </dxf>
    <dxf>
      <numFmt numFmtId="0" formatCode="General"/>
      <alignment horizontal="center" vertical="bottom" textRotation="0" wrapText="1" indent="0" justifyLastLine="0" shrinkToFit="0" readingOrder="0"/>
      <protection locked="1" hidden="1"/>
    </dxf>
    <dxf>
      <alignment horizontal="center" textRotation="0" wrapText="1" indent="0" justifyLastLine="0" shrinkToFit="0" readingOrder="0"/>
      <protection locked="1" hidden="1"/>
    </dxf>
    <dxf>
      <alignment horizontal="center" textRotation="0" wrapText="1" indent="0" justifyLastLine="0" shrinkToFit="0" readingOrder="0"/>
      <protection locked="0" hidden="0"/>
    </dxf>
    <dxf>
      <numFmt numFmtId="19" formatCode="d/mm/yyyy"/>
      <alignment horizontal="center" textRotation="0" indent="0" justifyLastLine="0" shrinkToFit="0" readingOrder="0"/>
    </dxf>
    <dxf>
      <alignment horizontal="general" vertical="bottom" textRotation="0" wrapText="0" indent="0" justifyLastLine="0" shrinkToFit="0" readingOrder="0"/>
      <protection locked="0" hidden="0"/>
    </dxf>
    <dxf>
      <alignment wrapText="1"/>
    </dxf>
    <dxf>
      <border outline="0">
        <top style="thin">
          <color rgb="FF000000"/>
        </top>
      </border>
    </dxf>
    <dxf>
      <alignment wrapText="1"/>
    </dxf>
    <dxf>
      <border outline="0">
        <bottom style="thin">
          <color rgb="FF000000"/>
        </bottom>
      </border>
    </dxf>
    <dxf>
      <font>
        <b/>
        <i val="0"/>
        <strike val="0"/>
        <condense val="0"/>
        <extend val="0"/>
        <outline val="0"/>
        <shadow val="0"/>
        <u val="none"/>
        <vertAlign val="baseline"/>
        <sz val="11"/>
        <color theme="1"/>
        <name val="Aptos Estrechos"/>
        <scheme val="none"/>
      </font>
      <alignment horizontal="center" vertical="center" textRotation="0" wrapText="1" indent="0" justifyLastLine="0" shrinkToFit="0" readingOrder="0"/>
    </dxf>
    <dxf>
      <alignment horizontal="center" textRotation="0" wrapText="1" indent="0" justifyLastLine="0" shrinkToFit="0" readingOrder="0"/>
    </dxf>
    <dxf>
      <alignment horizontal="center" textRotation="0" wrapText="1" indent="0" justifyLastLine="0" shrinkToFit="0" readingOrder="0"/>
    </dxf>
    <dxf>
      <numFmt numFmtId="0" formatCode="General"/>
      <alignment horizontal="center" textRotation="0" wrapText="1" indent="0" justifyLastLine="0" shrinkToFit="0" readingOrder="0"/>
    </dxf>
    <dxf>
      <alignment horizontal="center" textRotation="0" wrapText="1" indent="0" justifyLastLine="0" shrinkToFit="0" readingOrder="0"/>
    </dxf>
    <dxf>
      <alignment horizontal="center" textRotation="0" wrapText="1" indent="0" justifyLastLine="0" shrinkToFit="0" readingOrder="0"/>
    </dxf>
    <dxf>
      <alignment horizontal="center" textRotation="0" wrapText="1" indent="0" justifyLastLine="0" shrinkToFit="0" readingOrder="0"/>
    </dxf>
    <dxf>
      <numFmt numFmtId="0" formatCode="General"/>
      <alignment horizontal="center" textRotation="0" wrapText="1" indent="0" justifyLastLine="0" shrinkToFit="0" readingOrder="0"/>
    </dxf>
    <dxf>
      <numFmt numFmtId="0" formatCode="General"/>
      <alignment horizontal="center" textRotation="0" wrapText="1" indent="0" justifyLastLine="0" shrinkToFit="0" readingOrder="0"/>
    </dxf>
    <dxf>
      <numFmt numFmtId="0" formatCode="General"/>
      <alignment horizontal="center" textRotation="0" wrapText="1" indent="0" justifyLastLine="0" shrinkToFit="0" readingOrder="0"/>
    </dxf>
    <dxf>
      <alignment horizontal="center" textRotation="0" wrapText="1" indent="0" justifyLastLine="0" shrinkToFit="0" readingOrder="0"/>
    </dxf>
    <dxf>
      <numFmt numFmtId="0" formatCode="General"/>
      <alignment horizontal="center" textRotation="0" wrapText="1" indent="0" justifyLastLine="0" shrinkToFit="0" readingOrder="0"/>
    </dxf>
    <dxf>
      <numFmt numFmtId="0" formatCode="General"/>
      <alignment horizontal="center" textRotation="0" wrapText="1" indent="0" justifyLastLine="0" shrinkToFit="0" readingOrder="0"/>
    </dxf>
    <dxf>
      <numFmt numFmtId="0" formatCode="General"/>
      <alignment horizontal="center" textRotation="0" wrapText="1" indent="0" justifyLastLine="0" shrinkToFit="0" readingOrder="0"/>
    </dxf>
    <dxf>
      <numFmt numFmtId="0" formatCode="General"/>
      <alignment horizontal="center" textRotation="0" wrapText="1" indent="0" justifyLastLine="0" shrinkToFit="0" readingOrder="0"/>
    </dxf>
    <dxf>
      <numFmt numFmtId="0" formatCode="General"/>
      <alignment horizontal="center" textRotation="0" wrapText="1" indent="0" justifyLastLine="0" shrinkToFit="0" readingOrder="0"/>
    </dxf>
    <dxf>
      <alignment horizontal="center" textRotation="0" wrapText="1" indent="0" justifyLastLine="0" shrinkToFit="0" readingOrder="0"/>
    </dxf>
    <dxf>
      <numFmt numFmtId="0" formatCode="General"/>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protection locked="0" hidden="0"/>
    </dxf>
    <dxf>
      <fill>
        <patternFill patternType="none">
          <fgColor indexed="64"/>
          <bgColor indexed="65"/>
        </patternFill>
      </fill>
      <alignment horizontal="center" vertical="center" textRotation="0" wrapText="1" indent="0" justifyLastLine="0" shrinkToFit="0" readingOrder="0"/>
      <protection locked="0" hidden="0"/>
    </dxf>
    <dxf>
      <alignment horizontal="center" vertical="center" textRotation="0" wrapText="1" indent="0" justifyLastLine="0" shrinkToFit="0" readingOrder="0"/>
      <protection locked="0" hidden="0"/>
    </dxf>
    <dxf>
      <alignment wrapText="0"/>
      <protection locked="0" hidden="0"/>
    </dxf>
    <dxf>
      <fill>
        <patternFill patternType="none">
          <fgColor indexed="64"/>
          <bgColor auto="1"/>
        </patternFill>
      </fill>
      <alignment horizontal="center" vertical="center" textRotation="0" wrapText="0" indent="0" justifyLastLine="0" shrinkToFit="0" readingOrder="0"/>
      <protection locked="0" hidden="0"/>
    </dxf>
    <dxf>
      <fill>
        <patternFill patternType="none">
          <fgColor indexed="64"/>
          <bgColor auto="1"/>
        </patternFill>
      </fill>
      <alignment horizontal="center" vertical="center" textRotation="0" wrapText="0" indent="0" justifyLastLine="0" shrinkToFit="0" readingOrder="0"/>
      <protection locked="0" hidden="0"/>
    </dxf>
    <dxf>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protection locked="0" hidden="0"/>
    </dxf>
    <dxf>
      <numFmt numFmtId="0" formatCode="General"/>
      <alignment horizontal="center" vertical="center" textRotation="0" wrapText="1" indent="0" justifyLastLine="0" shrinkToFit="0" readingOrder="0"/>
      <protection locked="0" hidden="0"/>
    </dxf>
    <dxf>
      <numFmt numFmtId="0" formatCode="General"/>
      <alignment horizontal="center" vertical="bottom" textRotation="0" wrapText="0" indent="0" justifyLastLine="0" shrinkToFit="0" readingOrder="0"/>
    </dxf>
    <dxf>
      <numFmt numFmtId="0" formatCode="General"/>
      <alignment horizontal="center" vertical="center" textRotation="0" wrapText="1" indent="0" justifyLastLine="0" shrinkToFit="0" readingOrder="0"/>
      <protection locked="0" hidden="0"/>
    </dxf>
    <dxf>
      <numFmt numFmtId="0" formatCode="General"/>
      <alignment horizontal="center" textRotation="0" wrapText="1" indent="0" justifyLastLine="0" shrinkToFit="0" readingOrder="0"/>
    </dxf>
    <dxf>
      <numFmt numFmtId="0" formatCode="General"/>
      <alignment horizontal="center" vertical="bottom" textRotation="0" wrapText="1" indent="0" justifyLastLine="0" shrinkToFit="0" readingOrder="0"/>
      <protection locked="1" hidden="1"/>
    </dxf>
    <dxf>
      <numFmt numFmtId="0" formatCode="General"/>
      <alignment horizontal="center" vertical="bottom" textRotation="0" wrapText="1" indent="0" justifyLastLine="0" shrinkToFit="0" readingOrder="0"/>
      <protection locked="1" hidden="1"/>
    </dxf>
    <dxf>
      <numFmt numFmtId="0" formatCode="General"/>
      <alignment horizontal="center" textRotation="0" wrapText="1" indent="0" justifyLastLine="0" shrinkToFit="0" readingOrder="0"/>
      <protection locked="1" hidden="1"/>
    </dxf>
    <dxf>
      <alignment horizontal="center" textRotation="0" wrapText="1" indent="0" justifyLastLine="0" shrinkToFit="0" readingOrder="0"/>
      <protection locked="0" hidden="0"/>
    </dxf>
    <dxf>
      <numFmt numFmtId="19" formatCode="d/mm/yyyy"/>
      <alignment horizontal="center" textRotation="0" indent="0" justifyLastLine="0" shrinkToFit="0" readingOrder="0"/>
    </dxf>
    <dxf>
      <alignment horizontal="general" vertical="bottom" textRotation="0" wrapText="0" indent="0" justifyLastLine="0" shrinkToFit="0" readingOrder="0"/>
      <protection locked="0" hidden="0"/>
    </dxf>
    <dxf>
      <alignment wrapText="1"/>
    </dxf>
    <dxf>
      <border outline="0">
        <top style="thin">
          <color rgb="FF000000"/>
        </top>
      </border>
    </dxf>
    <dxf>
      <alignment wrapText="1"/>
    </dxf>
    <dxf>
      <border outline="0">
        <bottom style="thin">
          <color theme="1"/>
        </bottom>
      </border>
    </dxf>
    <dxf>
      <font>
        <b/>
        <i val="0"/>
        <strike val="0"/>
        <condense val="0"/>
        <extend val="0"/>
        <outline val="0"/>
        <shadow val="0"/>
        <u val="none"/>
        <vertAlign val="baseline"/>
        <sz val="11"/>
        <color theme="1"/>
        <name val="Aptos Estrechos"/>
        <scheme val="none"/>
      </font>
      <alignment horizontal="center" vertical="center" textRotation="0" wrapText="1" indent="0" justifyLastLine="0" shrinkToFit="0" readingOrder="0"/>
    </dxf>
    <dxf>
      <font>
        <strike val="0"/>
        <outline val="0"/>
        <shadow val="0"/>
        <u val="none"/>
        <vertAlign val="baseline"/>
        <sz val="11"/>
        <name val="Calibri"/>
        <scheme val="minor"/>
      </font>
      <numFmt numFmtId="30" formatCode="@"/>
      <fill>
        <patternFill patternType="none">
          <fgColor indexed="64"/>
          <bgColor auto="1"/>
        </patternFill>
      </fill>
    </dxf>
    <dxf>
      <font>
        <strike val="0"/>
        <outline val="0"/>
        <shadow val="0"/>
        <u val="none"/>
        <vertAlign val="baseline"/>
        <sz val="11"/>
        <name val="Calibri"/>
        <scheme val="minor"/>
      </font>
      <fill>
        <patternFill patternType="none">
          <fgColor indexed="64"/>
          <bgColor auto="1"/>
        </patternFill>
      </fill>
    </dxf>
    <dxf>
      <font>
        <strike val="0"/>
        <outline val="0"/>
        <shadow val="0"/>
        <u val="none"/>
        <vertAlign val="baseline"/>
        <sz val="11"/>
        <name val="Calibri"/>
        <scheme val="minor"/>
      </font>
      <numFmt numFmtId="0" formatCode="General"/>
      <fill>
        <patternFill patternType="none">
          <fgColor indexed="64"/>
          <bgColor auto="1"/>
        </patternFill>
      </fill>
    </dxf>
    <dxf>
      <font>
        <strike val="0"/>
        <outline val="0"/>
        <shadow val="0"/>
        <u val="none"/>
        <vertAlign val="baseline"/>
        <sz val="11"/>
        <name val="Calibri"/>
        <scheme val="minor"/>
      </font>
      <numFmt numFmtId="0" formatCode="General"/>
      <fill>
        <patternFill patternType="none">
          <fgColor indexed="64"/>
          <bgColor auto="1"/>
        </patternFill>
      </fill>
    </dxf>
    <dxf>
      <numFmt numFmtId="0" formatCode="General"/>
      <fill>
        <patternFill patternType="none">
          <fgColor indexed="64"/>
          <bgColor indexed="65"/>
        </patternFill>
      </fill>
      <alignment horizontal="center" textRotation="0" wrapText="0" indent="0" justifyLastLine="0" shrinkToFit="0" readingOrder="0"/>
    </dxf>
    <dxf>
      <font>
        <strike val="0"/>
        <outline val="0"/>
        <shadow val="0"/>
        <u val="none"/>
        <vertAlign val="baseline"/>
        <sz val="11"/>
        <name val="Calibri"/>
        <scheme val="minor"/>
      </font>
      <numFmt numFmtId="0" formatCode="General"/>
      <fill>
        <patternFill patternType="none">
          <fgColor indexed="64"/>
          <bgColor auto="1"/>
        </patternFill>
      </fill>
      <alignment horizontal="center" vertical="bottom" textRotation="0" wrapText="0" indent="0" justifyLastLine="0" shrinkToFit="0" readingOrder="0"/>
      <protection locked="0" hidden="0"/>
    </dxf>
    <dxf>
      <font>
        <strike val="0"/>
        <outline val="0"/>
        <shadow val="0"/>
        <u val="none"/>
        <vertAlign val="baseline"/>
        <sz val="11"/>
        <name val="Calibri"/>
        <scheme val="minor"/>
      </font>
      <numFmt numFmtId="0" formatCode="General"/>
      <fill>
        <patternFill patternType="none">
          <fgColor indexed="64"/>
          <bgColor auto="1"/>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1"/>
        <color theme="1"/>
        <name val="Calibri"/>
        <scheme val="minor"/>
      </font>
      <numFmt numFmtId="1" formatCode="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numFmt numFmtId="19" formatCode="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numFmt numFmtId="1" formatCode="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justifyLastLine="0" shrinkToFit="0" readingOrder="0"/>
    </dxf>
    <dxf>
      <border outline="0">
        <top style="thin">
          <color rgb="FF000000"/>
        </top>
      </border>
    </dxf>
    <dxf>
      <border outline="0">
        <left style="thin">
          <color rgb="FF000000"/>
        </left>
        <top style="thin">
          <color rgb="FF000000"/>
        </top>
        <bottom style="thin">
          <color rgb="FF000000"/>
        </bottom>
      </border>
    </dxf>
    <dxf>
      <font>
        <strike val="0"/>
        <outline val="0"/>
        <shadow val="0"/>
        <u val="none"/>
        <vertAlign val="baseline"/>
        <sz val="11"/>
        <name val="Calibri"/>
        <scheme val="minor"/>
      </font>
      <fill>
        <patternFill patternType="none">
          <fgColor indexed="64"/>
          <bgColor auto="1"/>
        </patternFill>
      </fill>
    </dxf>
    <dxf>
      <border outline="0">
        <bottom style="thin">
          <color rgb="FF000000"/>
        </bottom>
      </border>
    </dxf>
  </dxfs>
  <tableStyles count="0" defaultTableStyle="TableStyleMedium2" defaultPivotStyle="PivotStyleLight16"/>
  <colors>
    <mruColors>
      <color rgb="FFBCCF1B"/>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pivotCacheDefinition" Target="pivotCache/pivotCacheDefinition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sheetMetadata" Target="metadata.xml"/><Relationship Id="rId10" Type="http://schemas.openxmlformats.org/officeDocument/2006/relationships/externalLink" Target="externalLinks/externalLink3.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sharedStrings" Target="sharedStrings.xml"/><Relationship Id="rId27"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27</xdr:col>
      <xdr:colOff>462915</xdr:colOff>
      <xdr:row>0</xdr:row>
      <xdr:rowOff>66675</xdr:rowOff>
    </xdr:from>
    <xdr:ext cx="7941141" cy="1821431"/>
    <xdr:pic>
      <xdr:nvPicPr>
        <xdr:cNvPr id="2" name="Imagen 1">
          <a:extLst>
            <a:ext uri="{FF2B5EF4-FFF2-40B4-BE49-F238E27FC236}">
              <a16:creationId xmlns:a16="http://schemas.microsoft.com/office/drawing/2014/main" id="{B116DA8E-8BF4-41B7-9137-8E812B977185}"/>
            </a:ext>
          </a:extLst>
        </xdr:cNvPr>
        <xdr:cNvPicPr>
          <a:picLocks noChangeAspect="1"/>
        </xdr:cNvPicPr>
      </xdr:nvPicPr>
      <xdr:blipFill>
        <a:blip xmlns:r="http://schemas.openxmlformats.org/officeDocument/2006/relationships" r:embed="rId1"/>
        <a:stretch>
          <a:fillRect/>
        </a:stretch>
      </xdr:blipFill>
      <xdr:spPr>
        <a:xfrm>
          <a:off x="21419820" y="64770"/>
          <a:ext cx="7941141" cy="1821431"/>
        </a:xfrm>
        <a:prstGeom prst="rect">
          <a:avLst/>
        </a:prstGeom>
      </xdr:spPr>
    </xdr:pic>
    <xdr:clientData/>
  </xdr:oneCellAnchor>
  <xdr:oneCellAnchor>
    <xdr:from>
      <xdr:col>9</xdr:col>
      <xdr:colOff>931862</xdr:colOff>
      <xdr:row>14</xdr:row>
      <xdr:rowOff>150018</xdr:rowOff>
    </xdr:from>
    <xdr:ext cx="65" cy="172227"/>
    <xdr:sp macro="" textlink="">
      <xdr:nvSpPr>
        <xdr:cNvPr id="3" name="CuadroTexto 1">
          <a:extLst>
            <a:ext uri="{FF2B5EF4-FFF2-40B4-BE49-F238E27FC236}">
              <a16:creationId xmlns:a16="http://schemas.microsoft.com/office/drawing/2014/main" id="{AC20A6E6-727C-4092-82CB-4FD80E7351F9}"/>
            </a:ext>
          </a:extLst>
        </xdr:cNvPr>
        <xdr:cNvSpPr txBox="1"/>
      </xdr:nvSpPr>
      <xdr:spPr>
        <a:xfrm>
          <a:off x="11994197" y="337899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O" sz="1100"/>
        </a:p>
      </xdr:txBody>
    </xdr:sp>
    <xdr:clientData/>
  </xdr:oneCellAnchor>
  <xdr:oneCellAnchor>
    <xdr:from>
      <xdr:col>9</xdr:col>
      <xdr:colOff>931862</xdr:colOff>
      <xdr:row>14</xdr:row>
      <xdr:rowOff>150018</xdr:rowOff>
    </xdr:from>
    <xdr:ext cx="65" cy="172227"/>
    <xdr:sp macro="" textlink="">
      <xdr:nvSpPr>
        <xdr:cNvPr id="4" name="CuadroTexto 2">
          <a:extLst>
            <a:ext uri="{FF2B5EF4-FFF2-40B4-BE49-F238E27FC236}">
              <a16:creationId xmlns:a16="http://schemas.microsoft.com/office/drawing/2014/main" id="{891EE5EA-930D-4F38-A0FD-2C790A6C592B}"/>
            </a:ext>
          </a:extLst>
        </xdr:cNvPr>
        <xdr:cNvSpPr txBox="1"/>
      </xdr:nvSpPr>
      <xdr:spPr>
        <a:xfrm>
          <a:off x="11994197" y="337899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O"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obantioquia-my.sharepoint.com/VIGENCIA%202018/23.%20POAI%20PPTO%20%20MFMP%202019/PPTO%202019%20HACIENDA/PROYECTO%20DE%20PRESUPUESTO%20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X:\1.%20PLAN%20DE%20ADQUISICIONES\PLAN%20DE%20COMPRAS%202018\PLAN_DE_ADQUISICIONES_COS_2018\Aplicativo%20PAA%202018\Aplicacion%20PAA_Modificaciones_Infraestructura_01112018_4.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Sec_General\2018\FORMATO%20PAA%20GENERAL%2029_01_201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MHIGUITAC/Desktop/2017/PLAN%20DE%20COMPRAS%202017/PAA%20MUJERES%2002112017.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Y:\ParticipacionCiu\2018\PAA_PARTICIPACION%2030-11-2017.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Y:\Afrodescendientes\2018\Plan%20Anual%202018\paa%2001042017_origina%202018%20-G.Afro..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docs.live.net/Users/MHIGUITAC/Downloads/PAA%20COMUNICACIONES%2001122017%20(3).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gobantioquia-my.sharepoint.com/sorozcos/My%20Documents/SANDRA%20OROZCO/ISAGEN/SOLICITUD%20DE%20CDP%20ISAGEN/TABLA%20FORMATO%20SOLICITUD%20DE%20CDP%202%2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Y:\Infraestructura\PAA%20SIF%202018\FORMATO_v2_PAA_2018_SIF_%2026012018.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d.docs.live.net/Users/JRESTREPORE/Downloads/FORMATO_v2_PAA_2018_SIF_%201.11.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ÓN"/>
      <sheetName val="FUNCIONAMIENTO"/>
      <sheetName val="INVERSIÓN CONCATENAR"/>
      <sheetName val="TD INVERSIÓN X DIRECCION "/>
      <sheetName val="FUNC CONCATENAR"/>
      <sheetName val="202 TCONTROL_TOTAL_PROY"/>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4"/>
      <sheetName val="Informe SECOP Automatico"/>
      <sheetName val="ArticulacionDatos"/>
      <sheetName val="Supervision"/>
      <sheetName val="hoja1"/>
      <sheetName val="Anulados"/>
      <sheetName val="Codigos SECOP"/>
      <sheetName val="PPTO_2018"/>
      <sheetName val="Informe SECOP Generado"/>
      <sheetName val="Datos"/>
      <sheetName val="Aplicacion PAA_Modificaciones_I"/>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 2. (2)."/>
      <sheetName val="Modalidad"/>
      <sheetName val="Anexo 2."/>
      <sheetName val="Hoja1"/>
      <sheetName val="UNSPSC"/>
    </sheetNames>
    <sheetDataSet>
      <sheetData sheetId="0"/>
      <sheetData sheetId="1"/>
      <sheetData sheetId="2">
        <row r="416">
          <cell r="B416" t="str">
            <v>Departamento Administrativo de Planeación</v>
          </cell>
          <cell r="D416" t="str">
            <v>Concurso de Méritos</v>
          </cell>
        </row>
        <row r="417">
          <cell r="B417" t="str">
            <v>Departamento Administrativo del Sistema de Prevención, Atención y Recuperación de Desastres - DAPARD</v>
          </cell>
          <cell r="D417" t="str">
            <v>Contratación Directa - Arrendamiento o Adquisición de Bienes Inmuebles</v>
          </cell>
        </row>
        <row r="418">
          <cell r="B418" t="str">
            <v>Despacho del Gobernador</v>
          </cell>
          <cell r="D418" t="str">
            <v>Contratación Directa - Bienes y Servicios en el Sector Defensa y en el Departamento Administrativo de Seguridad</v>
          </cell>
        </row>
        <row r="419">
          <cell r="B419" t="str">
            <v>Fábrica de Licores y Alcoholes de Antioquia - FLA</v>
          </cell>
          <cell r="D419" t="str">
            <v>Contratación Directa - Contratos Interadministrativos</v>
          </cell>
        </row>
        <row r="420">
          <cell r="B420" t="str">
            <v>Gerencia de Afrodescendientes</v>
          </cell>
          <cell r="D420" t="str">
            <v>Contratación Directa - Contratos para el Desarrollo de Actividades Científicas y Tecnológicas</v>
          </cell>
        </row>
        <row r="421">
          <cell r="B421" t="str">
            <v>Gerencia de Auditoría Interna</v>
          </cell>
          <cell r="D421" t="str">
            <v>Contratación Directa - Empréstito</v>
          </cell>
        </row>
        <row r="422">
          <cell r="B422" t="str">
            <v>Gerencia de Infancia, Adolescencia y Juventud</v>
          </cell>
          <cell r="D422" t="str">
            <v xml:space="preserve">Contratación Directa - Encargo Fiduciario </v>
          </cell>
        </row>
        <row r="423">
          <cell r="B423" t="str">
            <v>Gerencia de Paz</v>
          </cell>
          <cell r="D423" t="str">
            <v>Contratación Directa - No pluralidad de oferentes</v>
          </cell>
          <cell r="F423" t="str">
            <v>Abastecimiento sostenible de agua apta para el consumo humano en zona urbana del Departamento</v>
          </cell>
        </row>
        <row r="424">
          <cell r="B424" t="str">
            <v>Gerencia de Seguridad Alimentaria y Nutricional de Antioquia - MANÁ</v>
          </cell>
          <cell r="D424" t="str">
            <v>Contratación Directa - Prestación de Servicios y de Apoyo a la Gestión Persona Jurídica</v>
          </cell>
          <cell r="F424" t="str">
            <v>Abastecimiento sostenible de agua apta para el consumo humano en zonas rurales</v>
          </cell>
        </row>
        <row r="425">
          <cell r="B425" t="str">
            <v>Gerencia de Servicios Públicos</v>
          </cell>
          <cell r="D425" t="str">
            <v>Contratación Directa - Prestación de Servicios y de Apoyo a la Gestión Persona Natural</v>
          </cell>
          <cell r="F425" t="str">
            <v>Acceso Rural a los Servicios Sociales</v>
          </cell>
        </row>
        <row r="426">
          <cell r="B426" t="str">
            <v>Gerencia Indígena</v>
          </cell>
          <cell r="D426" t="str">
            <v>Contratación Directa - Urgencia Manifiesta</v>
          </cell>
          <cell r="F426" t="str">
            <v>Acción Integral contra Minas Antipersonal (MAP), Munición sin Explotar (MUSE) y Artefactos Explosivos Improvisados (AEI)</v>
          </cell>
        </row>
        <row r="427">
          <cell r="B427" t="str">
            <v>Oficina de Comunicaciones</v>
          </cell>
          <cell r="D427" t="str">
            <v>Licitación Pública</v>
          </cell>
          <cell r="F427" t="str">
            <v>Acompañamiento en el diseño y/o fortalecimiento de Políticas públicas de trabajo decente en el Departamento</v>
          </cell>
        </row>
        <row r="428">
          <cell r="B428" t="str">
            <v>Secretaría de Agricultura y Desarrollo Rural</v>
          </cell>
          <cell r="D428" t="str">
            <v>Mínima Cuantía</v>
          </cell>
          <cell r="F428" t="str">
            <v>Adaptación y Mitigación al Cambio Climático</v>
          </cell>
        </row>
        <row r="429">
          <cell r="B429" t="str">
            <v>Secretaría de Educación</v>
          </cell>
          <cell r="D429" t="str">
            <v>Otro Tipo de Contrato</v>
          </cell>
          <cell r="F429" t="str">
            <v>Alianza entre el sector educativo y el sector deporte</v>
          </cell>
        </row>
        <row r="430">
          <cell r="B430" t="str">
            <v>Secretaría de Gestión Humana y Desarrollo Organizacional</v>
          </cell>
          <cell r="D430" t="str">
            <v xml:space="preserve">Régimen Especial - Artículo 14 Ley 9 de 1989, Ley 388 de 1997 </v>
          </cell>
          <cell r="F430" t="str">
            <v>Alternativas rurales para el manejo de los residuos sólidos en el Departamento</v>
          </cell>
        </row>
        <row r="431">
          <cell r="B431" t="str">
            <v>Secretaría de Gobierno</v>
          </cell>
          <cell r="D431" t="str">
            <v>Régimen Especial - Artículo 95 Ley 489 de 1998</v>
          </cell>
          <cell r="F431" t="str">
            <v>Altos Logros y Liderazgo Deportivo</v>
          </cell>
        </row>
        <row r="432">
          <cell r="B432" t="str">
            <v>Secretaría de Hacienda</v>
          </cell>
          <cell r="D432" t="str">
            <v>Régimen Especial - Artículo 96 Ley 489 de 1998</v>
          </cell>
          <cell r="F432" t="str">
            <v>Antioquia convive y es justa</v>
          </cell>
        </row>
        <row r="433">
          <cell r="B433" t="str">
            <v>Secretaría de Infraestructura Física</v>
          </cell>
          <cell r="D433" t="str">
            <v>Régimen Especial - Concesión Minera</v>
          </cell>
          <cell r="F433" t="str">
            <v>Antioquia en Paz</v>
          </cell>
        </row>
        <row r="434">
          <cell r="B434" t="str">
            <v>Secretaría de las Mujeres</v>
          </cell>
          <cell r="D434" t="str">
            <v>Régimen Especial - Contrato de Comodato</v>
          </cell>
          <cell r="F434" t="str">
            <v>Antioquia Joven</v>
          </cell>
        </row>
        <row r="435">
          <cell r="B435" t="str">
            <v>Secretaría de Medio Ambiente</v>
          </cell>
          <cell r="D435" t="str">
            <v>Régimen Especial - Decreto 092 de 2017</v>
          </cell>
          <cell r="F435" t="str">
            <v>Antioquia libre de analfabetismo</v>
          </cell>
        </row>
        <row r="436">
          <cell r="B436" t="str">
            <v>Secretaría de Minas</v>
          </cell>
          <cell r="D436" t="str">
            <v>Régimen Especial - Decreto 1084 de 2015</v>
          </cell>
          <cell r="F436" t="str">
            <v>Antioquia reconoce e incluye la diversidad sexual y de género</v>
          </cell>
        </row>
        <row r="437">
          <cell r="B437" t="str">
            <v>Secretaría de Participación Ciudadana y Desarrollo Social</v>
          </cell>
          <cell r="D437" t="str">
            <v>Régimen Especial - Decreto 1851 de 2015</v>
          </cell>
          <cell r="F437" t="str">
            <v>Antioquia Rural Productiva</v>
          </cell>
        </row>
        <row r="438">
          <cell r="B438" t="str">
            <v>Secretaría de Productividad y Competitividad</v>
          </cell>
          <cell r="D438" t="str">
            <v>Régimen Especial - Decreto 2500 de 2010</v>
          </cell>
          <cell r="F438" t="str">
            <v>Antioquia Sin Cultivos Ilícitos</v>
          </cell>
        </row>
        <row r="439">
          <cell r="B439" t="str">
            <v>Secretaría General</v>
          </cell>
          <cell r="D439" t="str">
            <v>Régimen Especial - Ley 14 de 1983, Decreto 1222 de 1986</v>
          </cell>
          <cell r="F439" t="str">
            <v xml:space="preserve">Antioquia territorio inteligente: ecosistema de innovación </v>
          </cell>
        </row>
        <row r="440">
          <cell r="B440" t="str">
            <v>Secretaría Privada</v>
          </cell>
          <cell r="D440" t="str">
            <v>Régimen Especial - Oferta de Concesión Mercantil</v>
          </cell>
          <cell r="F440" t="str">
            <v>Arte y Cultura para la Equidad y la Movilidad Social</v>
          </cell>
        </row>
        <row r="441">
          <cell r="B441" t="str">
            <v>Secretaría Seccional de Salud y Protección Social</v>
          </cell>
          <cell r="D441" t="str">
            <v>Régimen Especial - Organismos Internacionales</v>
          </cell>
          <cell r="F441" t="str">
            <v>Articulación intersectorial para el desarrollo integral del departamento</v>
          </cell>
        </row>
        <row r="442">
          <cell r="D442" t="str">
            <v>Selección Abreviada - Acuerdo Marco de Precios</v>
          </cell>
          <cell r="F442" t="str">
            <v xml:space="preserve">Coalición de Municipios Afroantioqueños </v>
          </cell>
        </row>
        <row r="443">
          <cell r="D443" t="str">
            <v>Selección Abreviada - Adquisición en Bolsa de Productos</v>
          </cell>
          <cell r="F443" t="str">
            <v>Competitividad y promoción del turismo</v>
          </cell>
        </row>
        <row r="444">
          <cell r="D444" t="str">
            <v>Selección Abreviada - Enajenación de Bienes</v>
          </cell>
          <cell r="F444" t="str">
            <v>Comunicación Organizacional y Pública</v>
          </cell>
        </row>
        <row r="445">
          <cell r="D445" t="str">
            <v>Selección Abreviada - Menor Cuantía</v>
          </cell>
          <cell r="F445" t="str">
            <v>Conocimiento del riesgo</v>
          </cell>
        </row>
        <row r="446">
          <cell r="B446" t="str">
            <v>Sin iniciar etapa precontractual</v>
          </cell>
          <cell r="D446" t="str">
            <v>Selección Abreviada - Subasta Inversa</v>
          </cell>
          <cell r="F446" t="str">
            <v>Conservación de Ecosistemas Estratégicos</v>
          </cell>
        </row>
        <row r="447">
          <cell r="B447" t="str">
            <v>En etapa precontractual</v>
          </cell>
          <cell r="F447" t="str">
            <v>Construcción de Paz</v>
          </cell>
        </row>
        <row r="448">
          <cell r="B448" t="str">
            <v>Celebrado sin iniciar</v>
          </cell>
          <cell r="F448" t="str">
            <v>Cooperación Internacional para el Desarrollo</v>
          </cell>
        </row>
        <row r="449">
          <cell r="B449" t="str">
            <v>En ejecución</v>
          </cell>
          <cell r="D449" t="str">
            <v>Presupuesto de entidad nacional</v>
          </cell>
          <cell r="F449" t="str">
            <v>Coordinación y Complementariedad técnica, política y económica como mecanismo para arreglo institucional</v>
          </cell>
        </row>
        <row r="450">
          <cell r="B450" t="str">
            <v>Suspendido</v>
          </cell>
          <cell r="D450" t="str">
            <v>Recursos de crédito</v>
          </cell>
          <cell r="F450" t="str">
            <v>Desarrollo del capital intelectual y organizacional</v>
          </cell>
        </row>
        <row r="451">
          <cell r="B451" t="str">
            <v>Terminado</v>
          </cell>
          <cell r="D451" t="str">
            <v>Recursos propios</v>
          </cell>
          <cell r="F451" t="str">
            <v>Directrices y lineamientos para el ordenamiento territorial agropecuario en Antioquia</v>
          </cell>
        </row>
        <row r="452">
          <cell r="B452" t="str">
            <v>Liquidado</v>
          </cell>
          <cell r="D452" t="str">
            <v>Regalías</v>
          </cell>
          <cell r="F452" t="str">
            <v>Educación para la nueva ruralidad</v>
          </cell>
        </row>
        <row r="453">
          <cell r="D453" t="str">
            <v>SGP</v>
          </cell>
          <cell r="F453" t="str">
            <v>Educación terciaria para todos</v>
          </cell>
        </row>
        <row r="454">
          <cell r="F454" t="str">
            <v>Educación y cultura para la sostenibilidad ambiental del Departamento de Antioquia</v>
          </cell>
        </row>
        <row r="455">
          <cell r="F455" t="str">
            <v>Educando en igualdad de género</v>
          </cell>
        </row>
        <row r="456">
          <cell r="F456" t="str">
            <v>Empresas y/o esquemas asociativos regionales para la prestación de los servicios públicos en el Departamento</v>
          </cell>
        </row>
        <row r="457">
          <cell r="F457" t="str">
            <v>Energía para la ruralidad</v>
          </cell>
        </row>
        <row r="458">
          <cell r="F458" t="str">
            <v>Envejecimiento y Vejez</v>
          </cell>
        </row>
        <row r="459">
          <cell r="F459" t="str">
            <v>Equipamientos Culturales para el Desarrollo Territorial</v>
          </cell>
        </row>
        <row r="460">
          <cell r="F460" t="str">
            <v>Escenarios deportivos y recreativos para la comunidad</v>
          </cell>
        </row>
        <row r="461">
          <cell r="F461" t="str">
            <v>Espacios de participación para el fortalecimiento institucional</v>
          </cell>
        </row>
        <row r="462">
          <cell r="F462" t="str">
            <v>Estrategia Departamental Buen Comienzo Antioquia</v>
          </cell>
        </row>
        <row r="463">
          <cell r="F463" t="str">
            <v>Estudios y seguimientos para la planeación y desarrollo de la Infraestructura de transporte</v>
          </cell>
        </row>
        <row r="464">
          <cell r="F464" t="str">
            <v>Excelencia educativa con más y mejores maestros</v>
          </cell>
        </row>
        <row r="465">
          <cell r="F465" t="str">
            <v>Familias en Convivencia</v>
          </cell>
        </row>
        <row r="466">
          <cell r="F466" t="str">
            <v>Fomento de sinergias para la promoción y mejoramiento de la empleabilidad en las regiones del Departamento</v>
          </cell>
        </row>
        <row r="467">
          <cell r="F467" t="str">
            <v>Fomento y Apoyo para el Emprendimiento y Fortalecimiento Empresarial</v>
          </cell>
        </row>
        <row r="468">
          <cell r="F468" t="str">
            <v>Fortalecimiento a la Seguridad y Orden Público</v>
          </cell>
        </row>
        <row r="469">
          <cell r="F469" t="str">
            <v>Fortalecimiento Autoridad Sanitaria</v>
          </cell>
        </row>
        <row r="470">
          <cell r="F470" t="str">
            <v>Fortalecimiento de la actividad física y promoción de la salud. "Por su salud muévase pues"</v>
          </cell>
        </row>
        <row r="471">
          <cell r="F471" t="str">
            <v>Fortalecimiento de las entidades sin ánimo de lucro y entes territoriales</v>
          </cell>
        </row>
        <row r="472">
          <cell r="F472" t="str">
            <v>Fortalecimiento de las instancias, mecanismos y espacios de participación ciudadana</v>
          </cell>
        </row>
        <row r="473">
          <cell r="F473" t="str">
            <v>Fortalecimiento de las TIC en la Administración Departamental</v>
          </cell>
        </row>
        <row r="474">
          <cell r="F474" t="str">
            <v xml:space="preserve">Fortalecimiento de las TIC en redes empresariales </v>
          </cell>
        </row>
        <row r="475">
          <cell r="F475" t="str">
            <v>Fortalecimiento de los ingresos departamentales</v>
          </cell>
        </row>
        <row r="476">
          <cell r="F476" t="str">
            <v>Fortalecimiento del acceso y la calidad de la información pública</v>
          </cell>
        </row>
        <row r="477">
          <cell r="F477" t="str">
            <v xml:space="preserve">Fortalecimiento del bienestar laboral y mejoramiento de la calidad de vida </v>
          </cell>
        </row>
        <row r="478">
          <cell r="F478" t="str">
            <v>Fortalecimiento del modelo integral de atención a la ciudadanía</v>
          </cell>
        </row>
        <row r="479">
          <cell r="F479" t="str">
            <v>Fortalecimiento del Movimiento Comunal y las Organizaciones Sociales</v>
          </cell>
        </row>
        <row r="480">
          <cell r="F480" t="str">
            <v>Fortalecimiento del potencial deportivo de Antioquia</v>
          </cell>
        </row>
        <row r="481">
          <cell r="F481" t="str">
            <v>Fortalecimiento del Sistema Departamental de Ciencia, tecnología e innovación (SDCTI).</v>
          </cell>
        </row>
        <row r="482">
          <cell r="F482" t="str">
            <v>Fortalecimiento institucional de los prestadores de servicios públicos en el Departamento</v>
          </cell>
        </row>
        <row r="483">
          <cell r="F483" t="str">
            <v>Fortalecimiento Institucional en Transporte y Transito en el Departamento de Antioquia</v>
          </cell>
        </row>
        <row r="484">
          <cell r="F484" t="str">
            <v>Fortalecimiento Institucional para la planeación y la gestión del Desarrollo Territorial</v>
          </cell>
        </row>
        <row r="485">
          <cell r="F485" t="str">
            <v>Fortalecimiento tecnológico de Teleantioquia</v>
          </cell>
        </row>
        <row r="486">
          <cell r="F486" t="str">
            <v>Fortalecimiento y articulación entre el modelo de operación por procesos (Sistema Integrado de Gestión) y la estructura organizacional</v>
          </cell>
        </row>
        <row r="487">
          <cell r="F487" t="str">
            <v>Fortalecimiento y Desarrollo de la Agricultura Familiar Campesina</v>
          </cell>
        </row>
        <row r="488">
          <cell r="F488" t="str">
            <v>Gas domiciliario para el desarrollo rural del departamento</v>
          </cell>
        </row>
        <row r="489">
          <cell r="F489" t="str">
            <v>Gas domiciliario para la competitividad en las zonas urbanas del Departamento</v>
          </cell>
        </row>
        <row r="490">
          <cell r="F490" t="str">
            <v>Gestión Cultural para el Fortalecimiento de la Ciudadanía</v>
          </cell>
        </row>
        <row r="491">
          <cell r="F491" t="str">
            <v>Gestión de la información temática territorial como base fundamental para la planeación y el desarrollo</v>
          </cell>
        </row>
        <row r="492">
          <cell r="F492" t="str">
            <v>Gestión de la seguridad y la salud en el trabajo</v>
          </cell>
        </row>
        <row r="493">
          <cell r="F493" t="str">
            <v>Gestión del Empleo Público</v>
          </cell>
        </row>
        <row r="494">
          <cell r="F494" t="str">
            <v>Gestión Integral del Patrimonio Cultural</v>
          </cell>
        </row>
        <row r="495">
          <cell r="F495" t="str">
            <v>Indígenas con Calidad de Vida</v>
          </cell>
        </row>
        <row r="496">
          <cell r="F496" t="str">
            <v>Infraestructura de apoyo a la producción, transformación y comercialización de productos agropecuarios, pesqueros y forestales</v>
          </cell>
        </row>
        <row r="497">
          <cell r="F497" t="str">
            <v>Infraestructura de vías terciarias como apoyo a la comercialización de productos agropecuarios, pesqueros y forestales</v>
          </cell>
        </row>
        <row r="498">
          <cell r="F498" t="str">
            <v>Innovación y Tecnología al Servicio del Desarrollo Territorial Departamental</v>
          </cell>
        </row>
        <row r="499">
          <cell r="F499" t="str">
            <v>Juegos del sector educativo</v>
          </cell>
        </row>
        <row r="500">
          <cell r="F500" t="str">
            <v>Lectura y escritura</v>
          </cell>
        </row>
        <row r="501">
          <cell r="F501" t="str">
            <v>Lineamientos para la creación de zonas industriales en los municipios de tradición minera en Antioquia</v>
          </cell>
        </row>
        <row r="502">
          <cell r="F502" t="str">
            <v>Manejo de desastres</v>
          </cell>
        </row>
        <row r="503">
          <cell r="F503" t="str">
            <v>Manejo integral de los residuos sólidos en zona urbana del Departamento – “Basura Cero”</v>
          </cell>
        </row>
        <row r="504">
          <cell r="F504" t="str">
            <v>Manejo sostenible de sistemas de aguas residuales en zona urbana del Departamento</v>
          </cell>
        </row>
        <row r="505">
          <cell r="F505" t="str">
            <v>Manejo sostenible de sistemas de aguas residuales en zonas rurales y de difícil acceso del departamento</v>
          </cell>
        </row>
        <row r="506">
          <cell r="F506" t="str">
            <v>Mantenimiento, mejoramiento y/o rehabilitación de la RVS</v>
          </cell>
        </row>
        <row r="507">
          <cell r="F507" t="str">
            <v>Más y mejor educación para la atención a la población en condición de discapacidad y talentos excepcionales</v>
          </cell>
        </row>
        <row r="508">
          <cell r="F508" t="str">
            <v>Más y mejor educación para la población étnica</v>
          </cell>
        </row>
        <row r="509">
          <cell r="F509" t="str">
            <v xml:space="preserve">Más y mejor educación para la sociedad y las personas en el sector rural </v>
          </cell>
        </row>
        <row r="510">
          <cell r="F510" t="str">
            <v xml:space="preserve">Más y mejor educación para la sociedad y las personas en el sector urbano </v>
          </cell>
        </row>
        <row r="511">
          <cell r="F511" t="str">
            <v>Mejoramiento de Vivienda Rural</v>
          </cell>
        </row>
        <row r="512">
          <cell r="F512" t="str">
            <v>Mejoramiento de vivienda urbana</v>
          </cell>
        </row>
        <row r="513">
          <cell r="F513" t="str">
            <v>Mejorar la productividad y la competitividad del sector minero del Departamento con responsabilidad ambiental y social</v>
          </cell>
        </row>
        <row r="514">
          <cell r="F514" t="str">
            <v>Minería en armonía con el medio ambiente</v>
          </cell>
        </row>
        <row r="515">
          <cell r="F515" t="str">
            <v>Modelo Educativo de Antioquia para la vida, la sociedad y el trabajo</v>
          </cell>
        </row>
        <row r="516">
          <cell r="F516" t="str">
            <v>Modernización de la infraestructura física, bienes muebles, parque automotor y sistema integrado de seguridad</v>
          </cell>
        </row>
        <row r="517">
          <cell r="F517" t="str">
            <v>Movilidad segura en el Departamento de Antioquia</v>
          </cell>
        </row>
        <row r="518">
          <cell r="F518" t="str">
            <v>Mujeres asociadas, adelante!</v>
          </cell>
        </row>
        <row r="519">
          <cell r="F519" t="str">
            <v>Mujeres políticas “Antioquia Piensa en Grande”</v>
          </cell>
        </row>
        <row r="520">
          <cell r="F520" t="str">
            <v>Nuevos Polos de Desarrollo Habitacionales e Industriales</v>
          </cell>
        </row>
        <row r="521">
          <cell r="F521" t="str">
            <v>Participación de Antioquia en los Planes Nacionales de transporte Multimodal</v>
          </cell>
        </row>
        <row r="522">
          <cell r="F522" t="str">
            <v>Pavimentación de la Red Vial Secundaria (RVS)</v>
          </cell>
        </row>
        <row r="523">
          <cell r="F523" t="str">
            <v>Plan de cables aéreos</v>
          </cell>
        </row>
        <row r="524">
          <cell r="F524" t="str">
            <v>Población en Situación de Discapacidad</v>
          </cell>
        </row>
        <row r="525">
          <cell r="F525" t="str">
            <v>Prácticas de Excelencia</v>
          </cell>
        </row>
        <row r="526">
          <cell r="F526" t="str">
            <v>Preparando el campo antioqueño para los mercados del mundo</v>
          </cell>
        </row>
        <row r="527">
          <cell r="F527" t="str">
            <v>Prevención de las vulneraciones de la niñez para la construcción de la Paz</v>
          </cell>
        </row>
        <row r="528">
          <cell r="F528" t="str">
            <v>Promoción del deporte social comunitario, deporte formativo y recreación</v>
          </cell>
        </row>
        <row r="529">
          <cell r="F529" t="str">
            <v>Promoción, prevención y protección de los Derechos Humanos (DDHH) y Derecho Internacional Humanitario (DIH).</v>
          </cell>
        </row>
        <row r="530">
          <cell r="F530" t="str">
            <v>Protección y Conservación del Recurso Hídrico</v>
          </cell>
        </row>
        <row r="531">
          <cell r="F531" t="str">
            <v>Protección, restablecimiento de los derechos y reparación individual y colectiva a las víctimas del conflicto armado</v>
          </cell>
        </row>
        <row r="532">
          <cell r="F532" t="str">
            <v>Proyectos de infraestructura cofinanciados en los municipios</v>
          </cell>
        </row>
        <row r="533">
          <cell r="F533" t="str">
            <v>Proyectos estratégicos Departamentales</v>
          </cell>
        </row>
        <row r="534">
          <cell r="F534" t="str">
            <v>Reducción del Riesgo</v>
          </cell>
        </row>
        <row r="535">
          <cell r="F535" t="str">
            <v>Salud Ambiental</v>
          </cell>
        </row>
        <row r="536">
          <cell r="F536" t="str">
            <v>Salud Pública</v>
          </cell>
        </row>
        <row r="537">
          <cell r="F537" t="str">
            <v>Seguimiento a procesos de restitución de tierras despojadas y abandonadas en el Departamento</v>
          </cell>
        </row>
        <row r="538">
          <cell r="F538" t="str">
            <v>Seguridad alimentaria y nutricional en la población vulnerable- MANÁ</v>
          </cell>
        </row>
        <row r="539">
          <cell r="F539" t="str">
            <v>Seguridad económica de las mujeres</v>
          </cell>
        </row>
        <row r="540">
          <cell r="F540" t="str">
            <v>Seguridad pública para las mujeres</v>
          </cell>
        </row>
        <row r="541">
          <cell r="F541" t="str">
            <v>Sistema Departamental de Bomberos</v>
          </cell>
        </row>
        <row r="542">
          <cell r="F542" t="str">
            <v>Sistema Departamental de Capacitación para el deporte, la recreación, la actividad física y educación física</v>
          </cell>
        </row>
        <row r="543">
          <cell r="F543" t="str">
            <v>Sistema Departamental de Información de Gestión del Riesgo de Desastres</v>
          </cell>
        </row>
        <row r="544">
          <cell r="F544" t="str">
            <v>Trabajo decente y desarrollo económico local para la Paz</v>
          </cell>
        </row>
        <row r="545">
          <cell r="F545" t="str">
            <v>Transformación social y cultural en Gestión del Riesgo</v>
          </cell>
        </row>
        <row r="546">
          <cell r="F546" t="str">
            <v xml:space="preserve">Transparencia y lucha frontal contra la corrupción </v>
          </cell>
        </row>
        <row r="547">
          <cell r="F547" t="str">
            <v>Transversalidad con hechos</v>
          </cell>
        </row>
        <row r="548">
          <cell r="F548" t="str">
            <v>Vías para sistemas alternativos de transporte</v>
          </cell>
        </row>
        <row r="549">
          <cell r="F549" t="str">
            <v>Vivienda Nueva Rural</v>
          </cell>
        </row>
        <row r="550">
          <cell r="F550" t="str">
            <v>Vivienda Nueva Urbana</v>
          </cell>
        </row>
        <row r="551">
          <cell r="F551" t="str">
            <v>FUNCIONAMIENTO</v>
          </cell>
        </row>
      </sheetData>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 2. (2)."/>
      <sheetName val="Anexo 2."/>
      <sheetName val="UNSPSC"/>
    </sheetNames>
    <sheetDataSet>
      <sheetData sheetId="0"/>
      <sheetData sheetId="1"/>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 2. (2)."/>
      <sheetName val="Anexo 2."/>
      <sheetName val="Hoja1"/>
      <sheetName val="UNSPSC"/>
    </sheetNames>
    <sheetDataSet>
      <sheetData sheetId="0"/>
      <sheetData sheetId="1">
        <row r="357">
          <cell r="D357" t="str">
            <v>Concurso de Méritos</v>
          </cell>
        </row>
        <row r="358">
          <cell r="D358" t="str">
            <v>Contratación Directa - Arrendamiento o Adquisición de Bienes Inmuebles</v>
          </cell>
        </row>
        <row r="359">
          <cell r="D359" t="str">
            <v>Contratación Directa - Bienes y Servicios en el Sector Defensa y en el Departamento Administrativo de Seguridad</v>
          </cell>
        </row>
        <row r="360">
          <cell r="D360" t="str">
            <v>Contratación Directa - Contratos Interadministrativos</v>
          </cell>
        </row>
        <row r="361">
          <cell r="D361" t="str">
            <v>Contratación Directa - Contratos para el Desarrollo de Actividades Científicas y Tecnológicas</v>
          </cell>
        </row>
        <row r="362">
          <cell r="D362" t="str">
            <v>Contratación Directa - Empréstito</v>
          </cell>
        </row>
        <row r="363">
          <cell r="D363" t="str">
            <v xml:space="preserve">Contratación Directa - Encargo Fiduciario </v>
          </cell>
        </row>
        <row r="364">
          <cell r="D364" t="str">
            <v>Contratación Directa - No pluralidad de oferentes</v>
          </cell>
        </row>
        <row r="365">
          <cell r="D365" t="str">
            <v>Contratación Directa - Prestación de Servicios y de Apoyo a la Gestión Persona Jurídica</v>
          </cell>
        </row>
        <row r="366">
          <cell r="D366" t="str">
            <v>Contratación Directa - Prestación de Servicios y de Apoyo a la Gestión Persona Natural</v>
          </cell>
        </row>
        <row r="367">
          <cell r="D367" t="str">
            <v>Contratación Directa - Urgencia Manifiesta</v>
          </cell>
        </row>
        <row r="368">
          <cell r="D368" t="str">
            <v>Licitación Pública</v>
          </cell>
        </row>
        <row r="369">
          <cell r="D369" t="str">
            <v>Mínima Cuantía</v>
          </cell>
        </row>
        <row r="370">
          <cell r="D370" t="str">
            <v>Otro Tipo de Contrato</v>
          </cell>
        </row>
        <row r="371">
          <cell r="D371" t="str">
            <v xml:space="preserve">Régimen Especial - Artículo 14 Ley 9 de 1989, Ley 388 de 1997 </v>
          </cell>
        </row>
        <row r="372">
          <cell r="D372" t="str">
            <v>Régimen Especial - Artículo 95 Ley 489 de 1998</v>
          </cell>
        </row>
        <row r="373">
          <cell r="D373" t="str">
            <v>Régimen Especial - Artículo 96 Ley 489 de 1998</v>
          </cell>
        </row>
        <row r="374">
          <cell r="D374" t="str">
            <v>Régimen Especial - Concesión Minera</v>
          </cell>
        </row>
        <row r="375">
          <cell r="D375" t="str">
            <v>Régimen Especial - Contrato de Comodato</v>
          </cell>
        </row>
        <row r="376">
          <cell r="D376" t="str">
            <v>Régimen Especial - Decreto 1084 de 2015</v>
          </cell>
        </row>
        <row r="377">
          <cell r="D377" t="str">
            <v>Régimen Especial - Decreto 1851 de 2015</v>
          </cell>
        </row>
        <row r="378">
          <cell r="D378" t="str">
            <v>Régimen Especial - Decreto 2500 de 2010</v>
          </cell>
        </row>
        <row r="379">
          <cell r="D379" t="str">
            <v>Régimen Especial - Decreto 777 de 1992</v>
          </cell>
        </row>
        <row r="380">
          <cell r="D380" t="str">
            <v>Régimen Especial - Ley 14 de 1983, Decreto 1222 de 1986</v>
          </cell>
        </row>
        <row r="381">
          <cell r="D381" t="str">
            <v>Régimen Especial - Oferta de Concesión Mercantil</v>
          </cell>
        </row>
        <row r="382">
          <cell r="D382" t="str">
            <v>Régimen Especial - Organismos Internacionales</v>
          </cell>
        </row>
        <row r="383">
          <cell r="D383" t="str">
            <v>Selección Abreviada - Acuerdo Marco de Precios</v>
          </cell>
        </row>
        <row r="384">
          <cell r="D384" t="str">
            <v>Selección Abreviada - Adquisición en Bolsa de Productos</v>
          </cell>
        </row>
        <row r="385">
          <cell r="D385" t="str">
            <v>Selección Abreviada - Enajenación de Bienes</v>
          </cell>
        </row>
        <row r="386">
          <cell r="D386" t="str">
            <v>Selección Abreviada - Menor Cuantía</v>
          </cell>
        </row>
        <row r="387">
          <cell r="D387" t="str">
            <v>Selección Abreviada - Subasta Inversa</v>
          </cell>
        </row>
      </sheetData>
      <sheetData sheetId="2"/>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 2. (2)."/>
      <sheetName val="Anexo 2."/>
      <sheetName val="UNSPSC"/>
      <sheetName val="paa 01042017_origina 2018 -G"/>
    </sheetNames>
    <sheetDataSet>
      <sheetData sheetId="0"/>
      <sheetData sheetId="1">
        <row r="322">
          <cell r="B322" t="str">
            <v>Departamento Administrativo de Planeación</v>
          </cell>
          <cell r="D322" t="str">
            <v>Concurso de Méritos</v>
          </cell>
        </row>
        <row r="323">
          <cell r="D323" t="str">
            <v>Contratación Directa - Arrendamiento o Adquisición de Bienes Inmuebles</v>
          </cell>
        </row>
        <row r="324">
          <cell r="D324" t="str">
            <v>Contratación Directa - Bienes y Servicios en el Sector Defensa y en el Departamento Administrativo de Seguridad</v>
          </cell>
        </row>
        <row r="325">
          <cell r="D325" t="str">
            <v>Contratación Directa - Contratos Interadministrativos</v>
          </cell>
        </row>
        <row r="326">
          <cell r="D326" t="str">
            <v>Contratación Directa - Contratos para el Desarrollo de Actividades Científicas y Tecnológicas</v>
          </cell>
        </row>
        <row r="327">
          <cell r="D327" t="str">
            <v>Contratación Directa - Empréstito</v>
          </cell>
        </row>
        <row r="328">
          <cell r="D328" t="str">
            <v xml:space="preserve">Contratación Directa - Encargo Fiduciario </v>
          </cell>
        </row>
        <row r="329">
          <cell r="D329" t="str">
            <v>Contratación Directa - No pluralidad de oferentes</v>
          </cell>
        </row>
        <row r="330">
          <cell r="D330" t="str">
            <v>Contratación Directa - Prestación de Servicios y de Apoyo a la Gestión Persona Jurídica</v>
          </cell>
        </row>
        <row r="331">
          <cell r="D331" t="str">
            <v>Contratación Directa - Prestación de Servicios y de Apoyo a la Gestión Persona Natural</v>
          </cell>
        </row>
        <row r="332">
          <cell r="D332" t="str">
            <v>Contratación Directa - Urgencia Manifiesta</v>
          </cell>
        </row>
        <row r="333">
          <cell r="D333" t="str">
            <v>Licitación Pública</v>
          </cell>
        </row>
        <row r="334">
          <cell r="D334" t="str">
            <v>Mínima Cuantía</v>
          </cell>
        </row>
        <row r="335">
          <cell r="D335" t="str">
            <v>Otro Tipo de Contrato</v>
          </cell>
        </row>
        <row r="336">
          <cell r="D336" t="str">
            <v xml:space="preserve">Régimen Especial - Artículo 14 Ley 9 de 1989, Ley 388 de 1997 </v>
          </cell>
        </row>
        <row r="337">
          <cell r="D337" t="str">
            <v>Régimen Especial - Artículo 95 Ley 489 de 1998</v>
          </cell>
        </row>
        <row r="338">
          <cell r="D338" t="str">
            <v>Régimen Especial - Artículo 96 Ley 489 de 1998</v>
          </cell>
        </row>
        <row r="339">
          <cell r="D339" t="str">
            <v>Régimen Especial - Concesión Minera</v>
          </cell>
        </row>
        <row r="340">
          <cell r="D340" t="str">
            <v>Régimen Especial - Contrato de Comodato</v>
          </cell>
        </row>
        <row r="341">
          <cell r="D341" t="str">
            <v>Régimen Especial - Decreto 092 de 2017</v>
          </cell>
        </row>
        <row r="342">
          <cell r="D342" t="str">
            <v>Régimen Especial - Decreto 1084 de 2015</v>
          </cell>
        </row>
        <row r="343">
          <cell r="D343" t="str">
            <v>Régimen Especial - Decreto 1851 de 2015</v>
          </cell>
        </row>
        <row r="344">
          <cell r="D344" t="str">
            <v>Régimen Especial - Decreto 2500 de 2010</v>
          </cell>
        </row>
        <row r="345">
          <cell r="D345" t="str">
            <v>Régimen Especial - Ley 14 de 1983, Decreto 1222 de 1986</v>
          </cell>
        </row>
        <row r="346">
          <cell r="D346" t="str">
            <v>Régimen Especial - Oferta de Concesión Mercantil</v>
          </cell>
        </row>
        <row r="347">
          <cell r="D347" t="str">
            <v>Régimen Especial - Organismos Internacionales</v>
          </cell>
        </row>
        <row r="348">
          <cell r="D348" t="str">
            <v>Selección Abreviada - Acuerdo Marco de Precios</v>
          </cell>
        </row>
        <row r="349">
          <cell r="D349" t="str">
            <v>Selección Abreviada - Adquisición en Bolsa de Productos</v>
          </cell>
        </row>
      </sheetData>
      <sheetData sheetId="2"/>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 2. (2)."/>
      <sheetName val="Anexo 2."/>
      <sheetName val="UNSPSC"/>
    </sheetNames>
    <sheetDataSet>
      <sheetData sheetId="0"/>
      <sheetData sheetId="1"/>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A 2019"/>
      <sheetName val="8119"/>
      <sheetName val="ArticulacionDatos"/>
      <sheetName val="TABLA FORMATO SOLICITUD DE CDP "/>
    </sheetNames>
    <sheetDataSet>
      <sheetData sheetId="0"/>
      <sheetData sheetId="1"/>
      <sheetData sheetId="2"/>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 2. (2)."/>
      <sheetName val="Anexo 2."/>
      <sheetName val="UNSPSC"/>
    </sheetNames>
    <sheetDataSet>
      <sheetData sheetId="0"/>
      <sheetData sheetId="1">
        <row r="579">
          <cell r="F579" t="str">
            <v>Tipo A1: Supervisión e Interventoría Integral</v>
          </cell>
        </row>
        <row r="580">
          <cell r="F580" t="str">
            <v>Tipo A2: Supervisión e Interventoría Técnica</v>
          </cell>
        </row>
        <row r="581">
          <cell r="F581" t="str">
            <v xml:space="preserve">Tipo B1: Supervisión e Interventoría Técnica </v>
          </cell>
        </row>
        <row r="582">
          <cell r="F582" t="str">
            <v>Tipo B2: Supervisión Colegiada</v>
          </cell>
        </row>
        <row r="583">
          <cell r="F583" t="str">
            <v>Tipo C:  Supervisión</v>
          </cell>
        </row>
      </sheetData>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 2."/>
      <sheetName val="UNSPSC"/>
      <sheetName val="Anexo 2. (2)."/>
    </sheetNames>
    <sheetDataSet>
      <sheetData sheetId="0"/>
      <sheetData sheetId="1" refreshError="1"/>
      <sheetData sheetId="2"/>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eo Garces Cespedes" refreshedDate="45826.4965556713" createdVersion="8" refreshedVersion="8" minRefreshableVersion="3" recordCount="569" xr:uid="{CF00837A-E603-4E94-B5C2-2A3013709F90}">
  <cacheSource type="worksheet">
    <worksheetSource name="PROYECTOS"/>
  </cacheSource>
  <cacheFields count="38">
    <cacheField name="ID_NECESIDAD" numFmtId="0">
      <sharedItems containsString="0" containsBlank="1" containsNumber="1" containsInteger="1" minValue="1" maxValue="680"/>
    </cacheField>
    <cacheField name="NECESIDAD" numFmtId="0">
      <sharedItems containsBlank="1" count="809" longText="1">
        <s v="CONSTRUCCIÓN DE PARQUES DEL RIO ETAPA 1 EN EL MUNICIPIO DE VEGACHÍ ANTIOQUIA”"/>
        <s v="Intercambio vial sector 3"/>
        <s v="Construcción del Puente Biblioteca en el municipio de Rionegro - ADICION A PROYECTO EN EJECUCION"/>
        <s v="Pavimentación de la vía Santa Bárbara - Fredonia (ruta 25) Fredonia Código 25AN02 en el Plan de Desarrollo Departamental 2024 - 2027"/>
        <s v="Placa huella Abejorral - Purima"/>
        <s v="Pavimentación de 11km de la vía Riogrande - Bellavista (05237VT073)"/>
        <s v="Solicitud de apoyo y acompañamiento integral a la Gestión territorial - Remitido por el ministerio de ambiente"/>
        <s v="Pavimentación de la vía que conduce al corregimiento portachuelo en Amalfí desde el municipio de Vegachí (05858VT61) &quot;Alejandría - Cascajo&quot;"/>
        <s v="Propuesta proyectos en desarrollo Bajo Cauca Antioqueño. Finca la Mariela - Caucasía Antioquia"/>
        <s v="Recuperación pavimentación y mantenimiento a la malla vial que comunica al municipio de Armenia con el municipio de Titiribí"/>
        <s v="Vía entre corregimiento de San Pablo y vereda Naranjal (Codigo 05856VT104)"/>
        <s v="Solicitud de Pavimentación vía Peñalisa - La Bodega - Tarso La Bodega - Pueblorico con codigo 25BAN03-1"/>
        <s v="Mejoramiento de la red vial urbana Municipio de San josé de la Montaña"/>
        <s v="Mejoramiento de vías rurales en los municipios de Belmira y San José de la Montaña Antioquia"/>
        <s v="Solicitud pavimentación vía corregimiento Marsella "/>
        <s v="Construcción de pavimento rígido en vías del casco urbano del municipio de San Pedro de Urabá Antiquia"/>
        <s v="Construcción de placa huella en la vía acceso al corregimiento de Belén Municipio de San Juan de Urabá Antioquia"/>
        <s v="Mejoramiento vías urbanas municipio de Yolombó"/>
        <s v="Construcción del ámbito patrimonio del proyecto Paisajes del Agua en el Municipio de Rionegro -ADICION A PROYECTO EN EJECUCION"/>
        <s v="Estudios y diseños para plaza de feria ganadera en el municipio de Alejandría - Antioquia"/>
        <s v="Construcción del espacio público parques de la quebrada Donmatías Antioquia - Etapa 1"/>
        <s v="Construcción de la fase dos del malecón turístico del Distrito de Turbo"/>
        <s v="Construcción de la apertura vial entre la calle 16 y la carrera 22 de la zona urbana del municipio de Alejandría"/>
        <s v="Malecón turístico cebecera municipal Puerto Triunfo"/>
        <s v="Pavimentación vía secundaria Barbosa - Concepción"/>
        <s v="Mejoramiento y mantenimiento mediante pavimentación en asfalto de la vía El Chaquiro (Ruta 25) - corregimiento de Aragón (Código 25AN10) Zona rural del municipio de Santa Rosa de Osos - Antioquia"/>
        <s v="Construcción de vías urbanas en el municipio de Sonsón Antioquia"/>
        <s v="Solicitud de construcción de vía en el sector Quebrada Arriba Los Lagos y Matazano (Barbosa - Donmatías)"/>
        <s v="Construcción de pavimento en el barrio Brisas de Urabá del municipio de San Pedro de Urabá Antioquia"/>
        <s v="Mejoramiento de vías del circuito productivo Pueblorrico . Ye a la Bodega - La Bodega (Andes)"/>
        <s v="Parque principal - Segunda etapa"/>
        <s v="Construcción de la antigua plaza de mercado para adecuar y poner en funcionamiento la casa de justicia o centro de convivencia"/>
        <s v="Construcción del ecoparque lineal La Vara en el municipio de San Pedro de Urabá"/>
        <s v="Proyecto de pavimentación en la vía Sopetrán - Belmira"/>
        <s v="Pavimentación de 3 kilómetros de la vía Bellavista - Riogrande"/>
        <s v="Mejoramiento con pavimento rígido de las vías del circuito productivo rural de la subregión suroeste en el municipio de Pueblorrico"/>
        <s v="Pavimentación de 870 m de la vía Concepción - Alejandría 'Los Pomos' SOLO PRESENTA INFORME DE INSPECCIÓN OCULAR"/>
        <s v="Construcción e implementación de la ciudadela de innovación agroempresarial regional en el municipio de Sonsón"/>
        <s v="ADICION - Mejoramiento de vías terciarias de las veredas Mulatico Patio Bonito y Morrón del municipio de Tarso Antioquia mediante la construcción de pavimentación de Placa huella"/>
        <s v="Construcción de la nueva Plaza e mercadi del Municipio de Rionegro y la renovación urbana de su entorno"/>
        <s v="Construcción del parque Villa Esperanza del municipio de San Pedro de Urabá Antioquia"/>
        <s v="Solicitud de mesas técnicas para proyectos presentados por parte del municipio"/>
        <s v="Construcción de pavimento rígido en vías urbanas  Barrio Obrero del municipio de Apartadó"/>
        <s v="Parque principal de San Francisco Antioquia"/>
        <s v="Plaza de mercado"/>
        <s v="Pavimentación en concreto rígido  andenes peatonales y silvicultura en la calle 97 entre carrera 101 y 112 del municipio de Chigorodó Antioquia"/>
        <s v="Intervención de la vía terciaria de acceso al corregimiento cedeño y sus veredas aledañas en el municipio de Yarumal Antioquia afectada por la ola invernal"/>
        <s v="Solicitud de pavimentación de vía Belmira Horizontes"/>
        <s v="Construcción de placa huella y obras complementarias en la vía Támesis - San Pablo (Tamesis - Valparaiso)"/>
        <s v="Pavimentación de 700 metros de pavimento rígido en la vía La Danta - Autopista Medellín - Bogotá"/>
        <s v="Mejoramiento del corredor turístico Cocorná - Maria Parda con la construcción de 2.6 km de pavimento rígido en el municipio de Cocorná Antioquia"/>
        <s v="PAVIMENTACIÓN DE VÍAS URBANAS Y OBRAS DE CONTENCIÓN EN EL MUNICIPIO DE BETANIA ANTIOQUIA"/>
        <s v="Mejoramiento de vías terciarias en la vereda Churido Medio zona rural del municipio de Apartadó Antioquia."/>
        <s v="Pavimentación de 22 Km vía Medellín-Bogotá y Vereda Peñolcito_x000a_"/>
        <s v="MEJORAMIENTO DE LA RED VIAL URBANA DEL MUNICIO DE PUERTO NARE"/>
        <s v="Mantenimiento de la vía terciaria que comunica la vereda El Roblal y el sector la Ye en el Municipio de Briceño Antioquia."/>
        <s v="Presentación de proyecto y EYD para Pavimentación vía El Guayabo – El Salto – Partidas a Guadalupe (62AN21-1-2)"/>
        <s v="Construcción estabilización y conformación de tramo de la banca en el sector &quot;Mi Casita&quot;."/>
        <s v="Construcción de placa huella en la vía a la base militar Las Playas - La Quiebra"/>
        <s v="Mejoramiento de la infraestructura vial mediante la construcción de pavimento rígido en la vía que comunica a la vereda La Pava del Municipio de Alejandría Antioquia"/>
        <s v="Mejoramiento y mantenimiento de vías rurales del municipio de Jericó Antioquia Av Circunvalar "/>
        <s v="Mejoramiento y recuperaciíon vial conoxión cabecera municipal y el Centro Poblado Otramina"/>
        <s v="MEJORAMIENTO DE VIA MEDIANTE LA CONSTRUCCION DE PLACA HUELLA EN EL TRAMO HOSPITAL BOTADERO A CIELO ABIERTO ABSCISA K0+00 A LA ABSCISA K1+1710"/>
        <s v="Puesto información turística estudios y diseños del mirador de Titiribi estudios y diseños para la construcción del resguardo ecoturístico en Urrao"/>
        <s v="Proyecto Casa de la Cultura Fase 2"/>
        <s v="SOLICITUD INTERVENCION PARQUE EL TOTUMO"/>
        <s v="MANTENIMIENTO Y MEJORAMIENTO DEL PARQUE PRINCIPAL DE JARDIN"/>
        <s v="AUNAR ESFUERZOS ENTRE EL DEPARTAMENTO DE ANTIOQUIA Y EL MUNICIPIO DE TARSO PARA LA CONSTRUCCIÓN_x000a_DE LA PLACA HUELLA EN LAS VEREDAS LA ARBOLEDA Y CHAGUANÍ DE LA SUBREGIÓN SUROESTE EN EL MUNICIPIO DE TARSO"/>
        <s v="Solicitud de varios proyectos: 1. Pavimentación de vías urbanas.  2. Reparcheo y reparación de vías urbanas. 3. Pavimentación de vías terciarias (P.H). 4. Pavimentaqción de vías terciarias (Flexible). 5. Construcción de anden. "/>
        <s v="1. Construcción de pavimento rigido tramo K5+900 - K9+900 Vía Giraldo - Cuajarón (codigo 57479) vía terciaria"/>
        <s v="Construcción Placa - Huella: *Vereda El Progreso Tramo 1: 600 metros *Vereda Pio XII Tramo 2: 500 metros"/>
        <s v="Mejoramiento y recuperacion de 9 km de la via desde la cabecera municipal con la ye a girardota y a San Vicente Ferrer"/>
        <s v="Solicitud de recursos para proyecto &quot;PAVIMENTACION DE VIA EN PLACA HUELLA EN LA VEREDA PEDREGAL EN LA ZONA RURAL DEL MUNICIPIO DE SANTA FE DE ANTIOQUIA” Valor a solicitar: $ 12.667.832.858. Alcance: 5 Km. "/>
        <s v="Tres (3) km de placa huella en las veredas La Chuscalita La Quiebra y Monterredondo de nuestro municipio. "/>
        <s v="MEJORAMIENTO DE VÍA TERCIARIA MEDIANTE LA CONSTRUCCIÓN DE PLACA HUELLA EN LA VIA QUE COMUNICA HACIA EL CORREGIMIENTO DE PUERTO CLAVER ZONA RURAL DEL MUNICIPIO DE EL BAGRE."/>
        <s v="MEJORAMIENTO DE VÍAS TERCIARIAS MEDIANTE EL USO DE PLACAS HUELLAS EN EL MUNICIPIO DE SAN PEDRO DE LOS MILAGROS"/>
        <s v="PAVIMENTACIÓN DE VÍAS RURALES EN EL MUNCIPIO DE MARINILLA ANTIOQUIA - PLACAHUELLA "/>
        <s v="Construcción Parque Corregimiento Cestillal Municipio de Cañasgordas."/>
        <s v="“CONSTRUCCIÓN DE PAVIMENTO RÍGIDO PARA MEJORAMIENTO DE LA VÍA HACIA LA VEREDA CORRENTOSO DESDE LA PARTIDA DE LONDRES NECHÍ ANTIOQUIA”"/>
        <s v="pavimentacion 2km vias urbanas municipio santa fe de antioquia"/>
        <s v="CONSTRUCCION Y MEJORAMIENTO DE VIAS TERCIARIA (Chalarca-Cuatro Esquinas-Siete Quebradas-Via La Cabaña-Las Teresas-san Francisco-Guarango)"/>
        <s v="MEJORAMIENTO DE LA ACCESIBILIDAD A LAS COMUNIDADES RURALES MEDIANTE LA CONSTRUCCIÓN DE PLACA HUELLA EN EL MUNICIPIO DE DONMATÍAS - ANTIOQUIA (COLON)"/>
        <s v="MEJORAMIENTO DE LA RED VIAL DEL CASCO URBANO MEDIANTE LA CONSTRUCCIÓN DE 1.0 Km DE VIAS PEATONALES EN CONCRETO REFORZADO EN EL MUNICIPIO DE VIGIA DEL FUERTE EN EL DEPARTAMENTO DE ANTIOQUIA"/>
        <s v="CONSTRUCCIÓN DE 2.4 KM DE PLACA HUELLA EN LA VÍA VEREDA LA EMBOSCADA Y VEREDA LA REVERZA EN EL MUNICIPIO DE CACERES ANTIOQUIA"/>
        <s v="CONSTRUCCION DE PAVIMENTO EN CONCRETO RIGIDO EN LA ZONA URBANA DEL MUNICIPIO DE ARBOLETES ANTIOQUIA."/>
        <s v="ESTUDIOS Y DISEÑOS PARA LA CONSTRUCCION DE 1.7 KILOMETROS DE PLACA HUELLA EN LA VEREDA MORAVIA ZONA RURAL DEL MUNICIPIO DE BRICEÑO-ANTIOQUIA"/>
        <s v="Mejoramiento y recuperación de las condiciones de movilidad entre el municipio de Girardota valle de aburra y la &quot;YE&quot; que comunica con guarne oriente antioqueño y con el municipio de san Vicente de Ferrer."/>
        <s v="CONSTRUCCION DE PLACA HUELLA EN LAS VIA DE ACCESO AL CORREGIMIENTO DE NARANJITAS MUNICIPIO DE ARBOLETES ANTIOQUIA 1500"/>
        <s v="CONSTRUCCIÓN DE 5 KM DE PLACA HUELLA EN LA VÍA ZARAGOZA-EL BAGRE EN EL MARCO DE IMPLEMENTACIÓN DEL ACUERDO FINAL PARA LA PAZ ZONA RURAL DEL MUNICIPIO DE ZARAGOZA - ANTIOQUIA."/>
        <s v="Rehabilitación y mejoramiento de vías urbanas en pavimento rígido con reposisión de redes de acueducto y alcantarillado en el municipio de Yarumal - Antioquia. "/>
        <s v="SEGUNDA FASE DEL BULEVAR 27A "/>
        <s v="Construcción de un espacio multiproposito - parque principal - en el corregimiento Puerto Lopez del Municipio del Bagre"/>
        <s v="CONSTRUCCION PARQUE DE SANTA ANA -MUNICIPIO DE TAMESIS -ANTIOQUIA"/>
        <s v=" MEJORAMIENTO DE VÍA (VEREDA SAN ISIDRO - VEREDA BOQUERÓN) EN EL MUNICIPIO DE SAN FRANCISCO ANTIOQUIA."/>
        <s v="CONSTRUCCIÓN DE PLACA HUELLA EN LAS ZONAS RURALES DE PUERTO RAUDAL Y RAUDAL VIEJO PARA MEJORAR LA MOVILIDAD EN LAS VEREDAS DEL MUNICIPIO DE VALDIVIA ANTIOQUIA"/>
        <s v="CONSTRUCCIÓN DE PLACA HUELLA EN LA VIA TERCIARIA EN EL MUNICIPIO DE EL CARMEN VIBORAL - ANTIOQUIA (CORREGIMIENTO LA CHAPA) 1KM"/>
        <s v="Construcción de pavimento rígido y optimización de redes de acueducto y alcantarillado en los barrios: La Magdalena El Carmen y Costa de Oro en el municipio de Cáceres departamento de Antioquia."/>
        <s v="Mejoramiento de vías terciarias y construcción de obras para la reducción del riesgo en zona rural del municipio de Liborina."/>
        <s v="MEJORAMIENTO DE LA MALLA VIAL EN EL TRAMO ECOPARQUE REGIONAL MARIO ARAMBURO RESTREPO CORREGIMIENTO DE SAN JOS"/>
        <s v="CONSTRUCCIÓN DE PAVIMENTO RÍGIDO Y URBANISMO PARA MEJORAR LA MOVILIDAD EN EL MUNICIPIO DE CAREPA ANTIOQUIA"/>
        <s v="CONSTRUCCIÓN DE PAVIMENTO RÍGIDO DE VÍAS URBANAS DISPERSAS EN EL MUNICIPIO DE URRAO ANTIOQUIA"/>
        <s v="CONSTRUCCIÓN DE PLACA HUELLA EN LA VÍA QUE CONDUCE DESDE LA VEREDA CAMPO ALEGRE A LA VEREDA SANTA ROSITA ZONA RURAL DEL MUNICIPIO DE CAUCASIA&quot;"/>
        <s v="&quot;ESTUDIOS Y DISEÑOS PARA ELMEJORAMIENTO Y REHABILITACIÓN DE LA VÍA YOLOMBAL CIRCUNVALAR GUARNEPARA LA UNIÓN DEL VALLE DE ABURRÁ Y EL VALLE DE SAN NICOLÁSI"/>
        <s v="&quot;CONSTRUCCIÓN DE PAVIMENTO DELA VÍA DE ACCESO AL HOSPITAL DON BOSCO DEL CORREGIMIENTO DECURRULAO DEL DISTRITO DE TURBO ANTIOQUIA”"/>
        <s v="PAVIMENTACIÓN VÍA DE ACCESO DEL CORREGIMIENTO ALFONSO LOPEZ MUNICIPIO DE CIUDAD BOLIVAR - ANTIOQUIA"/>
        <s v="REHABILITACION DE VIA HOLANDA PARTE ALTA Y HOLANDA PARTE BAJA DEL MUNICIPIO DE GIRARDOTA"/>
        <s v="REHABILITACIÓN CON PAVIMENTO TIPO PLACA HUELLA DE LA VÍA TERCIARIA MANZANILLO EN EL MUNICIPIO DE CIUDAD BOLÍVAR ANTIOQUIA 1KM"/>
        <s v="Construccin de pavimento rgido de la Calle 19 entre la Carrera 19 y la Calle 20; de la Calle 20 entre la Calle 19 y la Carrera 21; de la Carrera 24 desde la Calle 20 y de la Carrera 22 desde la Calle 23 del municipio de Cocorn"/>
        <s v="NTERVENCIN EN LAS VAS URBANAS EN EL MUNICIPIO DE MONTEBELLO - 2024"/>
        <s v="MEJORAMIENTO DE VA TERCIARIA EN EL VEREDA CALLE LARGA DEL MUNICIPIO  "/>
        <s v="CONSTRUCCIÓN DE OBRAS DE MEJORAMIENTO URBANO DEL PARQUE MIRADOR PERLA DEL RÍO NECHÍ EN EL MUNICIPIO DE ZARAGOZA ANTIOQUIA"/>
        <s v="MEJORAMIENTO DE LA VÍA TERCIARIA DEL SECTOR VILLETA DELMUNICIPIO DE ARGELIA ANTIOQUIA"/>
        <s v="CONSTRUCCIÓN DE PAVIMENTO EN PLACA HUELLA PARA LA VÍA A LA VEREDA: 1. LA MESETA ($ 2.385.209.672) 2. SANTA ANA ($ 1.121.164.516) 3. EL CARMELO ($ 1.700.051.625)"/>
        <s v="PAVIMENTACION Y URBANISMO EN CONCRETO RIGIDO ZONA URBANA DEL MUNICIPIO DE SAN CARLOS DEPARTAMENTO DE ANTIOQUIA"/>
        <s v="MEJORAMIENTO    DE    LA    VÍA    DEPARTAMENTAL    SONSÓN AGUADAS MUNICIPIO DE SONSÓN ANTIOQUIA."/>
        <s v="Construcción de placa huellas en zonas rurales."/>
        <s v="MEJORAMIENTO DE VÍAS URBANAS EN EL BARRIO CONQUISTADORES DEL MUNICIPIO DE EL PEÑOL "/>
        <s v="SOLICITUD DE ESTUDIOS Y EJECUCIÓN DE PROYECTO PLACA HUELLA RURAL VEREDA ALTAMIRA ZONA ALTA 250 m"/>
        <s v="Pavimentacin de 1950 km de la via Iborra en la zona rural del municipio de Donmatas del Departamento de Antioqui"/>
        <s v="CONSTRUCCIÓN DE PLACA HUELLA EN VIAS TERCIARIAS DEL MUNICIPIO DE EL SANTUARIO-ANTIOQUIA 1km"/>
        <s v="CONSTRUCCIÓN DE PAVIMENTO RIGIDO EN VIAS DEL BARRIO BUENOS AIRES ZONA URBANA DEL MUNICIPIO DE CAUCASIA ANTIOQUIA"/>
        <s v="Proyecto intercambio vial de la calle 77 sur entre la carrera 45 y carrera 46 y sus lazos de conexión."/>
        <s v="PAVIMENTACIN DE VÍS uRBANAS EN EL MUNICIPIO DE PUERTO TRIUNFO - ANTIOQUIA"/>
        <s v="MEJORAMIENTO Y REPOSICIN DE PAVIMENTO RGIDO EN VIAS URBANAS DE LA CABECERA MUNICIPAL Y LOS CORREGIMIENTOS DE SAN JOSE DEL NUS Y PROVIDENCIA DEL MUNICIPIO DE SAN ROQUE DEPARTAMENTO DE ANTIOQUIA"/>
        <s v="ESTUDIOS Y DISENOS PARA LA TERCERA ETAPA DE LA VIA INTERMEDIA"/>
        <s v="PAVIMENTACION VÍA FATIMA EN EL MUNICIPIO DE DONMATIAS"/>
        <s v="PAVIMENTACION VÍA FRONTINO NUTIBARA MUNICIPIO DE FRONTINO"/>
        <s v="CONSTRUCCIÓN DE PUENTES PEATONALES EN CONCRETO EN LA CABECERA MUNICIPAL DE MURINDÓ - ANTIOQUIA"/>
        <s v="PAVIMENTACIÓN Y ADECUACIÓN DE VÍA EN EL BARRIO EL SOCORRO Y LA COPA EN LA ZONA URBANA DEL MUNICIPIO DE URAMITA ANTIOQUIA"/>
        <s v="Construcción parque recreativo obrero en la zona urbana de la cabecera municipal "/>
        <s v="Cicloruta municipio de marinilla"/>
        <s v="Construcción de placa huella en las vias terciearias del municipio de Liborina 2KM"/>
        <s v="SOLICITUD DE APOYO PARA LA COFINANCIACION EN LA EJECUCION DEL PROYECTO PAVIMENTACION EN CONCRETO RIGIDO -TIPO PLACA HUELLA- EN LA ZONA URBANA CORREGIMIENTO CEDRO Y PUEBLITO DEL MUNICIPIO DE YARUMAL"/>
        <s v="PARQUE LINEAL - BOSQUES URBANOS DEL MUNICIPIO DE EL RETIRO"/>
        <s v="PROYECTO DE PAVIMENTACIÓN DE LA VÍA SAN LUIS - CHOCÓ"/>
        <s v="Construccion de pavimento flexible en la vía que conduce al corregimiento Llanadas del Municipio de Olaya."/>
        <s v="Mejoramiento y Construcción de obras complementarias dobdre la vía PR14+500 Codigo 6201 - Vereda La Pola - Puerto Escondido - Puerto Cesar - La Playita del municipio de Turbo Antioquia. "/>
        <s v="MEJORAMIENTO DE LA VÍA TERCIARIA EN PLACA HUELLA DEL SECTOR LA ESPERANZA DEL MUNICIPIO DE ABEJORRAL – ANTIOQUIA. 2KM"/>
        <s v="ESPACIO PÚBLICO PARA LA CARRERA 47: VIAS ANDENES Y CICLORRUTA"/>
        <s v="CONSTRUCCION Y ADECUACION DE LA VIA RURAL DELA VEREDA PIEDRAHITA EN EL MUNICIPIO DE DONMATIAS DEL DEPARTAMENTO DE ANTIOQUIA"/>
        <s v="PAVIMENTACION DE 1 KILOMETRO DE VIA URBANA"/>
        <s v="MEJORAMIENTO VIA BUENOS AIRES MUNICIPIO DE LA PINTADA"/>
        <s v="MEJORAMIENTO DE CALLE CEMENTERIO EN EL CORREGIMIENTO DE PUERTO VALDIVIA MUNICIPIO DE VALDIVIA ANTIOQUIA"/>
        <s v="MEJORAMIENTO DE LA VIA CAMPAMENTO-VEREDA EL LIMON MEDIANTE LA EJECUCION DE PLACA HUELLA 3 KM"/>
        <s v="Proyecto de pavimentaciónde víasurbanas en el municipio de Vegachí para su cofinanciacióncon la Gobernación de Antioquia2025"/>
        <s v="Construcción de placa huella de la vía terciaría el respaldo"/>
        <s v="PAVIMENTACIÓN MEDIANTE EL SISTEMA CONSTRUCTIVO DE PLACA HUELLA DE LA VIA BETANIA  PEDRAL ARRIBA SECTOR SAN LUIS EN ZONA RURAL DEL MUNICIPIO DE BETANIA  ANTIOQUIA. 1,015 KM"/>
        <s v="CONSTRUCCION DE PAVIMENTO EN PLACA HUELLA VEREDA LA CUCARACHA CORREGIMIENTO DE CURRULAO DEL DISTRITO DE TURBO ANTIOQUIA"/>
        <s v="PROYECTO DE UN TERCER KILOMETRO DE PLACA HUELLA, 1 Km placa huella  Repartido en 8 vías terciarías"/>
        <s v="PROYECTO MEJORAMIENTO VIAL MEDIANTE LA CONSTRUCCION DE PLACA HUELLA EN ZONA RURAL DEL MUNICIPIO DE SAN JERONIMO. 1km"/>
        <s v="CONSTRUCCIÓN DEL PUENTE VEHÍCULAR LLANADAS EN LA VIA TERCIARIA &quot;BRICEÑOLAS BRISAS DEL MUNICIPIO DE BRICEÑO ANTIOQUIA"/>
        <s v="PRESENTACION PROYECTO PAVIMENTACION VIAS URBANAS (440M) DEL MUNICIPIO DE SAN JERONIMO"/>
        <s v="PROYECTO CONSTRUCCION DE OBRAS MITIGACION Y OBRAS TRANSVERSALES EN LA VIA QUE CONDUCE AL CORREGIMIENTO EL LLANO Y OCHALI DEL MUNICIPIO DE YARUMAL"/>
        <s v="PLACA HUELLA 100 MTS VEREDA VAHITOS"/>
        <s v="PLACA HUELLA 100 MTS VEREDA EL TABOR"/>
        <s v="PLACA HUELLA 100 MTS VEREDA TAFETANES"/>
        <s v="MEJORAMIENTO VEREDA CRISTALINA CRUCES"/>
        <s v="INTERVENCIÓN PUNTO CRÍTICO CAMILO C - EL CINCO - FREDONIA SECTOR MI CASITA"/>
        <s v="CONSTRUCCIÓN DE PLACA HUELLA ENTRE LA VIA LA QUIEBRA - SANTA ANA"/>
        <s v="CONSTRUCCION DEL PUENTE VEHICULAR EL RETN SOBRE EL RIO PEDRAL ZONA RURAL DEL MUNICIPIO DE BETANIA - ANTIOQUIA"/>
        <s v="Mejoramiento de Vías Rurales del Municipio de San Francisco Mediante la aplicación de_x000a_Estabilizantes en la capa de rodadura._x000d_"/>
        <s v="MEJORAMIENTO DE LA RED VIAL DEL CASCO URBANO MEDIANTE  LA CONSTRUCCION DE 2.5 Km DE VIAS PEATONALES EN CONCRETO REFORZADO EN EL MUNICIPIO DE MURINDÓ EN EL DEPARTAMENTO DE ANTIOQUIA"/>
        <s v="MEJORAMIENTO DE VÍAS TERCIARIAS MEDIANTE LA CONSTRUCCIÓN DE PLACA HUELLA EN LOS MUNICIPIOS DE MACEO VEREDA SAN IGNACIO Y YOLOMBÓ VEREDA LOS ANDES DEL DEPARTAMENTO DE ANTIOQUIA 5KM"/>
        <s v="CONSTRUCCIÓN DE PLACA HUELLA DE LA VÍA TERCIARIA LA ALACENA – EL HACHA EN EL MUNICIPIO DE TÁMESIS DEL DEPARTAMENTO DE ANTIOQUIA"/>
        <s v="CONSTRUCCIÓN DE PLACA HUELLA DE LA VÍA TERCIARIA EL ENCANTO EN EL MUNICIPIO DE TÁMESIS DEL DEPARTAMENTO DE ANTIOQUIA"/>
        <s v="MEJORAMIENTO DE VIAS RURALES EN SISTEMA CONSTRUCTIVO PLACA HUELLA PARA LA VEREDA MORRON DEL MUNICIPIO DE CONCORDIA  ANTIOQUIA."/>
        <s v="Construcción de placa huellas en las vías terciarias del municipio de Jardín Antioquia"/>
        <s v="MEJORAMIENTO DE VÍAS RURALES: PLACA HUELLAS EN EL MUNICIPIO DE EL RETIRO ANTIOQUIA"/>
        <s v="MEJORAMIENTO RED VIAL TERCIARIA EN LAS VEREDA LA MANGA NOQUE LA GARCIA ANOCOZCA EL CHOCHAL ROMERAL SAN JUAN LOS PINOS EN ZONA RURAL DEL MUNICIPIO DE CAICEDO -ANTIOQUIA - TRAMO VIAL VEREDA LA MANGA ABSCISA 2+400 - 5+000"/>
        <s v="ESTUDIOS Y DISEÑOS PARA LA PAVIMENTACION DE VIA EN PLACA HUELLA EN LA VEREDA TONUSCO EN LA ZONA RURAL DEL  MUNICIPIO DE SANTA FE DE ANTIOQUIA 5km"/>
        <s v="ESTUDIOS Y DISEÑOS PARA LA PAVIMENTACION DE VIA EN PLACA HUELLA EN LA VEREDA EL TUNAL EN LA ZONA RURAL DEL MUNICIPIO DE SANTA FE DE ANTIOQUIA&quot; 5km"/>
        <s v="ESTUDIOS Y DISEÑOS PARA LA CONSTRUCCIÓN DE 2.6 KILÓMETROS DE PLACA HUELLAS EN LAS VIAS TERCIARIAS Y/O RURALES DEL MUNICIPIO DE PEQUE ANTIOQUIA."/>
        <s v="MEJORAMIENTO DE LAS VÍAS RURALES EN LOS MUNICIPIOS DE BELMIRA Y SAN JOSE DE LA MONTAÑA ANTIOQUIA"/>
        <s v="CONSTRUCCIÓN DE PLACA HUELLA EN LA ZONA RURAL DEL MUNICIPIO DE BELMIRA ANTIOQUIA (VEREDA EL ZANCUDITO)"/>
        <s v="CONSTRUCCIÓN DE PLACA HUELLA EN LA ZONA RURAL DEL MUNICIPIO DE BELMIRA ANTIOQUIA"/>
        <s v="Construcción nuevo relleno sanitario del municipio de Puerto Nare"/>
        <s v="CONSTRUCCIÓN DE 1.200m DE PLACA HUELLA DE LA VÍA TERCIARIA PARAJE LOS ALPES - VEREDA LA MESETA EN EL MUNICIPIO DE TITIRIBÍ DEL DEPARTAMENTO DE ANTIOQUIA"/>
        <s v="ESTUDIOS Y DISEÑOS PARA 6 KILOMETROS DE VIAS TERCIARIAS EN DIFERENTES SECTORES DEL MUNICIPIO DE SAN FRANCISCO"/>
        <s v="ESTUDIOS Y DISEÑOS PARA EL MEJORAMIENTO DE VÍA (SAN FRANCISCO – GUACALES) EN EL MUNICIPIO DE SAN FRANCISCO ANTIOQUIA"/>
        <s v="CONSTRUCCIÓN DE PLACA HUELLA DE LA VÍA YOLOMBÓ-CORREGIMIENTO EL RUBÍ EN EL MUNICIPIO DE YOLOMBÓ-ANTIOQUIA"/>
        <s v="CONSTRUCCIÓN DE PLACA HUELLA PARA MEJORAMIENTO DE LA VIA ENTRE EL CEMENTERIO - LA I.E. LAS FLORES Y ENTRE EL CORREGIMIENTO LAS FLORES Y EL SECTOR LAS PISCINAS NECHÍ – ANTIOQUIA"/>
        <s v="CONSTRUCCIÓN DE PLACA HUELLA PARA MEJORAMIENTO DE LA VIA ENTRE LA VEREDA EL ONCE Y EL SECTOR LAS PISCINAS NECHÍ- ANTIOQUIA"/>
        <s v="MEJORAMIENTO DE LA ACCESIBILIDAD A LAS COMUNIDAD EL BARRO MEDIANTE LA CONSTRUCCIÓN DE PLACA HUELLA EN EL MUNICIPIO DE ANGELOPOLIS"/>
        <s v="CONSTRUCCIÓN DE PLACA HUELLA CAMINOS DEL PROGRESO PARA CREER. MONTEBELLO ANTIOQUIA"/>
        <s v="CONSTRUCCIÓN DE PLACA HUELLA EN LA VÍA TERCIARIA  SIENAGA-MANGLAR DEL MUNICIPIO DE GIRALDO"/>
        <s v="Malabrigo (2) -Mani del Cardal (6)-Pueblitos de los Sanchez-La Delgadita"/>
        <s v="Placa huella Las Nieves-Las Casitas"/>
        <s v="Potrerito (4 tramos)"/>
        <s v="El Chico -Golgota El Diamante -Golgota La Luz -Guadual -Los Cuervos"/>
        <s v="San Francisco: Pailania – La Maravilla.Argelia: La Mina - San Antonio. Guatapé: La Aurora Sonadora-Tramo 1 .Guatapé: Ramal Alto Aranzo-Tramo 2 .San Francisco: Pailania – La Maravilla."/>
        <s v="REGALIAS REGIONALES Caracolí: Vía El Bagre .Cisneros: Cisneros - Campo Alegra - La Delgadita - Brasil .Puerto Nare: Vía La Clara .Yondó: Anillo vial Las Lomas - La Raya - El Paraiso"/>
        <s v="Guacas Arriba La Jota La Mora Barcino San Matías Guacas Abajo"/>
        <s v="CONSTRUCCION DE PAVIMENTO EN PLACA HUELLA VEREDA GALLETA CORREGIMIENTO DE CURRULAO Y VEREDA LOS ALPES DEL CORREGIMIENTO EL TRES DEL DISTRITO DE TURBO ANTIOQUIA "/>
        <s v="Puente Gavino Conexión vial nueva Puente nuevo. Ubicado sobre el rio Porce por fuera de la vía actual. L= 1300m S= 110m"/>
        <s v="Puente Mi Casita (Fredonia) - Venecia L= 2240m S= 940m"/>
        <s v="Puente La Fabiana - El Líbano - Támesis L= 6935m S= 82m"/>
        <s v="Puente urbano Cisneros L=65m"/>
        <s v="Puente via El Volcan L=40m"/>
        <s v="Puente vehicular sonadora municpioo de Granada. L=135m"/>
        <s v="Puente Las Margaritas L=30m"/>
        <s v="Puente Sopetran-el Sabanzo L=62m"/>
        <s v="Puente Montenegro (La Fabiana)- Valparaiso L=60 S=810"/>
        <s v="Puente Salgar - La Cámara La Quiebra L= 300m S= 730m"/>
        <s v="Puente trinidad  L=25 m"/>
        <s v="Puente Santa Fe de Antioquia - Puente de Occidente - La Ye (Sopetrán) L=200 S vehicular= 30 m Pasarelas: 2 de 10m c/u"/>
        <s v="Puente Valparaíso - Caramanta - Puente ArquíaKm 9+600 L= 200m S= 730m"/>
        <s v="Puente El Peñol - Guatapé - San Rafael Km 12+705"/>
        <s v="Puente Autopista - San Luis Km 1+328"/>
        <s v="Puente Barbosa - Concepción Km 11+786"/>
        <s v="Puente Barbosa - Concepción Km 12+178"/>
        <s v="Puente Cocorná Ramal Granada Km 3+288 (San Bartolo - Cocorna)"/>
        <s v="Puente Cocorná Ramal Granada Km 7+178 (La Trinidad - Cocorna)"/>
        <s v="Puente Carepa - Saiza Km 24+200 L= 80m S= 60m"/>
        <s v="Puente Carepa - Saiza Km 16+728 L= 600m S= 50"/>
        <s v="Puente Carepa - Saiza Km 2+600 L= 200m S= 730m"/>
        <s v="Puente San José del Nus - Caracolí"/>
        <s v="Puente Santiago Berrío - Mulas - Cruces Km 20+000 L= 600m S= 810m"/>
        <s v="Puente San Jerónimo - Poleal - San Pedro de Los Milagros Km 16+200"/>
        <s v="Puente San Fermín (Ruta 25) - Briceño Km 9+400 L= 260m S= 810m"/>
        <s v="Puente San José del Nus - Caracolí Km 17+00 L= 600m S= 810m"/>
        <s v="Puente Santiago Berrío - Mulas - Cruces Km 9+600 L= 3930m S= 810m"/>
        <s v="Puente Pajarito - San Pedro de Los Milagros - Entrerríos - Santa Rosa de Osos Km 9+912 L= 130m S= 110m"/>
        <s v="Puente Buenos Aires (Ruta 62) - Abriaquí Km 28+900 L= 250m S= 770m"/>
        <s v="Puente El Tres - San Pedro de Urabá Km 25+000 L= 6090m S= 810m"/>
        <s v="Puente Montebello - El Aguacate - El Cairo Km 20+900 L= 4222m S= 670m"/>
        <s v="Puente La Sierra (Corregimiento de Puerto Nare)- Puerto Serviez (Corregimiento de Puerto Boyacá).  N/A L= sin información S= sin información."/>
        <s v="Puente Primavera- Amagá- Bolombolo Km 61+000 L= sin información S= sin información."/>
        <s v="&quot;CONSTRUCCION DE PUENTE VEHICULAR EN LA VEREDA EL PIRU DEL MUNICIPIO DE SAN PEDRO DE URABA ANTIOQUIA&quot;"/>
        <s v="&quot;MEJORAMIENTO DE VIAS TERCIARIAS MEDIANTE LA CONSTRUCCION DE PLACA HUELLA EN EL SECTOR LAS TERESAS DEL MUNICIPIO DE LA UNION&quot;"/>
        <s v="SOLICITUD CONSTRUCCIÓNDE MANHOL EN LA VIA SECTOR LA Y LA ZONA URBANA DEL MUNICIPIODE BETULIA"/>
        <s v="Atencion a puntos prioritarios Campamento - Rio Nechí - Ye de Anorí"/>
        <s v="Atencion a puntos prioritarios Anorí - Ye de Anorí - El Mango"/>
        <s v="Atencion a puntos prioritarios La Cortada - El Mango"/>
        <s v="Atencion a puntos prioritarios Porcesito - Puente Gavino - La Cortada - Yolombó - Yalí - Playas - Vegachí"/>
        <s v="Atencion a puntos prioritarios El Mango - Amalfí"/>
        <s v="Atencion a puntos prioritarios Caramanta - Cristales - San Roque"/>
        <s v="Atencion a puntos prioritarios La Ese - Angostura - La Ye (Partidas a Angostura) - La Herradura"/>
        <s v="Atencion a puntos prioritarios Llanos de Cuivá (Ruta 25) - Partidas a San José de la Montaña - San José de La Montaña"/>
        <s v="Atencion a puntos prioritarios Partidas a San José de la Montaña - San Andrés de Cuerquia - Matanzas -Pescadero - Ituango"/>
        <s v="Atencion a puntos prioritarios Yarumal - La Ese - Campamento"/>
        <s v="Atencion a puntos prioritarios San Fermín (Ruta 25) - Briceño"/>
        <s v="Atencion a puntos prioritarios Paso por Valdivia"/>
        <s v="Atencion a puntos prioritarios La Apartada (San José de La Montaña) - Partidas (San José de la Montaña) - Toledo - Matanzas (No incluye tramo urbano de Toledo)"/>
        <s v="Atencion a puntos prioritarios Puente Gabino - Gómez Plata - El Guayabo - Carolina del Príncipe - La Herradura - Partidas a Guadalupe - Guadalupe."/>
        <s v="Atencion a puntos prioritarios Cáceres - El Tigre - Alto Tamaná - La Chilona (Bajo Cauca)"/>
        <s v="Atencion a puntos prioritarios Campo Alegre (Ruta 25 - Caucasia) - Colorado - Nechí"/>
        <s v="Atencion a puntos prioritarios El Tres - San Pedro de Urabá"/>
        <s v="Atencion a puntos prioritarios Carepa-Saiza"/>
        <s v="Atencion a puntos prioritarios Mellitos - El Tambito"/>
        <s v="Atencion a puntos prioritarios Arboletes - El Tambito"/>
        <s v="Solicitud de financiación del Proyecto Integrador “Construcción de puentes vehiculares en la vía Cantagallo (Bolívar) –Yondó (Antioquia) parala interconexión vial Regional del Sur de Bolívar con Antioquia Santander y el interior del País"/>
        <s v="Atencion a puntos prioritarios San José del Nus – Caracolí . Vía en asfalto."/>
        <s v="Atencion a puntos prioritarios Alto Dolores – Maceo.  Vía pavimentada."/>
        <s v="Atencion a puntos prioritarios Marsellas – Virginias – Caracolí Vía en afirmado."/>
        <s v="Atencion a puntos prioritarios La Usa (Río Cauca) - Caicedo"/>
        <s v="Atencion a puntos prioritarios Alto del chuscal - Armenia - La Herradura - Titiribí "/>
        <s v="Atencion a puntos prioritarios Chorodó (Ruta 62) - Frontino"/>
        <s v="Atencion a puntos prioritarios Frontino - La Herradura - La Balsa"/>
        <s v="Atencion a puntos prioritarios Frontino - Abriaquí"/>
        <s v="Atencion a puntos prioritarios Pinguro - Buriticá"/>
        <s v="Atencion a puntos prioritarios Puente de Occidente - Olaya -Liborina"/>
        <s v="Atencion a puntos prioritarios Liborina - Sabanalarga"/>
        <s v="Atencion a puntos prioritarios La Miserenga (Cruce Ruta 62) - Ebéjico - Sevilla - Heliconia - Alto del Chuscal "/>
        <s v="Atencion a puntos prioritarios Alto del Chuscal - San Antonio de Prado"/>
        <s v="Atencion a puntos prioritarios Rubicón - Cestillal"/>
        <s v="Atencion a puntos prioritarios Dabeiba - Camparrusia"/>
        <s v="Atencion a puntos prioritarios Paso Ancho - Nutibara - Murrí"/>
        <s v="Atencion a puntos prioritarios El Puerto (Cruce Ruta 6204) - La Miserenga (Cruce Ruta 6204A)"/>
        <s v="Atencion a puntos prioritarios El Botón - Paso Ancho - Frontino"/>
        <s v="Atencion a puntos prioritarios Liborina - San Diego - El Cardal - Partidas (San Jose De la Montaña)"/>
        <s v="Atencion a puntos prioritarios Sopetrán - Horizontes - Belmira"/>
        <s v="Atencion a puntos prioritarios LA CEJA - VARIANTE COLMENAS -ABEJORRAL Vía en Pavimento Asfáltico"/>
        <s v="Atencion a puntos prioritarios LA FRONTERA (RUTA 56)-MESOPOTAMIA-ABJEORRAL"/>
        <s v="Atencion a puntos prioritarios MORELIA (RUTA 56)-ABEJORRAL"/>
        <s v="Atencion a puntos prioritarios SONSON-LA QUIEBRA-NARIÑO"/>
        <s v="Atencion a puntos prioritarios LA QUIEBRA-ARGELIA"/>
        <s v="Atencion a puntos prioritarios SANTO DOMINGO SAVIO-PIEDRAS BLANCAS-GUARNE (CRUCE RUTA 60)"/>
        <s v="Atencion a puntos prioritarios GUARNE-YOLOMBAL-SAN VICENTE"/>
        <s v="Atencion a puntos prioritarios CRUCERO (CRUCE RUTA 60)-SAN VICENTE"/>
        <s v="Atencion a puntos prioritarios SAN VICENTE-EL PEÑOL"/>
        <s v="Atencion a puntos prioritarios MARINILLA-EL SANTUARIO-CARMEN DE VIBORAL-CANADA (No incluye tramos urbanos de Santuario y Carmen de Viboral)"/>
        <s v="Atencion a puntos prioritarios EL PEÑOL-GUATAPE-EL BISCOCHO-SAN RAFAEL (No incluye tramo urbano de Guatape)"/>
        <s v="Atencion a puntos prioritarios LA AURORA-SONADORA-GUATAPE"/>
        <s v="Atencion a puntos prioritarios SAN RAFAEL-LA PALMA-LA HOLANDA-SAN CARLOS"/>
        <s v="Atencion a puntos prioritarios AUTOPISTA-EL RAMAL-GRANADA"/>
        <s v="Atencion a puntos prioritarios GRANADA-EL CHOCO-SAN CARLOS"/>
        <s v="Atencion a puntos prioritarios AUTOPISTA-COCORNA"/>
        <s v="Atencion a puntos prioritarios COCORNA-EL RAMAL (GRANADA)"/>
        <s v="Atencion a puntos prioritarios LA PIÑUELA-SAN FRANCISCO"/>
        <s v="Atencion a puntos prioritarios AUTOPISTA-SAN LUIS"/>
        <s v="Atencion a puntos prioritarios BARBOSA-CONCEPCION"/>
        <s v="Atencion a puntos prioritarios CONCEPCION-ALEJANDRIA"/>
        <s v="Atencion a puntos prioritarios CONCEPCION-SAN VICENTE"/>
        <s v="Atencion a puntos prioritarios SAN ROQUE-SAN LORENZO-LA PALMA"/>
        <s v="Atencion a puntos prioritarios SANTO DOMINGO TERMALES-ALEJANDRIA"/>
        <s v="Atencion a puntos prioritarios ALEJANDRIA-EL BISCOCHO (SAN RAFAEL)"/>
        <s v="Atencion a puntos prioritarios PUENTE LINDA-PUERTO VENUS"/>
        <s v="Atencion a puntos prioritarios AUTOPISTA-AQUITANIA"/>
        <s v="Atencion a puntos prioritarios Albania - Titiribí"/>
        <s v="Atencion a puntos prioritarios Altamira - Betulia"/>
        <s v="Atencion a puntos prioritarios Concordia - El Socorro - Betulia"/>
        <s v="Atencion a puntos prioritarios El Barroso - El Chaquiro - El Salgar"/>
        <s v="Atencion a puntos prioritarios Pueblorrico - San José - Ye a la Bodega - La Bodega (Andes)"/>
        <s v="Atencion a puntos prioritarios Versalles - Montebello"/>
        <s v="Atencion a puntos prioritarios Camilocé - El Cinco - Fredonia"/>
        <s v="Atencion a puntos prioritarios Mi Casita (Fredonia) - Venecia"/>
        <s v="Atencion a puntos prioritarios Pueblorrico - Jericó"/>
        <s v="Atencion a puntos prioritarios Puerto Boy - Betania"/>
        <s v="Atencion a puntos prioritarios Remolino - Hispania - Puerto Boy - La Bodega - Andes - Jardín - Alto de Ventanas (No incluye tramo urbano de Jardín)"/>
        <s v="Atencion a puntos prioritarios Valparaíso - Támesis"/>
        <s v="Atencion a puntos prioritarios La Tolva - Piedra Verde - Ye a Fredonia"/>
        <s v="Atencion a puntos prioritarios Santa Bárbara (Ruta 25) - Ye a Fredonia - Fredonia"/>
        <s v="Atencion a puntos prioritarios Támesis - Puente Lata"/>
        <s v="Atencion a puntos prioritarios Ye a La Bodega (Andes) - Buenos Aires - Puente Lata - Jericó"/>
        <s v="Atencion a puntos prioritarios Concordia - La Quiebra - Betulia"/>
        <s v="Atencion a puntos prioritarios Betulia - San José - Urrao"/>
        <s v="Atencion a puntos prioritarios Peñalisa (Ruta 25B) - La Bodega - Tarso - Pueblorrico (No incluye tramo urbano de Tarso)"/>
        <s v="Atencion a puntos prioritarios San José - Pabón - La Eme"/>
        <s v="Atencion a puntos prioritarios Caicedo - Urrao"/>
        <s v="Puente via La Loma - Orobugo Arriba longitud 54m"/>
        <s v="Puente via Construcción de puente vehicular sobre el rio Aurra interconexión entre la antigua via al mar y la doble calzada sector  Leticia san jeronimo - Antioquia longitud 30m"/>
        <s v="Puente sobre la quebrada El Paso municipio de San Juan de Urabá longitud 26m"/>
        <s v="Construcción de puente vehicular postensado de 35 metros en la Vereda la alondra del municipio de Yalí. longitud 35m"/>
        <s v="Construcción de puente peatonal de 60 metros en la Vereda La Argentina del municipio de Yalí. longitud 60m"/>
        <s v="Puente Mellitos - El Tambito Km 25+800 puente L=18M H=20M"/>
        <s v="Perdida total de la banca por creciente de quebrada dejando incomunicada parte de la comunidad y del Centro Educativo Rural El Guadual"/>
        <s v="Afectación de puente artesanal construido por la comunidad con tubería de concreto no reforzada que por el alto caudal de la quebrada cuando llueve y el paso de vehículos tipo volqueta generó aplastamiento de dichos tubos."/>
        <s v="Colapso del puente el infante en el año 2013 por incendio lo que causó que los habitantes  de la vereda el brasil parte baja quedara incomunicada y tengan que tomar caminos alternos para el acceso al casco urbano."/>
        <s v="Se requiere puente peatonal sobre el Río Nare en la vereda San Julián del municipio de San Rafael y La vereda Santa Teresa del Municipio de San Roque para comunicar estas dos veredas y así facilitar la comercialización de productos agrícolas de estas dos veredas."/>
        <s v="Puente Paso Ancho-Nutibara-Murri Km 23+700 L=14 m 4 m galibo"/>
        <s v="Puente Paso Ancho-Nutibara-Murri km 27+820 L=16 m 6 m galibo"/>
        <s v="Puente Paso Ancho-Nutibara-Murri km 34+900 L=14 m 4 m galibo"/>
        <s v="CONSTRUCCIÓN  DE GAVIONES PARA PUNTOS CRITICOS DE LA VIA DE LA VEREDA RIO ARRIBA ZONA RURAL  DEL  MUNICIPIO  DE  BELMIRA  ANTIOQUIA"/>
        <s v="Solicitud para la contrucción de placa huella en la vereda Salinas parte alta. "/>
        <s v="Puente peatonal casa blanca en el municipio de Granada Antioquia"/>
        <s v="Puente Quebrada La Clara Longitud 1380 ancho 5.00"/>
        <s v="Puente Quebrada El Chocho Longitud 1350 ancho 6.00"/>
        <s v="Puentes y boxculvert corregimiento Buenos Aires"/>
        <s v="Puente Obras de protección en puentes La Ceniza y La Barrancuda N/A"/>
        <s v="Puente Vereda La Solita rio Taparto Longitud 3300 ancho 5.00 (Puente Nuevo)"/>
        <s v="Puente Quebrada Gaviria Morrón Longitud 1500 ancho 3.00"/>
        <s v="Puente Llanadas Longitud 2100 ancho 6.60"/>
        <s v="Puente Bocas de Chikamoke Longitud 6000 ancho 2.50"/>
        <s v="Puente El Guamito Longitud 1000 ancho 1.70"/>
        <s v="Puente Vegas de Chiquinquirá Longitud 800 ancho 4.00"/>
        <s v="Puente Vereda La Comarca sobre el Rio Mulato Longitud 6000 ancho 2.50"/>
        <s v="Puente Quebrada San Julián Longitud 1600 ancho 5.00"/>
        <s v="Puente tierra  contrucción de muro de concreto y pilas reforzadas"/>
        <s v="Puente San Juancito Arriba Longitud 2000 Ancho:"/>
        <s v="Puente Zona Urbana- Sector Palmichala Longitud:750m  Ancho: 4 m"/>
        <s v="Puente Vereda Isleta Longitud:2400m Ancho: 25m"/>
        <s v="Puente Sector Cachambal-Maracaibo Longitud 1200 Ancho: 4 m"/>
        <s v="Puente Vereda San Antonio Puente Juan Vara Longitud: 2800 m Ancho: 4 m"/>
        <s v="Puente San Antonio-Zaragoza Longitud: 2800 m Ancho: 4 m"/>
        <s v="Puente Sector la Guajira abajo Longitud: 14 m Ancho: 5 m"/>
        <s v="Puente Vereda El Jordan Longitud: 17 m Ancho: 6.6 m (Camaron)"/>
        <s v="Puente Sector Arenales Longitud: 10 m Ancho: 7.45 m"/>
        <s v="Puente Sector Santa Tereza Longitud: 30 m Ancho: 1.2 m"/>
        <s v="Puente Sector Chocholoma Longitud: 25 m Ancho: 5 m"/>
        <s v="Vereda La Arenera Longitud: 100 m Ancho: 2 m"/>
        <s v="Puente Vereda El Uno Longitud: 60 m Ancho: 2 m"/>
        <s v="Puente San Bartolo Longitud: 24 m Ancho: 6.6 m"/>
        <s v="Puente Madre Vieja"/>
        <s v="PAVIMENTACIN 2 KILMETROS DE VAS TERCIARIAS EN DIFERENTES SECTORES DEL MUNICIPIO DE CISNEROS"/>
        <s v="PAVIMENTACIN DE 1.5 KILMETROS DE PAVIMENTO URBANO "/>
        <s v="CONSTRUCCIÓN DE PAVIMENTO EN CONCRETO RÍGIDO EN EL CORREGIMIENTO DE PAJILLAL ZONA RURAL DEL MUNICIPIO DE ARBOLETES ANTIOQUIA"/>
        <s v="Placa huella para las veredas La Miel Fátima La Loma y Corregimiento San José"/>
        <s v="Construcción de 2.4 km de Placa Huella en la Vereda Palmichal y Corregimiento de Sucre"/>
        <s v="Mejoramiento de vias terciarias en las veredas antado y el pital del municipio de Dabeiba"/>
        <s v="Construccion placa huella via Caucasia - Margento"/>
        <s v="Construccion placa huella via El Oriente - El Pando"/>
        <s v="Construccion placa huella via Descanso - Puerto Colombia"/>
        <s v="Construccion pavimento rigido Asovivienda"/>
        <s v="Construccion pavimento rigido Via La Troncal - Corregimeinto de Puerto Antioquia (15 km)"/>
        <s v="Construccion flexible rigido via Colorado - Nechí (via secundaria 86 km)"/>
        <s v="Construccion placa huella via Puerto Lopez"/>
        <s v="MEJORAMIENTO DE 2.5 KILMETROS EN SISTEMA CONSTRUCTIVO DE PLACA HUELLA PARA VIAS TERCIARIAS DEL MUNICIPIO DE HISPANIA - ANTIOQUIA"/>
        <s v="Solicitud de estudios y diseños para la recuperación de la vía  CAMILO C - EL CINCO - FREDONIA sector El Amparo"/>
        <s v="ESTUDIOS Y DISEÑOS PARA 8 KILOMETROS DE VIAS TERCIARIAS EN DIFERENTES SECTORES DEL MUNICIPIO DE SANTO DOMINGO"/>
        <s v="PAVIMENTACIÓN DE VÍAS URBANAS EN EL MUNICIPIO DE HISPANIA – DEPARTAMENTO DE ANTIOQUIA”"/>
        <s v="CONSTRUCCION DE OBRAS DE PROTECCION EN DIFERENTES SECTORES DEL MUNICIPIO DE CAÑASGORDAS EN ANTIOQUIA"/>
        <s v="CONSTRUCCION DE MURO DE CONTENCION PARA LA REDUCCION DE RIESGOS DE DESASTRE EN LA ZONA URBANA DEL MUNICIPIO DE ANZA"/>
        <s v="EJECUCION DE OBRAS DE MITIGACION EN EL RIO NUS Y QUEBRADA SAN GERMAN DEL MUNICIPIO DE CISNEROS"/>
        <s v="CONSTRUCCION MURO DE CONTENCION DEL MUNICIPIO DE ARGELIA"/>
        <s v="Atencion a puntos prioritarios en le municipios de Cañasgordas"/>
        <s v="Mejoramiento de vías terciarias en las veredas La Quiebra Los Medios y La Merced en el municipio de Granada en Fase III"/>
        <s v="Reemplazo puente vehicular vereda El Empuje"/>
        <s v="&quot;Mejoramiento de vias terciarias mediante pavimento flexible en el sector de las veredas de el penol riochico y yerbabuenal del municipio de Entrerrios&quot;"/>
        <s v="Rehabilitacion y mejoramiento de 1.5 km  de pavimento flexible de vía rural que conduce a la vereda El Rodeo del municipio de Sopetran"/>
        <s v="TRANSFORMACIÓN  URBANÍSTICA  DE  LA  CALLE  97  Y  VÍAS ALEDAÑAS PARA LA MOVILIDAD SEGURA DE TODOS Y TODAS EN EL MUNICIPIO DE CHIGORODÓ"/>
        <s v="REPOSICIÓN DE LA MALLA VIAL DE LAS VÍAS TERCIARIAS DEL SECTOR LA MANUELA VEREDA PANTANILLO Y VEREDA PERICO DEL MUNICIPIO DE ENVIGADO"/>
        <s v="Puente Churimbo "/>
        <s v="Presentacion proyecto de construccion muro de contencion carrera La Paz (fisico)"/>
        <s v="Proyecto construccion muro en entrada de municipio"/>
        <s v="Proyecto construccion muro de contencion Santa Ana"/>
        <s v="Variante vial para el municipio de Granada"/>
        <s v="RECUPERACIÓN DE LAS VÍAS VEREDALES RIVERA CASCAJO - LÍMITE EL CARMEN Y MONTAÑITA LOS ALPES - LÍMITE EL SANTUARIO POR MEDIO DE LA CONSTRUCCIÓN DE PLACA HUELLAS EN EL MUNICIPIO DE MARINILLA 4,8 km"/>
        <s v="MEJORAMIENTO DE VIAS TERCIARIAS MEDIANTE EL USO DE PLACA HUELLA EN LA VIA APARTADA DE SAN JUANCITO CEDRO - SANJUANCITO - CEDRO DEL MUNICIPIO DE SAN PEDRO DE URABA ANTIOQUIA 2km"/>
        <s v="PROYECTO DE INTERVENCIÓN INTEGRAL EN LA CALLE DE LA CULTURA Y LA CALLE DE LA ALFARERÍA"/>
        <s v="Construccion de pavimento rigido en la calle 10 entre carreras 10 y 11"/>
        <s v="Construccion de pavimento rigido en la calle 9 entre carrera 9 y 12"/>
        <s v="Pavimentacion calle 13"/>
        <s v="Variante vial para el municipio"/>
        <s v="Construccion de pavimento rigido en la via Zaragoza - El Bagre"/>
        <s v="Solicitud de priorizacion de intervencion en puntos criticos de la via municipal caicedo anza codigo 05125vt11"/>
        <s v="Proyecto punto de atencion prioritaria La Esperanza - municipio de valparaiso -antioquia"/>
        <s v="Solicitud de apoyo de estudios y diseños para la construcción de puentes vehiculares"/>
        <s v="PROYECTO DE ILUMINACIÓN VIA CIRCUNVALAR EN EL MUNICIPIO DE EL CARMEN DE VIBORAL ANTIOQUIA"/>
        <s v="Solicitud concurrencia en cumplimiento de orden judicial"/>
        <s v="Solicitud apoyo atencion PAP (veredas El Carmne y Pantalio)"/>
        <s v="Propuesta remodelación Parque Principal Briceño Antioquia (recursos para estudios y diseños)"/>
        <s v="Solicitud recursos para estudios y diseños via Caicedo Urrao"/>
        <s v="Solicitud intervencion via Caicedo Urrao"/>
        <s v="Solicitud recursos construccion puente sobre quebrada Babilla"/>
        <s v="Presentacion proyecto mejoramiento mantenimiento y rehabilitacion del corredor vial de la circunvalar norte y las vias urbanas mediante la construccion de un puente vehicular urbano en el municipio de La Union"/>
        <s v="Presentacion proyecto construccion BoxCulvert sobre la vereda La Almeria"/>
        <s v="Construccion Puente Cedeño"/>
        <s v="Terminación de la carretera rural en la vereda Alto Bonito el municipio de Dabeiba."/>
        <s v="Propuesta de mejoramiento y estabilización de la vía terciaria que conduce a la vereda Angosturita Claritas del municipio de Gómez Plata"/>
        <s v="PROYECTO DE CONSTRUCCIÓN DEL TRAMO DE PLACAHUELLA EN LA VEREDA LA VEJEZ DEL MUNICIPIO DE ARBOLETES ANTIOQUIA. "/>
        <s v="PROYECTO DE CONSTRUCCIÓN DEL TRAMO DE PLACAHUELLA EN LA VEREDA CAÑA BRAVA DEL MUNICIPIO DE SAN JUAN DE URABÁ"/>
        <s v="PROYECTO DE CONSTRUCCIÓN DEL TRAMO DE PLACAHUELLA EN LA VEREDA MONTEBELLO DEL MUNICIPIO DE SAN JUAN DE URABÁ"/>
        <s v="PROYECTO DE CONSTRUCCIÓN DEL TRAMO DE PLACAHUELLA EN LA VEREDA GUADUAL ABAJO DEL MUNICIPIO DE ARBOLETES ANTIOQUIA"/>
        <s v="PROYECTO DE PLACA HUELLA CON LA JUNTA DE ACCION COMUNAL SUBTERRANEO DE SAN JUAN DE URABA"/>
        <s v="PROYECTO DE PLACA HUELLA CON LA JUNTA DE ACCION COMUNAL CORREGIMIENTO BUENOS AIRES DE ARBOLETES "/>
        <s v="PROYECTO DE PLACA HUELLA CON LA JUNTA DE ACCION COMUNAL MONTEBELLO DE SAN JUAN DE URABA"/>
        <s v="PROYECTO DE TRAMOS DE PLACA HUELLA EN CONVENIO CON LAS JUNTAS DE ACCION COMUNAL DEL MUNICIPIO DE SAN PEDRO DE URABA"/>
        <s v="PROYECTO DE CONSTRUCCIÓN DE PLACAHUELLAS EN LA VIA PLAYAS CARDAL DE LA ZONA RURAL DEL MUNICIPIO DE SAN RAFAEL ANTIOQUIA 1km"/>
        <s v="PROYECTOS DE INVERSION CONSTRUCCION DE PAVIMENTO EN PLACA HUELLA VEREDA LA CUCARACHA CORREGIMIENTO DE CURRULAO DEL DISTRITO DE TURBO ANTIOQUIA"/>
        <s v="CONSTRUCCION DE PLACA HUELLA EN LA VEREDA LA CALDA MUNICIPIO DE BARBOSA ANTIOQUIA "/>
        <s v="CONSTRUCCION DE PLACA HUELLA EN LA VEREDA ALTAMIRA MUNICIPIO DE BARBOSA ANTIOQUIA  "/>
        <s v="CONSTRUCCION DE PLACA HUELLA EN LA VEREDA GRACIANO MUNICIPIO DE BARBOSA ANTIOQUIA  "/>
        <s v="PROYECTOS DE MEJORAMIENTO DE VIAS TERCIARIOS MEDIANTE LA CONSTRUCCIÓN DE PAVIMENTO RÍGIDO EN LAS VEREDAS MONCHOLO A LA VÍA NACIONAL Y LA VÍA QUE COMUNICA LA VEREDA ALMACIGO ALTO CON LA VEREDA PIEDRECITAS A LA VÍA NACIONAL FASE DOS UBICADOS EN EL MUNICIPIO DE NECOCLI ANTIOQUÍA "/>
        <s v="PROYECTOS DE CONSTRUCCIÓN DE PLACAHUELLA O PAVIMENTO RÍGIDO EN EL SECTOR MATABLANCO DEL MUNICIPIO DE ANGOSTURA ANTIOQUÍA 3KM"/>
        <s v="PROYECTO DE PAVIMENTO RIGIDO ITUANGO SECTOR ALTO DEL BURRO"/>
        <s v="PROYECTO DE PAVIMENTACIÓN DE VÍA TERCIARIA SECTOR EL RECREO DEL MUNICIPIO DE NARIÑO ANTIOQUIA "/>
        <s v="PROYECTO CONSTRUCCION OBRA DE MITIGACION PARA LA REHABILITACION DE LA VIA TERCIARIA VEREDA SAN JUAN MUNICIPIO DE CAICEDO"/>
        <s v="Remision de viabilidad tecnica y presupuesto actualizado puente El Vergel"/>
        <s v="Remision de proyecto construccion obras de mitigacion para la rehabilitacion del puente vereda La Garcia"/>
        <s v="Remisión de Proyecto Construcción Obras de Mitigación para la Rehabilitación de la Vía Cascajal"/>
        <s v="Presentación y Solicitud de Recursos para Construcción de Puente sobre la Quebrada El Mello en el Corregimiento de Villavicencio"/>
        <s v="Proyecto de construccion de la placa huella en la vereda La Cabaña"/>
        <s v="Construccion gaviones en la via de la vereda Rio Arriba"/>
        <s v="Puente Pedral Abajo"/>
        <s v="Boxculvert vereda La Linda (5.7182154 -75.9495000) 05091VT16"/>
        <s v="Boxculvert vereda La Ladera (5.7364826 -75.9506357_x000a_) 05091VT16"/>
        <s v="Obras hidraulicas para detener movimiento en masa vereda La Ladera (5.7182154 -75.9495000_x000a_) 05091VT02"/>
        <s v="Muro de contencion vereda La Florida (5.7510758 -75.9943080_x000a_) 05091VT23"/>
        <s v="Puente Sector La Manuela vereda La Julia"/>
        <s v="Muro contencion recuperacion via El Respaldo"/>
        <s v="Construcción obra de mitigación para la rehabilitación de la vía terciaria vereda San Juan"/>
        <s v="Construcción obras de mitigación para la rehabilitación del puente vereda La García"/>
        <s v="Obras mitigacion tramo Caicedo - La Salazar vereda Cascajal"/>
        <s v="Muro de contencion 27 km de via urbana"/>
        <s v="Punto critico muro La Magdalena"/>
        <s v="Puntos criticos muro sector Marial"/>
        <s v="Puntos criticos muro sector Palestina"/>
        <s v="Muro de contencion El Salto"/>
        <s v="PAP via La Tolva - Piedra Verde - La Ye PR 20+700"/>
        <s v="Boxculvert vereda Curadientesruta Nutibara - Curadientessector Sector - Madre Laura (Box Culvert)KM 2845"/>
        <s v="Boxculvert vereda Piedras Blancas ruta Vía Vereda Piedras Blanca Parte Altasector Sector - La Escuela (Box Culvert)KM 186"/>
        <s v="Boxculvert vereda La Honda ruta Anillo Vial La Hondasector Sector la Hondita (Box Culvert)KM 742"/>
        <s v="Boxculvert vereda Chontaduroruta Paso Ancho- Chontaduro sector Entrada Chontaduro (Box Culvert)KM 2238"/>
        <s v="Boxculvert vereda Musinga ruta Ramal a Musinga Grande sector Sector- Puente Roto (Box Culvert)KM 117"/>
        <s v="Intervención en 4 puntos críticos de la vía secundaria “Guarne – Yolombal - San Vicente”"/>
        <s v="Construccion de muros en pilotes y obras complementarias en la quebrada La Sucia"/>
        <s v="Punto de atencion prioritaria PR 76+300 via Medellin Ituango (SC 3)"/>
        <s v="Punto de atencion prioritaria PR 82+000 via Medellin Ituango (SC 2)"/>
        <s v="Punto de atencion prioritaria PR 73+800 via Medellin Ituango (SC 4)"/>
        <s v="Muro de contencion SC1"/>
        <s v="Puente vehicular El Zanjon Vereda Florida"/>
        <s v="La Mesenia l 14 x 3.5m (se debe incrementar longitud de 20 a 25 m)"/>
        <s v="Muro de contencion Santa Ana"/>
        <s v="Puente vehicular quebrada Juan Garcia (Liborina - Angelina)"/>
        <s v="PAP via Liborina - San Jose de la Montaña km6+000"/>
        <s v="PAP via Liborina - San Jose de la Montaña km6+300"/>
        <s v="Puente militar km5+700"/>
        <s v="Puente vehicular Alicante conecta los municipios de Maceo y Puerto Berrio aprox 45 m"/>
        <s v="Puente corregimiento Caribia L=70 m B =44 m"/>
        <s v="PROYECTO CONSTRUCCIÓN DE MURO DE CONTENCIÓN PARA MITIGACIÓN DEL RIESGO EN CARRERA LA PAZ MUNICIPIO DE PEQUE"/>
        <s v="PAP Uramita - Peque KM 47+545 (62AN09)"/>
        <s v="PUNTO CRITICO VIA 62AN29-1-1 Carretera Secundaria Departamental (La Ye - Remedios)"/>
        <s v="Solicitud intervencion PAP via Piñuela - San Francisco PAP 1"/>
        <s v="Solicitud intervencion PAP via Piñuela - San Francisco PAP 2"/>
        <s v="Solicitud intervencion PAP via Piñuela - San Francisco PAP 3"/>
        <s v="Solicitud intervencion PAP via Piñuela - San Francisco PAP 4"/>
        <s v="Solicitud intervencion PAP via Piñuela - San Francisco PAP 5"/>
        <s v="Solicitud intervencion PAP via Piñuela - San Francisco PAP 6"/>
        <s v="La Apartada (San José de La Montaña) - Partidas (San José de la Montaña) - Toledo - Matanzas (No incluye tramo urbano de Toledo)"/>
        <s v="Puente vereda La Manuela San José de la Montaña- Liborina (pontón 4m) 05091VT23"/>
        <s v="Intervención de puentes vía terciaria y PAP en la vía San Luis- Chocó"/>
        <s v="Perdida de banca en via autopista- San Luis cod 60AN19 Lat 6.0487149 Long -75.0048403"/>
        <s v="Muro de contencion KM1+080 via San Luis - El Choco"/>
        <s v="Punto critico VIA El Tres - Tres San Pedro K9+400"/>
        <s v="Puente El Peñol - Guatapé - San Rafael Km 27+385"/>
        <s v="Mantenimiento Puente metalico urbano sobre Rio Guatape"/>
        <s v="SC1 Via San Jorge - San Roque (6.5018N -75.0186W)"/>
        <s v="SC2 Via San Jorge - San Roque (6.5208N -74.9983W)"/>
        <s v="SC3 Via San Jorge - San Roque (6.5309N -75.0038W)"/>
        <s v="SC1 Via SAn Roque - La Palma (6.4429N-75.0347W)"/>
        <s v="Muro de contencion sobre via La Santander - Sector Hospital"/>
        <s v="Puente Vehicular vereda San Rafael corregimiento San Miguel (La Danta)"/>
        <s v="Muro contencion en puente quebrada La Mica"/>
        <s v="Via El Moral-Brugo PUNTO 1 L=20 m (7 02'13.2'' N 75 43'37.2'' W)"/>
        <s v="Via El Moral-Brugo PUNTO 2 L=36 m (7 01'35.0'' N 75 43'06.8'' W)"/>
        <s v="Puente Nueva Granada via 7 de agosto San Jose de Mulatos"/>
        <s v="Puente vereda La Culebra"/>
        <s v="Proyecto Punto de Atención Prioritaria la Esperanza - Municipio de Valparaíso -Antioquía PAP 1"/>
        <s v="Proyecto Punto de Atención Prioritaria la Esperanza - Municipio de Valparaíso -Antioquía PAP 2"/>
        <s v="Puente Sabaleta"/>
        <s v="Puente vehicular Quebrada La Tigra - Altos de la Amalia"/>
        <s v="Reparacion Puente vereda Palmichal sector La Palma"/>
        <s v="Reparacion Puente vehicular vereda El recreo"/>
        <s v="Puente sobre la Avenida de los Estudiantes"/>
        <s v="Puente La Florida"/>
        <s v="Puente urbano"/>
        <s v="Puente cruce quebrada San Pedro (entre Santo Domingo y Concepcion)"/>
        <s v="Pavimentacion urbanizacion Las Vegas"/>
        <s v="Construccion de placa huella en las vias rurales del municipio de Venecia Antioquia"/>
        <s v="CONSTRUCCIÓN DE PAVIMENTO FLEXIBLE, PAVIMENTO RÍGIDO Y ATENCIÓN DE PUNTO CRÍTICO EN LAS VEREDAS SAN ANDRÉS, MERCEDES ABREGO Y POTRERITO DEL MUNICIPIO DE GIRARDOTA - ANTIOQUIA"/>
        <s v="SOLICITUD PARA PARTICIPAR EN LA CONVOCATORIA DE LA GOBERNACIÓN PARA EL MEJORAMIENTO Y MANTENIMIENTO DE  LA  RED VIAL TERCIARIA  DEL DEPARTAMENTO DE ANTIOQUIA"/>
        <s v="MEJORAMIENTO Y RECUPERACIÓN DE LAS CONDICIONES DE MOVILIDAD ENTRE EL VALLE DE ABURRA CON EL VALLE DE SAN RAFAEL A TRAVÉS DE LA VÍA VEREDA SAN DIEGO - VEREDA EL PALMAR DE MUNICIPIO DE GIRARDOTA CON LA VEREDA EL PALMAR DEL MUNICIPIO DE GUARNE."/>
        <s v="CONSTRUCCION DE PAVIMENTO RIGIDO VIA RURAL COMPRENDIDA ENTRE LA TRONCAL DEL OCCIDENTE - CORREGIMIENTO DE PIAMONTE, ZONA RURAL DEL MUNICIPIO DE CACERES, ANTIOQUA"/>
        <s v="Estudios y diseños para proyecto de puente vehicular La Loma sobre el Rio San Andres"/>
        <s v="PROYECTO PAVIMENTACION EN CONCRETO RIGIDO -TIPO PLACA HUELLA EN LA_x000a_VIA DE ACCESO A LOS CORREGIMIENTOS CEDRO Y PUEBLITO DEL MUNICIPIO DE_x000a_YARUMAL, ANTIOQUIA"/>
        <s v="Proyecto construccion de 2km de placa huella veredas Cordillera-Palenque"/>
        <s v="Proyecto construccion de 1km de placa huella (ubicación indeterminada)"/>
        <s v="Proyecto construccion de 2km de placa huella veredas Las Cuatro- Palenque"/>
        <s v="Propuesta construccion puente VEHICULAR Corregimiento Angelina-Vereda el tunal Santa fe de Antioquia y Puntos críticos vía Liborina-San José de la Montaña 62AN14-1"/>
        <s v="Prentacion proyecto de puente VEHICULAR corregimiento llanos de Urarco"/>
        <s v="Presentacion proyecto de puente VEHICULAR en la vereda Palenque"/>
        <s v="Presentacion y solicitud de recursos para el proyecto construccion de puente VEHICULAR en la vereda Remigio"/>
        <s v="Propuesta para la terminación del proyecto en la vía La Balastera, Vereda Ancón 1."/>
        <s v="Proyecto de construccion 4 km de placa huellas en distintas veredas"/>
        <s v="CONSTRUCCION OBRA DE MITIGACION PARA LA REHABILITACION DE LA VIA CAICEDO-ANOCOZCA SECTOR EL PLAYON, MUNICIPIO DE CAICEDO"/>
        <s v="Mejoramiento vial de 4km en las veredas Santa Rita, San Antonio, Ovejas, La Graciela, Corrientes y El Coral, del municipio de San Vicente Ferrer"/>
        <s v="Solcitud pavimentacion 500 mts via UdeA quebrada La Pereira"/>
        <s v="PAP suceptibles a instalacion de puentes metalicos"/>
        <s v="Construccion de puente vehicular Becuarando via terciaria  L 30 B 5,60 m"/>
        <s v="Puente vehicular vereda El Porvenir sobre quebrada el Chocho L= 18 B = 6 m"/>
        <s v="Proyecto de construccion 4 km de placa huellas en el municipio de El Santuario"/>
        <s v="Construccion de puente vehicular sobre la quebrada de Chorrofrio en la vereda San Blas, L 15 B 4,5"/>
        <s v="MEJORAMIENTO DE LA PLAZA DE MERCADO PARA DINAMIZAR LA ECONOMÍA DE TODOS Y TODAS EN EL MUNICIPIO DE CHIGORODÓ"/>
        <s v="Mejoramiento de la infraestructura vial existente, a través de la construcción de pavimento flexible en , el cual se encuentra los tramos sector Castalia y Calle 9 - Avenida Circunvalar, municipio de Jericó"/>
        <s v="CONSTRUCCIÓN DEL CERRAMIENTO Y OBRAS COMPLEMENTARIAS DEL CENTRO DÍA DE NECOCLI"/>
        <s v="Construccion placahuella sector Altoseco 1,1 km"/>
        <s v="Construccion placahuella sector Montebello y Cruces 1,2km"/>
        <s v="Construccion placahuella sectorTravesias 0,325 km"/>
        <s v="CONSTRUCCION PLACAHUELLA SECTORES ANGOSTURA Y CHILIMACO 1,8 km"/>
        <s v="Mejorar accesibilidad del transporte vial entre el corregimiento Las Mercedes y la vereda La Estrella 2km"/>
        <s v="13 Tramos 2,65km"/>
        <s v="Muro de contencion K3+952 via vereda Sardinas, Quebradona, El Bagre y Pital"/>
        <s v="Muro de contencion K5+120 via vereda Sardinas, Quebradona, El Bagre y Pital"/>
        <s v="Mejoramiento de la vía Angelópolis - El Barro, mediante la intervención de una longitud total de 2,5 kilómetros, a través de la construcción de placa huella"/>
        <s v="Construcción de una placa huella con una longitud total de 400 metros, que conecta el casco urbano del municipio con el Centro Vida, el gimnasio al aire libre y la cancha de fútbol en grama sintética."/>
        <s v="Construccion de un Puente Vehicular con longitud de 20m para  brindar una soluciuon definitiva a la via 60AN10 - Paso Nivel (Ruta 60) - Ye Amagá - Angelópolis"/>
        <s v="Solicitud construccion placahuellas Barrio San Luis"/>
        <s v="Solicitud construccion proyectos de placa huellas"/>
        <s v="Solicitud de construccion de puente vehicular - Vereda Colmenas"/>
        <s v="Puesta en consideracion de la cofinanciacion rehabilitacion via Holanda parte alta y baja F3 (9850 M)"/>
        <s v="Mejoramiento de vias mediante la construccion de placahuellas sectores La Feria y base militar y las veredas El Rosario, San Agustin y la quiebra F2 (24 KM)"/>
        <s v="Entrega de estudios y diseños 1km placahuella municipio de Olaya (dos tramos de 400 y 600 mts)"/>
        <m/>
        <s v="CONSTRUCCIÓN DE PARQUES DEL RIO, ETAPA 1, EN EL MUNICIPIO DE VEGACHÍ, ANTIOQUIA”" u="1"/>
        <s v="Propuesta proyectos en desarrollo Bajo Cauca Antioqueño. Finca la Mariela - Caucasía, Antioquia" u="1"/>
        <s v="Recuperación, pavimentación y mantenimiento a la malla vial que comunica al municipio de Armenia con el municipio de Titiribí" u="1"/>
        <s v="Solicitud de Pavimentación vía Peñalisa - La Bodega - Tarso, La Bodega - Pueblorico con codigo 25BAN03-1" u="1"/>
        <s v="Mejoramiento de vías rurales en los municipios de Belmira y San José de la Montaña, Antioquia" u="1"/>
        <s v="Construcción de pavimento rígido en vías del casco urbano del municipio de San Pedro de Urabá, Antiquia" u="1"/>
        <s v="Construcción del espacio público parques de la quebrada Donmatías, Antioquia - Etapa 1" u="1"/>
        <s v="Solicitud de construcción de vía en el sector Quebrada Arriba, Los Lagos y Matazano (Barbosa - Donmatías)" u="1"/>
        <s v="Construcción de pavimento en el barrio Brisas de Urabá del municipio de San Pedro de Urabá, Antioquia" u="1"/>
        <s v="Construcción e implementación de la ciudadela de innovación agroempresarial regional, en el municipio de Sonsón" u="1"/>
        <s v="ADICION - Mejoramiento de vías terciarias de las veredas Mulatico, Patio Bonito y Morrón del municipio de Tarso, Antioquia mediante la construcción de pavimentación de Placa huella" u="1"/>
        <s v="Construcción del parque Villa Esperanza del municipio de San Pedro de Urabá, Antioquia" u="1"/>
        <s v="Construcción de pavimento rígido en vías urbanas , Barrio Obrero del municipio de Apartadó" u="1"/>
        <s v="Pavimentación en concreto rígido , andenes peatonales y silvicultura en la calle 97 entre carrera 101 y 112 del municipio de Chigorodó, Antioquia" u="1"/>
        <s v="Intervención de la vía terciaria de acceso al corregimiento cedeño y sus veredas aledañas en el municipio de Yarumal, Antioquia afectada por la ola invernal" u="1"/>
        <s v="Mejoramiento del corredor turístico Cocorná - Maria Parda con la construcción de 2.6 km de pavimento rígido, en el municipio de Cocorná, Antioquia" u="1"/>
        <s v="Mejoramiento de vías terciarias en la vereda Churido Medio, zona rural del municipio de Apartadó, Antioquia." u="1"/>
        <s v="Pavimentación de 2,2 Km vía Medellín-Bogotá y Vereda Peñolcito_x000a_" u="1"/>
        <s v="Mantenimiento de la vía terciaria que comunica la vereda El Roblal y el sector la Ye en el Municipio de Briceño, Antioquia." u="1"/>
        <s v="Construcción, estabilización y conformación de tramo de la banca en el sector &quot;Mi Casita&quot;." u="1"/>
        <s v="Mejoramiento de la infraestructura vial mediante la construcción de pavimento rígido en la vía que comunica a la vereda La Pava del Municipio de Alejandría, Antioquia" u="1"/>
        <s v="Mejoramiento y recuperaciíon vial, conoxión cabecera municipal y el Centro Poblado Otramina" u="1"/>
        <s v="MEJORAMIENTO DE VIA MEDIANTE LA CONSTRUCCION DE PLACA HUELLA EN EL TRAMO HOSPITAL BOTADERO A CIELO ABIERTO, ABSCISA K0+00 A LA ABSCISA K1+1710" u="1"/>
        <s v="Puesto información turística, estudios y diseños del mirador de Titiribi, estudios y diseños para la construcción del resguardo ecoturístico en Urrao" u="1"/>
        <s v="AUNAR ESFUERZOS ENTRE EL DEPARTAMENTO DE ANTIOQUIA Y EL MUNICIPIO DE TARSO, PARA LA CONSTRUCCIÓN_x000a_DE LA PLACA HUELLA EN LAS VEREDAS LA ARBOLEDA Y CHAGUANÍ DE LA SUBREGIÓN SUROESTE EN EL MUNICIPIO DE TARSO" u="1"/>
        <s v="Construcción Placa - Huella: *Vereda El Progreso, Tramo 1: 600 metros *Vereda Pio XII, Tramo 2: 500 metros" u="1"/>
        <s v="Construcción de placa huella en vías terciarias del municipio de San Roque 1 Km placa huella  Repartido en 8 vías terciarías" u="1"/>
        <s v="Tres (3) km de placa huella en las veredas La Chuscalita, La Quiebra y Monterredondo de nuestro municipio. " u="1"/>
        <s v="MEJORAMIENTO DE VÍA TERCIARIA MEDIANTE LA CONSTRUCCIÓN DE PLACA HUELLA EN LA VIA QUE COMUNICA HACIA EL CORREGIMIENTO DE PUERTO CLAVER, ZONA RURAL DEL MUNICIPIO DE EL BAGRE." u="1"/>
        <s v="“CONSTRUCCIÓN DE PAVIMENTO RÍGIDO PARA MEJORAMIENTO DE LA VÍA HACIA LA VEREDA CORRENTOSO DESDE LA PARTIDA DE LONDRES, NECHÍ ANTIOQUIA”," u="1"/>
        <s v="CONSTRUCCION Y MEJORAMIENTO DE VIAS TERCIARIA" u="1"/>
        <s v="ESTUDIOS Y DISEÑOS PARA LA CONSTRUCCION DE 1.7 KILOMETROS DE PLACA HUELLA EN LA VEREDA MORAVIA, ZONA RURAL DEL MUNICIPIO DE BRICEÑO-ANTIOQUIA" u="1"/>
        <s v="Mejoramiento y recuperación de las condiciones de movilidad entre el municipio de Girardota, valle de aburra y la &quot;YE&quot; que comunica con guarne, oriente antioqueño, y con el municipio de san Vicente de Ferrer." u="1"/>
        <s v="CONSTRUCCION DE PLACA HUELLA EN LAS VIA DE ACCESO AL CORREGIMIENTO DE NARANJITAS MUNICIPIO DE ARBOLETES ANTIOQUIA " u="1"/>
        <s v="CONSTRUCCIÓN DE 5 KM DE PLACA HUELLA EN LA VÍA ZARAGOZA-EL BAGRE, EN EL MARCO DE IMPLEMENTACIÓN DEL ACUERDO FINAL PARA LA PAZ, ZONA RURAL DEL MUNICIPIO DE ZARAGOZA - ANTIOQUIA." u="1"/>
        <s v="Rehabilitación y mejoramiento de vías urbanas, en pavimento rígido con reposisión de redes de acueducto y alcantarillado en el municipio de Yarumal - Antioquia. " u="1"/>
        <s v=" MEJORAMIENTO DE VÍA (VEREDA SAN ISIDRO - VEREDA BOQUERÓN) EN EL MUNICIPIO DE SAN FRANCISCO, ANTIOQUIA." u="1"/>
        <s v="CONSTRUCCIÓN DE PLACA HUELLA EN LAS ZONAS RURALES DE PUERTO RAUDAL Y RAUDAL VIEJO PARA MEJORAR LA MOVILIDAD EN LAS VEREDAS DEL MUNICIPIO DE VALDIVIA, ANTIOQUIA" u="1"/>
        <s v="CONSTRUCCIÓN DE PLACA HUELLA EN LA VIA TERCIARIA EN EL MUNICIPIO DE EL CARMEN VIBORAL - ANTIOQUIA " u="1"/>
        <s v="Construcción de pavimento rígido y optimización de redes de acueducto y alcantarillado en los barrios: La Magdalena, El Carmen, y Costa de Oro en el municipio de Cáceres, departamento de Antioquia." u="1"/>
        <s v="CONSTRUCCIÓN DE PAVIMENTO RÍGIDO Y URBANISMO PARA MEJORAR LA MOVILIDAD EN EL MUNICIPIO DE CAREPA, ANTIOQUIA" u="1"/>
        <s v="CONSTRUCCIÓN DE PAVIMENTO RÍGIDO DE VÍAS URBANAS DISPERSAS EN EL MUNICIPIO DE URRAO, ANTIOQUIA" u="1"/>
        <s v="&quot;ESTUDIOS Y DISEÑOS PARA ELMEJORAMIENTO Y REHABILITACIÓN DE LA VÍA YOLOMBAL CIRCUNVALAR GUARNE,PARA LA UNIÓN DEL VALLE DE ABURRÁ Y EL VALLE DE SAN NICOLÁSI" u="1"/>
        <s v="&quot;CONSTRUCCIÓN DE PAVIMENTO DELA VÍA DE ACCESO AL HOSPITAL DON BOSCO DEL CORREGIMIENTO DECURRULAO DEL DISTRITO DE TURBO, ANTIOQUIA”" u="1"/>
        <s v="PAVIMENTACIÓN VÍA DE ACCESO DEL CORREGIMIENTO ALFONSO LOPEZ, MUNICIPIO DE CIUDAD BOLIVAR - ANTIOQUIA" u="1"/>
        <s v="REHABILITACIÓN CON PAVIMENTO TIPO PLACA HUELLA DE LA VÍA TERCIARIA MANZANILLO EN EL MUNICIPIO DE CIUDAD BOLÍVAR, ANTIOQUIA" u="1"/>
        <s v="CONSTRUCCIÓN DE OBRAS DE MEJORAMIENTO URBANO DEL PARQUE MIRADOR PERLA DEL RÍO NECHÍ EN EL MUNICIPIO DE ZARAGOZA, ANTIOQUIA" u="1"/>
        <s v="MEJORAMIENTO DE LA VÍA TERCIARIA DEL SECTOR VILLETA DELMUNICIPIO DE ARGELIA, ANTIOQUIA" u="1"/>
        <s v="PAVIMENTACION Y URBANISMO EN CONCRETO RIGIDO ZONA URBANA DEL MUNICIPIO DE SAN CARLOS, DEPARTAMENTO DE ANTIOQUIA" u="1"/>
        <s v="MEJORAMIENTO    DE    LA    VÍA    DEPARTAMENTAL    SONSÓN AGUADAS, MUNICIPIO DE SONSÓN ANTIOQUIA." u="1"/>
        <s v="Pavimentacin de 1,950 km de la via Iborra en la zona rural del municipio de Donmatas, del Departamento de Antioqui" u="1"/>
        <s v="CONSTRUCCIÓN DE PLACA HUELLA EN VIAS TERCIARIAS DEL MUNICIPIO DE EL SANTUARIO-ANTIOQUIA" u="1"/>
        <s v="MEJORAMIENTO Y REPOSICIN DE PAVIMENTO RGIDO EN VIAS URBANAS DE LA CABECERA MUNICIPAL, Y LOS CORREGIMIENTOS DE SAN JOSE DEL NUS Y PROVIDENCIA DEL MUNICIPIO DE SAN ROQUE, DEPARTAMENTO DE ANTIOQUIA" u="1"/>
        <s v="PAVIMENTACIÓN Y ADECUACIÓN DE VÍA EN EL BARRIO EL SOCORRO Y LA COPA EN LA ZONA URBANA DEL MUNICIPIO DE URAMITA, ANTIOQUIA" u="1"/>
        <s v="Construcción de placa huella en las vias terciearias del municipio de Liborina " u="1"/>
        <s v="MEJORAMIENTO DE LA VÍA TERCIARIA EN PLACA HUELLA DEL SECTOR LA ESPERANZA DEL MUNICIPIO DE ABEJORRAL – ANTIOQUIA." u="1"/>
        <s v="ESPACIO PÚBLICO PARA LA CARRERA 47: VIAS, ANDENES Y CICLORRUTA" u="1"/>
        <s v="MEJORAMIENTO DE CALLE CEMENTERIO EN EL CORREGIMIENTO DE PUERTO VALDIVIA, MUNICIPIO DE VALDIVIA ANTIOQUIA" u="1"/>
        <s v="MEJORAMIENTO DE LA VIA CAMPAMENTO-VEREDA EL LIMON MEDIANTE LA EJECUCION DE PLACA HUELLA" u="1"/>
        <s v="PAVIMENTACIÓN MEDIANTE EL SISTEMA CONSTRUCTIVO DE PLACA HUELLA, DE LA VIA BETANIA  PEDRAL ARRIBA SECTOR SAN LUIS EN ZONA RURAL DEL MUNICIPIO DE BETANIA  ANTIOQUIA." u="1"/>
        <s v="PROYECTO DE UN TERCER KILOMETRO DE PLACA HUELLA" u="1"/>
        <s v="PROYECTO MEJORAMIENTO VIAL MEDIANTE LA CONSTRUCCION DE PLACA HUELLA EN ZONA RURAL DEL MUNICIPIO DE SAN JERONIMO." u="1"/>
        <s v="CONSTRUCCIÓN DEL PUENTE VEHÍCULAR LLANADAS EN LA VIA TERCIARIA &quot;BRICEÑOLAS BRISAS DEL MUNICIPIO DE BRICEÑO, ANTIOQUIA" u="1"/>
        <s v="CONSTRUCCION DEL PUENTE VEHICULAR EL RETN SOBRE EL RIO PEDRAL, ZONA RURAL DEL MUNICIPIO DE BETANIA - ANTIOQUIA" u="1"/>
        <s v="MEJORAMIENTO DE VÍAS TERCIARIAS MEDIANTE LA CONSTRUCCIÓN DE PLACA HUELLA EN LOS MUNICIPIOS DE MACEO VEREDA SAN IGNACIO Y YOLOMBÓ VEREDA LOS ANDES DEL DEPARTAMENTO DE ANTIOQUIA" u="1"/>
        <s v="MEJORAMIENTO DE VIAS RURALES EN SISTEMA CONSTRUCTIVO PLACA HUELLA PARA LA VEREDA MORRON DEL MUNICIPIO DE CONCORDIA , ANTIOQUIA." u="1"/>
        <s v="Construcción de placa huellas en las vías terciarias del municipio de Jardín, Antioquia" u="1"/>
        <s v="MEJORAMIENTO RED VIAL TERCIARIA EN LAS VEREDA LA MANGA, NOQUE, LA GARCIA, ANOCOZCA, EL CHOCHAL, ROMERAL, SAN JUAN, LOS PINOS EN ZONA RURAL DEL MUNICIPIO DE CAICEDO -ANTIOQUIA - TRAMO VIAL VEREDA LA MANGA ABSCISA 2+400 - 5+000" u="1"/>
        <s v="ESTUDIOS Y DISEÑOS PARA LA PAVIMENTACION DE VIA EN PLACA HUELLA EN LA VEREDA TONUSCO EN LA ZONA RURAL DEL  MUNICIPIO DE SANTA FE DE ANTIOQUIA" u="1"/>
        <s v="ESTUDIOS Y DISEÑOS PARA LA PAVIMENTACION DE VIA EN PLACA HUELLA EN LA VEREDA EL TUNAL EN LA ZONA RURAL DEL MUNICIPIO DE SANTA FE DE ANTIOQUIA&quot;" u="1"/>
        <s v="MEJORAMIENTO DE LAS VÍAS RURALES EN LOS MUNICIPIOS DE BELMIRA Y SAN JOSE DE LA MONTAÑA, ANTIOQUIA" u="1"/>
        <s v="CONSTRUCCIÓN DE PLACA HUELLA EN LA ZONA RURAL DEL MUNICIPIO DE BELMIRA, ANTIOQUIA (VEREDA EL ZANCUDITO)" u="1"/>
        <s v="CONSTRUCCIÓN DE PLACA HUELLA EN LA ZONA RURAL DEL MUNICIPIO DE BELMIRA, ANTIOQUIA" u="1"/>
        <s v="ESTUDIOS Y DISEÑOS PARA EL MEJORAMIENTO DE VÍA (SAN FRANCISCO – GUACALES) EN EL MUNICIPIO DE SAN FRANCISCO, ANTIOQUIA" u="1"/>
        <s v="CONSTRUCCIÓN DE PLACA HUELLA PARA MEJORAMIENTO DE LA VIA ENTRE EL CEMENTERIO - LA I.E. LAS FLORES Y ENTRE EL CORREGIMIENTO LAS FLORES Y EL SECTOR LAS PISCINAS, NECHÍ – ANTIOQUIA" u="1"/>
        <s v="CONSTRUCCIÓN DE PLACA HUELLA PARA MEJORAMIENTO DE LA VIA ENTRE LA VEREDA EL ONCE Y EL SECTOR LAS PISCINAS, NECHÍ- ANTIOQUIA" u="1"/>
        <s v="CONSTRUCCIÓN DE PLACA HUELLA CAMINOS DEL PROGRESO PARA CREER. MONTEBELLO, ANTIOQUIA" u="1"/>
        <s v="Guacas Arriba ,La Jota ,La Mora ,Barcino ,San Matías ,Guacas Abajo" u="1"/>
        <s v="CONSTRUCCIÓN  DE PLACA HUELLA SECTOR MATABLANCO EN EL MUNICIPIO DE ANGOSTURA" u="1"/>
        <s v="Puente Gavino Conexión vial nueva Puente nuevo. Ubicado sobre el rio Porce, por fuera de la vía actual. L= 130,0m S= 11,0m" u="1"/>
        <s v="Puente Mi Casita (Fredonia) - Venecia L= 22,40m S= 9,40m" u="1"/>
        <s v="Puente La Fabiana - El Líbano - Támesis L= 69,35m S= 8,2m" u="1"/>
        <s v="Puente vehicular sonadora, municpioo de Granada. L=13,5m" u="1"/>
        <s v="Puente Montenegro (La Fabiana)- Valparaiso L=60 S=8,10" u="1"/>
        <s v="Puente Salgar - La Cámara La Quiebra L= 30,0m S= 7,30m" u="1"/>
        <s v="Puente Santa Fe de Antioquia - Puente de Occidente - La Ye (Sopetrán) L=200 ,S vehicular= 3,0 m ,Pasarelas: 2 de 1,0m c/u_x000a_" u="1"/>
        <s v="Puente Valparaíso - Caramanta - Puente Arquía,Km 9+600, L= 20,0m S= 7,30m" u="1"/>
        <s v="Puente Cocorná Ramal Granada Km 3+288" u="1"/>
        <s v="Puente Cocorná Ramal Granada Km 7+178" u="1"/>
        <s v="Puente Carepa - Saiza Km 24+200 L= 8,0m ,S= 6,0m" u="1"/>
        <s v="Puente Carepa - Saiza Km 16+728 L= 60,0m ,S= 5,0" u="1"/>
        <s v="Puente Carepa - Saiza Km 2+600 L= 20,0m, S= 7,30m" u="1"/>
        <s v="Puente Santiago Berrío - Mulas - Cruces Km 20+000 L= 60,0m ,S= 8,10m" u="1"/>
        <s v="Puente San Fermín (Ruta 25) - Briceño Km 9+400 L= 26,0m S= 8,10m" u="1"/>
        <s v="Puente San José del Nus - Caracolí Km 17+00 L= 60,0m S= 8,10m" u="1"/>
        <s v="Puente Santiago Berrío - Mulas - Cruces Km 9+600 L= 39,30m ,S= 8,10m" u="1"/>
        <s v="Puente Pajarito - San Pedro de Los Milagros - Entrerríos - Santa Rosa de Osos Km 9+912 L= 13,0m S= 11,0m" u="1"/>
        <s v="Puente Buenos Aires (Ruta 62) - Abriaquí Km 28+900 L= 25,0m S= 7,70m" u="1"/>
        <s v="Puente El Tres - San Pedro de Urabá Km 25+000 L= 60,90m S= 8,10m" u="1"/>
        <s v="Puente Montebello - El Aguacate - El Cairo Km 20+900 L= 42,22m S= 6,70m" u="1"/>
        <s v="&quot;CONSTRUCCION DE PUENTE VEHICULAR EN LA VEREDA EL PIRU DEL MUNICIPIO DE SAN PEDRO DE URABA, ANTIOQUIA&quot;" u="1"/>
        <s v="Solicitud de financiación del Proyecto Integrador “Construcción de puentes vehiculares en la vía Cantagallo (Bolívar) –Yondó (Antioquia) parala interconexión vial Regional del Sur de Bolívar con Antioquia, Santander y el interior del País" u="1"/>
        <s v="Puente via Construcción de puente vehicular sobre el rio Aurra, interconexión entre la antigua via al mar y la doble calzada, sector  Leticia, san jeronimo - Antioquia longitud 30m" u="1"/>
        <s v="Puente sobre la quebrada El Pato, municipio de San Juan de Urabá longitud 26m" u="1"/>
        <s v="Perdida total de la banca por creciente de quebrada, dejando incomunicada parte de la comunidad y del Centro Educativo Rural El Guadual" u="1"/>
        <s v="Colapso del puente el infante en el año 2013 por incendio, lo que causó que los habitantes  de la vereda el brasil parte baja quedara incomunicada y tengan que tomar caminos alternos para el acceso al casco urbano." u="1"/>
        <s v="Se requiere puente peatonal sobre el Río Nare, en la vereda San Julián del municipio de San Rafael y La vereda Santa Teresa del Municipio de San Roque, para comunicar estas dos veredas y así facilitar la comercialización de productos agrícolas de estas dos veredas." u="1"/>
        <s v="Puente Paso Ancho-Nutibara-Murri Km 23+700 L=14 m, 4 m galibo" u="1"/>
        <s v="Puente Paso Ancho-Nutibara-Murri km 27+820 L=16 m, 6 m galibo" u="1"/>
        <s v="Puente Paso Ancho-Nutibara-Murri km 34+900 L=14 m, 4 m galibo" u="1"/>
        <s v="CONSTRUCCIÓN  DE GAVIONES PARA PUNTOS CRITICOS DE LA VIA DE LA VEREDA RIO ARRIBA, ZONA RURAL  DEL  MUNICIPIO  DE  BELMIRA,  ANTIOQUIA" u="1"/>
        <s v="Puente Quebrada La Clara Longitud 13,80, ancho 5.00" u="1"/>
        <s v="Puente Quebrada El Chocho Longitud 13,50, ancho 6.00" u="1"/>
        <s v="Puente corregimiento Buenos Aires Longitud 13,00, ancho 6.00" u="1"/>
        <s v="Puente Vereda La Solita, rio Taparto Longitud 33,00, ancho 5.00" u="1"/>
        <s v="Puente Quebrada Gaviria Morrón Longitud 15,00, ancho 3.00" u="1"/>
        <s v="Puente Llanadas Longitud 21,00, ancho 6.60" u="1"/>
        <s v="Puente Bocas de Chikamoke Longitud 60,00, ancho 2.50" u="1"/>
        <s v="Puente El Guamito Longitud 10,00, ancho 1.70" u="1"/>
        <s v="Puente Vegas de Chiquinquirá Longitud 8,00, ancho 4.00" u="1"/>
        <s v="Puente Vereda La Comarca sobre el Rio Mulato Longitud 60,00, ancho 2.50" u="1"/>
        <s v="Puente Quebrada San Julián Longitud 16,00, ancho 5.00" u="1"/>
        <s v="Puente San Juancito Arriba Longitud 20,00 Ancho:" u="1"/>
        <s v="Puente Zona Urbana- Sector Palmichala Longitud:7,50m  Ancho: 4 m" u="1"/>
        <s v="Puente Vereda Isleta Longitud:24,00m Ancho: 2,5m" u="1"/>
        <s v="Puente Sector Cachambal-Maracaibo Longitud 12,00 Ancho: 4 m" u="1"/>
        <s v="Puente Vereda San Antonio, Puente Juan Vara Longitud: 28,00 m Ancho: 4 m" u="1"/>
        <s v="Puente San Antonio-Zaragoza Longitud: 28,00 m Ancho: 4 m" u="1"/>
        <s v="Puente Vereda El Jordan Longitud: 17 m Ancho: 6.6 m" u="1"/>
        <s v="CONSTRUCCIÓN DE PAVIMENTO EN CONCRETO RÍGIDO EN EL CORREGIMIENTO DE PAJILLAL, ZONA RURAL DEL MUNICIPIO DE ARBOLETES ANTIOQUIA" u="1"/>
        <s v="Placa huella para las veredas La Miel, Fátima La Loma y Corregimiento San José" u="1"/>
        <s v="Construccion pavimento rigido Via La Troncal - Corregimeinto de Puerto Antioquia (1,5 km)" u="1"/>
        <s v="Construccion flexible rigido via Colorado - Nechí (via secundaria 8,6 km)" u="1"/>
        <s v="Construccion placa huella via Puerto Claver" u="1"/>
        <s v="Solicitud de estudios y diseños para la recuperación de la vía  CAMILO C - EL CINCO - FREDONIA" u="1"/>
        <s v="Mejoramiento de vías terciarias en las veredas La Quiebra, Los Medios y La Merced, en el municipio de Granada, en Fase III" u="1"/>
        <s v="&quot;Mejoramiento de vias terciarias mediante pavimento flexible en el sector de las veredas de el penol, riochico y yerbabuenal del municipio de Entrerrios&quot;" u="1"/>
        <s v="TRANSFORMACIÓN  URBANÍSTICA  DE  LA  CALLE  97  Y  VÍAS ALEDAÑAS, PARA LA MOVILIDAD SEGURA DE TODOS Y TODAS EN EL MUNICIPIO DE CHIGORODÓ" u="1"/>
        <s v="REPOSICIÓN DE LA MALLA VIAL DE LAS VÍAS TERCIARIAS DEL SECTOR LA MANUELA, VEREDA PANTANILLO Y VEREDA PERICO DEL MUNICIPIO DE ENVIGADO" u="1"/>
        <s v="RECUPERACIÓN DE LAS VÍAS VEREDALES RIVERA CASCAJO - LÍMITE EL CARMEN Y MONTAÑITA LOS ALPES - LÍMITE EL SANTUARIO, POR MEDIO DE LA CONSTRUCCIÓN DE PLACA HUELLAS EN EL MUNICIPIO DE MARINILLA" u="1"/>
        <s v="_x000a_AUNAR ESFUERZOS PARA EL  MEJORAMIENTO DE LA INFRAESTRUCTURA EDUCATIVA, EN LA SEDE DE LA I.E. SAN ANDRES DEL MUNICIPIO DE GIRARDOTA._x000a_" u="1"/>
        <s v="AUNAR ESFUERZOS PARA EL MEJORAMIENTO DE LA INFRAESTRUCTURA FÍSICA DE LA ESCUELA NORMAL SUPERIOR MAGDALENA MEDIO." u="1"/>
        <s v="AUNAR ESFUERZOS PARA EL MEJORAMIENTO Y ADECUACIÓN DEL RESTAURANTE ESCOLAR DE LA I.E. JOSÉ PRIETO ARANGO SEDE SECUNDARIA DEL MUNICIPIO DE TARSO, ANTIOQUIA." u="1"/>
        <s v="SEDE YARUMITO" u="1"/>
        <s v="AUNAR ESFUERZOS PARA LA REPOSICIÓN DE LA INFRAESTRUCTURA FÍSICA DE LAS INSTITUCIÓN EDUCATIVA PERLA DE CITARÁ DEL MUNICIPIO DE BETANIA." u="1"/>
        <s v="AUNAR ESFUERZOS PARA EL MEJORAMIENTO DE LA INSTITUCIÓN EDUCATIVA MURINDÓ." u="1"/>
        <s v="AUNAR ESFUERZOS PARA EL MEJORAMIENTO DE LA INFRAESTRUCTURA FÍSICA DE LAS SEDES EDUCATIVAS DEL MUNICIPIO DE AMAGÁ, ANTIOQUIA." u="1"/>
        <s v="AUNAR ESFUERZOS PARA LA TERMINACIÓN DE LA PRIMERA ETAPA DE LA INSTITUCIÓN EDUCATIVA EDUARDO AGUILAR, SEDE COLEGIO EDUARDO AGUILAR DEL MUNICIPIO DE YOLOMBÓ." u="1"/>
        <s v="_x000a_AUNAR ESFUERZOS PARA EL MEJORAMIENTO DE LA INFRAESTRUCTURA FÍSICA DE LAS SEDES EDUCATIVAS DEL MUNICIPIO DE ANDES, ANTIOQUIA._x000a_" u="1"/>
        <s v="AUNAR ESFUERZOS PARA EL MEJORAMIENTO DE LA INFRAESTRUCTURA FÍSICA DE LA INSTITUCIÓN EDUCATIVA CISNEROS - SEDE E.U. CONCEPCIÓN RESTREPO DEL MUNICIPIO DE CISNEROS." u="1"/>
        <s v="AUNAR ESFUERZOS PARA EL MEJORAMIENTO DE LA INFRAESTRUCTURA FÍSICA DE LAS I.E.R. JOSÉ ELÍAS SUAREZ SEDES BOCAS DE PALMITAS, I.E.R. MULATICOS-PIEDRECITAS SEDE LA JOBA  Y SEDE EL REPARO DEL MUNICIPIO DE NECOCLÍ." u="1"/>
        <s v="AUNAR ESFUERZOS PARA EL MEJORAMIENTO DE LA INFRAESTRUCTURA FÍSICA DEL CER PITAMORRIAL DEL MUNICIPIO DE NECOCLI" u="1"/>
        <s v="AUNAR ESFUERZOS PARA EL MEJORAMIENTO DE LA I.E.R. EMBERÁ KARMATARRUA, C.E.R. LA ARBOLEDA, C.E.R. LA VARSOVIA, C.E.R. SERRANÍAS DEL MUNICIPIO DE JARDÍN." u="1"/>
        <s v="AUNAR ESFUERZOS PARA EL MEJORAMIENTO DE LA INFRAESTRUCTURA FÍSICA DE LAS I.E.R. SAN JOSÉ DEL NUS – SEDE COLEGIO SAN JOSÉ DEL NUS Y DE LA I.E.R. CRISTALES - SEDE COLEGIO CRISTALES" u="1"/>
        <s v="AUNAR ESFUERZOS PARA EL MEJORAMIENTO DE LA INFRAESTRUCTURA FÍSICA  PARA LA I.E.R. TÉCNICO DE MARINILLA, SEDE C.E.R. GABRIEL DUQUE GÓMEZ (VDA MONTAÑITA) Y LA IER ROSALÍA HOYOS SEDE CER VICENTE ARBELÁEZ (VEREDA SALTO ABAJO) " u="1"/>
        <s v="AUNAR ESFUERZOS PARA EL MEJORAMIENTO DE LA INFRAESTRUCTURA FÍSICA DE LA IE COCORNÁ, SEDE CER LAS CRUCES" u="1"/>
        <s v="AUNAR ESFUERZOS PARA EL MEJORAMIENTO DE LA INFRAESTRUCTURA FISICA DE LAS IER ROSA MARIA PAVAS SEDE IE INTEGRAL PARA JOVENES Y ADULTOS CELIA RAMOS TORO DEL MUNICIPIO DE SONSON ANTIOQUIA" u="1"/>
        <s v="AUNAR ESFUERZOS PARA EL MEJORAMIENTO DE LA INFRAESTRUCTURA FÍSICA DE LA IE MANUEL JOSE SIERRA DEL MUNIICPIO DE ANZA ANTIOQUIA." u="1"/>
        <s v="AUNAR ESFUERZOS PARA EL MEJORAMIENTO DE LA INFRAESTRUCTURA FÍSICADE LA I.E. LA MAGDALENA SEDE C.E.R. EL PORVENIR " u="1"/>
        <s v="AUNAR ESFUERZOS PARA EL MEJORAMIENTO DE LA INFRAESTRUCTURA FÍSICA  DE LAS IE CHAPARRAL, SEDE ERI BERRACAL; IER EZEQUIEL SIERRA, SEDES CER LA TRINIDAD Y CER LA CANDELARIA; IER HOJAS ANCHAS, SEDE CER LA MOSQUITA; IE SANTO TOMÁS DE AQUINO, SEDE CER MONTAÑÉS ABAJO Y LA IER PIEDRAS BLANCAS, SEDE PUEBLITO," u="1"/>
        <s v="AUNAR ESFUERZOS PARA EL MEJORAMIENTO DE LA INFRAESTRUCTURA FÍSICA DE LA IE SAN RAFAEL, SEDE COLEGIO SAN RAFAEL" u="1"/>
        <s v="AUNAR ESFUERZOS PARA EL MEJORAMIENTO DE LA INFRAESTRUCTURA FÍSICADE LA  I.E. NUESTRA SEÑORA DEL PILAR SEDE CER EL TRONCO" u="1"/>
        <s v="AUNAR ESFUERZOS PARA EL MEJORAMIENTO DE LA INFRAESTRUCTURA FÍSICA DE LAS SEDES EDUCATIVAS DEL MUNICIPIO DE VALPARAISO." u="1"/>
        <s v="AUNAR ESFUERZOS PARA EL MEJORAMIENTO DE LA INFRAESTRUCTURA FÍSICA DE LA INSTITUCIÓN EDUCATIVA AURA MARÍA VALENCIA, SEDES PRIMARIA Y SECUNDARIA " u="1"/>
        <s v="AUNAR ESFUERZOS PARA EL MEJORAMIENTO DE LA INFRAESTRUCTURA FÍSICA DE LAS SEDES EDUCATIVAS DEL MUNICIPIO DE EBEJICO." u="1"/>
        <s v="URABÁ (CONVENIO FUNDAUNIBAN)" u="1"/>
        <s v="AUNAR ESFUERZOS PARA EL MEJORAMIENTO DE LA INFRAESTRUCTURA FÍSICA DE LA INSTITUCIÓN EDUCATIVA CISNEROS - SEDE LICEO CISNEROS Y SEDE JESUS MARIA DUQUE, DEL MUNICIPIO DE CISNEROS." u="1"/>
        <s v="AUNAR ESFUERZOS PARA EL MEJORAMIENTO DE LA INFRAESTRUCTURA FÍSICA DE LA INSTITUCIÓN EDUCATIVA EFE GOMEZ, SEDES LICEO EFE GOMEZ, E.U. EFE GOMEZ Y COLEGIO AMIGONIANO RAUL CARDONA ZAPATA, DEL MUNICIPIO DE VEGACHI." u="1"/>
        <s v="AUNAR ESFUERZOS PARA LA CONSTRUCCIÓN DE LA SEGUNDA ETAPA Y SUS OBRAS COMPLEMENTARIAS DE LA INSTITUCIÓN EDUCATIVA EDUARDO AGUILAR, SEDE COLEGIO EDUARDO AGUILAR   DEL MUNICIPIO DE YOLOMBÓ." u="1"/>
        <s v="AUNAR ESFUERZOS PARA LA CONSTRUCCIÓN DE LA SEGUNDA ETAPA Y SUS OBRAS COMPLEMENTARIAS DE LA INSTITUCIÓN EDUCATIVA RURAL PUERTO PERALES, SEDE  I.E.R. PUERTO PERALES DEL MUNICIPIO DE PUERTO TRIUNFO." u="1"/>
        <s v="AUNAR ESFUERZOS PARA EL MEJORAMIENTO DE LA INFRAESTRUCTURA FÍSICA DE LAS SEDES EDUCATIVAS DEL MUNICIPIO DE CAROLINA DEL PRINCIPE." u="1"/>
        <s v="AUNAR ESFUERZOS PARA EL MEJORAMIENTO DE LA INFRAESTRUCTURA FÍSICA DE LAS SEDES EDUCATIVAS DEL MUNICIPIO DE DONMATÍAS." u="1"/>
        <s v="AUNAR ESFUERZOS PARA EL MEJORAMIENTO DE LA INFRAESTRUCTURA FÍSICA DE LAS C.E.R. BOCA DEL MONTE Y I.E. MARCO TOBON MEJIA, DEL MUNICIPIO DE SANTA ROSA DE OSOS" u="1"/>
        <s v="AUNAR ESFUERZOS PARA EL MEJORAMIENTO DE LA INFRAESTRUCTURA FÍSICA DE LAS C.E.R. YERBABUENAL - SEDES  C.E.R. POTRERO GRANDE,C. E. R. HUMBERTO LOPERA VILLA YC. E. R. EL PROGRESO DEL MUNICIPIO DE ENTRERRIOS" u="1"/>
        <s v="AUNAR ESFUERZOS PARA EL MEJORAMIENTO DE LA INFRAESTRUCTURA FÍSICA DE LAS SEDES EDUCATIVAS DEL MUNICIPIO DE BELMIRA." u="1"/>
        <s v="AUNAR ESFUERZOS PARA EL MEJORAMIENTO DE LA INFRAESTRUCTURA FÍSICA DE CINCO SEDES EDUCATIVAS DEL MUNICIPIO DE BARBOSA." u="1"/>
        <s v="AUNAR ESFUERZOS PARA EL MEJORAMIENTO DE LA INFRAESTRUCTURA FÍSICA DE LAS SEDES EDUCATIVAS DEL MUNICIPIO DE GRANADA." u="1"/>
        <s v="AUNAR ESFUERZOS PARA EL MEJORAMIENTO DE LA INFRAESTRUCTURA FÍSICA DE LAS SEDES EDUCATIVAS DEL MUNICIPIO DE URAMITA." u="1"/>
        <s v="AUNAR ESFUERZOS PARA EL MEJORAMIENTO DE LA INFRAESTRUCTURA FÍSICA DE LAS SEDES EDUCATIVAS DEL MUNICIPIO DE DABEIBA." u="1"/>
        <s v="AUNAR ESFUERZOS PARA EL MEJORAMIENTO DE LA INFRAESTRUCTURA FÍSICA DE LAS SEDES EDUCATIVAS DEL MUNICIPIO DE HELICONIA." u="1"/>
        <s v="AUNAR ESFUERZOS PARA EL MEJORAMIENTO DE LA INFRAESTRUCTURA FÍSICA DE LAS SEDES EDUCATIVAS DEL MUNICIPIO DE CAÑASGORDAS." u="1"/>
        <s v="AUNAR ESFUERZOS PARA EL MEJORAMIENTO DE LA INFRAESTRUCTURA FÍSICA DE LAS SEDES EDUCATIVAS DEL MUNICIPIO DE SAN JERONIMO." u="1"/>
        <s v="AUNAR ESFUERZOS PARA EL MEJORAMIENTO DE LA INFRAESTRUCTURA FÍSICA DE LAS SEDES EDUCATIVAS DEL MUNICIPIO DE ARBOLETES." u="1"/>
        <s v="AUNAR ESFUERZOS PARA EL MEJORAMIENTO DE LA INFRAESTRUCTURA FÍSICA DE LAS SEDES EDUCATIVAS DEL MUNICIPIO DE SAN PEDRO DE URABÁ." u="1"/>
        <s v="AUNAR ESFUERZOS PARA EL MEJORAMIENTO DE LA INFRAESTRUCTURA FÍSICA DE LAS SEDES EDUCATIVAS DEL MUNICIPIO DE VENECIA." u="1"/>
        <s v="AUNAR ESFUERZOS PARA LA CONSTRUCCIÓN DE LA INSTITUCIÓN EDUCATIVA LA PINTADA, SEDE  I.E. LA PINTADA DEL MUNICIPIO DE PINTADA." u="1"/>
        <s v="AUNAR ESFUERZOS PARA EL MEJORAMIENTO DE LA INFRAESTRUCTURA FÍSICA DE LAS SEDES EDUCATIVAS DEL MUNICIPIO DE URRAO." u="1"/>
        <s v="AUNAR ESFUERZOS PARA LA CONSTRUCCIÓN DE LA INSTITUCIÓN EDUCATIVA RURAL PORCESITO, SEDE  I.E.R. PORCESITO DEL MUNICIPIO DE SANTO DOMINGO." u="1"/>
        <s v="AUNAR ESFUERZOS PARA EL MEJORAMIENTO DE LA INFRAESTRUCTURA FÍSICA DE LA INSTITUCIÓN EDUCATIVA RURAL EL GUARUMO, SEDE I.E.R. GUARUMO DEL MUNICIPIO DE CACERES." u="1"/>
        <s v="AUNAR ESFUERZOS PARA EL MEJORAMIENTO DE LA INFRAESTRUCTURA FÍSICA DE LA INSTITUCIÓN EDUCATIVA NECHÍ, SEDE PRINCIPAL Y SEDE SAN NICOLAS DEL MUNICIPIO DE NECHÍ." u="1"/>
        <s v="AUNAR ESFUERZOS PARA EL MEJORAMIENTO DE LA INFRAESTRUCTURA FÍSICA DE LA INSTITUCIÓN EDUCATIVA RARAL PAJULIA, SEDE CHILONA ABAJO DEL MUNICIPIO DE ZARAGOZA." u="1"/>
        <s v="AUNAR ESFUERZOS PARA EL MEJORAMIENTO DE LA INFRAESTRUCTURA FÍSICA DE LA INSTITUCIÓN EDUCATIVA LAS DELICIAS SEDE PRINCIPAL, LICEO EL BAGRE SEDE PORTUGAL, INSTUTUCIÓN EDUCATIVA RURAL MANESCA SEDE BROJOLA, APLIACION DE LA INSTITUCIÓN EDUCATIVA RURAL PUERTO LOPEZ DEL MUNICIPIO DE BAGRE." u="1"/>
        <s v="AUNAR ESFUERZOS PARA EL MEJORAMIENTO DE LA INFRAESTRUCTURA FÍSICA DE LA INSTITUCIÓN EDUCATIVA LA IMACULADA, SEDES I.E. LA IMACULADA PRINCIPAL Y SEDE EL CINCO Y DE LA I.E. ANTONIO ROLDAN BETANCOUR SEDE PRINCIPAL DEL MUNICIPIO DE TARAZÁ." u="1"/>
        <s v="AUNAR ESFUERZOS PARA LA REPOSICIÓN DEL C.E.R. REVENTON, MEJORAMIENTO DEL C.E.R. EL OLIVAR Y MEJORAMIENTO DEL I.E. PEDRO NEL OSPINA SEDE PRINCIPAL Y SEDE EMILIANA PEREZ DEL MUNICIPIO DE ITUANGO." u="1"/>
        <s v="AUNAR ESFUERZOS PARA EL MEJORAMIENTO DE LA INFRAESTRUCTURA FÍSICA DEL C.E.R. LA PAULINA SEDE LA ALEMANIA, Y EL I.E. VALDIVIA SEDE PRINCIPAL, SEDE PEDRO VAZQUEZ Y SEDE MUTABES, DEL MUNICIPIO DE VALDIVIA." u="1"/>
        <s v="AUNAR ESFUERZOS PARA LA REPOSICIÓN DEL INSITUCIÓN EDUCATIVA ANORÍ  SEDE PRINCIPAL  DEL MUNICIPIO DE ANORÍ." u="1"/>
        <s v="AUNAR ESFUERZOS PARA EL MEJORAMIENTO DE LA INFRAESTRUCTURA FÍSICA DE LAS SEDES EDUCATIVAS DEL MUNICIPIO DE BRISEÑO." u="1"/>
        <s v="AUNAR ESFUERZOS PARA EL MEJORAMIENTO DE LA INFRAESTRUCTURA FÍSICA MISERICORDIA SEDE PRINCIPAL Y LA INSTITUCIÓN EDUCATIVA SANTO DOMINGO SEDE PRINCIPAL  DEL MUNICIPIO DE CAUCASIA." u="1"/>
        <s v="AUNAR ESFUERZOS PARA EL MEJORAMIENTO DE LA INFRAESTRUCTURA FÍSICA DE LAS SEDES EDUCATIVAS DEL MUNICIPIO DE SAN JUAN DE URABÁ." u="1"/>
        <s v="AUNAR ESFUERZOS PARA EL MEJORAMIENTO DE LA INFRAESTRUCTURA FÍSICA INSTITUCIÓN EDUCATIVA CELIA DUQUE SEDE PRINCIPAL  DEL MUNICIPIO DE ABEJORRAL." u="1"/>
        <s v="AUNAR ESFUERZOS PARA EL MEJORAMIENTO DE LA INFRAESTRUCTURA FÍSICA DE LA INSTITUCIÓN EDUCATIVA PRESBITERO GERARDO MONTOYA - SEDE I.E. PRESBITERO GERARDO MONTOYA, DEL MUNICIPIO DE AMALFÍ." u="1"/>
        <s v="AUNAR ESFUERZOS PARA LA CONSTRUCCIÓN DE LA INSTITUCIÓN EDUCATIVA LOS ANGELES, SEDE I.E. LOS ANGELES DEL MUNICIPIO DE ANGELOPOLIS." u="1"/>
        <s v="AUNAR ESFUERZOS PARA EL MEJORAMIENTO DE LA INFRAESTRUCTURA FÍSICA DE C. E. R. SAN FERNANDO, SEDE C.E.R. LA GUAJIRA ARRIBA Y DEL C.E.R. SANTA ANA, SEDE EL CHOCHO, DEL MUNICIPIO DE ANGOSTURA." u="1"/>
        <s v="AUNAR ESFUERZOS PARA EL MEJORAMIENTO DE LA INFRAESTRUCTURA FÍSICA DE LA INSTITUCIÓN EDUCATIVA PEDRO LUIS ALVAREZ CORREA Y APLIACION DE LA INSTITUCIÓN EDUCATIVA FEDERICO ANGEL  DEL MUNICIPIO DE CALDAS." u="1"/>
        <s v="AUNAR ESFUERZOS PARA LA CONSTRUCCIÓN DE LA SEGUNDA ETAPA Y SUS OBRAS COMPLEMENTARIAS DE LA INSTITUCIÓN EDUCATIVALAS MALVINAS, SEDE PRINCIPAL  DEL MUNICIPIO DE CAUCACIA." u="1"/>
        <s v="AUNAR ESFUERZOS PARA EL MEJORAMIENTO DE LA INFRAESTRUCTURA FÍSICA DE LAS C.E.R. YERBABUENAL - SEDES C. E. R. LAS BRISAS Y C. E. R. EL PORVENIR DEL MUNICIPIO DE ENTRERRIOS" u="1"/>
        <s v="AUNAR ESFUERZOS PARA EL MEJORAMIENTO DE LA INFRAESTRUCTURA FÍSICA Y FUSIÓN DE LOS C.E.R. HIGERON Y C.E.R. JESUS MARIA (LA MIEL)  DEL MUNICIPIO DE CEJA." u="1"/>
        <s v="AUNAR ESFUERZOS PARA EL MEJORAMIENTO DE LA INFRAESTRUCTURA FÍSICA DE LA INSTITUCIÓN EDUCATIVA RURAL DOLORES E ISMAEL RESTREPO Y LA INSTITUCIÓN EDUCATIVA IGNACIO BOTERO - SEDES I.E.R DOLORES E ISMAEL RESTREPO Y I.E. IGNACIO BOTERO VALLEJO, DEL MUNICIPIO DE RETIRO." u="1"/>
        <s v="AUNAR ESFUERZOS PARA LA CONSTRUCCIÓN DE LA INSTITUCIÓN EDUCATIVALAS SAN FRANCISCO, SEDE I.E. SAN FRANCISCO  DEL MUNICIPIO DE SAN FRANCISCO." u="1"/>
        <s v="AUNAR ESFUERZOS PARA EL MEJORAMIENTO DE LA INFRAESTRUCTURA FÍSICA DE LAS INSTITUCION EDUCATIVA RURAL BOCA DEL MONTE, SEDES HORACIO TORO OCHOA Y PRESBITERO SANTIAGO CALLE ROLDAN, DEL MUNICIPIO DE SANTA ROSA DE OSOS" u="1"/>
        <s v="AUNAR ESFUERZOS PARA EL MEJORAMIENTO DE LA INFRAESTRUCTURA FÍSICA DE LA INSTITUCIÓN EDUCATIVA NORMAL SUPERIOR DE SAN ROQUE-SEDE I.E. NORMAL SUPERIOR DE SAN ROQUE Y DE LA INSTITUCIÓN EDUCATIVA PRESBITERO ABRAHAN JARAMILLO – SEDE I.E. PRESBITERIO ABRAHAN JARAMILLO, DEL MUNICIPIO DE SAN ROQUE." u="1"/>
        <s v="AUNAR ESFUERZOS PARA EL MEJORAMIENTO DE LA INFRAESTRUCTURA FÍSICA DE LA INSTITUCIÓN EDUCATIVA ROSA MARIA HENAO PAVAS - SEDE I.E. INTEGRAL PARA JOVENES Y ADULTOS CELIA RAMOS TORO, DEL MUNICIPIO DE SONSON" u="1"/>
        <s v="AUNAR ESFUERZOS PARA LA CONSTRUCCIÓN DE LA TERCERA ETAPA Y SUS OBRAS COMPLEMENTARIAS DE LA INSTITUCIÓN EDUCATIVA JOSE MARIA VILLA, SEDE COLEGIO JOSE MARIA VILLA DEL MUNICIPIO DE SOPETRAN" u="1"/>
        <s v="AUNAR ESFUERZOS PARA EL MEJORAMIENTO DE LA INFRAESTRUCTURA FÍSICA DE LA INSTITUCIÓN EDUCATIVA LORENZO YALÍ - SEDE LICEO LORENZO YALÍ Y E.U. YALÍ, DEL MUNICIPIO DE YALÍ" u="1"/>
        <s v="AUNAR ESFUERZOS PARA EL MEJORAMIENTO DE LA INFRAESTRUCTURA FÍSICA DE LA INSTITUCION EDUCATIVA LLANOS DE CUIVÁ, DEL MUNICIPIO DE YARUMAL." u="1"/>
        <s v="AUNAR ESFUERZOS PARA EL MEJORAMIENTO DE LA INFRAESTRUCTURA FÍSICA DE LA INSTITUCION EDUCATIVA SAN LUIS- SEDE E.U.  FRANCISCO GALLEGO PEREZ Y E.U. VILLA FATIMA, DEL MUNICIPIO DE YARUMAL." u="1"/>
        <s v="MEJORAMIENTO DE VIAS TERCIARIAS MEDIANTE EL USO DE PLACA HUELLA, EN LA VIA APARTADA DE SAN JUANCITO CEDRO - SANJUANCITO - CEDRO, DEL MUNICIPIO DE SAN PEDRO DE URABA, ANTIOQUIA 2km" u="1"/>
        <s v="AUNAR ESFUERZOS PARA EL MEJORAMIENTO DE LA INFRAESTRUCTURA FÍSICA DE LA INSTITUCIÓN EDUCATIVA MONSEÑOR GERARDO PATIÑO, SEDE BUENOS AIRES DEL MUNICIPIO DE CACERES." u="1"/>
        <s v="AUNAR ESFUERZOS PARA LA CONSTRUCCIÓN  DE LA INFRAESTRUCTURA FÍSICA DE LA INSTITUCIÓN EDUCATIVA MANIZALES, SEDE NICARAGUA DEL MUNICIPIO DE CACERES." u="1"/>
        <s v="AUNAR ESFUERZOS PARA EL MEJORAMIENTO DE LA INFRAESTRUCTURA FÍSICA DE LA INSTITUCIÓN EDUCATIVA HERMANO DANIEL, SEDE PRIMARIA Y LA INSTITUCIÓN EDUCATIVA RURAL DORADAL DEL MUNICIPIO DE PUERTO TRIUNFO." u="1"/>
        <s v="AUNAR ESFUERZOS PARA EL MEJORAMIENTO DE LA INFRAESTRUCTURA FÍSICA DE LA INSTITUCIÓN EDUCATIVA RURAL LA SIERRA Y INSTITUCION EDUCATIVA CARLOS ARTURO DUQUE RAMIREZ DEL MUNICIPIO DE PUERTO NARE." u="1"/>
        <s v="AUNAR ESFUERZOS PARA EL MEJORAMIENTO DE LA INFRAESTRUCTURA FÍSICA DE LA INSTITUCIÓN EDUCATIVA PROCESA DELGADO, SEDE LICEO ALEJANDRIA DEL MUNICIPIO DE ALEJANDRIA." u="1"/>
        <s v="AUNAR ESFUERZOS PARA EL MEJORAMIENTO DE LA INFRAESTRUCTURA FÍSICA DE LA INSTITUCIÓN EDUCATIVA SANTA TERESA, SEDE PRINCIPAL DEL MUNICIPIO DE ARGELIA." u="1"/>
        <s v="Construcción de placa huella en la vía acceso al corregimiento de Belén Municipio de San Juan de Urabá, Antioquia" u="1"/>
        <s v="CONSTRUCCIÓN DE PLACA HUELLA EN LA VÍA QUE CONDUCE DESDE LA VEREDA CAMPO ALEGRE A LA VEREDA SANTA ROSITA, ZONA RURAL DEL MUNICIPIO DE CAUCASIA&quot;" u="1"/>
        <s v="MEJORAMIENTO DE VIAS TERCIARIAS MEDIANTE LA CONSTRUCCION DE PLACA HUELLAS ENTRE EL CORREGIMIENTO LAS MERCEDES Y LA VEREDA LA ESTRELLA EN EL MUNICIPIO DE PUERTO TRIUNFO" u="1"/>
        <s v="CONSTRUCCIÓN DE 1.030m DE PLACA  HUELLA DE LA VÍA TERCIARIA VEREDA EL VOLCÁN – VEREDA PUEBLITO LOS  BOLÍVARES EN EL MUNICIPIO DE TITIRIBÍ DEL DEPARTAMENTO DE ANTIOQUIA" u="1"/>
        <s v="Angostura -Chilimaco" u="1"/>
        <s v="13 tramos" u="1"/>
        <s v="Construccion placa hulla Boquerón - San Isidro 2km" u="1"/>
        <s v="_x000a_AUNAR ESFUERZOS PARA DEMOLICIÓN DE BLOQUE EDUCATIVO EN LA I.E. LOS ÁNGELES DEL MUNICIPIO DE ANGELÓPOLIS._x000a_" u="1"/>
        <s v="AUNAR ESFUERZOS PARA EL MEJORAMIENTO Y REPOSICIÓN DE LA INSTITUCIÓN EDUCATIVA RURAL SAN JUANCITO DEL MUNICIPIO DE SAN JUAN DE URABÁ." u="1"/>
        <s v="AUNAR ESFUERZOS PARA EL MEJORAMIENTO DE LA INFRAESTRUCTURA FÍSICA, DE LA INSTITUCIÓN AGRÍCOLA DE URABÁ, SEDE E.U.I BRISAS DEL RÍO DEL MUNICIPIO DE CHIGORODÓ." u="1"/>
        <s v="FUNDACION MINEROS" u="1"/>
        <s v="Mejoramiento de vías terciarias de las veredas Mulatico, Patio Bonito y Morrón del municipio de Tarso, Antioquia mediante la construcción de pavimentación de Placa huella" u="1"/>
        <s v="SOLICITUD DE ESTUDIOS Y EJECUCIÓN DE PROYECTO PLACA HUELLA RURAL. " u="1"/>
        <s v=" plaza de mercado del municipio de amagá" u="1"/>
        <s v="Solicitud de recursos para la cofinanciaón y ejecución de varias obras de infraestructura en el municipio de Jardín Antioquia.  - Pavimentación de vías urbanas  - Reparcheo y repavimentación de vías urbanas - Construcción de placa huella  - pavimentacvión de vías terciarias con pavimento flexible. -Construcción de andenes o pasarelas peatonales en vía secundaria (Resguardo Karmata-Rúa)." u="1"/>
        <s v="PAVIMENTACIÓN 3.0 KM DE PLACA HUELLA" u="1"/>
        <s v="HAY DOS PROYECTOS POR MENOR VALOR" u="1"/>
        <s v="Construcción del Puente Biblioteca en el municipio de Rionegro" u="1"/>
        <s v="Aeropuerto Regional - Parque Lineal (Ciclo vía) - Peopuesta proyectos en desarrollo Bajo Cauca Antioqueño. Finca la Mariela - Caucasía, Antioquia" u="1"/>
        <s v="Construcción del ámbito patrimonio del proyecto Paisajes del Agua en el Municipio de Rionegro" u="1"/>
        <s v="Construcción de placa huella y obras complementarias en la vía Támesis - San Pablo en el municipio de Támesis - Antioquia" u="1"/>
        <s v="REHABILITACIÓN Y MEJORAMIENTO DE 1.5 KILOMETROS DE PAVIMENTACIÓN FLEXIBLE DE VÍA RURAL QUE CONDUCE HACIA LA VEREDA EL RODEO, MUNICIPIO DE SOPETRAN, ANTIOQUIA" u="1"/>
        <s v="Reavilitación y mejoramiento de 1.5 km  de pavimento flexible de vía rural que conduce a la vereda El Rodeo del municipio de Sopetran" u="1"/>
      </sharedItems>
    </cacheField>
    <cacheField name="FECHA RECEPCION NECESIDAD" numFmtId="14">
      <sharedItems containsSemiMixedTypes="0" containsNonDate="0" containsDate="1" containsString="0" minDate="1899-12-30T00:00:00" maxDate="2025-06-11T00:00:00"/>
    </cacheField>
    <cacheField name="MUNICIPIO" numFmtId="0">
      <sharedItems count="128">
        <s v="Vegachí"/>
        <s v="Barbosa"/>
        <s v="Rionegro"/>
        <s v="Santa Bárbara"/>
        <s v="Abejorral"/>
        <s v="Donmatías"/>
        <s v="Carepa"/>
        <s v="Caucasia"/>
        <s v="Armenia"/>
        <s v="Támesis"/>
        <s v="Tarso"/>
        <s v="San José de la Montaña"/>
        <s v="Fredonia"/>
        <s v="San Pedro de Urabá"/>
        <s v="San Juan de Urabá"/>
        <s v="Yolombó"/>
        <s v="Alejandría"/>
        <s v="Turbo"/>
        <s v="Puerto Triunfo"/>
        <s v="Santa Rosa de Osos"/>
        <s v="Sonsón"/>
        <s v="Pueblorrico"/>
        <s v="Valparaíso"/>
        <s v="Amagá"/>
        <s v="Sopetrán"/>
        <s v="Concepción"/>
        <s v="Apartadó"/>
        <s v="San Francisco"/>
        <s v="La Ceja"/>
        <s v="Chigorodó"/>
        <s v="Yarumal"/>
        <s v="Cocorná"/>
        <s v="Betania"/>
        <s v="Copacabana"/>
        <s v="Puerto Nare"/>
        <s v="Briceño"/>
        <s v="Gómez Plata"/>
        <s v="Argelia"/>
        <s v="Jericó"/>
        <s v="Titiribí"/>
        <s v="Vigía del Fuerte"/>
        <s v="Segovia"/>
        <s v="Necoclí"/>
        <s v="Jardín"/>
        <s v="Giraldo"/>
        <s v="Entrerríos"/>
        <s v="Guarne"/>
        <s v="Santa Fe de Antioquia"/>
        <s v="Anzá"/>
        <s v="El Bagre"/>
        <s v="San Pedro de los Milagros"/>
        <s v="Marinilla"/>
        <s v="Cañasgordas"/>
        <s v="Nechí"/>
        <s v="La Unión"/>
        <s v="Cáceres"/>
        <s v="Arboletes"/>
        <s v="Girardota"/>
        <s v="Zaragoza"/>
        <s v="Valdivia"/>
        <s v="El Carmen de Viboral"/>
        <s v="Liborina"/>
        <s v="Andes"/>
        <s v="Urrao"/>
        <s v="Ciudad Bolívar"/>
        <s v="Montebello"/>
        <s v="El Peñol"/>
        <s v="San Carlos"/>
        <s v="El Santuario"/>
        <s v="Sabaneta"/>
        <s v="San Roque"/>
        <s v="Frontino"/>
        <s v="Murindó"/>
        <s v="Uramita"/>
        <s v="El Retiro"/>
        <s v="San Luis"/>
        <s v="Olaya"/>
        <s v="Venecia"/>
        <s v="La Pintada"/>
        <s v="Campamento"/>
        <s v="San Jerónimo"/>
        <s v="Granada"/>
        <s v="Maceo"/>
        <s v="Concordia"/>
        <s v="Caicedo"/>
        <s v="Peque"/>
        <s v="Belmira"/>
        <s v="Angelópolis"/>
        <s v="Anorí"/>
        <s v="San Rafael"/>
        <s v="Caracolí"/>
        <s v="Cisneros"/>
        <s v="Salgar"/>
        <s v="Caramanta"/>
        <s v="Abriaquí"/>
        <s v="Betulia"/>
        <s v="Amalfi"/>
        <s v="Angostura"/>
        <s v="Carolina del Príncipe"/>
        <s v="Yondó"/>
        <s v="Buriticá"/>
        <s v="Ebéjico"/>
        <s v="Medellín"/>
        <s v="Dabeiba"/>
        <s v="San Vicente Ferrer"/>
        <s v="Guatapé"/>
        <s v="Nariño"/>
        <s v="Hispania"/>
        <s v="Yalí"/>
        <s v="Caldas"/>
        <s v="Tarazá"/>
        <s v="Santo Domingo"/>
        <s v="Envigado"/>
        <s v="Ituango"/>
        <s v="Heliconia"/>
        <s v="Remedios"/>
        <s v="Toledo"/>
        <s v="Mutatá"/>
        <s v="San Andrés de Cuerquia"/>
        <s v="Sabanalarga"/>
        <s v="Puerto Berrío" u="1"/>
        <s v="Bello" u="1"/>
        <s v="Guadalupe" u="1"/>
        <s v="Itagüí" u="1"/>
        <s v="La Estrella" u="1"/>
        <s v="Bajo Cauca" u="1"/>
        <s v="Urabá" u="1"/>
        <s v="San Roque " u="1"/>
      </sharedItems>
    </cacheField>
    <cacheField name="SUBREGION" numFmtId="0">
      <sharedItems count="9">
        <s v="Nordeste"/>
        <s v="Valle de Aburrá"/>
        <s v="Oriente"/>
        <s v="Suroeste"/>
        <s v="Norte"/>
        <s v="Urabá"/>
        <s v="Bajo Cauca"/>
        <s v="Occidente"/>
        <s v="Magdalena Medio"/>
      </sharedItems>
    </cacheField>
    <cacheField name="LONGITUD" numFmtId="0">
      <sharedItems containsSemiMixedTypes="0" containsString="0" containsNumber="1" minValue="-76.896004000000005" maxValue="-73.912445000000005"/>
    </cacheField>
    <cacheField name="LATITUD" numFmtId="0">
      <sharedItems containsMixedTypes="1" containsNumber="1" minValue="5.6145550000000002" maxValue="8.0899289999999997"/>
    </cacheField>
    <cacheField name="PDET" numFmtId="0">
      <sharedItems containsSemiMixedTypes="0" containsString="0" containsNumber="1" containsInteger="1" minValue="0" maxValue="1"/>
    </cacheField>
    <cacheField name="ZOMAC" numFmtId="0">
      <sharedItems containsSemiMixedTypes="0" containsString="0" containsNumber="1" containsInteger="1" minValue="0" maxValue="1"/>
    </cacheField>
    <cacheField name="RADICADOS ASOCIADOS" numFmtId="0">
      <sharedItems containsBlank="1" containsMixedTypes="1" containsNumber="1" containsInteger="1" minValue="2024010401561" maxValue="2025010091549"/>
    </cacheField>
    <cacheField name="FASE PROYECTO" numFmtId="0">
      <sharedItems containsBlank="1" containsMixedTypes="1" containsNumber="1" containsInteger="1" minValue="0" maxValue="3" count="6">
        <n v="1"/>
        <n v="3"/>
        <m/>
        <n v="2"/>
        <n v="0"/>
        <s v="N/A"/>
      </sharedItems>
    </cacheField>
    <cacheField name="VALOR NECESIDAD SIF" numFmtId="0">
      <sharedItems containsString="0" containsBlank="1" containsNumber="1" containsInteger="1" minValue="30000000" maxValue="1518014647883"/>
    </cacheField>
    <cacheField name="TIPOLOGIA" numFmtId="0">
      <sharedItems containsBlank="1" count="29">
        <s v="Parque"/>
        <s v="Intercambio Vial"/>
        <s v="Edificio Institucional"/>
        <s v="Pavimento Flexible"/>
        <s v="Placa huella"/>
        <s v="Otros"/>
        <s v="Pavimento Rígido"/>
        <s v="Equipamento"/>
        <s v="Malecón"/>
        <s v="Plaza de Mercado"/>
        <s v="Puntos de Atención Prioritaria"/>
        <s v="Estudios y Diseños"/>
        <s v="Pavimento Articulado"/>
        <s v="Puente Peatonal"/>
        <s v="Ciclo Ruta"/>
        <m/>
        <s v="Puente Vehicular"/>
        <s v="Estabilización"/>
        <s v="Urbanismo"/>
        <s v="Muro de Contención"/>
        <s v="Puente Metalico"/>
        <s v="Ampliacion de la I.E. San Andrés" u="1"/>
        <s v="Mejoramiento" u="1"/>
        <s v="Adecuacion Restaurante escolar" u="1"/>
        <s v="Proceso" u="1"/>
        <s v="Reposición" u="1"/>
        <s v="Proyección - RENTAN" u="1"/>
        <s v="Actualización Vigencia Futura" u="1"/>
        <s v="Mejoramiento y Reposición" u="1"/>
      </sharedItems>
    </cacheField>
    <cacheField name="ORDEN VIAL" numFmtId="0">
      <sharedItems containsBlank="1"/>
    </cacheField>
    <cacheField name="ASOCIACION AL PD" numFmtId="0">
      <sharedItems containsBlank="1"/>
    </cacheField>
    <cacheField name="OBSERVACION" numFmtId="0">
      <sharedItems containsBlank="1" longText="1"/>
    </cacheField>
    <cacheField name="PRIORIZADO" numFmtId="0">
      <sharedItems containsString="0" containsBlank="1" containsNumber="1" containsInteger="1" minValue="1" maxValue="1"/>
    </cacheField>
    <cacheField name="POSIBLE FUENTE FINANCIACION" numFmtId="0">
      <sharedItems containsBlank="1"/>
    </cacheField>
    <cacheField name="PROGRAMA" numFmtId="0">
      <sharedItems containsBlank="1"/>
    </cacheField>
    <cacheField name="CATEGORÍA" numFmtId="0">
      <sharedItems containsMixedTypes="1" containsNumber="1" containsInteger="1" minValue="1" maxValue="6"/>
    </cacheField>
    <cacheField name="INGRESOS EJECUTADOS 2024_x000a_PROYECTADOS 2025" numFmtId="164">
      <sharedItems containsSemiMixedTypes="0" containsString="0" containsNumber="1" minValue="4127448900.7750001" maxValue="3643253573623.1133"/>
    </cacheField>
    <cacheField name="GASTOS EJECUTADOS 2024_x000a_PROYECTADOS 2025" numFmtId="0">
      <sharedItems containsSemiMixedTypes="0" containsString="0" containsNumber="1" minValue="1263292997.6800001" maxValue="1227432033091.78"/>
    </cacheField>
    <cacheField name="AHORRO OPERACIONAL" numFmtId="0">
      <sharedItems containsSemiMixedTypes="0" containsString="0" containsNumber="1" minValue="1954156093.6255007" maxValue="2415821540531.333"/>
    </cacheField>
    <cacheField name="DEUDA IDEA_x000a_Incluye por desembolsar" numFmtId="0">
      <sharedItems containsSemiMixedTypes="0" containsString="0" containsNumber="1" minValue="0" maxValue="180986901342"/>
    </cacheField>
    <cacheField name="DEUDAS CON OTROS BANCOS _x000a_Incluye por desembolsar" numFmtId="0">
      <sharedItems containsSemiMixedTypes="0" containsString="0" containsNumber="1" minValue="0" maxValue="2084001890354"/>
    </cacheField>
    <cacheField name="SALDO TOTAL DEUDA PROYECTADA" numFmtId="0">
      <sharedItems containsSemiMixedTypes="0" containsString="0" containsNumber="1" minValue="0" maxValue="2264988791696"/>
    </cacheField>
    <cacheField name="INDICADOR DE CAPACIDAD _x000a_LEY 358 DE 1997" numFmtId="9">
      <sharedItems containsSemiMixedTypes="0" containsString="0" containsNumber="1" minValue="0" maxValue="0.77754604508241576"/>
    </cacheField>
    <cacheField name="CAPACIDAD MAXIMA DE ENDEUDAMIENTO AL 100%" numFmtId="0">
      <sharedItems containsSemiMixedTypes="0" containsString="0" containsNumber="1" minValue="1951580207.7750001" maxValue="1378264781927.1133"/>
    </cacheField>
    <cacheField name="CAPACIDAD MAXIMA DE ENDEUDAMIENTO AL 80%" numFmtId="0">
      <sharedItems containsSemiMixedTypes="0" containsString="0" containsNumber="1" minValue="1561264166.2200003" maxValue="1102611825541.6907"/>
    </cacheField>
    <cacheField name="CAPACIDAD MAXIMA DE ENDEUDAMIENTO AL 60%" numFmtId="0">
      <sharedItems containsSemiMixedTypes="0" containsString="0" containsNumber="1" minValue="1170948124.665" maxValue="826958869156.26794"/>
    </cacheField>
    <cacheField name="Deuda del IDEA sobre el total" numFmtId="9">
      <sharedItems containsSemiMixedTypes="0" containsString="0" containsNumber="1" minValue="0" maxValue="1"/>
    </cacheField>
    <cacheField name="INDICADOR LEY 617" numFmtId="9">
      <sharedItems containsSemiMixedTypes="0" containsString="0" containsNumber="1" minValue="0.23207277402530038" maxValue="1.3391267531682534"/>
    </cacheField>
    <cacheField name="LÍMITE 617" numFmtId="9">
      <sharedItems containsSemiMixedTypes="0" containsString="0" containsNumber="1" minValue="0.5" maxValue="0.8"/>
    </cacheField>
    <cacheField name="SEMÁFORO" numFmtId="0">
      <sharedItems containsMixedTypes="1" containsNumber="1" containsInteger="1" minValue="0" maxValue="0" count="4">
        <s v="Cumple"/>
        <s v="Incumple"/>
        <s v="Riesgo"/>
        <n v="0" u="1"/>
      </sharedItems>
    </cacheField>
    <cacheField name="APORTE GOB" numFmtId="164">
      <sharedItems containsSemiMixedTypes="0" containsString="0" containsNumber="1" minValue="234189624.933" maxValue="165391773831.2536"/>
    </cacheField>
    <cacheField name="SOBRANTE FALTANTE" numFmtId="164">
      <sharedItems containsSemiMixedTypes="0" containsString="0" containsNumber="1" minValue="-1514260574754.7859" maxValue="992350642987.52148"/>
    </cacheField>
    <cacheField name="SOBRANTE" numFmtId="0" formula="'CAPACIDAD MAXIMA DE ENDEUDAMIENTO AL 60%'-'TOTALES SIF Y SED'" databaseField="0"/>
    <cacheField name="TOTALES SIF Y SED" numFmtId="0" formula="'VALOR NECESIDAD SIF'+#NAME?" databaseField="0"/>
  </cacheFields>
  <extLst>
    <ext xmlns:x14="http://schemas.microsoft.com/office/spreadsheetml/2009/9/main" uri="{725AE2AE-9491-48be-B2B4-4EB974FC3084}">
      <x14:pivotCacheDefinition pivotCacheId="155851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9">
  <r>
    <n v="1"/>
    <x v="0"/>
    <d v="2024-02-05T00:00:00"/>
    <x v="0"/>
    <x v="0"/>
    <n v="-74.798714000000004"/>
    <n v="6.7735250000000002"/>
    <n v="0"/>
    <n v="1"/>
    <s v="2024010048235"/>
    <x v="0"/>
    <m/>
    <x v="0"/>
    <m/>
    <s v="Espacio público adecuado"/>
    <m/>
    <m/>
    <m/>
    <m/>
    <n v="6"/>
    <n v="14438255937.0725"/>
    <n v="4668200945.8400002"/>
    <n v="9770054991.2325001"/>
    <n v="2534414723"/>
    <n v="0"/>
    <n v="2534414723"/>
    <n v="0.17553468604836753"/>
    <n v="11903841214.0725"/>
    <n v="9523072971.2580013"/>
    <n v="7142304728.4434996"/>
    <n v="1"/>
    <n v="0.5148707777903756"/>
    <n v="0.8"/>
    <x v="0"/>
    <n v="1428460945.6887"/>
    <n v="1100754852.1321993"/>
  </r>
  <r>
    <n v="3"/>
    <x v="1"/>
    <d v="2024-12-03T00:00:00"/>
    <x v="1"/>
    <x v="1"/>
    <n v="-75.331626999999997"/>
    <s v="6,439195"/>
    <n v="0"/>
    <n v="0"/>
    <s v="2024010111694"/>
    <x v="1"/>
    <n v="54654511129"/>
    <x v="1"/>
    <s v="Urbana"/>
    <s v="Vía urbana mejorada"/>
    <m/>
    <m/>
    <m/>
    <m/>
    <n v="4"/>
    <n v="56592203197.536499"/>
    <n v="24375972647.860001"/>
    <n v="32216230549.676498"/>
    <n v="0"/>
    <n v="15044963334.42"/>
    <n v="15044963334.42"/>
    <n v="0.26584869442006315"/>
    <n v="41547239863.116501"/>
    <n v="33237791890.493202"/>
    <n v="24928343917.8699"/>
    <n v="0"/>
    <n v="0.60385208261970102"/>
    <n v="0.8"/>
    <x v="0"/>
    <n v="4985668783.5739803"/>
    <n v="-31357431194.556122"/>
  </r>
  <r>
    <n v="4"/>
    <x v="2"/>
    <d v="2024-07-03T00:00:00"/>
    <x v="2"/>
    <x v="2"/>
    <n v="-75.377315999999993"/>
    <s v="6,147148"/>
    <n v="0"/>
    <n v="0"/>
    <s v="2024010105045"/>
    <x v="1"/>
    <n v="8594513471"/>
    <x v="2"/>
    <m/>
    <s v="Equipamientos construidos"/>
    <s v="Peticion por recursos para obra adicional"/>
    <m/>
    <m/>
    <m/>
    <n v="1"/>
    <n v="501236439904.31354"/>
    <n v="112502020079.39"/>
    <n v="388734419824.92352"/>
    <n v="85394840514"/>
    <n v="114109886446.23999"/>
    <n v="199504726960.23999"/>
    <n v="0.39802518547599136"/>
    <n v="301731712944.07355"/>
    <n v="241385370355.25885"/>
    <n v="181039027766.44412"/>
    <n v="0.42803417149619039"/>
    <n v="0.23207277402530038"/>
    <n v="0.65"/>
    <x v="0"/>
    <n v="36207805553.288826"/>
    <n v="195551024159.73294"/>
  </r>
  <r>
    <n v="5"/>
    <x v="3"/>
    <d v="2024-02-16T00:00:00"/>
    <x v="3"/>
    <x v="3"/>
    <n v="-75.567351000000002"/>
    <s v="5,875527"/>
    <n v="0"/>
    <n v="0"/>
    <s v="2024010070587"/>
    <x v="0"/>
    <m/>
    <x v="3"/>
    <s v="Segundo Orden"/>
    <s v="Vías secundarias mejoradas"/>
    <s v="Solicitud para incluir en PD 2024 pavimentacion de via secundaria Santa Barbara - Fredonia"/>
    <m/>
    <m/>
    <m/>
    <n v="6"/>
    <n v="12109127304.486"/>
    <n v="6485076277.8299999"/>
    <n v="5624051026.6560001"/>
    <n v="3662325591"/>
    <n v="0"/>
    <n v="3662325591"/>
    <n v="0.30244339653141139"/>
    <n v="8446801713.4860001"/>
    <n v="6757441370.7888002"/>
    <n v="5068081028.0915995"/>
    <n v="1"/>
    <n v="0.55253262293583549"/>
    <n v="0.8"/>
    <x v="0"/>
    <n v="1013616205.61832"/>
    <n v="5281697233.709919"/>
  </r>
  <r>
    <n v="6"/>
    <x v="4"/>
    <d v="2024-02-19T00:00:00"/>
    <x v="4"/>
    <x v="2"/>
    <n v="-75.428738999999993"/>
    <n v="5.7893150000000002"/>
    <n v="0"/>
    <n v="1"/>
    <s v="2024010071479"/>
    <x v="0"/>
    <m/>
    <x v="4"/>
    <s v="Tercer Orden"/>
    <s v="Vías terciarias mejoradas"/>
    <s v="No tiene E&amp;D. GOB 50% MUNIC 30% COM 20%"/>
    <n v="1"/>
    <s v="SGR Regionales 60%"/>
    <s v="Placa huellas 2025-2"/>
    <n v="6"/>
    <n v="15030770872.282"/>
    <n v="4409672661.8199997"/>
    <n v="10621098210.462"/>
    <n v="1969764886"/>
    <n v="0"/>
    <n v="1969764886"/>
    <n v="0.13104882661955891"/>
    <n v="13061005986.282"/>
    <n v="10448804789.0256"/>
    <n v="7836603591.7691994"/>
    <n v="1"/>
    <n v="0.39507659260977307"/>
    <n v="0.8"/>
    <x v="0"/>
    <n v="1567320718.3538399"/>
    <n v="4201171682.1230392"/>
  </r>
  <r>
    <n v="7"/>
    <x v="5"/>
    <d v="2024-01-17T00:00:00"/>
    <x v="5"/>
    <x v="4"/>
    <n v="-75.392629999999997"/>
    <s v="6,485603"/>
    <n v="0"/>
    <n v="0"/>
    <s v="2024010019030"/>
    <x v="0"/>
    <m/>
    <x v="3"/>
    <s v="Tercer Orden"/>
    <s v="Vías terciarias mejoradas"/>
    <m/>
    <m/>
    <m/>
    <m/>
    <n v="6"/>
    <n v="24529039369.539501"/>
    <n v="8973012363.6700001"/>
    <n v="15556027005.869501"/>
    <n v="7973050390"/>
    <n v="1625381984"/>
    <n v="9598432374"/>
    <n v="0.39130893914742809"/>
    <n v="14930606995.539501"/>
    <n v="11944485596.431602"/>
    <n v="8958364197.3237"/>
    <n v="0.83066172467883448"/>
    <n v="0.53024343717246458"/>
    <n v="0.8"/>
    <x v="0"/>
    <n v="1791672839.46474"/>
    <n v="-8164135575.2115593"/>
  </r>
  <r>
    <n v="8"/>
    <x v="6"/>
    <d v="2024-01-17T00:00:00"/>
    <x v="6"/>
    <x v="5"/>
    <n v="-76.652652000000003"/>
    <s v="7,755148"/>
    <n v="1"/>
    <n v="1"/>
    <s v="2024010020020"/>
    <x v="2"/>
    <m/>
    <x v="5"/>
    <m/>
    <s v="Otros"/>
    <m/>
    <m/>
    <m/>
    <m/>
    <n v="6"/>
    <n v="31551501799.776001"/>
    <n v="12896901947.809999"/>
    <n v="18654599851.966003"/>
    <n v="4320802475"/>
    <n v="2118562934.45"/>
    <n v="6439365409.4499998"/>
    <n v="0.20409061509381832"/>
    <n v="25112136390.326"/>
    <n v="20089709112.260799"/>
    <n v="15067281834.195601"/>
    <n v="0.67099818076158058"/>
    <n v="0.60103296352987046"/>
    <n v="0.8"/>
    <x v="0"/>
    <n v="3013456366.8391204"/>
    <n v="10290788523.034721"/>
  </r>
  <r>
    <n v="9"/>
    <x v="7"/>
    <d v="2024-05-02T00:00:00"/>
    <x v="0"/>
    <x v="0"/>
    <n v="-74.798714000000004"/>
    <n v="6.7735250000000002"/>
    <n v="0"/>
    <n v="1"/>
    <s v="2024010048752"/>
    <x v="0"/>
    <m/>
    <x v="3"/>
    <s v="Tercer Orden"/>
    <s v="Vías terciarias mejoradas"/>
    <m/>
    <m/>
    <m/>
    <m/>
    <n v="6"/>
    <n v="14438255937.0725"/>
    <n v="4668200945.8400002"/>
    <n v="9770054991.2325001"/>
    <n v="2534414723"/>
    <n v="0"/>
    <n v="2534414723"/>
    <n v="0.17553468604836753"/>
    <n v="11903841214.0725"/>
    <n v="9523072971.2580013"/>
    <n v="7142304728.4434996"/>
    <n v="1"/>
    <n v="0.5148707777903756"/>
    <n v="0.8"/>
    <x v="0"/>
    <n v="1428460945.6887"/>
    <n v="1100754852.1321993"/>
  </r>
  <r>
    <n v="10"/>
    <x v="8"/>
    <d v="2024-01-02T00:00:00"/>
    <x v="7"/>
    <x v="6"/>
    <n v="-75.197996000000003"/>
    <s v="7,977278"/>
    <n v="1"/>
    <n v="1"/>
    <s v="2024010043395"/>
    <x v="3"/>
    <m/>
    <x v="0"/>
    <m/>
    <s v="Espacio público adecuado"/>
    <s v="Son tres proyectos para los cuales CEDRA busca apoyo"/>
    <m/>
    <m/>
    <m/>
    <n v="5"/>
    <n v="55415011363.643501"/>
    <n v="24252117123.400002"/>
    <n v="31162894240.2435"/>
    <n v="8970758412"/>
    <n v="3572173854.98"/>
    <n v="12542932266.98"/>
    <n v="0.22634538834019124"/>
    <n v="42872079096.663498"/>
    <n v="34297663277.330799"/>
    <n v="25723247457.998096"/>
    <n v="0.71520424578996133"/>
    <n v="0.67052010826145281"/>
    <n v="0.8"/>
    <x v="0"/>
    <n v="5144649491.5996199"/>
    <n v="11453646060.597717"/>
  </r>
  <r>
    <n v="11"/>
    <x v="9"/>
    <d v="2024-02-16T00:00:00"/>
    <x v="8"/>
    <x v="7"/>
    <n v="-75.786647000000002"/>
    <s v="6,155667"/>
    <n v="0"/>
    <n v="0"/>
    <s v="2024010068835"/>
    <x v="0"/>
    <m/>
    <x v="3"/>
    <s v="Tercer Orden"/>
    <s v="Vías terciarias mantenidas"/>
    <m/>
    <m/>
    <m/>
    <m/>
    <n v="6"/>
    <n v="4667939777.7010002"/>
    <n v="2029602941.79"/>
    <n v="2638336835.9110003"/>
    <n v="355713183"/>
    <n v="0"/>
    <n v="355713183"/>
    <n v="7.6203464470398913E-2"/>
    <n v="4312226594.7010002"/>
    <n v="3449781275.7608004"/>
    <n v="2587335956.8206"/>
    <n v="1"/>
    <n v="0.65637281757364385"/>
    <n v="0.8"/>
    <x v="0"/>
    <n v="517467191.36412001"/>
    <n v="3104803148.18472"/>
  </r>
  <r>
    <n v="13"/>
    <x v="10"/>
    <d v="1899-12-30T00:00:00"/>
    <x v="9"/>
    <x v="3"/>
    <n v="-75.714428999999996"/>
    <n v="5.6646450000000002"/>
    <n v="0"/>
    <n v="0"/>
    <s v=""/>
    <x v="0"/>
    <m/>
    <x v="4"/>
    <s v="Tercer Orden"/>
    <s v="Vías terciarias mejoradas"/>
    <s v="Via 2.5km que comunica corregimientos de San Pablo y la vereda el Narajal. FASE 1"/>
    <m/>
    <m/>
    <m/>
    <n v="6"/>
    <n v="13939577899.640499"/>
    <n v="5408645166.3600006"/>
    <n v="8530932733.2804985"/>
    <n v="2408239973"/>
    <n v="812109375"/>
    <n v="3220349348"/>
    <n v="0.23102201309001277"/>
    <n v="10719228551.640499"/>
    <n v="8575382841.3123999"/>
    <n v="6431537130.9842997"/>
    <n v="0.74781947942872684"/>
    <n v="0.48148969869574604"/>
    <n v="0.8"/>
    <x v="0"/>
    <n v="1286307426.1968601"/>
    <n v="-10772171787.81884"/>
  </r>
  <r>
    <n v="14"/>
    <x v="11"/>
    <d v="2024-02-26T00:00:00"/>
    <x v="10"/>
    <x v="3"/>
    <n v="-75.822956000000005"/>
    <n v="5.8645420000000001"/>
    <n v="0"/>
    <n v="0"/>
    <s v="2024010084216"/>
    <x v="3"/>
    <m/>
    <x v="3"/>
    <s v="Segundo Orden"/>
    <s v="Vías secundarias mejoradas"/>
    <s v="Peticion se ha hecho en multiples ocasiones. Reclaman un intervencion que nunca se hizo y piden apoyo"/>
    <m/>
    <m/>
    <m/>
    <n v="6"/>
    <n v="9297204605.9125004"/>
    <n v="4650900904.1300001"/>
    <n v="4646303701.7825003"/>
    <n v="1308996768"/>
    <n v="0"/>
    <n v="1308996768"/>
    <n v="0.14079466070560084"/>
    <n v="7988207837.9125004"/>
    <n v="6390566270.3300009"/>
    <n v="4792924702.7475004"/>
    <n v="1"/>
    <n v="0.67267671220391811"/>
    <n v="0.8"/>
    <x v="0"/>
    <n v="958584940.54950011"/>
    <n v="-1217788521.7029991"/>
  </r>
  <r>
    <n v="15"/>
    <x v="12"/>
    <d v="2024-01-31T00:00:00"/>
    <x v="11"/>
    <x v="4"/>
    <n v="-75.683351999999999"/>
    <s v="6,85009"/>
    <n v="0"/>
    <n v="0"/>
    <s v="2024010041849"/>
    <x v="0"/>
    <m/>
    <x v="3"/>
    <s v="Urbana"/>
    <s v="Vía urbana mejorada"/>
    <m/>
    <m/>
    <m/>
    <m/>
    <n v="6"/>
    <n v="5437802568.3275003"/>
    <n v="2195257843.8499999"/>
    <n v="3242544724.4775004"/>
    <n v="1389038990"/>
    <n v="0"/>
    <n v="1389038990"/>
    <n v="0.25544123247329026"/>
    <n v="4048763578.3275003"/>
    <n v="3239010862.6620007"/>
    <n v="2429258146.9965"/>
    <n v="1"/>
    <n v="0.74230580339650343"/>
    <n v="0.8"/>
    <x v="0"/>
    <n v="485851629.39930004"/>
    <n v="-14155936706.6042"/>
  </r>
  <r>
    <n v="16"/>
    <x v="13"/>
    <d v="2024-07-02T00:00:00"/>
    <x v="11"/>
    <x v="4"/>
    <n v="-75.683351999999999"/>
    <s v="6,85009"/>
    <n v="0"/>
    <n v="0"/>
    <s v="2024010054228"/>
    <x v="1"/>
    <n v="3142000000"/>
    <x v="3"/>
    <s v="Tercer Orden"/>
    <s v="Vías terciarias mejoradas"/>
    <m/>
    <m/>
    <m/>
    <m/>
    <n v="6"/>
    <n v="5437802568.3275003"/>
    <n v="2195257843.8499999"/>
    <n v="3242544724.4775004"/>
    <n v="1389038990"/>
    <n v="0"/>
    <n v="1389038990"/>
    <n v="0.25544123247329026"/>
    <n v="4048763578.3275003"/>
    <n v="3239010862.6620007"/>
    <n v="2429258146.9965"/>
    <n v="1"/>
    <n v="0.74230580339650343"/>
    <n v="0.8"/>
    <x v="0"/>
    <n v="485851629.39930004"/>
    <n v="-14155936706.6042"/>
  </r>
  <r>
    <n v="17"/>
    <x v="14"/>
    <d v="2024-01-15T00:00:00"/>
    <x v="12"/>
    <x v="3"/>
    <n v="-75.675072"/>
    <s v="5,928039"/>
    <n v="0"/>
    <n v="0"/>
    <s v="2024010013378"/>
    <x v="0"/>
    <m/>
    <x v="3"/>
    <s v="Segundo Orden"/>
    <s v="Vías secundarias mejoradas"/>
    <s v="Peticion para pavimentar via de segundo orden"/>
    <m/>
    <m/>
    <m/>
    <n v="6"/>
    <n v="17515986067.273998"/>
    <n v="8346764868.3600006"/>
    <n v="9169221198.9139977"/>
    <n v="0"/>
    <n v="6328650461"/>
    <n v="6328650461"/>
    <n v="0.36130711891945022"/>
    <n v="11187335606.273998"/>
    <n v="8949868485.0191994"/>
    <n v="6712401363.7643986"/>
    <n v="0"/>
    <n v="0.67376313277740918"/>
    <n v="0.8"/>
    <x v="0"/>
    <n v="1342480272.7528799"/>
    <n v="3280962216.5172787"/>
  </r>
  <r>
    <n v="18"/>
    <x v="15"/>
    <d v="2024-04-24T00:00:00"/>
    <x v="13"/>
    <x v="5"/>
    <n v="-76.380566999999999"/>
    <s v="8,276884"/>
    <n v="1"/>
    <n v="1"/>
    <s v="2024010179553"/>
    <x v="2"/>
    <m/>
    <x v="6"/>
    <s v="Urbana"/>
    <s v="Vía urbana mejorada"/>
    <m/>
    <m/>
    <m/>
    <m/>
    <n v="6"/>
    <n v="19508372714.52"/>
    <n v="5389834315.5"/>
    <n v="14118538399.02"/>
    <n v="2594281047"/>
    <n v="1833333333"/>
    <n v="4427614380"/>
    <n v="0.22695969801235882"/>
    <n v="15080758334.52"/>
    <n v="12064606667.616001"/>
    <n v="9048455000.7119999"/>
    <n v="0.58593202215591322"/>
    <n v="0.58851112900500024"/>
    <n v="0.8"/>
    <x v="0"/>
    <n v="1809691000.1424"/>
    <n v="-12151086930.145599"/>
  </r>
  <r>
    <n v="19"/>
    <x v="16"/>
    <d v="2024-04-23T00:00:00"/>
    <x v="14"/>
    <x v="5"/>
    <n v="-76.528570000000002"/>
    <s v="8,758964"/>
    <n v="0"/>
    <n v="0"/>
    <s v="2024010178436"/>
    <x v="1"/>
    <n v="2139964660"/>
    <x v="4"/>
    <s v="Tercer Orden"/>
    <s v="Vías terciarias mejoradas"/>
    <m/>
    <n v="1"/>
    <s v="SGR Regionales 60%"/>
    <s v="Placa huellas 2025-1"/>
    <n v="6"/>
    <n v="21558400486.167"/>
    <n v="4028552935.2600002"/>
    <n v="17529847550.906998"/>
    <n v="573337825"/>
    <n v="3454671378"/>
    <n v="4028009203"/>
    <n v="0.18684174670493675"/>
    <n v="17530391283.167"/>
    <n v="14024313026.5336"/>
    <n v="10518234769.9002"/>
    <n v="0.14233776441548016"/>
    <n v="0.45202185420266422"/>
    <n v="0.8"/>
    <x v="0"/>
    <n v="2103646953.9800401"/>
    <n v="5694222504.8802395"/>
  </r>
  <r>
    <n v="20"/>
    <x v="17"/>
    <d v="2024-04-23T00:00:00"/>
    <x v="15"/>
    <x v="0"/>
    <n v="-75.013385"/>
    <n v="6.5945109999999998"/>
    <n v="0"/>
    <n v="1"/>
    <s v="2024010178733"/>
    <x v="0"/>
    <m/>
    <x v="3"/>
    <s v="Urbana"/>
    <s v="Vía urbana mejorada"/>
    <s v="Ya se aportaron recursos"/>
    <m/>
    <m/>
    <m/>
    <n v="6"/>
    <n v="18632663202.9925"/>
    <n v="4332293517.3299999"/>
    <n v="14300369685.6625"/>
    <n v="3970281006"/>
    <n v="1500000000"/>
    <n v="5470281006"/>
    <n v="0.29358556779588252"/>
    <n v="13162382196.9925"/>
    <n v="10529905757.594002"/>
    <n v="7897429318.1954994"/>
    <n v="0.72579105198531002"/>
    <n v="0.44683077557401057"/>
    <n v="0.8"/>
    <x v="0"/>
    <n v="1579485863.6391001"/>
    <n v="2914007486.8345985"/>
  </r>
  <r>
    <n v="21"/>
    <x v="18"/>
    <d v="2024-04-16T00:00:00"/>
    <x v="2"/>
    <x v="2"/>
    <n v="-75.377315999999993"/>
    <s v="6,147148"/>
    <n v="0"/>
    <n v="0"/>
    <s v="2024020016404"/>
    <x v="1"/>
    <n v="1578945342"/>
    <x v="0"/>
    <m/>
    <s v="Espacio público adecuado"/>
    <s v="Peticion por recursos para obra adicional"/>
    <m/>
    <m/>
    <m/>
    <n v="1"/>
    <n v="501236439904.31354"/>
    <n v="112502020079.39"/>
    <n v="388734419824.92352"/>
    <n v="85394840514"/>
    <n v="114109886446.23999"/>
    <n v="199504726960.23999"/>
    <n v="0.39802518547599136"/>
    <n v="301731712944.07355"/>
    <n v="241385370355.25885"/>
    <n v="181039027766.44412"/>
    <n v="0.42803417149619039"/>
    <n v="0.23207277402530038"/>
    <n v="0.65"/>
    <x v="0"/>
    <n v="36207805553.288826"/>
    <n v="195551024159.73294"/>
  </r>
  <r>
    <n v="22"/>
    <x v="19"/>
    <d v="2024-04-18T00:00:00"/>
    <x v="16"/>
    <x v="2"/>
    <n v="-75.141345999999999"/>
    <s v="6,376061"/>
    <n v="0"/>
    <n v="1"/>
    <s v="2024010171235"/>
    <x v="0"/>
    <m/>
    <x v="7"/>
    <m/>
    <s v="Estudios y diseños para proyectos de infraestructura realizados"/>
    <s v="Se presenta perfil del proyecto"/>
    <m/>
    <m/>
    <m/>
    <n v="6"/>
    <n v="8362831920.7600002"/>
    <n v="2199279418.0799999"/>
    <n v="6163552502.6800003"/>
    <n v="284104325"/>
    <n v="209000000"/>
    <n v="493104325"/>
    <n v="5.8963797152961017E-2"/>
    <n v="7869727595.7600002"/>
    <n v="6295782076.6080008"/>
    <n v="4721836557.4560003"/>
    <n v="0.57615459973911198"/>
    <n v="0.61308928502962989"/>
    <n v="0.8"/>
    <x v="0"/>
    <n v="944367311.49120009"/>
    <n v="-546162555.05279922"/>
  </r>
  <r>
    <n v="23"/>
    <x v="20"/>
    <d v="2024-10-04T00:00:00"/>
    <x v="5"/>
    <x v="4"/>
    <n v="-75.392629999999997"/>
    <s v="6,485603"/>
    <n v="0"/>
    <n v="0"/>
    <s v="2024010153392 2024010238427"/>
    <x v="0"/>
    <m/>
    <x v="0"/>
    <m/>
    <s v="Espacio público adecuado"/>
    <s v="Solicitud de adicion"/>
    <m/>
    <m/>
    <m/>
    <n v="6"/>
    <n v="24529039369.539501"/>
    <n v="8973012363.6700001"/>
    <n v="15556027005.869501"/>
    <n v="7973050390"/>
    <n v="1625381984"/>
    <n v="9598432374"/>
    <n v="0.39130893914742809"/>
    <n v="14930606995.539501"/>
    <n v="11944485596.431602"/>
    <n v="8958364197.3237"/>
    <n v="0.83066172467883448"/>
    <n v="0.53024343717246458"/>
    <n v="0.8"/>
    <x v="0"/>
    <n v="1791672839.46474"/>
    <n v="-8164135575.2115593"/>
  </r>
  <r>
    <n v="24"/>
    <x v="21"/>
    <d v="2024-08-05T00:00:00"/>
    <x v="17"/>
    <x v="5"/>
    <n v="-76.728858000000002"/>
    <n v="8.0899289999999997"/>
    <n v="1"/>
    <n v="1"/>
    <s v="2024010207402"/>
    <x v="3"/>
    <m/>
    <x v="8"/>
    <m/>
    <s v="Espacio público adecuado"/>
    <m/>
    <m/>
    <m/>
    <m/>
    <n v="5"/>
    <n v="57277943756.629501"/>
    <n v="34159399600.959999"/>
    <n v="23118544155.669502"/>
    <n v="3450000000"/>
    <n v="21452083665"/>
    <n v="24902083665"/>
    <n v="0.43475868775610099"/>
    <n v="32375860091.629501"/>
    <n v="25900688073.303604"/>
    <n v="19425516054.977699"/>
    <n v="0.13854262343712995"/>
    <n v="0.87015152665365447"/>
    <n v="0.8"/>
    <x v="1"/>
    <n v="3885103210.9955401"/>
    <n v="-42559571320.026764"/>
  </r>
  <r>
    <n v="26"/>
    <x v="22"/>
    <d v="2024-05-24T00:00:00"/>
    <x v="16"/>
    <x v="2"/>
    <n v="-75.141345999999999"/>
    <s v="6,376061"/>
    <n v="0"/>
    <n v="1"/>
    <s v="2024010232610"/>
    <x v="1"/>
    <n v="4805691053"/>
    <x v="3"/>
    <s v="Urbana"/>
    <s v="Vía urbana mejorada"/>
    <m/>
    <m/>
    <m/>
    <m/>
    <n v="6"/>
    <n v="8362831920.7600002"/>
    <n v="2199279418.0799999"/>
    <n v="6163552502.6800003"/>
    <n v="284104325"/>
    <n v="209000000"/>
    <n v="493104325"/>
    <n v="5.8963797152961017E-2"/>
    <n v="7869727595.7600002"/>
    <n v="6295782076.6080008"/>
    <n v="4721836557.4560003"/>
    <n v="0.57615459973911198"/>
    <n v="0.61308928502962989"/>
    <n v="0.8"/>
    <x v="0"/>
    <n v="944367311.49120009"/>
    <n v="-546162555.05279922"/>
  </r>
  <r>
    <n v="27"/>
    <x v="23"/>
    <d v="2024-05-24T00:00:00"/>
    <x v="18"/>
    <x v="8"/>
    <n v="-74.641189999999995"/>
    <s v="5,871318"/>
    <n v="0"/>
    <n v="0"/>
    <s v="2024010233575"/>
    <x v="0"/>
    <m/>
    <x v="8"/>
    <m/>
    <s v="Espacio público adecuado"/>
    <s v="ya se dio el recurso"/>
    <m/>
    <m/>
    <m/>
    <n v="6"/>
    <n v="22896432570.9105"/>
    <n v="6514105665.9899998"/>
    <n v="16382326904.9205"/>
    <n v="15087488121"/>
    <n v="152370595"/>
    <n v="15239858716"/>
    <n v="0.66559970287082904"/>
    <n v="7656573854.9104996"/>
    <n v="6125259083.9284"/>
    <n v="4593944312.9462996"/>
    <n v="0.99000183677293352"/>
    <n v="0.53987925149269589"/>
    <n v="0.8"/>
    <x v="0"/>
    <n v="918788862.58925998"/>
    <n v="-4671652589.4644403"/>
  </r>
  <r>
    <n v="28"/>
    <x v="24"/>
    <d v="2024-06-05T00:00:00"/>
    <x v="1"/>
    <x v="1"/>
    <n v="-75.331626999999997"/>
    <s v="6,439195"/>
    <n v="0"/>
    <n v="0"/>
    <s v="2024010201559"/>
    <x v="3"/>
    <m/>
    <x v="3"/>
    <s v="Segundo Orden"/>
    <s v="Vías secundarias mejoradas"/>
    <s v="Se ejecuto atravez de otro programa"/>
    <m/>
    <m/>
    <m/>
    <n v="4"/>
    <n v="56592203197.536499"/>
    <n v="24375972647.860001"/>
    <n v="32216230549.676498"/>
    <n v="0"/>
    <n v="15044963334.42"/>
    <n v="15044963334.42"/>
    <n v="0.26584869442006315"/>
    <n v="41547239863.116501"/>
    <n v="33237791890.493202"/>
    <n v="24928343917.8699"/>
    <n v="0"/>
    <n v="0.60385208261970102"/>
    <n v="0.8"/>
    <x v="0"/>
    <n v="4985668783.5739803"/>
    <n v="-31357431194.556122"/>
  </r>
  <r>
    <n v="29"/>
    <x v="25"/>
    <d v="2024-09-05T00:00:00"/>
    <x v="19"/>
    <x v="4"/>
    <n v="-75.460723000000002"/>
    <s v="6,643366"/>
    <n v="0"/>
    <n v="0"/>
    <s v="2024010209802"/>
    <x v="0"/>
    <m/>
    <x v="3"/>
    <s v="Segundo Orden"/>
    <s v="Vías secundarias mejoradas"/>
    <m/>
    <m/>
    <m/>
    <m/>
    <n v="5"/>
    <n v="37911059539.454002"/>
    <n v="12962308085.960001"/>
    <n v="24948751453.494003"/>
    <n v="8258858552.8800001"/>
    <n v="2659839682.1199999"/>
    <n v="10918698235"/>
    <n v="0.28800825847763295"/>
    <n v="26992361304.454002"/>
    <n v="21593889043.563202"/>
    <n v="16195416782.672401"/>
    <n v="0.75639589767268622"/>
    <n v="0.52584208336367533"/>
    <n v="0.8"/>
    <x v="0"/>
    <n v="3239083356.5344806"/>
    <n v="19434500139.206882"/>
  </r>
  <r>
    <n v="30"/>
    <x v="26"/>
    <d v="2024-05-20T00:00:00"/>
    <x v="20"/>
    <x v="2"/>
    <n v="-75.309595999999999"/>
    <s v="5,714851"/>
    <n v="0"/>
    <n v="1"/>
    <s v="2024010224714"/>
    <x v="1"/>
    <n v="4281286508"/>
    <x v="3"/>
    <s v="Urbana"/>
    <s v="Vía urbana mejorada"/>
    <m/>
    <m/>
    <m/>
    <m/>
    <n v="5"/>
    <n v="35695767669.016502"/>
    <n v="13532488388.23"/>
    <n v="22163279280.786503"/>
    <n v="1067761948"/>
    <n v="4932032890"/>
    <n v="5999794838"/>
    <n v="0.16808140655867587"/>
    <n v="29695972831.016502"/>
    <n v="23756778264.813202"/>
    <n v="17817583698.609901"/>
    <n v="0.17796640999076777"/>
    <n v="0.4016729815979605"/>
    <n v="0.8"/>
    <x v="0"/>
    <n v="3563516739.7219806"/>
    <n v="-5870025797.6681175"/>
  </r>
  <r>
    <n v="31"/>
    <x v="27"/>
    <d v="2024-05-24T00:00:00"/>
    <x v="1"/>
    <x v="1"/>
    <n v="-75.331626999999997"/>
    <s v="6,439195"/>
    <n v="0"/>
    <n v="0"/>
    <s v="2024010233254"/>
    <x v="0"/>
    <m/>
    <x v="3"/>
    <s v="Segundo Orden"/>
    <s v="Vías terciarias mejoradas"/>
    <s v="No se encuentra mas informacion en radicado relacionado"/>
    <m/>
    <m/>
    <m/>
    <n v="4"/>
    <n v="56592203197.536499"/>
    <n v="24375972647.860001"/>
    <n v="32216230549.676498"/>
    <n v="0"/>
    <n v="15044963334.42"/>
    <n v="15044963334.42"/>
    <n v="0.26584869442006315"/>
    <n v="41547239863.116501"/>
    <n v="33237791890.493202"/>
    <n v="24928343917.8699"/>
    <n v="0"/>
    <n v="0.60385208261970102"/>
    <n v="0.8"/>
    <x v="0"/>
    <n v="4985668783.5739803"/>
    <n v="-31357431194.556122"/>
  </r>
  <r>
    <n v="32"/>
    <x v="28"/>
    <d v="2024-04-06T00:00:00"/>
    <x v="13"/>
    <x v="5"/>
    <n v="-76.380566999999999"/>
    <s v="8,276884"/>
    <n v="1"/>
    <n v="1"/>
    <s v="2024010246827"/>
    <x v="1"/>
    <n v="2256305783"/>
    <x v="3"/>
    <s v="Urbana"/>
    <s v="Vía urbana mejorada"/>
    <m/>
    <m/>
    <m/>
    <m/>
    <n v="6"/>
    <n v="19508372714.52"/>
    <n v="5389834315.5"/>
    <n v="14118538399.02"/>
    <n v="2594281047"/>
    <n v="1833333333"/>
    <n v="4427614380"/>
    <n v="0.22695969801235882"/>
    <n v="15080758334.52"/>
    <n v="12064606667.616001"/>
    <n v="9048455000.7119999"/>
    <n v="0.58593202215591322"/>
    <n v="0.58851112900500024"/>
    <n v="0.8"/>
    <x v="0"/>
    <n v="1809691000.1424"/>
    <n v="-12151086930.145599"/>
  </r>
  <r>
    <n v="33"/>
    <x v="29"/>
    <d v="2024-11-06T00:00:00"/>
    <x v="21"/>
    <x v="3"/>
    <n v="-75.839903000000007"/>
    <s v="5,79158"/>
    <n v="0"/>
    <n v="0"/>
    <s v="2024010258317"/>
    <x v="1"/>
    <n v="4943542014"/>
    <x v="3"/>
    <s v="Segundo Orden"/>
    <s v="Vías secundarias mejoradas"/>
    <s v="EL proyecto sera desarrollado entre el K0+000 saliendo de la cabecera municipal de Pueblorrico hasta el K1+580 sector El Barcino"/>
    <m/>
    <m/>
    <m/>
    <n v="6"/>
    <n v="7408957946.4439993"/>
    <n v="2726179218.2000003"/>
    <n v="4682778728.2439995"/>
    <n v="1117539497"/>
    <n v="0"/>
    <n v="1117539497"/>
    <n v="0.15083625863153588"/>
    <n v="6291418449.4439993"/>
    <n v="5033134759.5551996"/>
    <n v="3774851069.6663995"/>
    <n v="1"/>
    <n v="0.78495373596781126"/>
    <n v="0.8"/>
    <x v="2"/>
    <n v="754970213.93327999"/>
    <n v="-4520144590.4003201"/>
  </r>
  <r>
    <n v="34"/>
    <x v="30"/>
    <d v="2024-09-04T00:00:00"/>
    <x v="22"/>
    <x v="3"/>
    <n v="-75.624452000000005"/>
    <n v="5.6145550000000002"/>
    <n v="0"/>
    <n v="0"/>
    <s v="2024010152199"/>
    <x v="0"/>
    <m/>
    <x v="0"/>
    <m/>
    <s v="Espacio público adecuado"/>
    <s v="peticion de cooperar con la construccion de la segunda etapa del parque principal"/>
    <m/>
    <m/>
    <m/>
    <n v="6"/>
    <n v="6485715716.868001"/>
    <n v="3717110032.7600002"/>
    <n v="2768605684.1080008"/>
    <n v="598561755.20000005"/>
    <n v="823222224"/>
    <n v="1421783979.2"/>
    <n v="0.21921774577665112"/>
    <n v="5063931737.6680012"/>
    <n v="4051145390.1344013"/>
    <n v="3038359042.6008005"/>
    <n v="0.42099345889155032"/>
    <n v="0.68598337343648785"/>
    <n v="0.8"/>
    <x v="0"/>
    <n v="607671808.52016008"/>
    <n v="-1701336321.8790393"/>
  </r>
  <r>
    <n v="35"/>
    <x v="31"/>
    <d v="2024-12-04T00:00:00"/>
    <x v="23"/>
    <x v="3"/>
    <n v="-75.702188000000007"/>
    <s v="6,038708"/>
    <n v="0"/>
    <n v="0"/>
    <s v="2024010159071 2024020058554"/>
    <x v="3"/>
    <m/>
    <x v="9"/>
    <m/>
    <s v="Equipamientos construidos"/>
    <s v="Plaza de mercado postulada para adecuar y poner en funcionamiento la casa de justicia o centro de convivencia"/>
    <m/>
    <m/>
    <m/>
    <n v="6"/>
    <n v="25390387392.328503"/>
    <n v="8357833556.3299999"/>
    <n v="17032553835.998503"/>
    <n v="4689987006"/>
    <n v="6272045606"/>
    <n v="10962032612"/>
    <n v="0.43173947851272598"/>
    <n v="14428354780.328503"/>
    <n v="11542683824.262802"/>
    <n v="8657012868.1971016"/>
    <n v="0.42783917654705111"/>
    <n v="0.46347626739589709"/>
    <n v="0.8"/>
    <x v="0"/>
    <n v="1731402573.6394205"/>
    <n v="4806760366.8365211"/>
  </r>
  <r>
    <n v="36"/>
    <x v="32"/>
    <d v="2024-04-16T00:00:00"/>
    <x v="13"/>
    <x v="5"/>
    <n v="-76.380566999999999"/>
    <s v="8,276884"/>
    <n v="1"/>
    <n v="1"/>
    <s v="2024010163837"/>
    <x v="1"/>
    <n v="2500751722"/>
    <x v="0"/>
    <m/>
    <s v="Espacio público adecuado"/>
    <m/>
    <m/>
    <m/>
    <m/>
    <n v="6"/>
    <n v="19508372714.52"/>
    <n v="5389834315.5"/>
    <n v="14118538399.02"/>
    <n v="2594281047"/>
    <n v="1833333333"/>
    <n v="4427614380"/>
    <n v="0.22695969801235882"/>
    <n v="15080758334.52"/>
    <n v="12064606667.616001"/>
    <n v="9048455000.7119999"/>
    <n v="0.58593202215591322"/>
    <n v="0.58851112900500024"/>
    <n v="0.8"/>
    <x v="0"/>
    <n v="1809691000.1424"/>
    <n v="-12151086930.145599"/>
  </r>
  <r>
    <n v="37"/>
    <x v="33"/>
    <d v="2024-05-28T00:00:00"/>
    <x v="24"/>
    <x v="7"/>
    <n v="-75.747377999999998"/>
    <n v="6.5007450000000002"/>
    <n v="0"/>
    <n v="0"/>
    <s v="2024010238039"/>
    <x v="1"/>
    <n v="16955817824"/>
    <x v="3"/>
    <s v="Segundo Orden"/>
    <s v="Vías secundarias mejoradas"/>
    <m/>
    <m/>
    <m/>
    <m/>
    <n v="6"/>
    <n v="16347842057.745998"/>
    <n v="7901643157.3299999"/>
    <n v="8446198900.4159985"/>
    <n v="1620905965.8499999"/>
    <n v="2416666620"/>
    <n v="4037572585.8499999"/>
    <n v="0.24697893285168493"/>
    <n v="12310269471.895998"/>
    <n v="9848215577.516798"/>
    <n v="7386161683.137599"/>
    <n v="0.40145556058375176"/>
    <n v="0.5852153455768756"/>
    <n v="0.8"/>
    <x v="0"/>
    <n v="1477232336.6275198"/>
    <n v="-11946219029.23488"/>
  </r>
  <r>
    <n v="39"/>
    <x v="34"/>
    <d v="2024-09-19T00:00:00"/>
    <x v="5"/>
    <x v="4"/>
    <n v="-75.392629999999997"/>
    <s v="6,485603"/>
    <n v="0"/>
    <n v="0"/>
    <s v="2024010273696 2024010429631"/>
    <x v="1"/>
    <n v="7948407205"/>
    <x v="3"/>
    <s v="Tercer Orden"/>
    <s v="Vías terciarias mejoradas"/>
    <m/>
    <m/>
    <m/>
    <m/>
    <n v="6"/>
    <n v="24529039369.539501"/>
    <n v="8973012363.6700001"/>
    <n v="15556027005.869501"/>
    <n v="7973050390"/>
    <n v="1625381984"/>
    <n v="9598432374"/>
    <n v="0.39130893914742809"/>
    <n v="14930606995.539501"/>
    <n v="11944485596.431602"/>
    <n v="8958364197.3237"/>
    <n v="0.83066172467883448"/>
    <n v="0.53024343717246458"/>
    <n v="0.8"/>
    <x v="0"/>
    <n v="1791672839.46474"/>
    <n v="-8164135575.2115593"/>
  </r>
  <r>
    <n v="40"/>
    <x v="35"/>
    <d v="2024-06-21T00:00:00"/>
    <x v="21"/>
    <x v="3"/>
    <n v="-75.839903000000007"/>
    <s v="5,79158"/>
    <n v="0"/>
    <n v="0"/>
    <s v="2024010277200"/>
    <x v="1"/>
    <n v="4106423860"/>
    <x v="6"/>
    <s v="Tercer Orden"/>
    <s v="Vías terciarias mejoradas"/>
    <s v="El proyecto será desarrollado en la zona Rural del municipio de Pueblorrico; en la vía de tercer orden 25BAN03: Pueblorrico - Sinaí - La Bodega- Peñalisa que comunica el casco urbano con las Veredas Corinto Mulatos Sinaí Sevilla y Morrón; entre el km 2+100 desde la salida de la cabecera municipal sobre la calle 30 (Tiendas D1 Pueblorrico y Capilla San José) y el km 3+500"/>
    <m/>
    <m/>
    <m/>
    <n v="6"/>
    <n v="7408957946.4439993"/>
    <n v="2726179218.2000003"/>
    <n v="4682778728.2439995"/>
    <n v="1117539497"/>
    <n v="0"/>
    <n v="1117539497"/>
    <n v="0.15083625863153588"/>
    <n v="6291418449.4439993"/>
    <n v="5033134759.5551996"/>
    <n v="3774851069.6663995"/>
    <n v="1"/>
    <n v="0.78495373596781126"/>
    <n v="0.8"/>
    <x v="2"/>
    <n v="754970213.93327999"/>
    <n v="-4520144590.4003201"/>
  </r>
  <r>
    <n v="42"/>
    <x v="36"/>
    <d v="2024-05-17T00:00:00"/>
    <x v="25"/>
    <x v="2"/>
    <n v="-75.257587000000001"/>
    <s v="6,394348"/>
    <n v="0"/>
    <n v="1"/>
    <s v="2024010279803"/>
    <x v="0"/>
    <m/>
    <x v="3"/>
    <s v="Segundo Orden"/>
    <s v="Vías secundarias mejoradas"/>
    <s v="Solo presenta informe con inspeccion ocular"/>
    <m/>
    <m/>
    <m/>
    <n v="6"/>
    <n v="8725724060.9459991"/>
    <n v="1935290211.05"/>
    <n v="6790433849.895999"/>
    <n v="661232494"/>
    <n v="0"/>
    <n v="661232494"/>
    <n v="7.5779670475657063E-2"/>
    <n v="8064491566.9459991"/>
    <n v="6451593253.5567999"/>
    <n v="4838694940.1675997"/>
    <n v="1"/>
    <n v="0.53402239411083863"/>
    <n v="0.8"/>
    <x v="0"/>
    <n v="967738988.03351998"/>
    <n v="5806433928.2011194"/>
  </r>
  <r>
    <n v="43"/>
    <x v="37"/>
    <d v="2024-05-30T00:00:00"/>
    <x v="20"/>
    <x v="2"/>
    <n v="-75.309595999999999"/>
    <s v="5,714851"/>
    <n v="0"/>
    <n v="1"/>
    <s v="2024010220650"/>
    <x v="1"/>
    <n v="11094609252"/>
    <x v="7"/>
    <m/>
    <s v="Equipamientos construidos"/>
    <m/>
    <m/>
    <m/>
    <m/>
    <n v="5"/>
    <n v="35695767669.016502"/>
    <n v="13532488388.23"/>
    <n v="22163279280.786503"/>
    <n v="1067761948"/>
    <n v="4932032890"/>
    <n v="5999794838"/>
    <n v="0.16808140655867587"/>
    <n v="29695972831.016502"/>
    <n v="23756778264.813202"/>
    <n v="17817583698.609901"/>
    <n v="0.17796640999076777"/>
    <n v="0.4016729815979605"/>
    <n v="0.8"/>
    <x v="0"/>
    <n v="3563516739.7219806"/>
    <n v="-5870025797.6681175"/>
  </r>
  <r>
    <n v="44"/>
    <x v="38"/>
    <d v="2024-06-21T00:00:00"/>
    <x v="10"/>
    <x v="3"/>
    <n v="-75.822956000000005"/>
    <n v="5.8645420000000001"/>
    <n v="0"/>
    <n v="0"/>
    <s v="2024010242499"/>
    <x v="1"/>
    <n v="288779865"/>
    <x v="4"/>
    <s v="Tercer Orden"/>
    <s v="Vías terciarias mejoradas"/>
    <s v="Adicion a proyecto en ejecucion"/>
    <m/>
    <m/>
    <m/>
    <n v="6"/>
    <n v="9297204605.9125004"/>
    <n v="4650900904.1300001"/>
    <n v="4646303701.7825003"/>
    <n v="1308996768"/>
    <n v="0"/>
    <n v="1308996768"/>
    <n v="0.14079466070560084"/>
    <n v="7988207837.9125004"/>
    <n v="6390566270.3300009"/>
    <n v="4792924702.7475004"/>
    <n v="1"/>
    <n v="0.67267671220391811"/>
    <n v="0.8"/>
    <x v="0"/>
    <n v="958584940.54950011"/>
    <n v="-1217788521.7029991"/>
  </r>
  <r>
    <n v="45"/>
    <x v="39"/>
    <d v="2024-05-29T00:00:00"/>
    <x v="2"/>
    <x v="2"/>
    <n v="-75.377315999999993"/>
    <s v="6,147148"/>
    <n v="0"/>
    <n v="0"/>
    <s v="2024010278154"/>
    <x v="1"/>
    <m/>
    <x v="9"/>
    <m/>
    <s v="Equipamientos construidos"/>
    <s v="Radicado no tiene mayor informacion"/>
    <m/>
    <m/>
    <m/>
    <n v="1"/>
    <n v="501236439904.31354"/>
    <n v="112502020079.39"/>
    <n v="388734419824.92352"/>
    <n v="85394840514"/>
    <n v="114109886446.23999"/>
    <n v="199504726960.23999"/>
    <n v="0.39802518547599136"/>
    <n v="301731712944.07355"/>
    <n v="241385370355.25885"/>
    <n v="181039027766.44412"/>
    <n v="0.42803417149619039"/>
    <n v="0.23207277402530038"/>
    <n v="0.65"/>
    <x v="0"/>
    <n v="36207805553.288826"/>
    <n v="195551024159.73294"/>
  </r>
  <r>
    <n v="46"/>
    <x v="40"/>
    <d v="2024-05-29T00:00:00"/>
    <x v="13"/>
    <x v="5"/>
    <n v="-76.380566999999999"/>
    <s v="8,276884"/>
    <n v="1"/>
    <n v="1"/>
    <s v="2024010240568"/>
    <x v="1"/>
    <n v="883515930"/>
    <x v="0"/>
    <m/>
    <s v="Espacio público adecuado"/>
    <m/>
    <m/>
    <m/>
    <m/>
    <n v="6"/>
    <n v="19508372714.52"/>
    <n v="5389834315.5"/>
    <n v="14118538399.02"/>
    <n v="2594281047"/>
    <n v="1833333333"/>
    <n v="4427614380"/>
    <n v="0.22695969801235882"/>
    <n v="15080758334.52"/>
    <n v="12064606667.616001"/>
    <n v="9048455000.7119999"/>
    <n v="0.58593202215591322"/>
    <n v="0.58851112900500024"/>
    <n v="0.8"/>
    <x v="0"/>
    <n v="1809691000.1424"/>
    <n v="-12151086930.145599"/>
  </r>
  <r>
    <n v="47"/>
    <x v="41"/>
    <d v="2024-09-07T00:00:00"/>
    <x v="13"/>
    <x v="5"/>
    <n v="-76.380566999999999"/>
    <s v="8,276884"/>
    <n v="1"/>
    <n v="1"/>
    <s v="2024010240685"/>
    <x v="2"/>
    <m/>
    <x v="5"/>
    <m/>
    <s v="Otros"/>
    <m/>
    <m/>
    <m/>
    <m/>
    <n v="6"/>
    <n v="19508372714.52"/>
    <n v="5389834315.5"/>
    <n v="14118538399.02"/>
    <n v="2594281047"/>
    <n v="1833333333"/>
    <n v="4427614380"/>
    <n v="0.22695969801235882"/>
    <n v="15080758334.52"/>
    <n v="12064606667.616001"/>
    <n v="9048455000.7119999"/>
    <n v="0.58593202215591322"/>
    <n v="0.58851112900500024"/>
    <n v="0.8"/>
    <x v="0"/>
    <n v="1809691000.1424"/>
    <n v="-12151086930.145599"/>
  </r>
  <r>
    <n v="48"/>
    <x v="42"/>
    <d v="2024-11-06T00:00:00"/>
    <x v="26"/>
    <x v="5"/>
    <n v="-76.625279000000006"/>
    <s v="7,882968"/>
    <n v="1"/>
    <n v="1"/>
    <s v="2024010304650 2024010344153"/>
    <x v="1"/>
    <n v="7999391717"/>
    <x v="6"/>
    <s v="Urbana"/>
    <s v="Vía urbana mejorada"/>
    <m/>
    <m/>
    <m/>
    <m/>
    <n v="3"/>
    <n v="77784648137.448013"/>
    <n v="31716114442.57"/>
    <n v="46068533694.878014"/>
    <n v="43139212620"/>
    <n v="17341932907.400002"/>
    <n v="60481145527.400002"/>
    <n v="0.77754604508241576"/>
    <n v="17303502610.048012"/>
    <n v="13842802088.03841"/>
    <n v="10382101566.028807"/>
    <n v="0.71326712223822675"/>
    <n v="0.57328291579513591"/>
    <n v="0.7"/>
    <x v="0"/>
    <n v="2076420313.2057614"/>
    <n v="-3040869837.7654324"/>
  </r>
  <r>
    <n v="49"/>
    <x v="43"/>
    <d v="2024-10-07T00:00:00"/>
    <x v="27"/>
    <x v="2"/>
    <n v="-75.101562000000001"/>
    <s v="5,963476"/>
    <n v="0"/>
    <n v="1"/>
    <s v="2024010258944"/>
    <x v="3"/>
    <m/>
    <x v="0"/>
    <m/>
    <s v="Espacio público adecuado"/>
    <m/>
    <m/>
    <m/>
    <m/>
    <n v="6"/>
    <n v="7763487077.335"/>
    <n v="2329929022.3600001"/>
    <n v="5433558054.9750004"/>
    <n v="1217107364.4400001"/>
    <n v="0"/>
    <n v="1217107364.4400001"/>
    <n v="0.15677328400446064"/>
    <n v="6546379712.8950005"/>
    <n v="5237103770.3160009"/>
    <n v="3927827827.737"/>
    <n v="1"/>
    <n v="0.68141761997590633"/>
    <n v="0.8"/>
    <x v="0"/>
    <n v="785565565.5474"/>
    <n v="-4960892756.7156"/>
  </r>
  <r>
    <n v="50"/>
    <x v="44"/>
    <d v="2024-07-17T00:00:00"/>
    <x v="28"/>
    <x v="2"/>
    <n v="-75.429433000000003"/>
    <s v="6,028062"/>
    <n v="0"/>
    <n v="0"/>
    <s v="2024010308663"/>
    <x v="3"/>
    <m/>
    <x v="9"/>
    <m/>
    <s v="Equipamientos construidos"/>
    <s v="Peticion recursos adicionales"/>
    <m/>
    <m/>
    <m/>
    <n v="2"/>
    <n v="102691614388.099"/>
    <n v="29123622287.32"/>
    <n v="73567992100.778992"/>
    <n v="5166195556"/>
    <n v="27283390599"/>
    <n v="32449586155"/>
    <n v="0.3159906127521217"/>
    <n v="70242028233.098999"/>
    <n v="56193622586.479202"/>
    <n v="42145216939.859398"/>
    <n v="0.15920682412783146"/>
    <n v="0.28977187660096981"/>
    <n v="0.7"/>
    <x v="0"/>
    <n v="8429043387.97188"/>
    <n v="50574260327.831276"/>
  </r>
  <r>
    <n v="51"/>
    <x v="45"/>
    <d v="2024-12-07T00:00:00"/>
    <x v="29"/>
    <x v="5"/>
    <n v="-76.681531000000007"/>
    <s v="7,666147"/>
    <n v="1"/>
    <n v="1"/>
    <s v="2024010308857"/>
    <x v="1"/>
    <n v="4215630027"/>
    <x v="6"/>
    <s v="Urbana"/>
    <s v="Vía urbana mejorada"/>
    <m/>
    <m/>
    <m/>
    <m/>
    <n v="6"/>
    <n v="31480625713.601501"/>
    <n v="12012746210.970001"/>
    <n v="19467879502.6315"/>
    <n v="990257688"/>
    <n v="4241046406.5999999"/>
    <n v="5231304094.6000004"/>
    <n v="0.16617535312647125"/>
    <n v="26249321619.001503"/>
    <n v="20999457295.201202"/>
    <n v="15749592971.400902"/>
    <n v="0.18929461375074541"/>
    <n v="0.57128723877428544"/>
    <n v="0.8"/>
    <x v="0"/>
    <n v="3149918594.2801805"/>
    <n v="-8926199522.3189163"/>
  </r>
  <r>
    <n v="52"/>
    <x v="46"/>
    <d v="2024-03-07T00:00:00"/>
    <x v="30"/>
    <x v="4"/>
    <n v="-75.418828000000005"/>
    <n v="6.963832"/>
    <n v="0"/>
    <n v="1"/>
    <s v="2024010313514"/>
    <x v="1"/>
    <m/>
    <x v="10"/>
    <s v="Tercer Orden"/>
    <s v="Vías terciarias mantenidas"/>
    <s v="Priorizado 14/05/2025"/>
    <n v="1"/>
    <s v="SGR Regionales 60%"/>
    <s v="Puentes y PAP 2025-1"/>
    <n v="5"/>
    <n v="36204719778.619003"/>
    <n v="11082623753.610001"/>
    <n v="25122096025.009003"/>
    <n v="1291156679"/>
    <n v="12320355879.07"/>
    <n v="13611512558.07"/>
    <n v="0.37595961635113639"/>
    <n v="22593207220.549004"/>
    <n v="18074565776.439205"/>
    <n v="13555924332.329401"/>
    <n v="9.4857692963336279E-2"/>
    <n v="0.39053077044629697"/>
    <n v="0.8"/>
    <x v="0"/>
    <n v="2711184866.4658804"/>
    <n v="-1286623972.2047195"/>
  </r>
  <r>
    <n v="53"/>
    <x v="47"/>
    <d v="2024-11-07T00:00:00"/>
    <x v="24"/>
    <x v="7"/>
    <n v="-75.747377999999998"/>
    <n v="6.5007450000000002"/>
    <n v="0"/>
    <n v="0"/>
    <s v="2024010295409"/>
    <x v="0"/>
    <m/>
    <x v="3"/>
    <s v="Tercer Orden"/>
    <s v="Vías terciarias mantenidas"/>
    <s v="Es una peticion de una lidereza de la comunidad"/>
    <m/>
    <m/>
    <m/>
    <n v="6"/>
    <n v="16347842057.745998"/>
    <n v="7901643157.3299999"/>
    <n v="8446198900.4159985"/>
    <n v="1620905965.8499999"/>
    <n v="2416666620"/>
    <n v="4037572585.8499999"/>
    <n v="0.24697893285168493"/>
    <n v="12310269471.895998"/>
    <n v="9848215577.516798"/>
    <n v="7386161683.137599"/>
    <n v="0.40145556058375176"/>
    <n v="0.5852153455768756"/>
    <n v="0.8"/>
    <x v="0"/>
    <n v="1477232336.6275198"/>
    <n v="-11946219029.23488"/>
  </r>
  <r>
    <n v="54"/>
    <x v="48"/>
    <d v="2024-02-22T00:00:00"/>
    <x v="9"/>
    <x v="3"/>
    <n v="-75.714428999999996"/>
    <n v="5.6646450000000002"/>
    <n v="0"/>
    <n v="0"/>
    <s v="2024010078784 2024010309743 2024010402790"/>
    <x v="1"/>
    <n v="4369072228"/>
    <x v="4"/>
    <s v="Segundo Orden"/>
    <s v="Vías secundarias mejoradas"/>
    <s v="Via 2.5km que comunica corregimientos de San Pablo y la vereda el Narajal"/>
    <m/>
    <m/>
    <m/>
    <n v="6"/>
    <n v="13939577899.640499"/>
    <n v="5408645166.3600006"/>
    <n v="8530932733.2804985"/>
    <n v="2408239973"/>
    <n v="812109375"/>
    <n v="3220349348"/>
    <n v="0.23102201309001277"/>
    <n v="10719228551.640499"/>
    <n v="8575382841.3123999"/>
    <n v="6431537130.9842997"/>
    <n v="0.74781947942872684"/>
    <n v="0.48148969869574604"/>
    <n v="0.8"/>
    <x v="0"/>
    <n v="1286307426.1968601"/>
    <n v="-10772171787.81884"/>
  </r>
  <r>
    <n v="55"/>
    <x v="49"/>
    <d v="2024-12-08T00:00:00"/>
    <x v="20"/>
    <x v="2"/>
    <n v="-75.309595999999999"/>
    <s v="5,714851"/>
    <n v="0"/>
    <n v="1"/>
    <s v="2024010319437"/>
    <x v="1"/>
    <n v="684345500"/>
    <x v="6"/>
    <s v="Tercer Orden"/>
    <s v="Vías terciarias mejoradas"/>
    <m/>
    <m/>
    <m/>
    <m/>
    <n v="5"/>
    <n v="35695767669.016502"/>
    <n v="13532488388.23"/>
    <n v="22163279280.786503"/>
    <n v="1067761948"/>
    <n v="4932032890"/>
    <n v="5999794838"/>
    <n v="0.16808140655867587"/>
    <n v="29695972831.016502"/>
    <n v="23756778264.813202"/>
    <n v="17817583698.609901"/>
    <n v="0.17796640999076777"/>
    <n v="0.4016729815979605"/>
    <n v="0.8"/>
    <x v="0"/>
    <n v="3563516739.7219806"/>
    <n v="-5870025797.6681175"/>
  </r>
  <r>
    <n v="56"/>
    <x v="50"/>
    <d v="2024-12-08T00:00:00"/>
    <x v="31"/>
    <x v="2"/>
    <n v="-75.185483000000005"/>
    <s v="6,058295"/>
    <n v="0"/>
    <n v="1"/>
    <s v="2024010361194"/>
    <x v="3"/>
    <m/>
    <x v="6"/>
    <s v="Tercer Orden"/>
    <s v="Vías terciarias mejoradas"/>
    <s v="Carpeta adjunta no contiene nada"/>
    <m/>
    <m/>
    <m/>
    <n v="6"/>
    <n v="12327690626.8465"/>
    <n v="4723680091.2799997"/>
    <n v="7604010535.5665007"/>
    <n v="445297438"/>
    <n v="33508702"/>
    <n v="478806140"/>
    <n v="3.8839889359105498E-2"/>
    <n v="11848884486.8465"/>
    <n v="9479107589.4772015"/>
    <n v="7109330692.1078997"/>
    <n v="0.93001613972619479"/>
    <n v="0.63996045822337311"/>
    <n v="0.8"/>
    <x v="0"/>
    <n v="1421866138.4215801"/>
    <n v="4809429397.52948"/>
  </r>
  <r>
    <n v="57"/>
    <x v="51"/>
    <d v="2024-07-31T00:00:00"/>
    <x v="32"/>
    <x v="3"/>
    <n v="-75.976789999999994"/>
    <s v="5,74615"/>
    <n v="0"/>
    <n v="0"/>
    <s v="2024010361554"/>
    <x v="1"/>
    <n v="4172739792"/>
    <x v="6"/>
    <s v="Urbana"/>
    <s v="Vía urbana mejorada"/>
    <m/>
    <m/>
    <m/>
    <m/>
    <n v="6"/>
    <n v="9197355968.8835011"/>
    <n v="3350398615.7000003"/>
    <n v="5846957353.1835003"/>
    <n v="958841544"/>
    <n v="680000000"/>
    <n v="1638841544"/>
    <n v="0.17818616019044273"/>
    <n v="7558514424.8835011"/>
    <n v="6046811539.9068012"/>
    <n v="4535108654.9301004"/>
    <n v="0.58507275917579493"/>
    <n v="0.53687312631507866"/>
    <n v="0.8"/>
    <x v="0"/>
    <n v="907021730.98602009"/>
    <n v="-2964573994.0838795"/>
  </r>
  <r>
    <n v="58"/>
    <x v="52"/>
    <d v="2024-06-08T00:00:00"/>
    <x v="26"/>
    <x v="5"/>
    <n v="-76.625279000000006"/>
    <s v="7,882968"/>
    <n v="1"/>
    <n v="1"/>
    <s v="2024010356273"/>
    <x v="1"/>
    <n v="7500000000"/>
    <x v="3"/>
    <s v="Tercer Orden"/>
    <s v="Vías terciarias mejoradas"/>
    <m/>
    <m/>
    <m/>
    <m/>
    <n v="3"/>
    <n v="77784648137.448013"/>
    <n v="31716114442.57"/>
    <n v="46068533694.878014"/>
    <n v="43139212620"/>
    <n v="17341932907.400002"/>
    <n v="60481145527.400002"/>
    <n v="0.77754604508241576"/>
    <n v="17303502610.048012"/>
    <n v="13842802088.03841"/>
    <n v="10382101566.028807"/>
    <n v="0.71326712223822675"/>
    <n v="0.57328291579513591"/>
    <n v="0.7"/>
    <x v="0"/>
    <n v="2076420313.2057614"/>
    <n v="-3040869837.7654324"/>
  </r>
  <r>
    <n v="59"/>
    <x v="53"/>
    <d v="2024-08-14T00:00:00"/>
    <x v="33"/>
    <x v="1"/>
    <n v="-75.509383999999997"/>
    <s v="6,348557"/>
    <n v="0"/>
    <n v="0"/>
    <s v="2024010354533"/>
    <x v="3"/>
    <m/>
    <x v="3"/>
    <s v="Tercer Orden"/>
    <s v="Vías terciarias mejoradas"/>
    <m/>
    <m/>
    <m/>
    <m/>
    <n v="3"/>
    <n v="71418896570.32901"/>
    <n v="21915816653.91"/>
    <n v="49503079916.419006"/>
    <n v="5163365590"/>
    <n v="10000000000"/>
    <n v="15163365590"/>
    <n v="0.21231587602404406"/>
    <n v="56255530980.32901"/>
    <n v="45004424784.263214"/>
    <n v="33753318588.197403"/>
    <n v="0.34051580167698114"/>
    <n v="0.39338076792135007"/>
    <n v="0.7"/>
    <x v="0"/>
    <n v="6750663717.6394806"/>
    <n v="38546426431.836884"/>
  </r>
  <r>
    <n v="61"/>
    <x v="54"/>
    <d v="2024-02-04T00:00:00"/>
    <x v="34"/>
    <x v="8"/>
    <n v="-74.583011999999997"/>
    <s v="6,186025"/>
    <n v="0"/>
    <n v="0"/>
    <s v="2024010353885 2024010353894"/>
    <x v="1"/>
    <n v="1653399856"/>
    <x v="6"/>
    <s v="Urbana"/>
    <s v="Vía urbana mejorada"/>
    <m/>
    <m/>
    <m/>
    <m/>
    <n v="6"/>
    <n v="17406090503.82"/>
    <n v="8490973725.3299999"/>
    <n v="8915116778.4899998"/>
    <n v="6695063584"/>
    <n v="0"/>
    <n v="6695063584"/>
    <n v="0.38463913436108349"/>
    <n v="10711026919.82"/>
    <n v="8568821535.8559999"/>
    <n v="6426616151.8919992"/>
    <n v="1"/>
    <n v="0.75913384232200265"/>
    <n v="0.8"/>
    <x v="2"/>
    <n v="1285323230.3783998"/>
    <n v="6058539526.2703991"/>
  </r>
  <r>
    <n v="62"/>
    <x v="55"/>
    <d v="2024-08-21T00:00:00"/>
    <x v="35"/>
    <x v="4"/>
    <n v="-75.550359999999998"/>
    <s v="7,112803"/>
    <n v="1"/>
    <n v="1"/>
    <s v="2024010141962 2024010387133"/>
    <x v="0"/>
    <m/>
    <x v="4"/>
    <s v="Tercer Orden"/>
    <s v="Vías terciarias mejoradas"/>
    <s v="Ya tiene financiacion"/>
    <m/>
    <m/>
    <m/>
    <n v="6"/>
    <n v="15936675551.976999"/>
    <n v="6355203503.6700001"/>
    <n v="9581472048.3069992"/>
    <n v="166905356.59"/>
    <n v="5064590198"/>
    <n v="5231495554.5900002"/>
    <n v="0.32826768277534613"/>
    <n v="10705179997.386999"/>
    <n v="8564143997.9095993"/>
    <n v="6423107998.4321995"/>
    <n v="3.1903946939907245E-2"/>
    <n v="0.65192157878949775"/>
    <n v="0.8"/>
    <x v="0"/>
    <n v="1284621599.68644"/>
    <n v="-845089345.88136101"/>
  </r>
  <r>
    <n v="63"/>
    <x v="56"/>
    <d v="2024-03-07T00:00:00"/>
    <x v="36"/>
    <x v="4"/>
    <n v="-75.220017999999996"/>
    <s v="6,683269"/>
    <n v="0"/>
    <n v="0"/>
    <s v="2024010356085"/>
    <x v="0"/>
    <m/>
    <x v="3"/>
    <s v="Segundo Orden"/>
    <s v="Vías secundarias mejoradas"/>
    <m/>
    <m/>
    <m/>
    <m/>
    <n v="6"/>
    <n v="12229746381.692001"/>
    <n v="3376878617.9000001"/>
    <n v="8852867763.7920017"/>
    <n v="1494526177.51"/>
    <n v="880381975"/>
    <n v="2374908152.5100002"/>
    <n v="0.19419112043609105"/>
    <n v="9854838229.1820011"/>
    <n v="7883870583.3456011"/>
    <n v="5912902937.5092001"/>
    <n v="0.6292985166312477"/>
    <n v="0.5600857997738885"/>
    <n v="0.8"/>
    <x v="0"/>
    <n v="1182580587.5018401"/>
    <n v="-14890911393.98896"/>
  </r>
  <r>
    <n v="64"/>
    <x v="57"/>
    <d v="2024-08-14T00:00:00"/>
    <x v="12"/>
    <x v="3"/>
    <n v="-75.675072"/>
    <s v="5,928039"/>
    <n v="0"/>
    <n v="0"/>
    <s v="2024010293827"/>
    <x v="3"/>
    <m/>
    <x v="10"/>
    <s v="Segundo Orden"/>
    <s v="Vías secundarias mejoradas"/>
    <s v="Peticion aporte para obras de recomposicion de banca"/>
    <m/>
    <m/>
    <m/>
    <n v="6"/>
    <n v="17515986067.273998"/>
    <n v="8346764868.3600006"/>
    <n v="9169221198.9139977"/>
    <n v="0"/>
    <n v="6328650461"/>
    <n v="6328650461"/>
    <n v="0.36130711891945022"/>
    <n v="11187335606.273998"/>
    <n v="8949868485.0191994"/>
    <n v="6712401363.7643986"/>
    <n v="0"/>
    <n v="0.67376313277740918"/>
    <n v="0.8"/>
    <x v="0"/>
    <n v="1342480272.7528799"/>
    <n v="3280962216.5172787"/>
  </r>
  <r>
    <n v="65"/>
    <x v="58"/>
    <d v="2024-08-15T00:00:00"/>
    <x v="37"/>
    <x v="2"/>
    <n v="-75.141069999999999"/>
    <s v="5,731474"/>
    <n v="0"/>
    <n v="1"/>
    <s v="2024010367165"/>
    <x v="1"/>
    <n v="4177881112"/>
    <x v="4"/>
    <s v="Tercer Orden"/>
    <s v="Vías terciarias mejoradas"/>
    <m/>
    <m/>
    <m/>
    <m/>
    <n v="6"/>
    <n v="7397887197.3409996"/>
    <n v="2145550795.75"/>
    <n v="5252336401.5909996"/>
    <n v="913988424"/>
    <n v="0"/>
    <n v="913988424"/>
    <n v="0.12354722363548773"/>
    <n v="6483898773.3409996"/>
    <n v="5187119018.6728001"/>
    <n v="3890339264.0045996"/>
    <n v="1"/>
    <n v="0.55936476249157852"/>
    <n v="0.8"/>
    <x v="0"/>
    <n v="778067852.80092001"/>
    <n v="-57612554588.194481"/>
  </r>
  <r>
    <n v="66"/>
    <x v="59"/>
    <d v="2024-08-28T00:00:00"/>
    <x v="16"/>
    <x v="2"/>
    <n v="-75.141345999999999"/>
    <s v="6,376061"/>
    <n v="0"/>
    <n v="1"/>
    <s v="2024010369050"/>
    <x v="3"/>
    <m/>
    <x v="6"/>
    <s v="Tercer Orden"/>
    <s v="Vías terciarias mejoradas"/>
    <m/>
    <m/>
    <m/>
    <m/>
    <n v="6"/>
    <n v="8362831920.7600002"/>
    <n v="2199279418.0799999"/>
    <n v="6163552502.6800003"/>
    <n v="284104325"/>
    <n v="209000000"/>
    <n v="493104325"/>
    <n v="5.8963797152961017E-2"/>
    <n v="7869727595.7600002"/>
    <n v="6295782076.6080008"/>
    <n v="4721836557.4560003"/>
    <n v="0.57615459973911198"/>
    <n v="0.61308928502962989"/>
    <n v="0.8"/>
    <x v="0"/>
    <n v="944367311.49120009"/>
    <n v="-546162555.05279922"/>
  </r>
  <r>
    <n v="67"/>
    <x v="60"/>
    <d v="2024-08-27T00:00:00"/>
    <x v="38"/>
    <x v="3"/>
    <n v="-75.785499000000002"/>
    <s v="5,789748"/>
    <n v="0"/>
    <n v="0"/>
    <s v="2024010389321"/>
    <x v="3"/>
    <m/>
    <x v="3"/>
    <s v="Tercer Orden"/>
    <s v="Vías terciarias mejoradas"/>
    <m/>
    <m/>
    <m/>
    <m/>
    <n v="6"/>
    <n v="15694425323.1185"/>
    <n v="6655963089.6100006"/>
    <n v="9038462233.5084991"/>
    <n v="1446596000"/>
    <n v="1500000000"/>
    <n v="2946596000"/>
    <n v="0.1877479384772088"/>
    <n v="12747829323.1185"/>
    <n v="10198263458.494801"/>
    <n v="7648697593.8710995"/>
    <n v="0.49093801797056674"/>
    <n v="0.65417145296340995"/>
    <n v="0.8"/>
    <x v="0"/>
    <n v="1529739518.77422"/>
    <n v="8750633271.645319"/>
  </r>
  <r>
    <n v="68"/>
    <x v="61"/>
    <d v="2024-08-29T00:00:00"/>
    <x v="39"/>
    <x v="3"/>
    <n v="-75.791887000000003"/>
    <n v="6.0623909999999999"/>
    <n v="0"/>
    <n v="0"/>
    <s v="2024010382454"/>
    <x v="3"/>
    <m/>
    <x v="3"/>
    <s v="Tercer Orden"/>
    <s v="Vías terciarias mejoradas"/>
    <m/>
    <m/>
    <m/>
    <m/>
    <n v="6"/>
    <n v="11592686445.107998"/>
    <n v="5670743725.9899998"/>
    <n v="5921942719.1179981"/>
    <n v="1149558272.3800001"/>
    <n v="1133660976"/>
    <n v="2283219248.3800001"/>
    <n v="0.19695342052001213"/>
    <n v="9309467196.7279968"/>
    <n v="7447573757.3823977"/>
    <n v="5585680318.0367975"/>
    <n v="0.50348133373334159"/>
    <n v="0.69203788539600963"/>
    <n v="0.8"/>
    <x v="0"/>
    <n v="1117136063.6073596"/>
    <n v="-971455770.35584259"/>
  </r>
  <r>
    <n v="69"/>
    <x v="62"/>
    <d v="2024-07-18T00:00:00"/>
    <x v="40"/>
    <x v="5"/>
    <n v="-76.896004000000005"/>
    <n v="6.5881639999999999"/>
    <n v="1"/>
    <n v="1"/>
    <s v="2024010387865"/>
    <x v="1"/>
    <n v="6511188508"/>
    <x v="4"/>
    <s v="Tercer Orden"/>
    <s v="Vías terciarias mejoradas"/>
    <m/>
    <m/>
    <m/>
    <m/>
    <n v="6"/>
    <n v="18943215673.273502"/>
    <n v="6022595389.6999998"/>
    <n v="12920620283.573502"/>
    <n v="4570267145"/>
    <n v="0"/>
    <n v="4570267145"/>
    <n v="0.24126142170508424"/>
    <n v="14372948528.273502"/>
    <n v="11498358822.618803"/>
    <n v="8623769116.9641018"/>
    <n v="1"/>
    <n v="0.63532752805182191"/>
    <n v="0.8"/>
    <x v="0"/>
    <n v="1724753823.3928204"/>
    <n v="-458030095.64307785"/>
  </r>
  <r>
    <n v="70"/>
    <x v="63"/>
    <d v="2024-07-23T00:00:00"/>
    <x v="39"/>
    <x v="3"/>
    <n v="-75.791887000000003"/>
    <n v="6.0623909999999999"/>
    <n v="0"/>
    <n v="0"/>
    <s v="2024020033317 2024020045696"/>
    <x v="3"/>
    <m/>
    <x v="7"/>
    <m/>
    <s v="Equipamientos construidos"/>
    <s v="Construcción  de  Puestos  de  Información  TurísticaEstudios y Diseños del Mirador de Titiribí Estudios   y   Diseños   para   la   Construcción   del   Resguardo   Ecoturístico Sostenible en el Municipio de Urrao"/>
    <m/>
    <m/>
    <m/>
    <n v="6"/>
    <n v="11592686445.107998"/>
    <n v="5670743725.9899998"/>
    <n v="5921942719.1179981"/>
    <n v="1149558272.3800001"/>
    <n v="1133660976"/>
    <n v="2283219248.3800001"/>
    <n v="0.19695342052001213"/>
    <n v="9309467196.7279968"/>
    <n v="7447573757.3823977"/>
    <n v="5585680318.0367975"/>
    <n v="0.50348133373334159"/>
    <n v="0.69203788539600963"/>
    <n v="0.8"/>
    <x v="0"/>
    <n v="1117136063.6073596"/>
    <n v="-971455770.35584259"/>
  </r>
  <r>
    <n v="71"/>
    <x v="64"/>
    <d v="2024-08-14T00:00:00"/>
    <x v="41"/>
    <x v="0"/>
    <n v="-74.701595999999995"/>
    <s v="7,079648"/>
    <n v="1"/>
    <n v="1"/>
    <s v="2024010329159"/>
    <x v="0"/>
    <m/>
    <x v="7"/>
    <m/>
    <s v="Equipamientos construidos"/>
    <m/>
    <m/>
    <m/>
    <m/>
    <n v="2"/>
    <n v="84858168955.287506"/>
    <n v="27841707067.830002"/>
    <n v="57016461887.457504"/>
    <n v="2326219324"/>
    <n v="20000000000"/>
    <n v="22326219324"/>
    <n v="0.26310041329979528"/>
    <n v="62531949631.287506"/>
    <n v="50025559705.030006"/>
    <n v="37519169778.772499"/>
    <n v="0.10419226337615459"/>
    <n v="0.29802786167909368"/>
    <n v="0.7"/>
    <x v="0"/>
    <n v="7503833955.7545004"/>
    <n v="45023003734.527"/>
  </r>
  <r>
    <n v="72"/>
    <x v="65"/>
    <d v="2024-08-16T00:00:00"/>
    <x v="42"/>
    <x v="5"/>
    <n v="-76.787271000000004"/>
    <s v="8,434526"/>
    <n v="1"/>
    <n v="1"/>
    <s v="20240410367581"/>
    <x v="3"/>
    <m/>
    <x v="0"/>
    <m/>
    <s v="Espacio público adecuado"/>
    <m/>
    <m/>
    <m/>
    <m/>
    <n v="6"/>
    <n v="30137297790.127998"/>
    <n v="12298726691.530001"/>
    <n v="17838571098.598"/>
    <n v="2369107602"/>
    <n v="13974896585"/>
    <n v="16344004187"/>
    <n v="0.54231817002364979"/>
    <n v="13793293603.127998"/>
    <n v="11034634882.502399"/>
    <n v="8275976161.8767986"/>
    <n v="0.1449527040554961"/>
    <n v="0.58055985759165929"/>
    <n v="0.8"/>
    <x v="0"/>
    <n v="1655195232.3753598"/>
    <n v="-27536564888.747841"/>
  </r>
  <r>
    <n v="73"/>
    <x v="66"/>
    <d v="2024-08-23T00:00:00"/>
    <x v="43"/>
    <x v="3"/>
    <n v="-75.818982000000005"/>
    <s v="5,597542"/>
    <n v="0"/>
    <n v="0"/>
    <s v="2024010372894 2025010046351"/>
    <x v="1"/>
    <n v="275976999"/>
    <x v="0"/>
    <m/>
    <s v="Espacio público adecuado"/>
    <s v="Proyecto en FASE 2"/>
    <m/>
    <m/>
    <m/>
    <n v="6"/>
    <n v="14419744847.987999"/>
    <n v="4888479181.79"/>
    <n v="9531265666.197998"/>
    <n v="0"/>
    <n v="0"/>
    <n v="0"/>
    <n v="0"/>
    <n v="14419744847.987999"/>
    <n v="11535795878.3904"/>
    <n v="8651846908.792799"/>
    <n v="0"/>
    <n v="0.45738888558733654"/>
    <n v="0.8"/>
    <x v="0"/>
    <n v="1730369381.7585599"/>
    <n v="9347496667.5513592"/>
  </r>
  <r>
    <n v="74"/>
    <x v="67"/>
    <d v="2024-08-26T00:00:00"/>
    <x v="10"/>
    <x v="3"/>
    <n v="-75.822956000000005"/>
    <n v="5.8645420000000001"/>
    <n v="0"/>
    <n v="0"/>
    <s v="2024010382614"/>
    <x v="1"/>
    <n v="6680518300"/>
    <x v="4"/>
    <s v="Tercer Orden"/>
    <s v="Vías terciarias mejoradas"/>
    <m/>
    <n v="1"/>
    <s v="SGR Regionales 60%"/>
    <s v="Placa huellas 2025-2"/>
    <n v="6"/>
    <n v="9297204605.9125004"/>
    <n v="4650900904.1300001"/>
    <n v="4646303701.7825003"/>
    <n v="1308996768"/>
    <n v="0"/>
    <n v="1308996768"/>
    <n v="0.14079466070560084"/>
    <n v="7988207837.9125004"/>
    <n v="6390566270.3300009"/>
    <n v="4792924702.7475004"/>
    <n v="1"/>
    <n v="0.67267671220391811"/>
    <n v="0.8"/>
    <x v="0"/>
    <n v="958584940.54950011"/>
    <n v="-1217788521.7029991"/>
  </r>
  <r>
    <n v="75"/>
    <x v="68"/>
    <d v="2024-08-29T00:00:00"/>
    <x v="43"/>
    <x v="3"/>
    <n v="-75.818982000000005"/>
    <s v="5,597542"/>
    <n v="0"/>
    <n v="0"/>
    <s v="2024010384269"/>
    <x v="0"/>
    <m/>
    <x v="3"/>
    <s v="Urbana"/>
    <s v="Vía urbana mejorada"/>
    <m/>
    <m/>
    <m/>
    <m/>
    <n v="6"/>
    <n v="14419744847.987999"/>
    <n v="4888479181.79"/>
    <n v="9531265666.197998"/>
    <n v="0"/>
    <n v="0"/>
    <n v="0"/>
    <n v="0"/>
    <n v="14419744847.987999"/>
    <n v="11535795878.3904"/>
    <n v="8651846908.792799"/>
    <n v="0"/>
    <n v="0.45738888558733654"/>
    <n v="0.8"/>
    <x v="0"/>
    <n v="1730369381.7585599"/>
    <n v="9347496667.5513592"/>
  </r>
  <r>
    <n v="76"/>
    <x v="69"/>
    <d v="2024-04-09T00:00:00"/>
    <x v="44"/>
    <x v="7"/>
    <n v="-75.952157999999997"/>
    <s v="6,680808"/>
    <n v="0"/>
    <n v="0"/>
    <s v="2024010390658"/>
    <x v="1"/>
    <n v="5964207946"/>
    <x v="6"/>
    <s v="Tercer Orden"/>
    <s v="Vías terciarias mejoradas"/>
    <m/>
    <m/>
    <m/>
    <m/>
    <n v="6"/>
    <n v="10996307821.845001"/>
    <n v="3830082733.7800002"/>
    <n v="7166225088.0650005"/>
    <n v="1182597765.4299998"/>
    <n v="0"/>
    <n v="1182597765.4299998"/>
    <n v="0.10754498551601833"/>
    <n v="9813710056.4150009"/>
    <n v="7850968045.1320009"/>
    <n v="5888226033.849"/>
    <n v="1"/>
    <n v="0.53885751046750907"/>
    <n v="0.8"/>
    <x v="0"/>
    <n v="1177645206.7697999"/>
    <n v="-1298627506237.3811"/>
  </r>
  <r>
    <n v="77"/>
    <x v="70"/>
    <d v="2024-05-09T00:00:00"/>
    <x v="45"/>
    <x v="4"/>
    <n v="-75.517685"/>
    <s v="6,566273"/>
    <n v="0"/>
    <n v="0"/>
    <s v="2024010402872"/>
    <x v="1"/>
    <n v="2246385541"/>
    <x v="4"/>
    <s v="Tercer Orden"/>
    <s v="Vías terciarias mejoradas"/>
    <m/>
    <m/>
    <m/>
    <m/>
    <n v="6"/>
    <n v="18940820544.593998"/>
    <n v="5983055403.6199999"/>
    <n v="12957765140.973999"/>
    <n v="528703455"/>
    <n v="4617666038"/>
    <n v="5146369493"/>
    <n v="0.27170784290382038"/>
    <n v="13794451051.593998"/>
    <n v="11035560841.2752"/>
    <n v="8276670630.956398"/>
    <n v="0.10273328716858224"/>
    <n v="0.44981176046067123"/>
    <n v="0.8"/>
    <x v="0"/>
    <n v="1655334126.1912796"/>
    <n v="-31956675730.852322"/>
  </r>
  <r>
    <n v="78"/>
    <x v="71"/>
    <d v="2024-05-09T00:00:00"/>
    <x v="46"/>
    <x v="2"/>
    <n v="-75.441612000000006"/>
    <s v="6,27787"/>
    <n v="0"/>
    <n v="0"/>
    <s v="2024010404290"/>
    <x v="1"/>
    <n v="33225479908"/>
    <x v="3"/>
    <s v="Segundo Orden"/>
    <s v="Vías secundarias mejoradas"/>
    <s v="Radicado no tiene E&amp;D"/>
    <m/>
    <m/>
    <m/>
    <n v="2"/>
    <n v="94297942873.182495"/>
    <n v="31502477356.16"/>
    <n v="62795465517.022491"/>
    <n v="12269275368"/>
    <n v="1587282296.6800001"/>
    <n v="13856557664.68"/>
    <n v="0.14694443211041333"/>
    <n v="80441385208.502502"/>
    <n v="64353108166.802002"/>
    <n v="48264831125.101501"/>
    <n v="0.88544901734678727"/>
    <n v="0.32613717500698253"/>
    <n v="0.7"/>
    <x v="0"/>
    <n v="9652966225.0202999"/>
    <n v="21706110806.121803"/>
  </r>
  <r>
    <n v="80"/>
    <x v="72"/>
    <d v="2024-08-23T00:00:00"/>
    <x v="47"/>
    <x v="7"/>
    <n v="-75.826648000000006"/>
    <s v="6,556484"/>
    <n v="0"/>
    <n v="1"/>
    <s v="2024010402574"/>
    <x v="1"/>
    <n v="12667832858"/>
    <x v="4"/>
    <s v="Tercer Orden"/>
    <s v="Vías terciarias mejoradas"/>
    <m/>
    <m/>
    <m/>
    <m/>
    <n v="5"/>
    <n v="40656193467.687004"/>
    <n v="18778286398.540001"/>
    <n v="21877907069.147003"/>
    <n v="5492975516"/>
    <n v="2014055909"/>
    <n v="7507031425"/>
    <n v="0.18464668688096655"/>
    <n v="33149162042.687004"/>
    <n v="26519329634.149605"/>
    <n v="19889497225.612202"/>
    <n v="0.73171073957506449"/>
    <n v="0.53391906125286837"/>
    <n v="0.8"/>
    <x v="0"/>
    <n v="3977899445.1224403"/>
    <n v="-22304221465.265358"/>
  </r>
  <r>
    <n v="81"/>
    <x v="73"/>
    <d v="2024-05-09T00:00:00"/>
    <x v="48"/>
    <x v="7"/>
    <n v="-75.854442000000006"/>
    <s v="6,302641"/>
    <n v="0"/>
    <n v="0"/>
    <s v="2024010403496"/>
    <x v="1"/>
    <n v="6508964304"/>
    <x v="4"/>
    <s v="Tercer Orden"/>
    <s v="Vías terciarias mejoradas"/>
    <m/>
    <n v="1"/>
    <s v="SGR Regionales 60%"/>
    <s v="Placa huellas 2025-2"/>
    <n v="6"/>
    <n v="7049911897.9460001"/>
    <n v="2502449802.4500003"/>
    <n v="4547462095.4960003"/>
    <n v="1083993787"/>
    <n v="0"/>
    <n v="1083993787"/>
    <n v="0.15375990546999926"/>
    <n v="5965918110.9460001"/>
    <n v="4772734488.7568007"/>
    <n v="3579550866.5675998"/>
    <n v="1"/>
    <n v="0.68972189795110483"/>
    <n v="0.8"/>
    <x v="0"/>
    <n v="715910173.31351995"/>
    <n v="-2869466523.1188803"/>
  </r>
  <r>
    <n v="82"/>
    <x v="74"/>
    <d v="2024-05-09T00:00:00"/>
    <x v="49"/>
    <x v="6"/>
    <n v="-74.799097000000003"/>
    <s v="7,5975"/>
    <n v="1"/>
    <n v="1"/>
    <s v="2024010403421 2025010255027"/>
    <x v="1"/>
    <n v="30439233612"/>
    <x v="4"/>
    <s v="Tercer Orden"/>
    <s v="Vías terciarias mejoradas"/>
    <s v="Proyecto estructurado. Reportado en presentacion de estrategia de consolidacion territorial para la paz en la subregion del Bajo Cauca."/>
    <m/>
    <m/>
    <m/>
    <n v="6"/>
    <n v="50634494381.026505"/>
    <n v="15839182742.690001"/>
    <n v="34795311638.336502"/>
    <n v="67652077"/>
    <n v="17477834894.650002"/>
    <n v="17545486971.650002"/>
    <n v="0.34651253431345719"/>
    <n v="33089007409.376503"/>
    <n v="26471205927.501205"/>
    <n v="19853404445.6259"/>
    <n v="3.8558107340829141E-3"/>
    <n v="0.40594992695874271"/>
    <n v="0.8"/>
    <x v="0"/>
    <n v="3970680889.1251802"/>
    <n v="-9892273308.2489204"/>
  </r>
  <r>
    <n v="83"/>
    <x v="75"/>
    <d v="2024-04-09T00:00:00"/>
    <x v="50"/>
    <x v="4"/>
    <n v="-75.556742999999997"/>
    <s v="6,46012"/>
    <n v="0"/>
    <n v="0"/>
    <s v="2024010402557"/>
    <x v="1"/>
    <n v="9952000000"/>
    <x v="4"/>
    <s v="Tercer Orden"/>
    <s v="Vías terciarias mejoradas"/>
    <m/>
    <m/>
    <m/>
    <m/>
    <n v="6"/>
    <n v="31632055796.696003"/>
    <n v="14204097707.720001"/>
    <n v="17427958088.976002"/>
    <n v="6063106860"/>
    <n v="5275762021"/>
    <n v="11338868881"/>
    <n v="0.35846133282884368"/>
    <n v="20293186915.696003"/>
    <n v="16234549532.556803"/>
    <n v="12175912149.417601"/>
    <n v="0.53471884397214064"/>
    <n v="0.58208884880898415"/>
    <n v="0.8"/>
    <x v="0"/>
    <n v="2435182429.8835201"/>
    <n v="4659094579.3011208"/>
  </r>
  <r>
    <n v="84"/>
    <x v="76"/>
    <d v="2024-08-27T00:00:00"/>
    <x v="51"/>
    <x v="2"/>
    <n v="-75.339344999999994"/>
    <s v="6,173995"/>
    <n v="0"/>
    <n v="0"/>
    <s v="2024010318370"/>
    <x v="1"/>
    <n v="5957178575"/>
    <x v="4"/>
    <s v="Tercer Orden"/>
    <s v="Vías terciarias mejoradas"/>
    <m/>
    <n v="1"/>
    <s v="SGR Regionales 60%"/>
    <s v="Placa huellas 2025-1"/>
    <n v="4"/>
    <n v="62016835956.019493"/>
    <n v="25368005936.310001"/>
    <n v="36648830019.709488"/>
    <n v="25635932166"/>
    <n v="7522176280"/>
    <n v="33158108446"/>
    <n v="0.53466301424204787"/>
    <n v="28858727510.019493"/>
    <n v="23086982008.015594"/>
    <n v="17315236506.011696"/>
    <n v="0.77314217750839676"/>
    <n v="0.52777286703387605"/>
    <n v="0.8"/>
    <x v="0"/>
    <n v="3463047301.2023392"/>
    <n v="-1514260574754.7859"/>
  </r>
  <r>
    <n v="86"/>
    <x v="77"/>
    <d v="2024-03-09T00:00:00"/>
    <x v="52"/>
    <x v="7"/>
    <n v="-76.028227999999999"/>
    <s v="6,753859"/>
    <n v="0"/>
    <n v="0"/>
    <s v="2024010400738"/>
    <x v="1"/>
    <n v="155525665337"/>
    <x v="0"/>
    <m/>
    <s v="Espacio público adecuado"/>
    <m/>
    <m/>
    <m/>
    <m/>
    <n v="6"/>
    <n v="17304408242.457001"/>
    <n v="4260885029.46"/>
    <n v="13043523212.997002"/>
    <n v="3210633884"/>
    <n v="0"/>
    <n v="3210633884"/>
    <n v="0.1855384962614666"/>
    <n v="14093774358.457001"/>
    <n v="11275019486.765602"/>
    <n v="8456264615.0741997"/>
    <n v="1"/>
    <n v="0.3794626866525494"/>
    <n v="0.8"/>
    <x v="0"/>
    <n v="1691252923.0148401"/>
    <n v="-145378147798.91095"/>
  </r>
  <r>
    <n v="87"/>
    <x v="78"/>
    <d v="2024-09-03T00:00:00"/>
    <x v="53"/>
    <x v="6"/>
    <n v="-74.776470000000003"/>
    <s v="8,094129"/>
    <n v="1"/>
    <n v="1"/>
    <s v="2024010415684"/>
    <x v="1"/>
    <n v="3154988339"/>
    <x v="6"/>
    <s v="Tercer Orden"/>
    <s v="Vías terciarias mejoradas"/>
    <m/>
    <m/>
    <m/>
    <m/>
    <n v="6"/>
    <n v="17207529181.433002"/>
    <n v="3556882387.1300001"/>
    <n v="13650646794.303001"/>
    <n v="2981910160"/>
    <n v="5898924731"/>
    <n v="8880834891"/>
    <n v="0.51610168998478057"/>
    <n v="8326694290.4330025"/>
    <n v="6661355432.3464022"/>
    <n v="4996016574.2598009"/>
    <n v="0.3357691249301259"/>
    <n v="0.46603493316730282"/>
    <n v="0.8"/>
    <x v="0"/>
    <n v="999203314.85196018"/>
    <n v="-4219206551.8882389"/>
  </r>
  <r>
    <n v="88"/>
    <x v="79"/>
    <d v="2024-11-09T00:00:00"/>
    <x v="47"/>
    <x v="7"/>
    <n v="-75.826648000000006"/>
    <s v="6,556484"/>
    <n v="0"/>
    <n v="1"/>
    <s v="2024010415525"/>
    <x v="1"/>
    <n v="8647258157"/>
    <x v="3"/>
    <s v="Tercer Orden"/>
    <s v="Vías terciarias mantenidas"/>
    <m/>
    <m/>
    <m/>
    <m/>
    <n v="5"/>
    <n v="40656193467.687004"/>
    <n v="18778286398.540001"/>
    <n v="21877907069.147003"/>
    <n v="5492975516"/>
    <n v="2014055909"/>
    <n v="7507031425"/>
    <n v="0.18464668688096655"/>
    <n v="33149162042.687004"/>
    <n v="26519329634.149605"/>
    <n v="19889497225.612202"/>
    <n v="0.73171073957506449"/>
    <n v="0.53391906125286837"/>
    <n v="0.8"/>
    <x v="0"/>
    <n v="3977899445.1224403"/>
    <n v="-22304221465.265358"/>
  </r>
  <r>
    <n v="89"/>
    <x v="80"/>
    <d v="2024-11-09T00:00:00"/>
    <x v="54"/>
    <x v="2"/>
    <n v="-75.360873999999995"/>
    <s v="5,973845"/>
    <n v="0"/>
    <n v="0"/>
    <s v="2024010404422"/>
    <x v="1"/>
    <n v="11889457188"/>
    <x v="4"/>
    <s v="Tercer Orden"/>
    <s v="Vías terciarias mejoradas"/>
    <m/>
    <m/>
    <m/>
    <m/>
    <n v="6"/>
    <n v="22781121123.307999"/>
    <n v="7460247261.1800003"/>
    <n v="15320873862.127998"/>
    <n v="8372353142.5600004"/>
    <n v="142113074"/>
    <n v="8514466216.5600004"/>
    <n v="0.37375097434729027"/>
    <n v="14266654906.747997"/>
    <n v="11413323925.398399"/>
    <n v="8559992944.0487976"/>
    <n v="0.98330922099102336"/>
    <n v="0.47573857187041646"/>
    <n v="0.8"/>
    <x v="0"/>
    <n v="1711998588.8097596"/>
    <n v="-9965414152.1414433"/>
  </r>
  <r>
    <n v="90"/>
    <x v="81"/>
    <d v="2024-05-09T00:00:00"/>
    <x v="5"/>
    <x v="4"/>
    <n v="-75.392629999999997"/>
    <s v="6,485603"/>
    <n v="0"/>
    <n v="0"/>
    <s v="2024010429627"/>
    <x v="1"/>
    <n v="5069397911"/>
    <x v="4"/>
    <s v="Tercer Orden"/>
    <s v="Vías terciarias mejoradas"/>
    <m/>
    <n v="1"/>
    <s v="SGR Regionales 60%"/>
    <s v="Placa huellas 2025-1"/>
    <n v="6"/>
    <n v="24529039369.539501"/>
    <n v="8973012363.6700001"/>
    <n v="15556027005.869501"/>
    <n v="7973050390"/>
    <n v="1625381984"/>
    <n v="9598432374"/>
    <n v="0.39130893914742809"/>
    <n v="14930606995.539501"/>
    <n v="11944485596.431602"/>
    <n v="8958364197.3237"/>
    <n v="0.83066172467883448"/>
    <n v="0.53024343717246458"/>
    <n v="0.8"/>
    <x v="0"/>
    <n v="1791672839.46474"/>
    <n v="-8164135575.2115593"/>
  </r>
  <r>
    <n v="91"/>
    <x v="82"/>
    <d v="2024-09-19T00:00:00"/>
    <x v="40"/>
    <x v="5"/>
    <n v="-76.896004000000005"/>
    <n v="6.5881639999999999"/>
    <n v="1"/>
    <n v="1"/>
    <s v="2024010419609"/>
    <x v="1"/>
    <n v="3060251962"/>
    <x v="6"/>
    <s v="Urbana"/>
    <s v="Vía urbana mejorada"/>
    <m/>
    <m/>
    <m/>
    <m/>
    <n v="6"/>
    <n v="18943215673.273502"/>
    <n v="6022595389.6999998"/>
    <n v="12920620283.573502"/>
    <n v="4570267145"/>
    <n v="0"/>
    <n v="4570267145"/>
    <n v="0.24126142170508424"/>
    <n v="14372948528.273502"/>
    <n v="11498358822.618803"/>
    <n v="8623769116.9641018"/>
    <n v="1"/>
    <n v="0.63532752805182191"/>
    <n v="0.8"/>
    <x v="0"/>
    <n v="1724753823.3928204"/>
    <n v="-458030095.64307785"/>
  </r>
  <r>
    <n v="92"/>
    <x v="83"/>
    <d v="2024-09-13T00:00:00"/>
    <x v="55"/>
    <x v="6"/>
    <n v="-75.352050000000006"/>
    <s v="7,578366"/>
    <n v="1"/>
    <n v="1"/>
    <s v="2024010430044"/>
    <x v="1"/>
    <n v="5048456575"/>
    <x v="4"/>
    <s v="Tercer Orden"/>
    <s v="Vías terciarias mejoradas"/>
    <m/>
    <m/>
    <m/>
    <m/>
    <n v="6"/>
    <n v="16341381522.362501"/>
    <n v="6183321664.5100002"/>
    <n v="10158059857.852501"/>
    <n v="3504148016"/>
    <n v="5476192157"/>
    <n v="8980340173"/>
    <n v="0.54954595856603539"/>
    <n v="7361041349.3625011"/>
    <n v="5888833079.4900017"/>
    <n v="4416624809.6175003"/>
    <n v="0.39020214696715588"/>
    <n v="0.6661172152696142"/>
    <n v="0.8"/>
    <x v="0"/>
    <n v="883324961.92350006"/>
    <n v="-321308282411.45898"/>
  </r>
  <r>
    <n v="93"/>
    <x v="84"/>
    <d v="2024-09-19T00:00:00"/>
    <x v="56"/>
    <x v="5"/>
    <n v="-76.426708000000005"/>
    <s v="8,849317"/>
    <n v="0"/>
    <n v="0"/>
    <s v="2024010442066"/>
    <x v="1"/>
    <n v="10681457198"/>
    <x v="6"/>
    <s v="Urbana"/>
    <s v="Vía urbana mejorada"/>
    <m/>
    <m/>
    <m/>
    <m/>
    <n v="6"/>
    <n v="19782037469.424"/>
    <n v="6224691780.3400002"/>
    <n v="13557345689.084"/>
    <n v="5530076291"/>
    <n v="135075758"/>
    <n v="5665152049"/>
    <n v="0.28637859258715448"/>
    <n v="14116885420.424"/>
    <n v="11293508336.339201"/>
    <n v="8470131252.2543993"/>
    <n v="0.97615672856938707"/>
    <n v="0.63121490876418529"/>
    <n v="0.8"/>
    <x v="0"/>
    <n v="1694026250.4508801"/>
    <n v="-26539735251.29472"/>
  </r>
  <r>
    <n v="94"/>
    <x v="85"/>
    <d v="2024-09-27T00:00:00"/>
    <x v="35"/>
    <x v="4"/>
    <n v="-75.550359999999998"/>
    <s v="7,112803"/>
    <n v="1"/>
    <n v="1"/>
    <s v="2024010446070"/>
    <x v="1"/>
    <n v="2753990112"/>
    <x v="4"/>
    <s v="Tercer Orden"/>
    <s v="Vías terciarias mejoradas"/>
    <m/>
    <m/>
    <m/>
    <m/>
    <n v="6"/>
    <n v="15936675551.976999"/>
    <n v="6355203503.6700001"/>
    <n v="9581472048.3069992"/>
    <n v="166905356.59"/>
    <n v="5064590198"/>
    <n v="5231495554.5900002"/>
    <n v="0.32826768277534613"/>
    <n v="10705179997.386999"/>
    <n v="8564143997.9095993"/>
    <n v="6423107998.4321995"/>
    <n v="3.1903946939907245E-2"/>
    <n v="0.65192157878949775"/>
    <n v="0.8"/>
    <x v="0"/>
    <n v="1284621599.68644"/>
    <n v="-845089345.88136101"/>
  </r>
  <r>
    <n v="95"/>
    <x v="86"/>
    <d v="2024-02-10T00:00:00"/>
    <x v="57"/>
    <x v="1"/>
    <n v="-75.444237999999999"/>
    <s v="6,379472"/>
    <n v="0"/>
    <n v="0"/>
    <s v="2024010427693"/>
    <x v="1"/>
    <n v="18011055743"/>
    <x v="3"/>
    <s v="Tercer Orden"/>
    <s v="Vías terciarias mejoradas"/>
    <m/>
    <m/>
    <m/>
    <m/>
    <n v="2"/>
    <n v="101079829717.10699"/>
    <n v="35923834396.690002"/>
    <n v="65155995320.416992"/>
    <n v="0"/>
    <n v="33364035579"/>
    <n v="33364035579"/>
    <n v="0.33007609601615101"/>
    <n v="67715794138.106995"/>
    <n v="54172635310.485596"/>
    <n v="40629476482.864197"/>
    <n v="0"/>
    <n v="0.39321465077323631"/>
    <n v="0.7"/>
    <x v="0"/>
    <n v="8125895296.5728397"/>
    <n v="-24641831699.562965"/>
  </r>
  <r>
    <n v="96"/>
    <x v="87"/>
    <d v="2024-09-19T00:00:00"/>
    <x v="56"/>
    <x v="5"/>
    <n v="-76.426708000000005"/>
    <s v="8,849317"/>
    <n v="0"/>
    <n v="0"/>
    <s v="2024010423384"/>
    <x v="1"/>
    <n v="4441184458"/>
    <x v="4"/>
    <s v="Tercer Orden"/>
    <s v="Vías terciarias mejoradas"/>
    <m/>
    <n v="1"/>
    <s v="SGR Regionales 60%"/>
    <s v="Placa huellas 2025-2"/>
    <n v="6"/>
    <n v="19782037469.424"/>
    <n v="6224691780.3400002"/>
    <n v="13557345689.084"/>
    <n v="5530076291"/>
    <n v="135075758"/>
    <n v="5665152049"/>
    <n v="0.28637859258715448"/>
    <n v="14116885420.424"/>
    <n v="11293508336.339201"/>
    <n v="8470131252.2543993"/>
    <n v="0.97615672856938707"/>
    <n v="0.63121490876418529"/>
    <n v="0.8"/>
    <x v="0"/>
    <n v="1694026250.4508801"/>
    <n v="-26539735251.29472"/>
  </r>
  <r>
    <n v="97"/>
    <x v="88"/>
    <d v="2024-09-17T00:00:00"/>
    <x v="58"/>
    <x v="6"/>
    <n v="-74.867075"/>
    <n v="7.4885830000000002"/>
    <n v="1"/>
    <n v="1"/>
    <s v="2024010421395"/>
    <x v="1"/>
    <n v="12658885829"/>
    <x v="4"/>
    <s v="Tercer Orden"/>
    <s v="Vías terciarias mejoradas"/>
    <m/>
    <m/>
    <m/>
    <m/>
    <n v="6"/>
    <n v="26491016162.216"/>
    <n v="7986352410.1199999"/>
    <n v="18504663752.096001"/>
    <n v="6804069561"/>
    <n v="0"/>
    <n v="6804069561"/>
    <n v="0.25684441545525194"/>
    <n v="19686946601.216"/>
    <n v="15749557280.972801"/>
    <n v="11812167960.729599"/>
    <n v="1"/>
    <n v="0.54140540347070121"/>
    <n v="0.8"/>
    <x v="0"/>
    <n v="2362433592.1459198"/>
    <n v="-15716605637.124481"/>
  </r>
  <r>
    <n v="98"/>
    <x v="89"/>
    <d v="2024-09-16T00:00:00"/>
    <x v="30"/>
    <x v="4"/>
    <n v="-75.418828000000005"/>
    <n v="6.963832"/>
    <n v="0"/>
    <n v="1"/>
    <s v="2024010423359"/>
    <x v="1"/>
    <n v="2934846978"/>
    <x v="6"/>
    <s v="Urbana"/>
    <s v="Vía urbana mejorada"/>
    <m/>
    <m/>
    <m/>
    <m/>
    <n v="5"/>
    <n v="36204719778.619003"/>
    <n v="11082623753.610001"/>
    <n v="25122096025.009003"/>
    <n v="1291156679"/>
    <n v="12320355879.07"/>
    <n v="13611512558.07"/>
    <n v="0.37595961635113639"/>
    <n v="22593207220.549004"/>
    <n v="18074565776.439205"/>
    <n v="13555924332.329401"/>
    <n v="9.4857692963336279E-2"/>
    <n v="0.39053077044629697"/>
    <n v="0.8"/>
    <x v="0"/>
    <n v="2711184866.4658804"/>
    <n v="-1286623972.2047195"/>
  </r>
  <r>
    <n v="99"/>
    <x v="90"/>
    <d v="2024-09-17T00:00:00"/>
    <x v="51"/>
    <x v="2"/>
    <n v="-75.339344999999994"/>
    <s v="6,173995"/>
    <n v="0"/>
    <n v="0"/>
    <s v="2024010426012"/>
    <x v="1"/>
    <n v="3418472753"/>
    <x v="7"/>
    <m/>
    <s v="Equipamientos construidos"/>
    <m/>
    <m/>
    <m/>
    <m/>
    <n v="4"/>
    <n v="62016835956.019493"/>
    <n v="25368005936.310001"/>
    <n v="36648830019.709488"/>
    <n v="25635932166"/>
    <n v="7522176280"/>
    <n v="33158108446"/>
    <n v="0.53466301424204787"/>
    <n v="28858727510.019493"/>
    <n v="23086982008.015594"/>
    <n v="17315236506.011696"/>
    <n v="0.77314217750839676"/>
    <n v="0.52777286703387605"/>
    <n v="0.8"/>
    <x v="0"/>
    <n v="3463047301.2023392"/>
    <n v="-1514260574754.7859"/>
  </r>
  <r>
    <n v="100"/>
    <x v="91"/>
    <d v="2024-09-25T00:00:00"/>
    <x v="49"/>
    <x v="6"/>
    <n v="-74.799097000000003"/>
    <s v="7,5975"/>
    <n v="1"/>
    <n v="1"/>
    <s v="2024010445837"/>
    <x v="1"/>
    <n v="3277125031"/>
    <x v="0"/>
    <m/>
    <s v="Espacio público adecuado"/>
    <m/>
    <m/>
    <m/>
    <m/>
    <n v="6"/>
    <n v="50634494381.026505"/>
    <n v="15839182742.690001"/>
    <n v="34795311638.336502"/>
    <n v="67652077"/>
    <n v="17477834894.650002"/>
    <n v="17545486971.650002"/>
    <n v="0.34651253431345719"/>
    <n v="33089007409.376503"/>
    <n v="26471205927.501205"/>
    <n v="19853404445.6259"/>
    <n v="3.8558107340829141E-3"/>
    <n v="0.40594992695874271"/>
    <n v="0.8"/>
    <x v="0"/>
    <n v="3970680889.1251802"/>
    <n v="-9892273308.2489204"/>
  </r>
  <r>
    <n v="101"/>
    <x v="92"/>
    <d v="2024-08-16T00:00:00"/>
    <x v="9"/>
    <x v="3"/>
    <n v="-75.714428999999996"/>
    <n v="5.6646450000000002"/>
    <n v="0"/>
    <n v="0"/>
    <s v="2024010371189 2024010432714"/>
    <x v="1"/>
    <n v="2882732416"/>
    <x v="0"/>
    <m/>
    <s v="Espacio público adecuado"/>
    <m/>
    <m/>
    <m/>
    <m/>
    <n v="6"/>
    <n v="13939577899.640499"/>
    <n v="5408645166.3600006"/>
    <n v="8530932733.2804985"/>
    <n v="2408239973"/>
    <n v="812109375"/>
    <n v="3220349348"/>
    <n v="0.23102201309001277"/>
    <n v="10719228551.640499"/>
    <n v="8575382841.3123999"/>
    <n v="6431537130.9842997"/>
    <n v="0.74781947942872684"/>
    <n v="0.48148969869574604"/>
    <n v="0.8"/>
    <x v="0"/>
    <n v="1286307426.1968601"/>
    <n v="-10772171787.81884"/>
  </r>
  <r>
    <n v="102"/>
    <x v="93"/>
    <d v="2024-09-23T00:00:00"/>
    <x v="27"/>
    <x v="2"/>
    <n v="-75.101562000000001"/>
    <s v="5,963476"/>
    <n v="0"/>
    <n v="1"/>
    <s v="2024010444377"/>
    <x v="1"/>
    <n v="6559849123"/>
    <x v="4"/>
    <s v="Tercer Orden"/>
    <s v="Vías terciarias mejoradas"/>
    <m/>
    <n v="1"/>
    <s v="SGR Regionales 60%"/>
    <s v="Placa huellas 2025-1"/>
    <n v="6"/>
    <n v="7763487077.335"/>
    <n v="2329929022.3600001"/>
    <n v="5433558054.9750004"/>
    <n v="1217107364.4400001"/>
    <n v="0"/>
    <n v="1217107364.4400001"/>
    <n v="0.15677328400446064"/>
    <n v="6546379712.8950005"/>
    <n v="5237103770.3160009"/>
    <n v="3927827827.737"/>
    <n v="1"/>
    <n v="0.68141761997590633"/>
    <n v="0.8"/>
    <x v="0"/>
    <n v="785565565.5474"/>
    <n v="-4960892756.7156"/>
  </r>
  <r>
    <n v="103"/>
    <x v="94"/>
    <d v="2024-09-30T00:00:00"/>
    <x v="59"/>
    <x v="4"/>
    <n v="-75.439273999999997"/>
    <n v="7.1651999999999996"/>
    <n v="1"/>
    <n v="1"/>
    <s v="2024010445251"/>
    <x v="1"/>
    <n v="2715816249"/>
    <x v="4"/>
    <s v="Tercer Orden"/>
    <s v="Vías terciarias mejoradas"/>
    <m/>
    <m/>
    <m/>
    <m/>
    <n v="6"/>
    <n v="13037566833.207003"/>
    <n v="3869989518.3099999"/>
    <n v="9167577314.8970032"/>
    <n v="3761583922"/>
    <n v="0"/>
    <n v="3761583922"/>
    <n v="0.28851886016178674"/>
    <n v="9275982911.2070026"/>
    <n v="7420786328.9656029"/>
    <n v="5565589746.7242012"/>
    <n v="1"/>
    <n v="0.55776534569064784"/>
    <n v="0.8"/>
    <x v="0"/>
    <n v="1113117949.3448403"/>
    <n v="2421182898.0690413"/>
  </r>
  <r>
    <n v="104"/>
    <x v="95"/>
    <d v="2024-09-30T00:00:00"/>
    <x v="60"/>
    <x v="2"/>
    <n v="-75.333900999999997"/>
    <s v="6,082885"/>
    <n v="0"/>
    <n v="0"/>
    <s v="2024010446606"/>
    <x v="1"/>
    <n v="2747763151"/>
    <x v="4"/>
    <s v="Tercer Orden"/>
    <s v="Vías terciarias mejoradas"/>
    <m/>
    <n v="1"/>
    <s v="SGR Regionales 60%"/>
    <s v="Placa huellas 2025-2"/>
    <n v="3"/>
    <n v="70430942311.208496"/>
    <n v="29041990033.869999"/>
    <n v="41388952277.338501"/>
    <n v="14609948257"/>
    <n v="2802411494.09375"/>
    <n v="17412359751.09375"/>
    <n v="0.24722599442379914"/>
    <n v="53018582560.114746"/>
    <n v="42414866048.091797"/>
    <n v="31811149536.068848"/>
    <n v="0.83905619145516919"/>
    <n v="0.45782837875910809"/>
    <n v="0.7"/>
    <x v="0"/>
    <n v="6362229907.2137699"/>
    <n v="28993841225.282616"/>
  </r>
  <r>
    <n v="105"/>
    <x v="96"/>
    <d v="2024-01-10T00:00:00"/>
    <x v="55"/>
    <x v="6"/>
    <n v="-75.352050000000006"/>
    <s v="7,578366"/>
    <n v="1"/>
    <n v="1"/>
    <s v="2024010463584"/>
    <x v="1"/>
    <n v="320150938804"/>
    <x v="6"/>
    <s v="Urbana"/>
    <s v="Vía urbana mejorada"/>
    <m/>
    <m/>
    <m/>
    <m/>
    <n v="6"/>
    <n v="16341381522.362501"/>
    <n v="6183321664.5100002"/>
    <n v="10158059857.852501"/>
    <n v="3504148016"/>
    <n v="5476192157"/>
    <n v="8980340173"/>
    <n v="0.54954595856603539"/>
    <n v="7361041349.3625011"/>
    <n v="5888833079.4900017"/>
    <n v="4416624809.6175003"/>
    <n v="0.39020214696715588"/>
    <n v="0.6661172152696142"/>
    <n v="0.8"/>
    <x v="0"/>
    <n v="883324961.92350006"/>
    <n v="-321308282411.45898"/>
  </r>
  <r>
    <n v="106"/>
    <x v="97"/>
    <d v="2024-11-10T00:00:00"/>
    <x v="61"/>
    <x v="7"/>
    <n v="-75.812837999999999"/>
    <s v="6,677316"/>
    <n v="0"/>
    <n v="0"/>
    <s v="2024010464392"/>
    <x v="3"/>
    <m/>
    <x v="6"/>
    <s v="Tercer Orden"/>
    <s v="Vías terciarias mejoradas"/>
    <s v="Proyecto recibido en FASE 2"/>
    <m/>
    <m/>
    <m/>
    <n v="6"/>
    <n v="8030428413.9210014"/>
    <n v="3080588699.4500003"/>
    <n v="4949839714.4710007"/>
    <n v="1577607418.01"/>
    <n v="1800000000"/>
    <n v="3377607418.0100002"/>
    <n v="0.42060114901900014"/>
    <n v="4652820995.9110012"/>
    <n v="3722256796.7288013"/>
    <n v="2791692597.5466008"/>
    <n v="0.46707838501239612"/>
    <n v="0.73590701114566914"/>
    <n v="0.8"/>
    <x v="0"/>
    <n v="558338519.50932014"/>
    <n v="3350031117.0559211"/>
  </r>
  <r>
    <n v="107"/>
    <x v="98"/>
    <d v="2024-09-10T00:00:00"/>
    <x v="62"/>
    <x v="3"/>
    <n v="-75.878827999999999"/>
    <s v="5,657194"/>
    <n v="0"/>
    <n v="0"/>
    <s v="2024010477292 2024010477263"/>
    <x v="1"/>
    <n v="27306608479"/>
    <x v="6"/>
    <s v="Tercer Orden"/>
    <s v="Vías terciarias mejoradas"/>
    <m/>
    <m/>
    <m/>
    <m/>
    <n v="6"/>
    <n v="27843076411.630001"/>
    <n v="11739999040.630001"/>
    <n v="16103077371"/>
    <n v="13999483044"/>
    <n v="1243354438.6800001"/>
    <n v="15242837482.68"/>
    <n v="0.54745521857322832"/>
    <n v="12600238928.950001"/>
    <n v="10080191143.160002"/>
    <n v="7560143357.3699999"/>
    <n v="0.91843025026719671"/>
    <n v="0.46026317160648733"/>
    <n v="0.8"/>
    <x v="0"/>
    <n v="1512028671.474"/>
    <n v="-18234436450.155998"/>
  </r>
  <r>
    <n v="108"/>
    <x v="99"/>
    <d v="2024-10-10T00:00:00"/>
    <x v="6"/>
    <x v="5"/>
    <n v="-76.652652000000003"/>
    <s v="7,755148"/>
    <n v="1"/>
    <n v="1"/>
    <s v="2024010464862"/>
    <x v="1"/>
    <n v="7789949678"/>
    <x v="6"/>
    <s v="Urbana"/>
    <s v="Vía urbana mejorada"/>
    <m/>
    <m/>
    <m/>
    <m/>
    <n v="6"/>
    <n v="31551501799.776001"/>
    <n v="12896901947.809999"/>
    <n v="18654599851.966003"/>
    <n v="4320802475"/>
    <n v="2118562934.45"/>
    <n v="6439365409.4499998"/>
    <n v="0.20409061509381832"/>
    <n v="25112136390.326"/>
    <n v="20089709112.260799"/>
    <n v="15067281834.195601"/>
    <n v="0.67099818076158058"/>
    <n v="0.60103296352987046"/>
    <n v="0.8"/>
    <x v="0"/>
    <n v="3013456366.8391204"/>
    <n v="10290788523.034721"/>
  </r>
  <r>
    <n v="109"/>
    <x v="100"/>
    <d v="2024-03-15T00:00:00"/>
    <x v="63"/>
    <x v="3"/>
    <n v="-76.133950999999996"/>
    <n v="6.3173430000000002"/>
    <n v="0"/>
    <n v="1"/>
    <s v="2024010118992 2024010467655"/>
    <x v="1"/>
    <n v="4999509465"/>
    <x v="6"/>
    <s v="Urbana"/>
    <s v="Vía urbana mejorada"/>
    <m/>
    <m/>
    <m/>
    <m/>
    <n v="6"/>
    <n v="16589184003.816"/>
    <n v="7984390195.2300005"/>
    <n v="8604793808.5859985"/>
    <n v="1709535383"/>
    <n v="1454838487"/>
    <n v="3164373870"/>
    <n v="0.19074921763916181"/>
    <n v="13424810133.816"/>
    <n v="10739848107.052801"/>
    <n v="8054886080.2895994"/>
    <n v="0.5402444379936685"/>
    <n v="0.52370394920362784"/>
    <n v="0.8"/>
    <x v="0"/>
    <n v="1610977216.05792"/>
    <n v="-5739555739.6524811"/>
  </r>
  <r>
    <n v="110"/>
    <x v="101"/>
    <d v="2024-10-31T00:00:00"/>
    <x v="7"/>
    <x v="6"/>
    <n v="-75.197996000000003"/>
    <s v="7,977278"/>
    <n v="1"/>
    <n v="1"/>
    <s v="2024010500511"/>
    <x v="1"/>
    <n v="2200000000"/>
    <x v="4"/>
    <s v="Tercer Orden"/>
    <s v="Vías terciarias mejoradas"/>
    <m/>
    <n v="1"/>
    <s v="Recursos propios"/>
    <s v="Placa huellas 2025-1"/>
    <n v="5"/>
    <n v="55415011363.643501"/>
    <n v="24252117123.400002"/>
    <n v="31162894240.2435"/>
    <n v="8970758412"/>
    <n v="3572173854.98"/>
    <n v="12542932266.98"/>
    <n v="0.22634538834019124"/>
    <n v="42872079096.663498"/>
    <n v="34297663277.330799"/>
    <n v="25723247457.998096"/>
    <n v="0.71520424578996133"/>
    <n v="0.67052010826145281"/>
    <n v="0.8"/>
    <x v="0"/>
    <n v="5144649491.5996199"/>
    <n v="11453646060.597717"/>
  </r>
  <r>
    <n v="111"/>
    <x v="102"/>
    <d v="2024-10-31T00:00:00"/>
    <x v="46"/>
    <x v="2"/>
    <n v="-75.441612000000006"/>
    <s v="6,27787"/>
    <n v="0"/>
    <n v="0"/>
    <s v="2024010499529"/>
    <x v="1"/>
    <n v="400000000"/>
    <x v="11"/>
    <s v="Segundo Orden"/>
    <s v="Vías secundarias mejoradas"/>
    <s v="Financiacion para hacer estudios y diseños"/>
    <m/>
    <m/>
    <m/>
    <n v="2"/>
    <n v="94297942873.182495"/>
    <n v="31502477356.16"/>
    <n v="62795465517.022491"/>
    <n v="12269275368"/>
    <n v="1587282296.6800001"/>
    <n v="13856557664.68"/>
    <n v="0.14694443211041333"/>
    <n v="80441385208.502502"/>
    <n v="64353108166.802002"/>
    <n v="48264831125.101501"/>
    <n v="0.88544901734678727"/>
    <n v="0.32613717500698253"/>
    <n v="0.7"/>
    <x v="0"/>
    <n v="9652966225.0202999"/>
    <n v="21706110806.121803"/>
  </r>
  <r>
    <n v="112"/>
    <x v="103"/>
    <d v="2024-10-25T00:00:00"/>
    <x v="17"/>
    <x v="5"/>
    <n v="-76.728858000000002"/>
    <n v="8.0899289999999997"/>
    <n v="1"/>
    <n v="1"/>
    <s v="2024010490524"/>
    <x v="1"/>
    <n v="2775714198"/>
    <x v="3"/>
    <s v="Urbana"/>
    <s v="Vía urbana mejorada"/>
    <m/>
    <m/>
    <m/>
    <m/>
    <n v="5"/>
    <n v="57277943756.629501"/>
    <n v="34159399600.959999"/>
    <n v="23118544155.669502"/>
    <n v="3450000000"/>
    <n v="21452083665"/>
    <n v="24902083665"/>
    <n v="0.43475868775610099"/>
    <n v="32375860091.629501"/>
    <n v="25900688073.303604"/>
    <n v="19425516054.977699"/>
    <n v="0.13854262343712995"/>
    <n v="0.87015152665365447"/>
    <n v="0.8"/>
    <x v="1"/>
    <n v="3885103210.9955401"/>
    <n v="-42559571320.026764"/>
  </r>
  <r>
    <n v="112"/>
    <x v="103"/>
    <d v="2024-10-25T00:00:00"/>
    <x v="17"/>
    <x v="5"/>
    <n v="-76.728858000000002"/>
    <n v="8.0899289999999997"/>
    <n v="1"/>
    <n v="1"/>
    <s v="2024010490524"/>
    <x v="1"/>
    <n v="2775714198"/>
    <x v="3"/>
    <s v="Urbana"/>
    <s v="Vía urbana mejorada"/>
    <m/>
    <m/>
    <m/>
    <m/>
    <n v="5"/>
    <n v="57277943756.629501"/>
    <n v="34159399600.959999"/>
    <n v="23118544155.669502"/>
    <n v="3450000000"/>
    <n v="21452083665"/>
    <n v="24902083665"/>
    <n v="0.43475868775610099"/>
    <n v="32375860091.629501"/>
    <n v="25900688073.303604"/>
    <n v="19425516054.977699"/>
    <n v="0.13854262343712995"/>
    <n v="0.87015152665365447"/>
    <n v="0.8"/>
    <x v="1"/>
    <n v="3885103210.9955401"/>
    <n v="-42559571320.026764"/>
  </r>
  <r>
    <n v="113"/>
    <x v="104"/>
    <d v="2024-01-11T00:00:00"/>
    <x v="64"/>
    <x v="3"/>
    <n v="-76.021508999999995"/>
    <s v="5,850273"/>
    <n v="0"/>
    <n v="0"/>
    <s v="2024010502109"/>
    <x v="1"/>
    <n v="393245390815"/>
    <x v="6"/>
    <s v="Tercer Orden"/>
    <s v="Vías terciarias mejoradas"/>
    <m/>
    <m/>
    <m/>
    <m/>
    <n v="6"/>
    <n v="18608617574.017002"/>
    <n v="7376218347.0799999"/>
    <n v="11232399226.937002"/>
    <n v="2665498102.3000002"/>
    <n v="2057047588"/>
    <n v="4722545690.3000002"/>
    <n v="0.25378272574605631"/>
    <n v="13886071883.717003"/>
    <n v="11108857506.973602"/>
    <n v="8331643130.2302017"/>
    <n v="0.56441975940537148"/>
    <n v="0.57306836090110702"/>
    <n v="0.8"/>
    <x v="0"/>
    <n v="1666328626.0460405"/>
    <n v="-385425037556.72375"/>
  </r>
  <r>
    <n v="114"/>
    <x v="105"/>
    <d v="2024-09-30T00:00:00"/>
    <x v="57"/>
    <x v="1"/>
    <n v="-75.444237999999999"/>
    <s v="6,379472"/>
    <n v="0"/>
    <n v="0"/>
    <s v="2024010449385 2024010513281 2024010513286"/>
    <x v="3"/>
    <m/>
    <x v="3"/>
    <s v="Tercer Orden"/>
    <s v="Vías terciarias mejoradas"/>
    <m/>
    <m/>
    <m/>
    <m/>
    <n v="2"/>
    <n v="101079829717.10699"/>
    <n v="35923834396.690002"/>
    <n v="65155995320.416992"/>
    <n v="0"/>
    <n v="33364035579"/>
    <n v="33364035579"/>
    <n v="0.33007609601615101"/>
    <n v="67715794138.106995"/>
    <n v="54172635310.485596"/>
    <n v="40629476482.864197"/>
    <n v="0"/>
    <n v="0.39321465077323631"/>
    <n v="0.7"/>
    <x v="0"/>
    <n v="8125895296.5728397"/>
    <n v="-24641831699.562965"/>
  </r>
  <r>
    <n v="115"/>
    <x v="106"/>
    <d v="2024-11-14T00:00:00"/>
    <x v="64"/>
    <x v="3"/>
    <n v="-76.021508999999995"/>
    <s v="5,850273"/>
    <n v="0"/>
    <n v="0"/>
    <s v="2024010520677"/>
    <x v="1"/>
    <n v="2177618498"/>
    <x v="4"/>
    <s v="Tercer Orden"/>
    <s v="Vías terciarias mejoradas"/>
    <s v="Cuenta con concepto tecnico favorable"/>
    <m/>
    <m/>
    <m/>
    <n v="6"/>
    <n v="18608617574.017002"/>
    <n v="7376218347.0799999"/>
    <n v="11232399226.937002"/>
    <n v="2665498102.3000002"/>
    <n v="2057047588"/>
    <n v="4722545690.3000002"/>
    <n v="0.25378272574605631"/>
    <n v="13886071883.717003"/>
    <n v="11108857506.973602"/>
    <n v="8331643130.2302017"/>
    <n v="0.56441975940537148"/>
    <n v="0.57306836090110702"/>
    <n v="0.8"/>
    <x v="0"/>
    <n v="1666328626.0460405"/>
    <n v="-385425037556.72375"/>
  </r>
  <r>
    <n v="116"/>
    <x v="107"/>
    <d v="2024-06-11T00:00:00"/>
    <x v="31"/>
    <x v="2"/>
    <n v="-75.185483000000005"/>
    <s v="6,058295"/>
    <n v="0"/>
    <n v="1"/>
    <s v="2024010506674"/>
    <x v="1"/>
    <n v="3721767433"/>
    <x v="6"/>
    <s v="Urbana"/>
    <s v="Vía urbana mejorada"/>
    <m/>
    <m/>
    <m/>
    <m/>
    <n v="6"/>
    <n v="12327690626.8465"/>
    <n v="4723680091.2799997"/>
    <n v="7604010535.5665007"/>
    <n v="445297438"/>
    <n v="33508702"/>
    <n v="478806140"/>
    <n v="3.8839889359105498E-2"/>
    <n v="11848884486.8465"/>
    <n v="9479107589.4772015"/>
    <n v="7109330692.1078997"/>
    <n v="0.93001613972619479"/>
    <n v="0.63996045822337311"/>
    <n v="0.8"/>
    <x v="0"/>
    <n v="1421866138.4215801"/>
    <n v="4809429397.52948"/>
  </r>
  <r>
    <n v="117"/>
    <x v="108"/>
    <d v="2024-12-11T00:00:00"/>
    <x v="65"/>
    <x v="3"/>
    <n v="-75.523454999999998"/>
    <s v="5,946313"/>
    <n v="0"/>
    <n v="1"/>
    <s v="2024010515296"/>
    <x v="3"/>
    <m/>
    <x v="12"/>
    <s v="Urbana"/>
    <s v="Vía urbana mejorada"/>
    <m/>
    <m/>
    <m/>
    <m/>
    <n v="6"/>
    <n v="6527267076.0299997"/>
    <n v="2852468155.77"/>
    <n v="3674798920.2599998"/>
    <n v="1320825426"/>
    <n v="0"/>
    <n v="1320825426"/>
    <n v="0.2023550454753798"/>
    <n v="5206441650.0299997"/>
    <n v="4165153320.0240002"/>
    <n v="3123864990.0179996"/>
    <n v="1"/>
    <n v="0.63926485007667311"/>
    <n v="0.8"/>
    <x v="0"/>
    <n v="624772998.0036"/>
    <n v="3748637988.0215998"/>
  </r>
  <r>
    <n v="118"/>
    <x v="109"/>
    <d v="2024-11-13T00:00:00"/>
    <x v="6"/>
    <x v="5"/>
    <n v="-76.652652000000003"/>
    <s v="7,755148"/>
    <n v="1"/>
    <n v="1"/>
    <s v="2024010519763"/>
    <x v="3"/>
    <m/>
    <x v="6"/>
    <s v="Tercer Orden"/>
    <s v="Vías terciarias mejoradas"/>
    <m/>
    <m/>
    <m/>
    <m/>
    <n v="6"/>
    <n v="31551501799.776001"/>
    <n v="12896901947.809999"/>
    <n v="18654599851.966003"/>
    <n v="4320802475"/>
    <n v="2118562934.45"/>
    <n v="6439365409.4499998"/>
    <n v="0.20409061509381832"/>
    <n v="25112136390.326"/>
    <n v="20089709112.260799"/>
    <n v="15067281834.195601"/>
    <n v="0.67099818076158058"/>
    <n v="0.60103296352987046"/>
    <n v="0.8"/>
    <x v="0"/>
    <n v="3013456366.8391204"/>
    <n v="10290788523.034721"/>
  </r>
  <r>
    <n v="119"/>
    <x v="110"/>
    <d v="2024-12-11T00:00:00"/>
    <x v="58"/>
    <x v="6"/>
    <n v="-74.867075"/>
    <n v="7.4885830000000002"/>
    <n v="1"/>
    <n v="1"/>
    <s v="2024020054785"/>
    <x v="1"/>
    <n v="3347941547"/>
    <x v="0"/>
    <m/>
    <s v="Espacio público adecuado"/>
    <s v="Solicitud adicion recursos"/>
    <m/>
    <m/>
    <m/>
    <n v="6"/>
    <n v="26491016162.216"/>
    <n v="7986352410.1199999"/>
    <n v="18504663752.096001"/>
    <n v="6804069561"/>
    <n v="0"/>
    <n v="6804069561"/>
    <n v="0.25684441545525194"/>
    <n v="19686946601.216"/>
    <n v="15749557280.972801"/>
    <n v="11812167960.729599"/>
    <n v="1"/>
    <n v="0.54140540347070121"/>
    <n v="0.8"/>
    <x v="0"/>
    <n v="2362433592.1459198"/>
    <n v="-15716605637.124481"/>
  </r>
  <r>
    <n v="120"/>
    <x v="111"/>
    <d v="2024-07-10T00:00:00"/>
    <x v="37"/>
    <x v="2"/>
    <n v="-75.141069999999999"/>
    <s v="5,731474"/>
    <n v="0"/>
    <n v="1"/>
    <s v="2024010499742"/>
    <x v="3"/>
    <n v="22454829831"/>
    <x v="6"/>
    <s v="Tercer Orden"/>
    <s v="Vías terciarias mejoradas"/>
    <s v="Solicitud de financiacion a obra adicional de contrato en ejecucion"/>
    <m/>
    <m/>
    <m/>
    <n v="6"/>
    <n v="7397887197.3409996"/>
    <n v="2145550795.75"/>
    <n v="5252336401.5909996"/>
    <n v="913988424"/>
    <n v="0"/>
    <n v="913988424"/>
    <n v="0.12354722363548773"/>
    <n v="6483898773.3409996"/>
    <n v="5187119018.6728001"/>
    <n v="3890339264.0045996"/>
    <n v="1"/>
    <n v="0.55936476249157852"/>
    <n v="0.8"/>
    <x v="0"/>
    <n v="778067852.80092001"/>
    <n v="-57612554588.194481"/>
  </r>
  <r>
    <n v="121"/>
    <x v="112"/>
    <d v="2024-10-31T00:00:00"/>
    <x v="66"/>
    <x v="2"/>
    <n v="-75.242693000000003"/>
    <s v="6,219349"/>
    <n v="0"/>
    <n v="0"/>
    <s v="2024010518399"/>
    <x v="1"/>
    <n v="5206425813"/>
    <x v="4"/>
    <s v="Tercer Orden"/>
    <s v="Vías terciarias mejoradas"/>
    <m/>
    <n v="1"/>
    <s v="SGR Regionales 60%"/>
    <s v="Placa huellas 2025-1"/>
    <n v="6"/>
    <n v="28258567441.100002"/>
    <n v="6469994311.25"/>
    <n v="21788573129.850002"/>
    <n v="1548230438"/>
    <n v="3356151670"/>
    <n v="4904382108"/>
    <n v="0.17355381224551877"/>
    <n v="23354185333.100002"/>
    <n v="18683348266.480003"/>
    <n v="14012511199.860001"/>
    <n v="0.31568307768567533"/>
    <n v="0.29902452385532635"/>
    <n v="0.8"/>
    <x v="0"/>
    <n v="2802502239.9720001"/>
    <n v="6184360283.8320007"/>
  </r>
  <r>
    <n v="122"/>
    <x v="113"/>
    <d v="2024-11-13T00:00:00"/>
    <x v="67"/>
    <x v="2"/>
    <n v="-74.988096999999996"/>
    <s v="6,187746"/>
    <n v="0"/>
    <n v="1"/>
    <s v="2024010523151"/>
    <x v="1"/>
    <n v="2371629272"/>
    <x v="6"/>
    <s v="Urbana"/>
    <s v="Vía urbana mejorada"/>
    <m/>
    <m/>
    <m/>
    <m/>
    <n v="6"/>
    <n v="29325876885.033001"/>
    <n v="5835926728.4000006"/>
    <n v="23489950156.632999"/>
    <n v="5787068508"/>
    <n v="0"/>
    <n v="5787068508"/>
    <n v="0.19733658879791371"/>
    <n v="23538808377.033001"/>
    <n v="18831046701.6264"/>
    <n v="14123285026.219801"/>
    <n v="1"/>
    <n v="0.67595312063685153"/>
    <n v="0.8"/>
    <x v="0"/>
    <n v="2824657005.2439604"/>
    <n v="13840765080.46376"/>
  </r>
  <r>
    <n v="123"/>
    <x v="114"/>
    <d v="2024-11-15T00:00:00"/>
    <x v="20"/>
    <x v="2"/>
    <n v="-75.309595999999999"/>
    <s v="5,714851"/>
    <n v="0"/>
    <n v="1"/>
    <s v="2024010524340"/>
    <x v="1"/>
    <n v="10000000000"/>
    <x v="6"/>
    <s v="Tercer Orden"/>
    <s v="Vías terciarias mejoradas"/>
    <m/>
    <m/>
    <m/>
    <m/>
    <n v="5"/>
    <n v="35695767669.016502"/>
    <n v="13532488388.23"/>
    <n v="22163279280.786503"/>
    <n v="1067761948"/>
    <n v="4932032890"/>
    <n v="5999794838"/>
    <n v="0.16808140655867587"/>
    <n v="29695972831.016502"/>
    <n v="23756778264.813202"/>
    <n v="17817583698.609901"/>
    <n v="0.17796640999076777"/>
    <n v="0.4016729815979605"/>
    <n v="0.8"/>
    <x v="0"/>
    <n v="3563516739.7219806"/>
    <n v="-5870025797.6681175"/>
  </r>
  <r>
    <n v="124"/>
    <x v="115"/>
    <d v="2024-11-15T00:00:00"/>
    <x v="28"/>
    <x v="2"/>
    <n v="-75.429433000000003"/>
    <s v="6,028062"/>
    <n v="0"/>
    <n v="0"/>
    <s v="2024010528792"/>
    <x v="0"/>
    <m/>
    <x v="4"/>
    <s v="Tercer Orden"/>
    <s v="Vías terciarias mejoradas"/>
    <s v="FASE 1"/>
    <m/>
    <m/>
    <m/>
    <n v="2"/>
    <n v="102691614388.099"/>
    <n v="29123622287.32"/>
    <n v="73567992100.778992"/>
    <n v="5166195556"/>
    <n v="27283390599"/>
    <n v="32449586155"/>
    <n v="0.3159906127521217"/>
    <n v="70242028233.098999"/>
    <n v="56193622586.479202"/>
    <n v="42145216939.859398"/>
    <n v="0.15920682412783146"/>
    <n v="0.28977187660096981"/>
    <n v="0.7"/>
    <x v="0"/>
    <n v="8429043387.97188"/>
    <n v="50574260327.831276"/>
  </r>
  <r>
    <n v="125"/>
    <x v="116"/>
    <d v="2024-11-19T00:00:00"/>
    <x v="66"/>
    <x v="2"/>
    <n v="-75.242693000000003"/>
    <s v="6,219349"/>
    <n v="0"/>
    <n v="0"/>
    <s v="2024010535795"/>
    <x v="1"/>
    <n v="4155687169"/>
    <x v="3"/>
    <s v="Urbana"/>
    <s v="Vía urbana mejorada"/>
    <m/>
    <m/>
    <m/>
    <m/>
    <n v="6"/>
    <n v="28258567441.100002"/>
    <n v="6469994311.25"/>
    <n v="21788573129.850002"/>
    <n v="1548230438"/>
    <n v="3356151670"/>
    <n v="4904382108"/>
    <n v="0.17355381224551877"/>
    <n v="23354185333.100002"/>
    <n v="18683348266.480003"/>
    <n v="14012511199.860001"/>
    <n v="0.31568307768567533"/>
    <n v="0.29902452385532635"/>
    <n v="0.8"/>
    <x v="0"/>
    <n v="2802502239.9720001"/>
    <n v="6184360283.8320007"/>
  </r>
  <r>
    <n v="126"/>
    <x v="117"/>
    <d v="2024-11-22T00:00:00"/>
    <x v="65"/>
    <x v="3"/>
    <n v="-75.523454999999998"/>
    <s v="5,946313"/>
    <n v="0"/>
    <n v="1"/>
    <s v="2024010538367"/>
    <x v="0"/>
    <m/>
    <x v="4"/>
    <s v="Tercer Orden"/>
    <s v="Vías terciarias mejoradas"/>
    <m/>
    <m/>
    <m/>
    <m/>
    <n v="6"/>
    <n v="6527267076.0299997"/>
    <n v="2852468155.77"/>
    <n v="3674798920.2599998"/>
    <n v="1320825426"/>
    <n v="0"/>
    <n v="1320825426"/>
    <n v="0.2023550454753798"/>
    <n v="5206441650.0299997"/>
    <n v="4165153320.0240002"/>
    <n v="3123864990.0179996"/>
    <n v="1"/>
    <n v="0.63926485007667311"/>
    <n v="0.8"/>
    <x v="0"/>
    <n v="624772998.0036"/>
    <n v="3748637988.0215998"/>
  </r>
  <r>
    <n v="128"/>
    <x v="118"/>
    <d v="2024-11-28T00:00:00"/>
    <x v="5"/>
    <x v="4"/>
    <n v="-75.392629999999997"/>
    <s v="6,485603"/>
    <n v="0"/>
    <n v="0"/>
    <s v="2024010552957"/>
    <x v="3"/>
    <m/>
    <x v="3"/>
    <s v="Tercer Orden"/>
    <s v="Vías terciarias mejoradas"/>
    <m/>
    <m/>
    <m/>
    <m/>
    <n v="6"/>
    <n v="24529039369.539501"/>
    <n v="8973012363.6700001"/>
    <n v="15556027005.869501"/>
    <n v="7973050390"/>
    <n v="1625381984"/>
    <n v="9598432374"/>
    <n v="0.39130893914742809"/>
    <n v="14930606995.539501"/>
    <n v="11944485596.431602"/>
    <n v="8958364197.3237"/>
    <n v="0.83066172467883448"/>
    <n v="0.53024343717246458"/>
    <n v="0.8"/>
    <x v="0"/>
    <n v="1791672839.46474"/>
    <n v="-8164135575.2115593"/>
  </r>
  <r>
    <n v="129"/>
    <x v="119"/>
    <d v="2024-09-30T00:00:00"/>
    <x v="68"/>
    <x v="2"/>
    <n v="-75.265465000000006"/>
    <s v="6,136871"/>
    <n v="0"/>
    <n v="0"/>
    <s v="2024010444750 2024010559100 2025010060550"/>
    <x v="1"/>
    <n v="2482841960"/>
    <x v="4"/>
    <s v="Tercer Orden"/>
    <s v="Vías terciarias mejoradas"/>
    <m/>
    <n v="1"/>
    <s v="SGR Regionales 60%"/>
    <s v="Placa huellas 2025-2"/>
    <n v="6"/>
    <n v="28148489568.315498"/>
    <n v="9574117926.6900005"/>
    <n v="18574371641.625496"/>
    <n v="7165025466"/>
    <n v="0"/>
    <n v="7165025466"/>
    <n v="0.25454386988014788"/>
    <n v="20983464102.315498"/>
    <n v="16786771281.8524"/>
    <n v="12590078461.389299"/>
    <n v="1"/>
    <n v="0.38693852418292884"/>
    <n v="0.8"/>
    <x v="0"/>
    <n v="2518015692.2778602"/>
    <n v="995553183.66716003"/>
  </r>
  <r>
    <n v="130"/>
    <x v="120"/>
    <d v="2024-05-12T00:00:00"/>
    <x v="7"/>
    <x v="6"/>
    <n v="-75.197996000000003"/>
    <s v="7,977278"/>
    <n v="1"/>
    <n v="1"/>
    <s v="2024010559910"/>
    <x v="1"/>
    <n v="1614250889"/>
    <x v="6"/>
    <s v="Urbana"/>
    <s v="Vía urbana mejorada"/>
    <m/>
    <m/>
    <m/>
    <m/>
    <n v="5"/>
    <n v="55415011363.643501"/>
    <n v="24252117123.400002"/>
    <n v="31162894240.2435"/>
    <n v="8970758412"/>
    <n v="3572173854.98"/>
    <n v="12542932266.98"/>
    <n v="0.22634538834019124"/>
    <n v="42872079096.663498"/>
    <n v="34297663277.330799"/>
    <n v="25723247457.998096"/>
    <n v="0.71520424578996133"/>
    <n v="0.67052010826145281"/>
    <n v="0.8"/>
    <x v="0"/>
    <n v="5144649491.5996199"/>
    <n v="11453646060.597717"/>
  </r>
  <r>
    <n v="131"/>
    <x v="121"/>
    <d v="2024-06-12T00:00:00"/>
    <x v="69"/>
    <x v="1"/>
    <n v="-75.615478999999993"/>
    <s v="6,149903"/>
    <n v="0"/>
    <n v="0"/>
    <s v="2024010562218"/>
    <x v="1"/>
    <n v="16755097970"/>
    <x v="1"/>
    <s v="Urbana"/>
    <s v="Vía urbana mejorada"/>
    <m/>
    <m/>
    <m/>
    <m/>
    <n v="1"/>
    <n v="277583995965.57904"/>
    <n v="130145150133.79001"/>
    <n v="147438845831.78903"/>
    <n v="5311889964"/>
    <n v="73866541452"/>
    <n v="79178431416"/>
    <n v="0.2852413416003215"/>
    <n v="198405564549.57904"/>
    <n v="158724451639.66324"/>
    <n v="119043338729.74742"/>
    <n v="6.7087587730698575E-2"/>
    <n v="0.44877725222713505"/>
    <n v="0.65"/>
    <x v="0"/>
    <n v="23808667745.949486"/>
    <n v="126096908505.6969"/>
  </r>
  <r>
    <n v="132"/>
    <x v="122"/>
    <d v="2024-06-12T00:00:00"/>
    <x v="18"/>
    <x v="8"/>
    <n v="-74.641189999999995"/>
    <s v="5,871318"/>
    <n v="0"/>
    <n v="0"/>
    <s v="2024010569332"/>
    <x v="1"/>
    <n v="5766878117"/>
    <x v="6"/>
    <s v="Urbana"/>
    <s v="Vía urbana mejorada"/>
    <m/>
    <m/>
    <m/>
    <m/>
    <n v="6"/>
    <n v="22896432570.9105"/>
    <n v="6514105665.9899998"/>
    <n v="16382326904.9205"/>
    <n v="15087488121"/>
    <n v="152370595"/>
    <n v="15239858716"/>
    <n v="0.66559970287082904"/>
    <n v="7656573854.9104996"/>
    <n v="6125259083.9284"/>
    <n v="4593944312.9462996"/>
    <n v="0.99000183677293352"/>
    <n v="0.53987925149269589"/>
    <n v="0.8"/>
    <x v="0"/>
    <n v="918788862.58925998"/>
    <n v="-4671652589.4644403"/>
  </r>
  <r>
    <n v="133"/>
    <x v="123"/>
    <d v="2024-11-12T00:00:00"/>
    <x v="70"/>
    <x v="0"/>
    <n v="-75.019109"/>
    <s v="6,485939"/>
    <n v="0"/>
    <n v="0"/>
    <s v="2024010572157"/>
    <x v="1"/>
    <n v="1955624022"/>
    <x v="6"/>
    <s v="Tercer Orden"/>
    <s v="Vías terciarias mejoradas"/>
    <m/>
    <m/>
    <m/>
    <m/>
    <n v="6"/>
    <n v="13645854382.4415"/>
    <n v="5036095672.2200003"/>
    <n v="8609758710.2215004"/>
    <n v="2357809963"/>
    <n v="1093248488"/>
    <n v="3451058451"/>
    <n v="0.25290160324739891"/>
    <n v="10194795931.4415"/>
    <n v="8155836745.1532001"/>
    <n v="6116877558.8648996"/>
    <n v="0.68321356954032075"/>
    <n v="0.58815143933117542"/>
    <n v="0.8"/>
    <x v="0"/>
    <n v="1223375511.77298"/>
    <n v="-66818961.362120628"/>
  </r>
  <r>
    <n v="134"/>
    <x v="124"/>
    <d v="2024-12-12T00:00:00"/>
    <x v="68"/>
    <x v="2"/>
    <n v="-75.265465000000006"/>
    <s v="6,136871"/>
    <n v="0"/>
    <n v="0"/>
    <s v="2024010575640"/>
    <x v="1"/>
    <n v="9804796414"/>
    <x v="3"/>
    <s v="Urbana"/>
    <s v="Vía urbana mejorada"/>
    <m/>
    <m/>
    <m/>
    <m/>
    <n v="6"/>
    <n v="28148489568.315498"/>
    <n v="9574117926.6900005"/>
    <n v="18574371641.625496"/>
    <n v="7165025466"/>
    <n v="0"/>
    <n v="7165025466"/>
    <n v="0.25454386988014788"/>
    <n v="20983464102.315498"/>
    <n v="16786771281.8524"/>
    <n v="12590078461.389299"/>
    <n v="1"/>
    <n v="0.38693852418292884"/>
    <n v="0.8"/>
    <x v="0"/>
    <n v="2518015692.2778602"/>
    <n v="995553183.66716003"/>
  </r>
  <r>
    <n v="135"/>
    <x v="125"/>
    <d v="2024-12-13T00:00:00"/>
    <x v="5"/>
    <x v="4"/>
    <n v="-75.392629999999997"/>
    <s v="6,485603"/>
    <n v="0"/>
    <n v="0"/>
    <s v="2024010435914"/>
    <x v="1"/>
    <n v="2405517156"/>
    <x v="3"/>
    <s v="Urbana"/>
    <s v="Vía urbana mejorada"/>
    <m/>
    <m/>
    <m/>
    <m/>
    <n v="6"/>
    <n v="24529039369.539501"/>
    <n v="8973012363.6700001"/>
    <n v="15556027005.869501"/>
    <n v="7973050390"/>
    <n v="1625381984"/>
    <n v="9598432374"/>
    <n v="0.39130893914742809"/>
    <n v="14930606995.539501"/>
    <n v="11944485596.431602"/>
    <n v="8958364197.3237"/>
    <n v="0.83066172467883448"/>
    <n v="0.53024343717246458"/>
    <n v="0.8"/>
    <x v="0"/>
    <n v="1791672839.46474"/>
    <n v="-8164135575.2115593"/>
  </r>
  <r>
    <n v="136"/>
    <x v="126"/>
    <d v="2024-09-24T00:00:00"/>
    <x v="71"/>
    <x v="7"/>
    <n v="-76.130764999999997"/>
    <s v="6,776066"/>
    <n v="0"/>
    <n v="1"/>
    <s v="2024010435573"/>
    <x v="1"/>
    <n v="18933645714"/>
    <x v="3"/>
    <s v="Segundo Orden"/>
    <s v="Vías secundarias mejoradas"/>
    <m/>
    <m/>
    <m/>
    <m/>
    <n v="6"/>
    <n v="15502017167.017002"/>
    <n v="4560047682.8000002"/>
    <n v="10941969484.217003"/>
    <n v="1591148139"/>
    <n v="1671853559"/>
    <n v="3263001698"/>
    <n v="0.2104888456027873"/>
    <n v="12239015469.017002"/>
    <n v="9791212375.2136021"/>
    <n v="7343409281.4102011"/>
    <n v="0.4876332549796914"/>
    <n v="0.42560105953702715"/>
    <n v="0.8"/>
    <x v="0"/>
    <n v="1468681856.2820404"/>
    <n v="-10121554576.307758"/>
  </r>
  <r>
    <n v="137"/>
    <x v="127"/>
    <d v="2024-09-24T00:00:00"/>
    <x v="72"/>
    <x v="5"/>
    <n v="-76.817485000000005"/>
    <s v="6,97771"/>
    <n v="1"/>
    <n v="1"/>
    <s v="2024010432919"/>
    <x v="3"/>
    <m/>
    <x v="13"/>
    <s v="Urbana"/>
    <s v="Vía urbana mejorada"/>
    <m/>
    <m/>
    <m/>
    <m/>
    <n v="6"/>
    <n v="17114409570.042"/>
    <n v="5233556503.5699997"/>
    <n v="11880853066.472"/>
    <n v="690572471"/>
    <n v="0"/>
    <n v="690572471"/>
    <n v="4.0350353202298947E-2"/>
    <n v="16423837099.042"/>
    <n v="13139069679.233601"/>
    <n v="9854302259.4251995"/>
    <n v="1"/>
    <n v="0.61563469645402102"/>
    <n v="0.8"/>
    <x v="0"/>
    <n v="1970860451.88504"/>
    <n v="1517445968.3102398"/>
  </r>
  <r>
    <n v="138"/>
    <x v="128"/>
    <d v="2024-09-23T00:00:00"/>
    <x v="73"/>
    <x v="7"/>
    <n v="-76.173283999999995"/>
    <n v="6.8983930000000004"/>
    <n v="0"/>
    <n v="1"/>
    <s v="2024010575497"/>
    <x v="1"/>
    <n v="1958822896"/>
    <x v="3"/>
    <s v="Urbana"/>
    <s v="Vía urbana mejorada"/>
    <m/>
    <m/>
    <m/>
    <m/>
    <n v="6"/>
    <n v="9683475507.1875"/>
    <n v="3083007311.46"/>
    <n v="6600468195.7275"/>
    <n v="178661475"/>
    <n v="2978048806"/>
    <n v="3156710281"/>
    <n v="0.32598939075716682"/>
    <n v="6526765226.1875"/>
    <n v="5221412180.9500008"/>
    <n v="3916059135.7124996"/>
    <n v="5.6597362157480804E-2"/>
    <n v="0.64507007180798703"/>
    <n v="0.8"/>
    <x v="0"/>
    <n v="783211827.14249992"/>
    <n v="2740448066.8549995"/>
  </r>
  <r>
    <n v="140"/>
    <x v="129"/>
    <d v="2024-09-17T00:00:00"/>
    <x v="18"/>
    <x v="8"/>
    <n v="-74.641189999999995"/>
    <s v="5,871318"/>
    <n v="0"/>
    <n v="0"/>
    <s v="2024010569315"/>
    <x v="1"/>
    <n v="180000000"/>
    <x v="0"/>
    <m/>
    <s v="Espacio público adecuado"/>
    <m/>
    <m/>
    <m/>
    <m/>
    <n v="6"/>
    <n v="22896432570.9105"/>
    <n v="6514105665.9899998"/>
    <n v="16382326904.9205"/>
    <n v="15087488121"/>
    <n v="152370595"/>
    <n v="15239858716"/>
    <n v="0.66559970287082904"/>
    <n v="7656573854.9104996"/>
    <n v="6125259083.9284"/>
    <n v="4593944312.9462996"/>
    <n v="0.99000183677293352"/>
    <n v="0.53987925149269589"/>
    <n v="0.8"/>
    <x v="0"/>
    <n v="918788862.58925998"/>
    <n v="-4671652589.4644403"/>
  </r>
  <r>
    <n v="141"/>
    <x v="130"/>
    <d v="2024-04-12T00:00:00"/>
    <x v="51"/>
    <x v="2"/>
    <n v="-75.339344999999994"/>
    <s v="6,173995"/>
    <n v="0"/>
    <n v="0"/>
    <s v="2024010572114"/>
    <x v="1"/>
    <n v="1518014647883"/>
    <x v="14"/>
    <m/>
    <s v="Espacio público adecuado"/>
    <m/>
    <m/>
    <m/>
    <m/>
    <n v="4"/>
    <n v="62016835956.019493"/>
    <n v="25368005936.310001"/>
    <n v="36648830019.709488"/>
    <n v="25635932166"/>
    <n v="7522176280"/>
    <n v="33158108446"/>
    <n v="0.53466301424204787"/>
    <n v="28858727510.019493"/>
    <n v="23086982008.015594"/>
    <n v="17315236506.011696"/>
    <n v="0.77314217750839676"/>
    <n v="0.52777286703387605"/>
    <n v="0.8"/>
    <x v="0"/>
    <n v="3463047301.2023392"/>
    <n v="-1514260574754.7859"/>
  </r>
  <r>
    <n v="142"/>
    <x v="131"/>
    <d v="2024-10-12T00:00:00"/>
    <x v="61"/>
    <x v="7"/>
    <n v="-75.812837999999999"/>
    <s v="6,677316"/>
    <n v="0"/>
    <n v="0"/>
    <s v="2024010596746 2024010596745"/>
    <x v="0"/>
    <m/>
    <x v="4"/>
    <s v="Tercer Orden"/>
    <s v="Vías terciarias mejoradas"/>
    <s v="No se puede acceder a la carpeta compartida"/>
    <m/>
    <m/>
    <m/>
    <n v="6"/>
    <n v="8030428413.9210014"/>
    <n v="3080588699.4500003"/>
    <n v="4949839714.4710007"/>
    <n v="1577607418.01"/>
    <n v="1800000000"/>
    <n v="3377607418.0100002"/>
    <n v="0.42060114901900014"/>
    <n v="4652820995.9110012"/>
    <n v="3722256796.7288013"/>
    <n v="2791692597.5466008"/>
    <n v="0.46707838501239612"/>
    <n v="0.73590701114566914"/>
    <n v="0.8"/>
    <x v="0"/>
    <n v="558338519.50932014"/>
    <n v="3350031117.0559211"/>
  </r>
  <r>
    <n v="144"/>
    <x v="132"/>
    <d v="2024-12-18T00:00:00"/>
    <x v="30"/>
    <x v="4"/>
    <n v="-75.418828000000005"/>
    <n v="6.963832"/>
    <n v="0"/>
    <n v="1"/>
    <s v="2025010011836"/>
    <x v="1"/>
    <n v="5541310263"/>
    <x v="4"/>
    <s v="Tercer Orden"/>
    <s v="Vías terciarias mejoradas"/>
    <m/>
    <m/>
    <m/>
    <m/>
    <n v="5"/>
    <n v="36204719778.619003"/>
    <n v="11082623753.610001"/>
    <n v="25122096025.009003"/>
    <n v="1291156679"/>
    <n v="12320355879.07"/>
    <n v="13611512558.07"/>
    <n v="0.37595961635113639"/>
    <n v="22593207220.549004"/>
    <n v="18074565776.439205"/>
    <n v="13555924332.329401"/>
    <n v="9.4857692963336279E-2"/>
    <n v="0.39053077044629697"/>
    <n v="0.8"/>
    <x v="0"/>
    <n v="2711184866.4658804"/>
    <n v="-1286623972.2047195"/>
  </r>
  <r>
    <n v="145"/>
    <x v="133"/>
    <d v="2024-11-03T00:00:00"/>
    <x v="74"/>
    <x v="2"/>
    <n v="-75.501300999999998"/>
    <s v="6,062454"/>
    <n v="0"/>
    <n v="0"/>
    <s v="2024010110440 2024010518216"/>
    <x v="1"/>
    <n v="21621443440"/>
    <x v="0"/>
    <m/>
    <s v="Espacio público adecuado"/>
    <m/>
    <m/>
    <m/>
    <m/>
    <n v="3"/>
    <n v="69187005609.695007"/>
    <n v="24929217109.209999"/>
    <n v="44257788500.485008"/>
    <n v="0"/>
    <n v="0"/>
    <n v="0"/>
    <n v="0"/>
    <n v="69187005609.695007"/>
    <n v="55349604487.756012"/>
    <n v="41512203365.817001"/>
    <n v="0"/>
    <n v="0.36680132048521774"/>
    <n v="0.7"/>
    <x v="0"/>
    <n v="8302440673.1634007"/>
    <n v="17930040883.9804"/>
  </r>
  <r>
    <n v="146"/>
    <x v="134"/>
    <d v="2024-04-12T00:00:00"/>
    <x v="75"/>
    <x v="2"/>
    <n v="-74.993618999999995"/>
    <s v="6,043017"/>
    <n v="0"/>
    <n v="1"/>
    <s v="2025010002774"/>
    <x v="1"/>
    <n v="78158511470"/>
    <x v="3"/>
    <s v="Tercer Orden"/>
    <s v="Vías terciarias mejoradas"/>
    <m/>
    <m/>
    <m/>
    <m/>
    <n v="6"/>
    <n v="10860999220.161499"/>
    <n v="3903981787.4000001"/>
    <n v="6957017432.7614994"/>
    <n v="1425530293"/>
    <n v="0"/>
    <n v="1425530293"/>
    <n v="0.13125222312453153"/>
    <n v="9435468927.161499"/>
    <n v="7548375141.7291994"/>
    <n v="5661281356.2968988"/>
    <n v="1"/>
    <n v="0.63270124114427018"/>
    <n v="0.8"/>
    <x v="0"/>
    <n v="1132256271.2593799"/>
    <n v="-72218731181.443726"/>
  </r>
  <r>
    <n v="147"/>
    <x v="135"/>
    <d v="2024-11-13T00:00:00"/>
    <x v="76"/>
    <x v="7"/>
    <n v="-75.811773000000002"/>
    <s v="6,626492"/>
    <n v="0"/>
    <n v="0"/>
    <s v="2025010013911"/>
    <x v="1"/>
    <n v="4297876107"/>
    <x v="3"/>
    <s v="Tercer Orden"/>
    <s v="Vías terciarias mejoradas"/>
    <m/>
    <m/>
    <m/>
    <m/>
    <n v="6"/>
    <n v="4127448900.7750001"/>
    <n v="1679484660.96"/>
    <n v="2447964239.8150001"/>
    <n v="2175868693"/>
    <n v="0"/>
    <n v="2175868693"/>
    <n v="0.52717035275504998"/>
    <n v="1951580207.7750001"/>
    <n v="1561264166.2200003"/>
    <n v="1170948124.665"/>
    <n v="1"/>
    <n v="0.89586302238809568"/>
    <n v="0.8"/>
    <x v="1"/>
    <n v="234189624.933"/>
    <n v="-5192738357.4020004"/>
  </r>
  <r>
    <n v="148"/>
    <x v="136"/>
    <d v="2025-01-14T00:00:00"/>
    <x v="17"/>
    <x v="5"/>
    <n v="-76.728858000000002"/>
    <n v="8.0899289999999997"/>
    <n v="1"/>
    <n v="1"/>
    <s v="2025010030512 2025010030805"/>
    <x v="1"/>
    <n v="40010655318"/>
    <x v="3"/>
    <s v="Tercer Orden"/>
    <s v="Vías terciarias mejoradas"/>
    <m/>
    <m/>
    <m/>
    <m/>
    <n v="5"/>
    <n v="57277943756.629501"/>
    <n v="34159399600.959999"/>
    <n v="23118544155.669502"/>
    <n v="3450000000"/>
    <n v="21452083665"/>
    <n v="24902083665"/>
    <n v="0.43475868775610099"/>
    <n v="32375860091.629501"/>
    <n v="25900688073.303604"/>
    <n v="19425516054.977699"/>
    <n v="0.13854262343712995"/>
    <n v="0.87015152665365447"/>
    <n v="0.8"/>
    <x v="1"/>
    <n v="3885103210.9955401"/>
    <n v="-42559571320.026764"/>
  </r>
  <r>
    <n v="149"/>
    <x v="137"/>
    <d v="2024-04-09T00:00:00"/>
    <x v="4"/>
    <x v="2"/>
    <n v="-75.428738999999993"/>
    <n v="5.7893150000000002"/>
    <n v="0"/>
    <n v="1"/>
    <s v="2024010387444 2025010035548"/>
    <x v="1"/>
    <n v="5202752628"/>
    <x v="4"/>
    <s v="Tercer Orden"/>
    <s v="Vías terciarias mejoradas"/>
    <m/>
    <m/>
    <m/>
    <m/>
    <n v="6"/>
    <n v="15030770872.282"/>
    <n v="4409672661.8199997"/>
    <n v="10621098210.462"/>
    <n v="1969764886"/>
    <n v="0"/>
    <n v="1969764886"/>
    <n v="0.13104882661955891"/>
    <n v="13061005986.282"/>
    <n v="10448804789.0256"/>
    <n v="7836603591.7691994"/>
    <n v="1"/>
    <n v="0.39507659260977307"/>
    <n v="0.8"/>
    <x v="0"/>
    <n v="1567320718.3538399"/>
    <n v="4201171682.1230392"/>
  </r>
  <r>
    <n v="151"/>
    <x v="138"/>
    <d v="2025-01-31T00:00:00"/>
    <x v="68"/>
    <x v="2"/>
    <n v="-75.265465000000006"/>
    <s v="6,136871"/>
    <n v="0"/>
    <n v="0"/>
    <s v="2024010496207 2025010004443"/>
    <x v="1"/>
    <n v="1824902596"/>
    <x v="14"/>
    <m/>
    <s v="Espacio público adecuado"/>
    <m/>
    <m/>
    <m/>
    <m/>
    <n v="6"/>
    <n v="28148489568.315498"/>
    <n v="9574117926.6900005"/>
    <n v="18574371641.625496"/>
    <n v="7165025466"/>
    <n v="0"/>
    <n v="7165025466"/>
    <n v="0.25454386988014788"/>
    <n v="20983464102.315498"/>
    <n v="16786771281.8524"/>
    <n v="12590078461.389299"/>
    <n v="1"/>
    <n v="0.38693852418292884"/>
    <n v="0.8"/>
    <x v="0"/>
    <n v="2518015692.2778602"/>
    <n v="995553183.66716003"/>
  </r>
  <r>
    <n v="152"/>
    <x v="139"/>
    <d v="2024-10-31T00:00:00"/>
    <x v="5"/>
    <x v="4"/>
    <n v="-75.392629999999997"/>
    <s v="6,485603"/>
    <n v="0"/>
    <n v="0"/>
    <s v="2024010500586"/>
    <x v="1"/>
    <n v="3490850340"/>
    <x v="3"/>
    <s v="Tercer Orden"/>
    <s v="Vías terciarias mejoradas"/>
    <m/>
    <m/>
    <m/>
    <m/>
    <n v="6"/>
    <n v="24529039369.539501"/>
    <n v="8973012363.6700001"/>
    <n v="15556027005.869501"/>
    <n v="7973050390"/>
    <n v="1625381984"/>
    <n v="9598432374"/>
    <n v="0.39130893914742809"/>
    <n v="14930606995.539501"/>
    <n v="11944485596.431602"/>
    <n v="8958364197.3237"/>
    <n v="0.83066172467883448"/>
    <n v="0.53024343717246458"/>
    <n v="0.8"/>
    <x v="0"/>
    <n v="1791672839.46474"/>
    <n v="-8164135575.2115593"/>
  </r>
  <r>
    <n v="153"/>
    <x v="140"/>
    <d v="2024-01-11T00:00:00"/>
    <x v="77"/>
    <x v="3"/>
    <n v="-75.735544000000004"/>
    <n v="5.9646929999999996"/>
    <n v="0"/>
    <n v="0"/>
    <s v="2024010502152"/>
    <x v="1"/>
    <n v="36407442672"/>
    <x v="6"/>
    <s v="Urbana"/>
    <s v="Vía urbana mejorada"/>
    <m/>
    <m/>
    <m/>
    <m/>
    <n v="6"/>
    <n v="12522207884.799"/>
    <n v="6810462569.46"/>
    <n v="5711745315.3389997"/>
    <n v="0"/>
    <n v="0"/>
    <n v="0"/>
    <n v="0"/>
    <n v="12522207884.799"/>
    <n v="10017766307.839201"/>
    <n v="7513324730.8793993"/>
    <n v="0"/>
    <n v="0.68767493145996073"/>
    <n v="0.8"/>
    <x v="0"/>
    <n v="1502664946.17588"/>
    <n v="-35504250404.944717"/>
  </r>
  <r>
    <n v="154"/>
    <x v="141"/>
    <d v="2024-11-13T00:00:00"/>
    <x v="78"/>
    <x v="3"/>
    <n v="-75.607810000000001"/>
    <s v="5,743808"/>
    <n v="0"/>
    <n v="0"/>
    <s v="2024010528004 2024010376421"/>
    <x v="1"/>
    <n v="1263024676"/>
    <x v="15"/>
    <s v="Urbana"/>
    <s v="Vía urbana mejorada"/>
    <m/>
    <m/>
    <m/>
    <m/>
    <n v="6"/>
    <n v="10783113038.2925"/>
    <n v="5750561650.9200001"/>
    <n v="5032551387.3724995"/>
    <n v="4104930290"/>
    <n v="0"/>
    <n v="4104930290"/>
    <n v="0.38068137423977277"/>
    <n v="6678182748.2924995"/>
    <n v="5342546198.6339998"/>
    <n v="4006909648.9754996"/>
    <n v="1"/>
    <n v="0.6829525248720959"/>
    <n v="0.8"/>
    <x v="0"/>
    <n v="801381929.79509997"/>
    <n v="3545266902.7705994"/>
  </r>
  <r>
    <n v="155"/>
    <x v="142"/>
    <d v="2024-11-20T00:00:00"/>
    <x v="59"/>
    <x v="4"/>
    <n v="-75.439273999999997"/>
    <n v="7.1651999999999996"/>
    <n v="1"/>
    <n v="1"/>
    <s v="2025010011461"/>
    <x v="1"/>
    <n v="1541708549"/>
    <x v="15"/>
    <s v="Tercer Orden"/>
    <s v="Vías terciarias mejoradas"/>
    <m/>
    <m/>
    <m/>
    <m/>
    <n v="6"/>
    <n v="13037566833.207003"/>
    <n v="3869989518.3099999"/>
    <n v="9167577314.8970032"/>
    <n v="3761583922"/>
    <n v="0"/>
    <n v="3761583922"/>
    <n v="0.28851886016178674"/>
    <n v="9275982911.2070026"/>
    <n v="7420786328.9656029"/>
    <n v="5565589746.7242012"/>
    <n v="1"/>
    <n v="0.55776534569064784"/>
    <n v="0.8"/>
    <x v="0"/>
    <n v="1113117949.3448403"/>
    <n v="2421182898.0690413"/>
  </r>
  <r>
    <n v="156"/>
    <x v="143"/>
    <d v="2025-01-27T00:00:00"/>
    <x v="79"/>
    <x v="4"/>
    <n v="-75.298090999999999"/>
    <s v="6,979771"/>
    <n v="0"/>
    <n v="1"/>
    <s v="2025010031841"/>
    <x v="1"/>
    <n v="6202802054"/>
    <x v="4"/>
    <s v="Tercer Orden"/>
    <s v="Vías terciarias mejoradas"/>
    <m/>
    <n v="1"/>
    <s v="SGR Regionales 60%"/>
    <s v="Placa huellas 2025-2"/>
    <n v="6"/>
    <n v="8809287720.75"/>
    <n v="2669441983.3800001"/>
    <n v="6139845737.3699999"/>
    <n v="3083047525"/>
    <n v="0"/>
    <n v="3083047525"/>
    <n v="0.34997693601696972"/>
    <n v="5726240195.75"/>
    <n v="4580992156.6000004"/>
    <n v="3435744117.4499998"/>
    <n v="1"/>
    <n v="0.72230003829506451"/>
    <n v="0.8"/>
    <x v="0"/>
    <n v="687148823.49000001"/>
    <n v="-2079909113.0600004"/>
  </r>
  <r>
    <n v="157"/>
    <x v="144"/>
    <d v="2025-01-21T00:00:00"/>
    <x v="0"/>
    <x v="0"/>
    <n v="-74.798714000000004"/>
    <n v="6.7735250000000002"/>
    <n v="0"/>
    <n v="1"/>
    <s v="2025010028865 2025010028861"/>
    <x v="1"/>
    <n v="7470010822"/>
    <x v="15"/>
    <s v="Urbana"/>
    <s v="Vía urbana mejorada"/>
    <m/>
    <m/>
    <m/>
    <m/>
    <n v="6"/>
    <n v="14438255937.0725"/>
    <n v="4668200945.8400002"/>
    <n v="9770054991.2325001"/>
    <n v="2534414723"/>
    <n v="0"/>
    <n v="2534414723"/>
    <n v="0.17553468604836753"/>
    <n v="11903841214.0725"/>
    <n v="9523072971.2580013"/>
    <n v="7142304728.4434996"/>
    <n v="1"/>
    <n v="0.5148707777903756"/>
    <n v="0.8"/>
    <x v="0"/>
    <n v="1428460945.6887"/>
    <n v="1100754852.1321993"/>
  </r>
  <r>
    <n v="158"/>
    <x v="145"/>
    <d v="2025-01-23T00:00:00"/>
    <x v="16"/>
    <x v="2"/>
    <n v="-75.141345999999999"/>
    <s v="6,376061"/>
    <n v="0"/>
    <n v="1"/>
    <s v="2025010056787"/>
    <x v="1"/>
    <n v="1406675371"/>
    <x v="4"/>
    <s v="Tercer Orden"/>
    <s v="Vías terciarias mejoradas"/>
    <s v="Se encuentra en FASE 2"/>
    <m/>
    <m/>
    <m/>
    <n v="6"/>
    <n v="8362831920.7600002"/>
    <n v="2199279418.0799999"/>
    <n v="6163552502.6800003"/>
    <n v="284104325"/>
    <n v="209000000"/>
    <n v="493104325"/>
    <n v="5.8963797152961017E-2"/>
    <n v="7869727595.7600002"/>
    <n v="6295782076.6080008"/>
    <n v="4721836557.4560003"/>
    <n v="0.57615459973911198"/>
    <n v="0.61308928502962989"/>
    <n v="0.8"/>
    <x v="0"/>
    <n v="944367311.49120009"/>
    <n v="-546162555.05279922"/>
  </r>
  <r>
    <n v="159"/>
    <x v="146"/>
    <d v="2024-03-12T00:00:00"/>
    <x v="32"/>
    <x v="3"/>
    <n v="-75.976789999999994"/>
    <s v="5,74615"/>
    <n v="0"/>
    <n v="0"/>
    <s v="2024010556193 2025010057498 2025010057500"/>
    <x v="1"/>
    <n v="2457394197"/>
    <x v="4"/>
    <s v="Tercer Orden"/>
    <s v="Vías terciarias mejoradas"/>
    <m/>
    <n v="1"/>
    <s v="SGR Regionales 60%"/>
    <s v="Placa huellas 2025-2"/>
    <n v="6"/>
    <n v="9197355968.8835011"/>
    <n v="3350398615.7000003"/>
    <n v="5846957353.1835003"/>
    <n v="958841544"/>
    <n v="680000000"/>
    <n v="1638841544"/>
    <n v="0.17818616019044273"/>
    <n v="7558514424.8835011"/>
    <n v="6046811539.9068012"/>
    <n v="4535108654.9301004"/>
    <n v="0.58507275917579493"/>
    <n v="0.53687312631507866"/>
    <n v="0.8"/>
    <x v="0"/>
    <n v="907021730.98602009"/>
    <n v="-2964573994.0838795"/>
  </r>
  <r>
    <n v="160"/>
    <x v="147"/>
    <d v="2025-02-12T00:00:00"/>
    <x v="17"/>
    <x v="5"/>
    <n v="-76.728858000000002"/>
    <n v="8.0899289999999997"/>
    <n v="1"/>
    <n v="1"/>
    <s v="2025010065132"/>
    <x v="1"/>
    <n v="2467375711"/>
    <x v="4"/>
    <s v="Tercer Orden"/>
    <s v="Vías terciarias mejoradas"/>
    <m/>
    <m/>
    <m/>
    <m/>
    <n v="5"/>
    <n v="57277943756.629501"/>
    <n v="34159399600.959999"/>
    <n v="23118544155.669502"/>
    <n v="3450000000"/>
    <n v="21452083665"/>
    <n v="24902083665"/>
    <n v="0.43475868775610099"/>
    <n v="32375860091.629501"/>
    <n v="25900688073.303604"/>
    <n v="19425516054.977699"/>
    <n v="0.13854262343712995"/>
    <n v="0.87015152665365447"/>
    <n v="0.8"/>
    <x v="1"/>
    <n v="3885103210.9955401"/>
    <n v="-42559571320.026764"/>
  </r>
  <r>
    <n v="161"/>
    <x v="148"/>
    <d v="2024-04-09T00:00:00"/>
    <x v="70"/>
    <x v="0"/>
    <n v="-75.019109"/>
    <s v="6,485939"/>
    <n v="0"/>
    <n v="0"/>
    <s v="2024010404411 2025010033564"/>
    <x v="0"/>
    <m/>
    <x v="4"/>
    <s v="Tercer Orden"/>
    <s v="Vías terciarias mejoradas"/>
    <m/>
    <m/>
    <m/>
    <m/>
    <n v="6"/>
    <n v="13645854382.4415"/>
    <n v="5036095672.2200003"/>
    <n v="8609758710.2215004"/>
    <n v="2357809963"/>
    <n v="1093248488"/>
    <n v="3451058451"/>
    <n v="0.25290160324739891"/>
    <n v="10194795931.4415"/>
    <n v="8155836745.1532001"/>
    <n v="6116877558.8648996"/>
    <n v="0.68321356954032075"/>
    <n v="0.58815143933117542"/>
    <n v="0.8"/>
    <x v="0"/>
    <n v="1223375511.77298"/>
    <n v="-66818961.362120628"/>
  </r>
  <r>
    <n v="162"/>
    <x v="149"/>
    <d v="2025-02-13T00:00:00"/>
    <x v="80"/>
    <x v="7"/>
    <n v="-75.726974999999996"/>
    <s v="6,44809"/>
    <n v="0"/>
    <n v="0"/>
    <s v="2025010067582"/>
    <x v="1"/>
    <m/>
    <x v="4"/>
    <s v="Tercer Orden"/>
    <s v="Vías terciarias mejoradas"/>
    <s v="No remiten presupuestos  estudios tipo."/>
    <m/>
    <m/>
    <m/>
    <n v="6"/>
    <n v="21865753958.964001"/>
    <n v="8371779870.6599998"/>
    <n v="13493974088.304001"/>
    <n v="851002641"/>
    <n v="4636492005"/>
    <n v="5487494646"/>
    <n v="0.25096297416949431"/>
    <n v="16378259312.964001"/>
    <n v="13102607450.371201"/>
    <n v="9826955587.7784004"/>
    <n v="0.15508035923466848"/>
    <n v="0.43479333121090752"/>
    <n v="0.8"/>
    <x v="0"/>
    <n v="1965391117.5556803"/>
    <n v="3742368840.3340797"/>
  </r>
  <r>
    <n v="163"/>
    <x v="150"/>
    <d v="2024-01-24T00:00:00"/>
    <x v="35"/>
    <x v="4"/>
    <n v="-75.550359999999998"/>
    <s v="7,112803"/>
    <n v="1"/>
    <n v="1"/>
    <s v="2025010055918"/>
    <x v="3"/>
    <m/>
    <x v="16"/>
    <s v="Tercer Orden"/>
    <s v="Vías terciarias mejoradas"/>
    <m/>
    <m/>
    <m/>
    <m/>
    <n v="6"/>
    <n v="15936675551.976999"/>
    <n v="6355203503.6700001"/>
    <n v="9581472048.3069992"/>
    <n v="166905356.59"/>
    <n v="5064590198"/>
    <n v="5231495554.5900002"/>
    <n v="0.32826768277534613"/>
    <n v="10705179997.386999"/>
    <n v="8564143997.9095993"/>
    <n v="6423107998.4321995"/>
    <n v="3.1903946939907245E-2"/>
    <n v="0.65192157878949775"/>
    <n v="0.8"/>
    <x v="0"/>
    <n v="1284621599.68644"/>
    <n v="-845089345.88136101"/>
  </r>
  <r>
    <n v="164"/>
    <x v="151"/>
    <d v="2024-02-13T00:00:00"/>
    <x v="80"/>
    <x v="7"/>
    <n v="-75.726974999999996"/>
    <s v="6,44809"/>
    <n v="0"/>
    <n v="0"/>
    <s v="2025010067584"/>
    <x v="1"/>
    <m/>
    <x v="6"/>
    <s v="Urbana"/>
    <s v="Vía urbana mejorada"/>
    <s v="No remiten presupuestos  estudios tipo."/>
    <m/>
    <m/>
    <m/>
    <n v="6"/>
    <n v="21865753958.964001"/>
    <n v="8371779870.6599998"/>
    <n v="13493974088.304001"/>
    <n v="851002641"/>
    <n v="4636492005"/>
    <n v="5487494646"/>
    <n v="0.25096297416949431"/>
    <n v="16378259312.964001"/>
    <n v="13102607450.371201"/>
    <n v="9826955587.7784004"/>
    <n v="0.15508035923466848"/>
    <n v="0.43479333121090752"/>
    <n v="0.8"/>
    <x v="0"/>
    <n v="1965391117.5556803"/>
    <n v="3742368840.3340797"/>
  </r>
  <r>
    <n v="165"/>
    <x v="152"/>
    <d v="2024-06-02T00:00:00"/>
    <x v="30"/>
    <x v="4"/>
    <n v="-75.418828000000005"/>
    <n v="6.963832"/>
    <n v="0"/>
    <n v="1"/>
    <s v="2025010063968"/>
    <x v="3"/>
    <m/>
    <x v="10"/>
    <s v="Tercer Orden"/>
    <s v="Vías terciarias mejoradas"/>
    <s v="Priorizado 21/05/2025"/>
    <n v="1"/>
    <s v="SGR Regionales 60%"/>
    <s v="Puentes y PAP 2025-1"/>
    <n v="5"/>
    <n v="36204719778.619003"/>
    <n v="11082623753.610001"/>
    <n v="25122096025.009003"/>
    <n v="1291156679"/>
    <n v="12320355879.07"/>
    <n v="13611512558.07"/>
    <n v="0.37595961635113639"/>
    <n v="22593207220.549004"/>
    <n v="18074565776.439205"/>
    <n v="13555924332.329401"/>
    <n v="9.4857692963336279E-2"/>
    <n v="0.39053077044629697"/>
    <n v="0.8"/>
    <x v="0"/>
    <n v="2711184866.4658804"/>
    <n v="-1286623972.2047195"/>
  </r>
  <r>
    <n v="167"/>
    <x v="153"/>
    <d v="2024-11-02T00:00:00"/>
    <x v="81"/>
    <x v="2"/>
    <n v="-75.184445999999994"/>
    <s v="6,142892"/>
    <n v="0"/>
    <n v="1"/>
    <s v="2025010053678"/>
    <x v="0"/>
    <m/>
    <x v="4"/>
    <s v="Tercer Orden"/>
    <s v="Vías terciarias mejoradas"/>
    <s v="Presentan carta de solicitud. No presentan presupuesto ni estudios"/>
    <m/>
    <m/>
    <m/>
    <n v="6"/>
    <n v="9100976268.0305004"/>
    <n v="3221460794.1700001"/>
    <n v="5879515473.8605003"/>
    <n v="1026722956"/>
    <n v="190000000"/>
    <n v="1216722956"/>
    <n v="0.13369147662477152"/>
    <n v="7884253312.0305004"/>
    <n v="6307402649.6244011"/>
    <n v="4730551987.2182999"/>
    <n v="0.84384284108140062"/>
    <n v="0.65864601932480682"/>
    <n v="0.8"/>
    <x v="0"/>
    <n v="946110397.44366002"/>
    <n v="-23609701698.338039"/>
  </r>
  <r>
    <n v="168"/>
    <x v="154"/>
    <d v="2025-01-22T00:00:00"/>
    <x v="81"/>
    <x v="2"/>
    <n v="-75.184445999999994"/>
    <s v="6,142892"/>
    <n v="0"/>
    <n v="1"/>
    <s v="2025010053674"/>
    <x v="0"/>
    <m/>
    <x v="4"/>
    <s v="Tercer Orden"/>
    <s v="Vías terciarias mejoradas"/>
    <s v="Presentan carta de solicitud. No presentan presupuesto ni estudios"/>
    <m/>
    <m/>
    <m/>
    <n v="6"/>
    <n v="9100976268.0305004"/>
    <n v="3221460794.1700001"/>
    <n v="5879515473.8605003"/>
    <n v="1026722956"/>
    <n v="190000000"/>
    <n v="1216722956"/>
    <n v="0.13369147662477152"/>
    <n v="7884253312.0305004"/>
    <n v="6307402649.6244011"/>
    <n v="4730551987.2182999"/>
    <n v="0.84384284108140062"/>
    <n v="0.65864601932480682"/>
    <n v="0.8"/>
    <x v="0"/>
    <n v="946110397.44366002"/>
    <n v="-23609701698.338039"/>
  </r>
  <r>
    <n v="169"/>
    <x v="155"/>
    <d v="2025-02-05T00:00:00"/>
    <x v="81"/>
    <x v="2"/>
    <n v="-75.184445999999994"/>
    <s v="6,142892"/>
    <n v="0"/>
    <n v="1"/>
    <s v="2025010053667"/>
    <x v="0"/>
    <m/>
    <x v="4"/>
    <s v="Tercer Orden"/>
    <s v="Vías terciarias mejoradas"/>
    <s v="Presentan carta de solicitud. No presentan presupuesto ni estudios"/>
    <m/>
    <m/>
    <m/>
    <n v="6"/>
    <n v="9100976268.0305004"/>
    <n v="3221460794.1700001"/>
    <n v="5879515473.8605003"/>
    <n v="1026722956"/>
    <n v="190000000"/>
    <n v="1216722956"/>
    <n v="0.13369147662477152"/>
    <n v="7884253312.0305004"/>
    <n v="6307402649.6244011"/>
    <n v="4730551987.2182999"/>
    <n v="0.84384284108140062"/>
    <n v="0.65864601932480682"/>
    <n v="0.8"/>
    <x v="0"/>
    <n v="946110397.44366002"/>
    <n v="-23609701698.338039"/>
  </r>
  <r>
    <n v="170"/>
    <x v="156"/>
    <d v="2025-02-05T00:00:00"/>
    <x v="81"/>
    <x v="2"/>
    <n v="-75.184445999999994"/>
    <s v="6,142892"/>
    <n v="0"/>
    <n v="1"/>
    <s v="2025010053660"/>
    <x v="0"/>
    <m/>
    <x v="4"/>
    <s v="Tercer Orden"/>
    <s v="Vías terciarias mejoradas"/>
    <s v="Presentan carta de solicitud. No presentan presupuesto ni estudios"/>
    <m/>
    <m/>
    <m/>
    <n v="6"/>
    <n v="9100976268.0305004"/>
    <n v="3221460794.1700001"/>
    <n v="5879515473.8605003"/>
    <n v="1026722956"/>
    <n v="190000000"/>
    <n v="1216722956"/>
    <n v="0.13369147662477152"/>
    <n v="7884253312.0305004"/>
    <n v="6307402649.6244011"/>
    <n v="4730551987.2182999"/>
    <n v="0.84384284108140062"/>
    <n v="0.65864601932480682"/>
    <n v="0.8"/>
    <x v="0"/>
    <n v="946110397.44366002"/>
    <n v="-23609701698.338039"/>
  </r>
  <r>
    <n v="171"/>
    <x v="157"/>
    <d v="2025-02-04T00:00:00"/>
    <x v="12"/>
    <x v="3"/>
    <n v="-75.675072"/>
    <s v="5,928039"/>
    <n v="0"/>
    <n v="0"/>
    <s v="2025010050686 2025050284676 2025050284677"/>
    <x v="2"/>
    <n v="3250495705"/>
    <x v="10"/>
    <s v="Segundo Orden"/>
    <s v="Vías secundarias mejoradas"/>
    <m/>
    <m/>
    <m/>
    <m/>
    <n v="6"/>
    <n v="17515986067.273998"/>
    <n v="8346764868.3600006"/>
    <n v="9169221198.9139977"/>
    <n v="0"/>
    <n v="6328650461"/>
    <n v="6328650461"/>
    <n v="0.36130711891945022"/>
    <n v="11187335606.273998"/>
    <n v="8949868485.0191994"/>
    <n v="6712401363.7643986"/>
    <n v="0"/>
    <n v="0.67376313277740918"/>
    <n v="0.8"/>
    <x v="0"/>
    <n v="1342480272.7528799"/>
    <n v="3280962216.5172787"/>
  </r>
  <r>
    <n v="172"/>
    <x v="158"/>
    <d v="2024-11-14T00:00:00"/>
    <x v="81"/>
    <x v="2"/>
    <n v="-75.184445999999994"/>
    <s v="6,142892"/>
    <n v="0"/>
    <n v="1"/>
    <s v="2024010520939 2025050103225"/>
    <x v="1"/>
    <n v="13671056484"/>
    <x v="4"/>
    <s v="Tercer Orden"/>
    <s v="Vías terciarias mejoradas"/>
    <s v="Presentan E&amp;D"/>
    <m/>
    <m/>
    <m/>
    <n v="6"/>
    <n v="9100976268.0305004"/>
    <n v="3221460794.1700001"/>
    <n v="5879515473.8605003"/>
    <n v="1026722956"/>
    <n v="190000000"/>
    <n v="1216722956"/>
    <n v="0.13369147662477152"/>
    <n v="7884253312.0305004"/>
    <n v="6307402649.6244011"/>
    <n v="4730551987.2182999"/>
    <n v="0.84384284108140062"/>
    <n v="0.65864601932480682"/>
    <n v="0.8"/>
    <x v="0"/>
    <n v="946110397.44366002"/>
    <n v="-23609701698.338039"/>
  </r>
  <r>
    <n v="173"/>
    <x v="159"/>
    <d v="2024-12-30T00:00:00"/>
    <x v="32"/>
    <x v="3"/>
    <n v="-75.976789999999994"/>
    <s v="5,74615"/>
    <n v="0"/>
    <n v="0"/>
    <s v="2024010584314 2025010068041"/>
    <x v="1"/>
    <n v="1232731292"/>
    <x v="16"/>
    <s v="Tercer Orden"/>
    <s v="Vías terciarias mejoradas"/>
    <s v="CONSTRUCCIÓN DE ESTRIBO Y ALETAS DE UN COSTADO DEL PUENTE VEHICULAR EL RETEN SOBRE EL RIO PEDRAL ZONA RURAL DEL MUNICIPIO DE BETANIA - ANTIOQUIA. Documentacion entregada por el municipio"/>
    <m/>
    <m/>
    <m/>
    <n v="6"/>
    <n v="9197355968.8835011"/>
    <n v="3350398615.7000003"/>
    <n v="5846957353.1835003"/>
    <n v="958841544"/>
    <n v="680000000"/>
    <n v="1638841544"/>
    <n v="0.17818616019044273"/>
    <n v="7558514424.8835011"/>
    <n v="6046811539.9068012"/>
    <n v="4535108654.9301004"/>
    <n v="0.58507275917579493"/>
    <n v="0.53687312631507866"/>
    <n v="0.8"/>
    <x v="0"/>
    <n v="907021730.98602009"/>
    <n v="-2964573994.0838795"/>
  </r>
  <r>
    <n v="174"/>
    <x v="160"/>
    <d v="2025-01-24T00:00:00"/>
    <x v="27"/>
    <x v="2"/>
    <n v="-75.101562000000001"/>
    <s v="5,963476"/>
    <n v="0"/>
    <n v="1"/>
    <s v="2025010069361"/>
    <x v="1"/>
    <n v="663195355"/>
    <x v="17"/>
    <s v="Tercer Orden"/>
    <s v="Vías terciarias mejoradas"/>
    <m/>
    <m/>
    <m/>
    <m/>
    <n v="6"/>
    <n v="7763487077.335"/>
    <n v="2329929022.3600001"/>
    <n v="5433558054.9750004"/>
    <n v="1217107364.4400001"/>
    <n v="0"/>
    <n v="1217107364.4400001"/>
    <n v="0.15677328400446064"/>
    <n v="6546379712.8950005"/>
    <n v="5237103770.3160009"/>
    <n v="3927827827.737"/>
    <n v="1"/>
    <n v="0.68141761997590633"/>
    <n v="0.8"/>
    <x v="0"/>
    <n v="785565565.5474"/>
    <n v="-4960892756.7156"/>
  </r>
  <r>
    <n v="175"/>
    <x v="161"/>
    <d v="2025-01-23T00:00:00"/>
    <x v="72"/>
    <x v="5"/>
    <n v="-76.817485000000005"/>
    <s v="6,97771"/>
    <n v="1"/>
    <n v="1"/>
    <s v="2025010030301"/>
    <x v="1"/>
    <n v="10307716743"/>
    <x v="6"/>
    <s v="Urbana"/>
    <s v="Vía urbana mejorada"/>
    <m/>
    <m/>
    <m/>
    <m/>
    <n v="6"/>
    <n v="17114409570.042"/>
    <n v="5233556503.5699997"/>
    <n v="11880853066.472"/>
    <n v="690572471"/>
    <n v="0"/>
    <n v="690572471"/>
    <n v="4.0350353202298947E-2"/>
    <n v="16423837099.042"/>
    <n v="13139069679.233601"/>
    <n v="9854302259.4251995"/>
    <n v="1"/>
    <n v="0.61563469645402102"/>
    <n v="0.8"/>
    <x v="0"/>
    <n v="1970860451.88504"/>
    <n v="1517445968.3102398"/>
  </r>
  <r>
    <n v="176"/>
    <x v="162"/>
    <d v="2025-02-17T00:00:00"/>
    <x v="82"/>
    <x v="8"/>
    <n v="-74.78716"/>
    <s v="6,552116"/>
    <n v="0"/>
    <n v="0"/>
    <s v="2025010073393"/>
    <x v="1"/>
    <n v="13427488873"/>
    <x v="4"/>
    <s v="Tercer Orden"/>
    <s v="Vías terciarias mejoradas"/>
    <m/>
    <m/>
    <m/>
    <m/>
    <n v="6"/>
    <n v="12443958135.744499"/>
    <n v="4756407219.6099997"/>
    <n v="7687550916.1344995"/>
    <n v="8000000000"/>
    <n v="0"/>
    <n v="8000000000"/>
    <n v="0.64288226565312012"/>
    <n v="4443958135.7444992"/>
    <n v="3555166508.5955997"/>
    <n v="2666374881.4466996"/>
    <n v="1"/>
    <n v="0.49448054880206244"/>
    <n v="0.8"/>
    <x v="0"/>
    <n v="533274976.28933996"/>
    <n v="-10227839015.26396"/>
  </r>
  <r>
    <n v="177"/>
    <x v="163"/>
    <d v="2024-04-09T00:00:00"/>
    <x v="9"/>
    <x v="3"/>
    <n v="-75.714428999999996"/>
    <n v="5.6646450000000002"/>
    <n v="0"/>
    <n v="0"/>
    <s v="2024010402559"/>
    <x v="1"/>
    <n v="3301000000"/>
    <x v="4"/>
    <s v="Tercer Orden"/>
    <s v="Vías terciarias mejoradas"/>
    <m/>
    <m/>
    <m/>
    <m/>
    <n v="6"/>
    <n v="13939577899.640499"/>
    <n v="5408645166.3600006"/>
    <n v="8530932733.2804985"/>
    <n v="2408239973"/>
    <n v="812109375"/>
    <n v="3220349348"/>
    <n v="0.23102201309001277"/>
    <n v="10719228551.640499"/>
    <n v="8575382841.3123999"/>
    <n v="6431537130.9842997"/>
    <n v="0.74781947942872684"/>
    <n v="0.48148969869574604"/>
    <n v="0.8"/>
    <x v="0"/>
    <n v="1286307426.1968601"/>
    <n v="-10772171787.81884"/>
  </r>
  <r>
    <n v="178"/>
    <x v="164"/>
    <d v="2024-04-09T00:00:00"/>
    <x v="9"/>
    <x v="3"/>
    <n v="-75.714428999999996"/>
    <n v="5.6646450000000002"/>
    <n v="0"/>
    <n v="0"/>
    <s v="2024010402559"/>
    <x v="1"/>
    <n v="2656411701"/>
    <x v="4"/>
    <s v="Tercer Orden"/>
    <s v="Vías terciarias mejoradas"/>
    <m/>
    <m/>
    <m/>
    <m/>
    <n v="6"/>
    <n v="13939577899.640499"/>
    <n v="5408645166.3600006"/>
    <n v="8530932733.2804985"/>
    <n v="2408239973"/>
    <n v="812109375"/>
    <n v="3220349348"/>
    <n v="0.23102201309001277"/>
    <n v="10719228551.640499"/>
    <n v="8575382841.3123999"/>
    <n v="6431537130.9842997"/>
    <n v="0.74781947942872684"/>
    <n v="0.48148969869574604"/>
    <n v="0.8"/>
    <x v="0"/>
    <n v="1286307426.1968601"/>
    <n v="-10772171787.81884"/>
  </r>
  <r>
    <n v="179"/>
    <x v="165"/>
    <d v="2025-03-31T00:00:00"/>
    <x v="83"/>
    <x v="3"/>
    <n v="-75.908448000000007"/>
    <s v="6,045738"/>
    <n v="0"/>
    <n v="0"/>
    <s v=""/>
    <x v="1"/>
    <n v="2381561537"/>
    <x v="4"/>
    <s v="Tercer Orden"/>
    <s v="Vías terciarias mejoradas"/>
    <m/>
    <m/>
    <m/>
    <m/>
    <n v="6"/>
    <n v="15768761995.465"/>
    <n v="6120714378.3199997"/>
    <n v="9648047617.1450005"/>
    <n v="0"/>
    <n v="1826140917"/>
    <n v="1826140917"/>
    <n v="0.11580750077432755"/>
    <n v="13942621078.465"/>
    <n v="11154096862.772001"/>
    <n v="8365572647.0789995"/>
    <n v="0"/>
    <n v="0.59742617293949363"/>
    <n v="0.8"/>
    <x v="0"/>
    <n v="1673114529.4158001"/>
    <n v="7657125639.4948006"/>
  </r>
  <r>
    <n v="180"/>
    <x v="166"/>
    <d v="2025-03-31T00:00:00"/>
    <x v="43"/>
    <x v="3"/>
    <n v="-75.818982000000005"/>
    <s v="5,597542"/>
    <n v="0"/>
    <n v="0"/>
    <s v=""/>
    <x v="1"/>
    <n v="758742624"/>
    <x v="4"/>
    <s v="Tercer Orden"/>
    <s v="Vías terciarias mejoradas"/>
    <m/>
    <n v="1"/>
    <s v="SGR Regionales 60%"/>
    <s v="Placa huellas 2025-2"/>
    <n v="6"/>
    <n v="14419744847.987999"/>
    <n v="4888479181.79"/>
    <n v="9531265666.197998"/>
    <n v="0"/>
    <n v="0"/>
    <n v="0"/>
    <n v="0"/>
    <n v="14419744847.987999"/>
    <n v="11535795878.3904"/>
    <n v="8651846908.792799"/>
    <n v="0"/>
    <n v="0.45738888558733654"/>
    <n v="0.8"/>
    <x v="0"/>
    <n v="1730369381.7585599"/>
    <n v="9347496667.5513592"/>
  </r>
  <r>
    <n v="181"/>
    <x v="167"/>
    <d v="2025-03-31T00:00:00"/>
    <x v="74"/>
    <x v="2"/>
    <n v="-75.501300999999998"/>
    <s v="6,062454"/>
    <n v="0"/>
    <n v="0"/>
    <s v=""/>
    <x v="1"/>
    <n v="5513756546"/>
    <x v="4"/>
    <s v="Tercer Orden"/>
    <s v="Vías terciarias mejoradas"/>
    <m/>
    <n v="1"/>
    <s v="SGR Regionales 60%"/>
    <s v="Placa huellas 2025-2"/>
    <n v="3"/>
    <n v="69187005609.695007"/>
    <n v="24929217109.209999"/>
    <n v="44257788500.485008"/>
    <n v="0"/>
    <n v="0"/>
    <n v="0"/>
    <n v="0"/>
    <n v="69187005609.695007"/>
    <n v="55349604487.756012"/>
    <n v="41512203365.817001"/>
    <n v="0"/>
    <n v="0.36680132048521774"/>
    <n v="0.7"/>
    <x v="0"/>
    <n v="8302440673.1634007"/>
    <n v="17930040883.9804"/>
  </r>
  <r>
    <n v="182"/>
    <x v="168"/>
    <d v="2025-03-31T00:00:00"/>
    <x v="84"/>
    <x v="7"/>
    <n v="-75.982929999999996"/>
    <s v="6,405607"/>
    <n v="0"/>
    <n v="1"/>
    <s v=""/>
    <x v="1"/>
    <n v="6507553565"/>
    <x v="4"/>
    <s v="Tercer Orden"/>
    <s v="Vías terciarias mejoradas"/>
    <m/>
    <m/>
    <m/>
    <m/>
    <n v="6"/>
    <n v="8536446221.1044998"/>
    <n v="2840287960.8099999"/>
    <n v="5696158260.2945004"/>
    <n v="1059912604"/>
    <n v="559890374"/>
    <n v="1619802978"/>
    <n v="0.18975144176453554"/>
    <n v="6916643243.1044998"/>
    <n v="5533314594.4836006"/>
    <n v="4149985945.8626995"/>
    <n v="0.65434662017271583"/>
    <n v="0.62730744736284794"/>
    <n v="0.8"/>
    <x v="0"/>
    <n v="829997189.17253995"/>
    <n v="-7956520095.9647608"/>
  </r>
  <r>
    <n v="183"/>
    <x v="169"/>
    <d v="2025-03-31T00:00:00"/>
    <x v="47"/>
    <x v="7"/>
    <n v="-75.826648000000006"/>
    <s v="6,556484"/>
    <n v="0"/>
    <n v="1"/>
    <s v="2024010402813"/>
    <x v="1"/>
    <n v="12369426728"/>
    <x v="4"/>
    <s v="Tercer Orden"/>
    <s v="Vías terciarias mejoradas"/>
    <m/>
    <m/>
    <m/>
    <m/>
    <n v="5"/>
    <n v="40656193467.687004"/>
    <n v="18778286398.540001"/>
    <n v="21877907069.147003"/>
    <n v="5492975516"/>
    <n v="2014055909"/>
    <n v="7507031425"/>
    <n v="0.18464668688096655"/>
    <n v="33149162042.687004"/>
    <n v="26519329634.149605"/>
    <n v="19889497225.612202"/>
    <n v="0.73171073957506449"/>
    <n v="0.53391906125286837"/>
    <n v="0.8"/>
    <x v="0"/>
    <n v="3977899445.1224403"/>
    <n v="-22304221465.265358"/>
  </r>
  <r>
    <n v="184"/>
    <x v="170"/>
    <d v="2025-03-31T00:00:00"/>
    <x v="47"/>
    <x v="7"/>
    <n v="-75.826648000000006"/>
    <s v="6,556484"/>
    <n v="0"/>
    <n v="1"/>
    <s v=""/>
    <x v="1"/>
    <n v="11434345738"/>
    <x v="4"/>
    <s v="Tercer Orden"/>
    <s v="Vías terciarias mejoradas"/>
    <m/>
    <m/>
    <m/>
    <m/>
    <n v="5"/>
    <n v="40656193467.687004"/>
    <n v="18778286398.540001"/>
    <n v="21877907069.147003"/>
    <n v="5492975516"/>
    <n v="2014055909"/>
    <n v="7507031425"/>
    <n v="0.18464668688096655"/>
    <n v="33149162042.687004"/>
    <n v="26519329634.149605"/>
    <n v="19889497225.612202"/>
    <n v="0.73171073957506449"/>
    <n v="0.53391906125286837"/>
    <n v="0.8"/>
    <x v="0"/>
    <n v="3977899445.1224403"/>
    <n v="-22304221465.265358"/>
  </r>
  <r>
    <n v="185"/>
    <x v="171"/>
    <d v="2025-03-31T00:00:00"/>
    <x v="85"/>
    <x v="7"/>
    <n v="-75.910357000000005"/>
    <s v="7,021029"/>
    <n v="0"/>
    <n v="0"/>
    <s v=""/>
    <x v="1"/>
    <n v="5520217450"/>
    <x v="4"/>
    <s v="Tercer Orden"/>
    <s v="Vías terciarias mejoradas"/>
    <m/>
    <m/>
    <m/>
    <m/>
    <n v="6"/>
    <n v="13002660545.618999"/>
    <n v="2851909764.96"/>
    <n v="10150750780.659"/>
    <n v="3580400217"/>
    <n v="0"/>
    <n v="3580400217"/>
    <n v="0.27535904705336234"/>
    <n v="9422260328.6189995"/>
    <n v="7537808262.8951998"/>
    <n v="5653356197.1713991"/>
    <n v="1"/>
    <n v="0.60546314083774588"/>
    <n v="0.8"/>
    <x v="0"/>
    <n v="1130671239.4342799"/>
    <n v="-65295013.394321442"/>
  </r>
  <r>
    <n v="186"/>
    <x v="172"/>
    <d v="2025-03-31T00:00:00"/>
    <x v="86"/>
    <x v="4"/>
    <n v="-75.667778999999996"/>
    <s v="6,606319"/>
    <n v="0"/>
    <n v="0"/>
    <s v=""/>
    <x v="1"/>
    <n v="2041038177"/>
    <x v="4"/>
    <s v="Tercer Orden"/>
    <s v="Vías terciarias mejoradas"/>
    <m/>
    <m/>
    <m/>
    <m/>
    <n v="6"/>
    <n v="10160021082.964001"/>
    <n v="3265249234.6399999"/>
    <n v="6894771848.3240013"/>
    <n v="3316718973.96"/>
    <n v="0"/>
    <n v="3316718973.96"/>
    <n v="0.32644804049879078"/>
    <n v="6843302109.0040007"/>
    <n v="5474641687.2032013"/>
    <n v="4105981265.4024"/>
    <n v="1"/>
    <n v="0.59534208417675272"/>
    <n v="0.8"/>
    <x v="0"/>
    <n v="821196253.0804801"/>
    <n v="-1916076050.5171204"/>
  </r>
  <r>
    <n v="187"/>
    <x v="173"/>
    <d v="2025-03-31T00:00:00"/>
    <x v="86"/>
    <x v="4"/>
    <n v="-75.667778999999996"/>
    <s v="6,606319"/>
    <n v="0"/>
    <n v="0"/>
    <s v=""/>
    <x v="1"/>
    <n v="981613173"/>
    <x v="4"/>
    <s v="Tercer Orden"/>
    <s v="Vías terciarias mejoradas"/>
    <m/>
    <m/>
    <m/>
    <m/>
    <n v="6"/>
    <n v="10160021082.964001"/>
    <n v="3265249234.6399999"/>
    <n v="6894771848.3240013"/>
    <n v="3316718973.96"/>
    <n v="0"/>
    <n v="3316718973.96"/>
    <n v="0.32644804049879078"/>
    <n v="6843302109.0040007"/>
    <n v="5474641687.2032013"/>
    <n v="4105981265.4024"/>
    <n v="1"/>
    <n v="0.59534208417675272"/>
    <n v="0.8"/>
    <x v="0"/>
    <n v="821196253.0804801"/>
    <n v="-1916076050.5171204"/>
  </r>
  <r>
    <n v="188"/>
    <x v="174"/>
    <d v="2025-03-31T00:00:00"/>
    <x v="86"/>
    <x v="4"/>
    <n v="-75.667778999999996"/>
    <s v="6,606319"/>
    <n v="0"/>
    <n v="0"/>
    <s v=""/>
    <x v="1"/>
    <n v="1500000000"/>
    <x v="4"/>
    <s v="Tercer Orden"/>
    <s v="Vías terciarias mejoradas"/>
    <m/>
    <m/>
    <m/>
    <m/>
    <n v="6"/>
    <n v="10160021082.964001"/>
    <n v="3265249234.6399999"/>
    <n v="6894771848.3240013"/>
    <n v="3316718973.96"/>
    <n v="0"/>
    <n v="3316718973.96"/>
    <n v="0.32644804049879078"/>
    <n v="6843302109.0040007"/>
    <n v="5474641687.2032013"/>
    <n v="4105981265.4024"/>
    <n v="1"/>
    <n v="0.59534208417675272"/>
    <n v="0.8"/>
    <x v="0"/>
    <n v="821196253.0804801"/>
    <n v="-1916076050.5171204"/>
  </r>
  <r>
    <n v="189"/>
    <x v="175"/>
    <d v="2025-03-31T00:00:00"/>
    <x v="34"/>
    <x v="8"/>
    <n v="-74.583011999999997"/>
    <s v="6,186025"/>
    <n v="0"/>
    <n v="0"/>
    <s v=""/>
    <x v="2"/>
    <m/>
    <x v="7"/>
    <m/>
    <s v="Equipamientos construidos"/>
    <m/>
    <m/>
    <m/>
    <m/>
    <n v="6"/>
    <n v="17406090503.82"/>
    <n v="8490973725.3299999"/>
    <n v="8915116778.4899998"/>
    <n v="6695063584"/>
    <n v="0"/>
    <n v="6695063584"/>
    <n v="0.38463913436108349"/>
    <n v="10711026919.82"/>
    <n v="8568821535.8559999"/>
    <n v="6426616151.8919992"/>
    <n v="1"/>
    <n v="0.75913384232200265"/>
    <n v="0.8"/>
    <x v="2"/>
    <n v="1285323230.3783998"/>
    <n v="6058539526.2703991"/>
  </r>
  <r>
    <n v="192"/>
    <x v="176"/>
    <d v="2025-03-31T00:00:00"/>
    <x v="39"/>
    <x v="3"/>
    <n v="-75.791887000000003"/>
    <n v="6.0623909999999999"/>
    <n v="0"/>
    <n v="0"/>
    <s v=""/>
    <x v="1"/>
    <n v="7674272152"/>
    <x v="4"/>
    <s v="Tercer Orden"/>
    <s v="Vías terciarias mejoradas"/>
    <s v="Decreto firmado. RAD 2025070002470 "/>
    <n v="1"/>
    <s v="SGR Regionales 60%"/>
    <s v="Placa huellas 2025-1"/>
    <n v="6"/>
    <n v="11592686445.107998"/>
    <n v="5670743725.9899998"/>
    <n v="5921942719.1179981"/>
    <n v="1149558272.3800001"/>
    <n v="1133660976"/>
    <n v="2283219248.3800001"/>
    <n v="0.19695342052001213"/>
    <n v="9309467196.7279968"/>
    <n v="7447573757.3823977"/>
    <n v="5585680318.0367975"/>
    <n v="0.50348133373334159"/>
    <n v="0.69203788539600963"/>
    <n v="0.8"/>
    <x v="0"/>
    <n v="1117136063.6073596"/>
    <n v="-971455770.35584259"/>
  </r>
  <r>
    <n v="193"/>
    <x v="177"/>
    <d v="2025-03-31T00:00:00"/>
    <x v="27"/>
    <x v="2"/>
    <n v="-75.101562000000001"/>
    <s v="5,963476"/>
    <n v="0"/>
    <n v="1"/>
    <s v=""/>
    <x v="1"/>
    <m/>
    <x v="4"/>
    <s v="Tercer Orden"/>
    <s v="Vías terciarias mejoradas"/>
    <s v="No envian presupuesto"/>
    <m/>
    <m/>
    <m/>
    <n v="6"/>
    <n v="7763487077.335"/>
    <n v="2329929022.3600001"/>
    <n v="5433558054.9750004"/>
    <n v="1217107364.4400001"/>
    <n v="0"/>
    <n v="1217107364.4400001"/>
    <n v="0.15677328400446064"/>
    <n v="6546379712.8950005"/>
    <n v="5237103770.3160009"/>
    <n v="3927827827.737"/>
    <n v="1"/>
    <n v="0.68141761997590633"/>
    <n v="0.8"/>
    <x v="0"/>
    <n v="785565565.5474"/>
    <n v="-4960892756.7156"/>
  </r>
  <r>
    <n v="194"/>
    <x v="178"/>
    <d v="2025-03-31T00:00:00"/>
    <x v="27"/>
    <x v="2"/>
    <n v="-75.101562000000001"/>
    <s v="5,963476"/>
    <n v="0"/>
    <n v="1"/>
    <s v=""/>
    <x v="1"/>
    <n v="2451241672"/>
    <x v="4"/>
    <s v="Tercer Orden"/>
    <s v="Vías terciarias mejoradas"/>
    <m/>
    <m/>
    <m/>
    <m/>
    <n v="6"/>
    <n v="7763487077.335"/>
    <n v="2329929022.3600001"/>
    <n v="5433558054.9750004"/>
    <n v="1217107364.4400001"/>
    <n v="0"/>
    <n v="1217107364.4400001"/>
    <n v="0.15677328400446064"/>
    <n v="6546379712.8950005"/>
    <n v="5237103770.3160009"/>
    <n v="3927827827.737"/>
    <n v="1"/>
    <n v="0.68141761997590633"/>
    <n v="0.8"/>
    <x v="0"/>
    <n v="785565565.5474"/>
    <n v="-4960892756.7156"/>
  </r>
  <r>
    <n v="195"/>
    <x v="179"/>
    <d v="2025-03-31T00:00:00"/>
    <x v="15"/>
    <x v="0"/>
    <n v="-75.013385"/>
    <n v="6.5945109999999998"/>
    <n v="0"/>
    <n v="1"/>
    <s v=""/>
    <x v="1"/>
    <n v="6562907695"/>
    <x v="4"/>
    <s v="Tercer Orden"/>
    <s v="Vías terciarias mejoradas"/>
    <m/>
    <n v="1"/>
    <s v="SGR Regionales 60%"/>
    <s v="Placa huellas 2025-2"/>
    <n v="6"/>
    <n v="18632663202.9925"/>
    <n v="4332293517.3299999"/>
    <n v="14300369685.6625"/>
    <n v="3970281006"/>
    <n v="1500000000"/>
    <n v="5470281006"/>
    <n v="0.29358556779588252"/>
    <n v="13162382196.9925"/>
    <n v="10529905757.594002"/>
    <n v="7897429318.1954994"/>
    <n v="0.72579105198531002"/>
    <n v="0.44683077557401057"/>
    <n v="0.8"/>
    <x v="0"/>
    <n v="1579485863.6391001"/>
    <n v="2914007486.8345985"/>
  </r>
  <r>
    <n v="196"/>
    <x v="180"/>
    <d v="2025-03-31T00:00:00"/>
    <x v="53"/>
    <x v="6"/>
    <n v="-74.776470000000003"/>
    <s v="8,094129"/>
    <n v="1"/>
    <n v="1"/>
    <s v=""/>
    <x v="1"/>
    <n v="3336095639"/>
    <x v="4"/>
    <s v="Tercer Orden"/>
    <s v="Vías terciarias mejoradas"/>
    <s v="Reportado en presentacion de estrategia de consolidacion territorial para la paz en la subregion del Bajo Cauca."/>
    <m/>
    <m/>
    <m/>
    <n v="6"/>
    <n v="17207529181.433002"/>
    <n v="3556882387.1300001"/>
    <n v="13650646794.303001"/>
    <n v="2981910160"/>
    <n v="5898924731"/>
    <n v="8880834891"/>
    <n v="0.51610168998478057"/>
    <n v="8326694290.4330025"/>
    <n v="6661355432.3464022"/>
    <n v="4996016574.2598009"/>
    <n v="0.3357691249301259"/>
    <n v="0.46603493316730282"/>
    <n v="0.8"/>
    <x v="0"/>
    <n v="999203314.85196018"/>
    <n v="-4219206551.8882389"/>
  </r>
  <r>
    <n v="197"/>
    <x v="181"/>
    <d v="2025-03-31T00:00:00"/>
    <x v="53"/>
    <x v="6"/>
    <n v="-74.776470000000003"/>
    <s v="8,094129"/>
    <n v="1"/>
    <n v="1"/>
    <s v=""/>
    <x v="1"/>
    <n v="3723342463"/>
    <x v="4"/>
    <s v="Tercer Orden"/>
    <s v="Vías terciarias mejoradas"/>
    <s v="Reportado en presentacion de estrategia de consolidacion territorial para la paz en la subregion del Bajo Cauca."/>
    <m/>
    <m/>
    <m/>
    <n v="6"/>
    <n v="17207529181.433002"/>
    <n v="3556882387.1300001"/>
    <n v="13650646794.303001"/>
    <n v="2981910160"/>
    <n v="5898924731"/>
    <n v="8880834891"/>
    <n v="0.51610168998478057"/>
    <n v="8326694290.4330025"/>
    <n v="6661355432.3464022"/>
    <n v="4996016574.2598009"/>
    <n v="0.3357691249301259"/>
    <n v="0.46603493316730282"/>
    <n v="0.8"/>
    <x v="0"/>
    <n v="999203314.85196018"/>
    <n v="-4219206551.8882389"/>
  </r>
  <r>
    <n v="198"/>
    <x v="182"/>
    <d v="2025-03-31T00:00:00"/>
    <x v="87"/>
    <x v="3"/>
    <n v="-75.711388999999997"/>
    <s v="6,109719"/>
    <n v="0"/>
    <n v="0"/>
    <s v=""/>
    <x v="1"/>
    <n v="5358281136"/>
    <x v="4"/>
    <s v="Tercer Orden"/>
    <s v="Vías terciarias mejoradas"/>
    <m/>
    <m/>
    <m/>
    <m/>
    <n v="5"/>
    <n v="7630980393.4579992"/>
    <n v="2836641555.8400002"/>
    <n v="4794338837.6179991"/>
    <n v="46770446.019999996"/>
    <n v="1700000000"/>
    <n v="1746770446.02"/>
    <n v="0.22890511519561726"/>
    <n v="5884209947.4379997"/>
    <n v="4707367957.9504004"/>
    <n v="3530525968.4627995"/>
    <n v="2.6775382035210189E-2"/>
    <n v="0.7580768893854527"/>
    <n v="0.8"/>
    <x v="2"/>
    <n v="706105193.69255996"/>
    <n v="-8074382003.8446407"/>
  </r>
  <r>
    <n v="199"/>
    <x v="183"/>
    <d v="2025-03-31T00:00:00"/>
    <x v="65"/>
    <x v="3"/>
    <n v="-75.523454999999998"/>
    <s v="5,946313"/>
    <n v="0"/>
    <n v="1"/>
    <s v=""/>
    <x v="1"/>
    <m/>
    <x v="4"/>
    <s v="Tercer Orden"/>
    <s v="Vías terciarias mejoradas"/>
    <s v="No presenta presupuesto  "/>
    <n v="1"/>
    <s v="SGR Regionales 60%"/>
    <s v="Placa huellas 2025-2"/>
    <n v="6"/>
    <n v="6527267076.0299997"/>
    <n v="2852468155.77"/>
    <n v="3674798920.2599998"/>
    <n v="1320825426"/>
    <n v="0"/>
    <n v="1320825426"/>
    <n v="0.2023550454753798"/>
    <n v="5206441650.0299997"/>
    <n v="4165153320.0240002"/>
    <n v="3123864990.0179996"/>
    <n v="1"/>
    <n v="0.63926485007667311"/>
    <n v="0.8"/>
    <x v="0"/>
    <n v="624772998.0036"/>
    <n v="3748637988.0215998"/>
  </r>
  <r>
    <n v="200"/>
    <x v="184"/>
    <d v="2025-03-31T00:00:00"/>
    <x v="44"/>
    <x v="7"/>
    <n v="-75.952157999999997"/>
    <s v="6,680808"/>
    <n v="0"/>
    <n v="0"/>
    <s v=""/>
    <x v="1"/>
    <n v="1299729169532"/>
    <x v="4"/>
    <s v="Tercer Orden"/>
    <s v="Vías terciarias mejoradas"/>
    <m/>
    <m/>
    <m/>
    <m/>
    <n v="6"/>
    <n v="10996307821.845001"/>
    <n v="3830082733.7800002"/>
    <n v="7166225088.0650005"/>
    <n v="1182597765.4299998"/>
    <n v="0"/>
    <n v="1182597765.4299998"/>
    <n v="0.10754498551601833"/>
    <n v="9813710056.4150009"/>
    <n v="7850968045.1320009"/>
    <n v="5888226033.849"/>
    <n v="1"/>
    <n v="0.53885751046750907"/>
    <n v="0.8"/>
    <x v="0"/>
    <n v="1177645206.7697999"/>
    <n v="-1298627506237.3811"/>
  </r>
  <r>
    <n v="201"/>
    <x v="185"/>
    <d v="2025-03-31T00:00:00"/>
    <x v="23"/>
    <x v="3"/>
    <n v="-75.702188000000007"/>
    <s v="6,038708"/>
    <n v="0"/>
    <n v="0"/>
    <s v=""/>
    <x v="1"/>
    <n v="5581655075"/>
    <x v="4"/>
    <s v="Tercer Orden"/>
    <s v="Vías terciarias mejoradas"/>
    <m/>
    <n v="1"/>
    <s v="SGR Regionales 60%"/>
    <s v="Placa huellas 2025-1"/>
    <n v="6"/>
    <n v="25390387392.328503"/>
    <n v="8357833556.3299999"/>
    <n v="17032553835.998503"/>
    <n v="4689987006"/>
    <n v="6272045606"/>
    <n v="10962032612"/>
    <n v="0.43173947851272598"/>
    <n v="14428354780.328503"/>
    <n v="11542683824.262802"/>
    <n v="8657012868.1971016"/>
    <n v="0.42783917654705111"/>
    <n v="0.46347626739589709"/>
    <n v="0.8"/>
    <x v="0"/>
    <n v="1731402573.6394205"/>
    <n v="4806760366.8365211"/>
  </r>
  <r>
    <n v="202"/>
    <x v="186"/>
    <d v="2025-03-31T00:00:00"/>
    <x v="88"/>
    <x v="0"/>
    <n v="-75.148354999999995"/>
    <s v="7,074703"/>
    <n v="1"/>
    <n v="1"/>
    <s v=""/>
    <x v="1"/>
    <n v="4225553380"/>
    <x v="4"/>
    <s v="Tercer Orden"/>
    <s v="Vías terciarias mejoradas"/>
    <m/>
    <n v="1"/>
    <s v="SGR Regionales 60%"/>
    <s v="Placa huellas 2025-1"/>
    <n v="6"/>
    <n v="16148449667.859503"/>
    <n v="5168319228.7700005"/>
    <n v="10980130439.089502"/>
    <n v="943947740"/>
    <n v="680000000"/>
    <n v="1623947740"/>
    <n v="0.10056369332049052"/>
    <n v="14524501927.859503"/>
    <n v="11619601542.287603"/>
    <n v="8714701156.7157021"/>
    <n v="0.58126731344199534"/>
    <n v="0.64090582782582184"/>
    <n v="0.8"/>
    <x v="0"/>
    <n v="1742940231.3431406"/>
    <n v="6232088008.0588417"/>
  </r>
  <r>
    <n v="205"/>
    <x v="187"/>
    <d v="2025-03-31T00:00:00"/>
    <x v="11"/>
    <x v="4"/>
    <n v="-75.683351999999999"/>
    <s v="6,85009"/>
    <n v="0"/>
    <n v="0"/>
    <s v=""/>
    <x v="1"/>
    <n v="1628415828"/>
    <x v="4"/>
    <s v="Tercer Orden"/>
    <s v="Vías terciarias mejoradas"/>
    <m/>
    <n v="1"/>
    <s v="SGR Regionales 60%"/>
    <s v="Placa huellas 2025-1"/>
    <n v="6"/>
    <n v="5437802568.3275003"/>
    <n v="2195257843.8499999"/>
    <n v="3242544724.4775004"/>
    <n v="1389038990"/>
    <n v="0"/>
    <n v="1389038990"/>
    <n v="0.25544123247329026"/>
    <n v="4048763578.3275003"/>
    <n v="3239010862.6620007"/>
    <n v="2429258146.9965"/>
    <n v="1"/>
    <n v="0.74230580339650343"/>
    <n v="0.8"/>
    <x v="0"/>
    <n v="485851629.39930004"/>
    <n v="-14155936706.6042"/>
  </r>
  <r>
    <n v="206"/>
    <x v="188"/>
    <d v="2025-03-31T00:00:00"/>
    <x v="89"/>
    <x v="2"/>
    <n v="-75.028490000000005"/>
    <s v="6,293759"/>
    <n v="0"/>
    <n v="1"/>
    <s v=""/>
    <x v="1"/>
    <n v="4847192489"/>
    <x v="4"/>
    <s v="Tercer Orden"/>
    <s v="Vías terciarias mejoradas"/>
    <m/>
    <n v="1"/>
    <s v="SGR Regionales 60%"/>
    <s v="Placa huellas 2025-1"/>
    <n v="6"/>
    <n v="17565923370.843998"/>
    <n v="4463335582.5100002"/>
    <n v="13102587788.333998"/>
    <n v="2561424191"/>
    <n v="0"/>
    <n v="2561424191"/>
    <n v="0.14581779374328047"/>
    <n v="15004499179.843998"/>
    <n v="12003599343.875198"/>
    <n v="9002699507.9063988"/>
    <n v="1"/>
    <n v="0.64471709259563048"/>
    <n v="0.8"/>
    <x v="0"/>
    <n v="1800539901.5812798"/>
    <n v="3805966446.4876785"/>
  </r>
  <r>
    <n v="207"/>
    <x v="189"/>
    <d v="2025-03-31T00:00:00"/>
    <x v="37"/>
    <x v="2"/>
    <n v="-75.141069999999999"/>
    <s v="5,731474"/>
    <n v="0"/>
    <n v="1"/>
    <s v=""/>
    <x v="1"/>
    <n v="10645295128"/>
    <x v="4"/>
    <s v="Tercer Orden"/>
    <s v="Vías terciarias mejoradas"/>
    <s v="Hace parte de un proyecto de regalias regionales"/>
    <m/>
    <m/>
    <m/>
    <n v="6"/>
    <n v="7397887197.3409996"/>
    <n v="2145550795.75"/>
    <n v="5252336401.5909996"/>
    <n v="913988424"/>
    <n v="0"/>
    <n v="913988424"/>
    <n v="0.12354722363548773"/>
    <n v="6483898773.3409996"/>
    <n v="5187119018.6728001"/>
    <n v="3890339264.0045996"/>
    <n v="1"/>
    <n v="0.55936476249157852"/>
    <n v="0.8"/>
    <x v="0"/>
    <n v="778067852.80092001"/>
    <n v="-57612554588.194481"/>
  </r>
  <r>
    <n v="208"/>
    <x v="190"/>
    <d v="2025-03-31T00:00:00"/>
    <x v="90"/>
    <x v="8"/>
    <n v="-74.757420999999994"/>
    <s v="6,409829"/>
    <n v="0"/>
    <n v="0"/>
    <s v=""/>
    <x v="3"/>
    <m/>
    <x v="4"/>
    <s v="Tercer Orden"/>
    <s v="Vías terciarias mejoradas"/>
    <s v="Regalias regionales."/>
    <m/>
    <m/>
    <m/>
    <n v="6"/>
    <n v="6287173903.2990007"/>
    <n v="2101889048.3700001"/>
    <n v="4185284854.9290009"/>
    <n v="1389004859"/>
    <n v="1150000000"/>
    <n v="2539004859"/>
    <n v="0.40383881503066671"/>
    <n v="3748169044.2990007"/>
    <n v="2998535235.4392009"/>
    <n v="2248901426.5794005"/>
    <n v="0.54706664072595224"/>
    <n v="0.5833393396108878"/>
    <n v="0.8"/>
    <x v="0"/>
    <n v="449780285.31588012"/>
    <n v="2698681711.8952808"/>
  </r>
  <r>
    <n v="209"/>
    <x v="191"/>
    <d v="2025-03-31T00:00:00"/>
    <x v="70"/>
    <x v="0"/>
    <n v="-75.019109"/>
    <s v="6,485939"/>
    <n v="0"/>
    <n v="0"/>
    <s v=""/>
    <x v="1"/>
    <n v="5451448010"/>
    <x v="4"/>
    <s v="Tercer Orden"/>
    <s v="Vías terciarias mejoradas"/>
    <m/>
    <n v="1"/>
    <s v="SGR Regionales 60%"/>
    <s v="Placa huellas 2025-2"/>
    <n v="6"/>
    <n v="13645854382.4415"/>
    <n v="5036095672.2200003"/>
    <n v="8609758710.2215004"/>
    <n v="2357809963"/>
    <n v="1093248488"/>
    <n v="3451058451"/>
    <n v="0.25290160324739891"/>
    <n v="10194795931.4415"/>
    <n v="8155836745.1532001"/>
    <n v="6116877558.8648996"/>
    <n v="0.68321356954032075"/>
    <n v="0.58815143933117542"/>
    <n v="0.8"/>
    <x v="0"/>
    <n v="1223375511.77298"/>
    <n v="-66818961.362120628"/>
  </r>
  <r>
    <n v="210"/>
    <x v="192"/>
    <d v="2025-03-31T00:00:00"/>
    <x v="17"/>
    <x v="5"/>
    <n v="-76.728858000000002"/>
    <n v="8.0899289999999997"/>
    <n v="1"/>
    <n v="1"/>
    <s v=""/>
    <x v="1"/>
    <n v="4983208998"/>
    <x v="4"/>
    <s v="Tercer Orden"/>
    <s v="Vías terciarias mejoradas"/>
    <s v="2025010065132"/>
    <m/>
    <m/>
    <m/>
    <n v="5"/>
    <n v="57277943756.629501"/>
    <n v="34159399600.959999"/>
    <n v="23118544155.669502"/>
    <n v="3450000000"/>
    <n v="21452083665"/>
    <n v="24902083665"/>
    <n v="0.43475868775610099"/>
    <n v="32375860091.629501"/>
    <n v="25900688073.303604"/>
    <n v="19425516054.977699"/>
    <n v="0.13854262343712995"/>
    <n v="0.87015152665365447"/>
    <n v="0.8"/>
    <x v="1"/>
    <n v="3885103210.9955401"/>
    <n v="-42559571320.026764"/>
  </r>
  <r>
    <n v="212"/>
    <x v="193"/>
    <d v="2025-03-31T00:00:00"/>
    <x v="36"/>
    <x v="4"/>
    <n v="-75.220017999999996"/>
    <s v="6,683269"/>
    <n v="0"/>
    <n v="0"/>
    <s v=""/>
    <x v="1"/>
    <n v="13536000000"/>
    <x v="16"/>
    <s v="Segundo Orden"/>
    <s v="Vías secundarias mejoradas"/>
    <s v="Conexión nueva entre las vías El Mango Amalfi (25AN12-1-1) y la vía Puente Gavino - Gómez Plata - Carolina del Príncipe - La Herradura - Partidas a Guadalupe - Guadalupe (62AN21-1).   Requiere adquisición de predios y estudios y diseños para diseño geométrico vía de acceso.  4600005828 de 2016.Priorizado 04/04/2025"/>
    <n v="1"/>
    <s v="SGR Regionales 60%"/>
    <s v="Puentes y PAP 2025-1"/>
    <n v="6"/>
    <n v="12229746381.692001"/>
    <n v="3376878617.9000001"/>
    <n v="8852867763.7920017"/>
    <n v="1494526177.51"/>
    <n v="880381975"/>
    <n v="2374908152.5100002"/>
    <n v="0.19419112043609105"/>
    <n v="9854838229.1820011"/>
    <n v="7883870583.3456011"/>
    <n v="5912902937.5092001"/>
    <n v="0.6292985166312477"/>
    <n v="0.5600857997738885"/>
    <n v="0.8"/>
    <x v="0"/>
    <n v="1182580587.5018401"/>
    <n v="-14890911393.98896"/>
  </r>
  <r>
    <n v="213"/>
    <x v="194"/>
    <d v="2025-03-31T00:00:00"/>
    <x v="77"/>
    <x v="3"/>
    <n v="-75.735544000000004"/>
    <n v="5.9646929999999996"/>
    <n v="0"/>
    <n v="0"/>
    <s v=""/>
    <x v="1"/>
    <n v="1895000000"/>
    <x v="16"/>
    <s v="Segundo Orden"/>
    <s v="Vías secundarias mejoradas"/>
    <s v="Puente en mal estado. Con poca capacidad hidráulica. Para reemplazar en el corto o  mediano plazo.  4600007002 de 2017. Priorizado 04/04/2025"/>
    <n v="1"/>
    <s v="SGR Regionales 60%"/>
    <s v="Puentes y PAP 2025-1"/>
    <n v="6"/>
    <n v="12522207884.799"/>
    <n v="6810462569.46"/>
    <n v="5711745315.3389997"/>
    <n v="0"/>
    <n v="0"/>
    <n v="0"/>
    <n v="0"/>
    <n v="12522207884.799"/>
    <n v="10017766307.839201"/>
    <n v="7513324730.8793993"/>
    <n v="0"/>
    <n v="0.68767493145996073"/>
    <n v="0.8"/>
    <x v="0"/>
    <n v="1502664946.17588"/>
    <n v="-35504250404.944717"/>
  </r>
  <r>
    <n v="214"/>
    <x v="195"/>
    <d v="2025-03-31T00:00:00"/>
    <x v="9"/>
    <x v="3"/>
    <n v="-75.714428999999996"/>
    <n v="5.6646450000000002"/>
    <n v="0"/>
    <n v="0"/>
    <s v=""/>
    <x v="1"/>
    <n v="5280800000"/>
    <x v="16"/>
    <s v="Segundo Orden"/>
    <s v="Vías secundarias mejoradas"/>
    <s v="Reemplazo puente existente.  4600012998 de 2021. "/>
    <m/>
    <m/>
    <m/>
    <n v="6"/>
    <n v="13939577899.640499"/>
    <n v="5408645166.3600006"/>
    <n v="8530932733.2804985"/>
    <n v="2408239973"/>
    <n v="812109375"/>
    <n v="3220349348"/>
    <n v="0.23102201309001277"/>
    <n v="10719228551.640499"/>
    <n v="8575382841.3123999"/>
    <n v="6431537130.9842997"/>
    <n v="0.74781947942872684"/>
    <n v="0.48148969869574604"/>
    <n v="0.8"/>
    <x v="0"/>
    <n v="1286307426.1968601"/>
    <n v="-10772171787.81884"/>
  </r>
  <r>
    <n v="215"/>
    <x v="196"/>
    <d v="2025-03-31T00:00:00"/>
    <x v="91"/>
    <x v="0"/>
    <n v="-75.087046999999998"/>
    <s v="6,537829"/>
    <n v="0"/>
    <n v="0"/>
    <s v=""/>
    <x v="1"/>
    <n v="5325421096"/>
    <x v="16"/>
    <s v="Urbana"/>
    <s v="Vía urbana mejorada"/>
    <s v="Priorizado el 04/04/2025"/>
    <n v="1"/>
    <s v="SGR Regionales 60%"/>
    <s v="Puentes y PAP 2025-1"/>
    <n v="6"/>
    <n v="11769915072.3085"/>
    <n v="4043512144.3800001"/>
    <n v="7726402927.9285002"/>
    <n v="3010151420"/>
    <n v="0"/>
    <n v="3010151420"/>
    <n v="0.255749629585866"/>
    <n v="8759763652.3085003"/>
    <n v="7007810921.8468008"/>
    <n v="5255858191.3851004"/>
    <n v="1"/>
    <n v="0.52320001604697897"/>
    <n v="0.8"/>
    <x v="0"/>
    <n v="1051171638.2770201"/>
    <n v="-11518386102.337879"/>
  </r>
  <r>
    <n v="216"/>
    <x v="197"/>
    <d v="2025-03-31T00:00:00"/>
    <x v="63"/>
    <x v="3"/>
    <n v="-76.133950999999996"/>
    <n v="6.3173430000000002"/>
    <n v="0"/>
    <n v="1"/>
    <s v=""/>
    <x v="1"/>
    <n v="4040909571"/>
    <x v="16"/>
    <s v="Tercer Orden"/>
    <s v="Vías terciarias mejoradas"/>
    <s v="Priorizado el 04/04/2025"/>
    <n v="1"/>
    <s v="SGR Regionales 60%"/>
    <s v="Puentes y PAP 2025-1"/>
    <n v="6"/>
    <n v="16589184003.816"/>
    <n v="7984390195.2300005"/>
    <n v="8604793808.5859985"/>
    <n v="1709535383"/>
    <n v="1454838487"/>
    <n v="3164373870"/>
    <n v="0.19074921763916181"/>
    <n v="13424810133.816"/>
    <n v="10739848107.052801"/>
    <n v="8054886080.2895994"/>
    <n v="0.5402444379936685"/>
    <n v="0.52370394920362784"/>
    <n v="0.8"/>
    <x v="0"/>
    <n v="1610977216.05792"/>
    <n v="-5739555739.6524811"/>
  </r>
  <r>
    <n v="217"/>
    <x v="198"/>
    <d v="2025-03-31T00:00:00"/>
    <x v="81"/>
    <x v="2"/>
    <n v="-75.184445999999994"/>
    <s v="6,142892"/>
    <n v="0"/>
    <n v="1"/>
    <s v=""/>
    <x v="1"/>
    <n v="402500000"/>
    <x v="16"/>
    <s v="Tercer Orden"/>
    <s v="Vías terciarias mejoradas"/>
    <s v="Priorizado el 04/04/2025"/>
    <n v="1"/>
    <s v="SGR Regionales 60%"/>
    <s v="Puentes y PAP 2025-1"/>
    <n v="6"/>
    <n v="9100976268.0305004"/>
    <n v="3221460794.1700001"/>
    <n v="5879515473.8605003"/>
    <n v="1026722956"/>
    <n v="190000000"/>
    <n v="1216722956"/>
    <n v="0.13369147662477152"/>
    <n v="7884253312.0305004"/>
    <n v="6307402649.6244011"/>
    <n v="4730551987.2182999"/>
    <n v="0.84384284108140062"/>
    <n v="0.65864601932480682"/>
    <n v="0.8"/>
    <x v="0"/>
    <n v="946110397.44366002"/>
    <n v="-23609701698.338039"/>
  </r>
  <r>
    <n v="218"/>
    <x v="199"/>
    <d v="2025-03-31T00:00:00"/>
    <x v="80"/>
    <x v="7"/>
    <n v="-75.726974999999996"/>
    <s v="6,44809"/>
    <n v="0"/>
    <n v="0"/>
    <s v=""/>
    <x v="1"/>
    <n v="1300000000"/>
    <x v="16"/>
    <s v="Tercer Orden"/>
    <s v="Vías terciarias mejoradas"/>
    <s v="Puente pertenece por programa de puentes y PAP"/>
    <n v="1"/>
    <s v="SGR Regionales 60%"/>
    <s v="Puentes y PAP 2025-1"/>
    <n v="6"/>
    <n v="21865753958.964001"/>
    <n v="8371779870.6599998"/>
    <n v="13493974088.304001"/>
    <n v="851002641"/>
    <n v="4636492005"/>
    <n v="5487494646"/>
    <n v="0.25096297416949431"/>
    <n v="16378259312.964001"/>
    <n v="13102607450.371201"/>
    <n v="9826955587.7784004"/>
    <n v="0.15508035923466848"/>
    <n v="0.43479333121090752"/>
    <n v="0.8"/>
    <x v="0"/>
    <n v="1965391117.5556803"/>
    <n v="3742368840.3340797"/>
  </r>
  <r>
    <n v="219"/>
    <x v="200"/>
    <d v="2025-03-31T00:00:00"/>
    <x v="24"/>
    <x v="7"/>
    <n v="-75.747377999999998"/>
    <n v="6.5007450000000002"/>
    <n v="0"/>
    <n v="0"/>
    <s v=""/>
    <x v="3"/>
    <m/>
    <x v="16"/>
    <s v="Tercer Orden"/>
    <s v="Vías terciarias mejoradas"/>
    <s v="Puente va por programa de puentes y PAP"/>
    <m/>
    <m/>
    <m/>
    <n v="6"/>
    <n v="16347842057.745998"/>
    <n v="7901643157.3299999"/>
    <n v="8446198900.4159985"/>
    <n v="1620905965.8499999"/>
    <n v="2416666620"/>
    <n v="4037572585.8499999"/>
    <n v="0.24697893285168493"/>
    <n v="12310269471.895998"/>
    <n v="9848215577.516798"/>
    <n v="7386161683.137599"/>
    <n v="0.40145556058375176"/>
    <n v="0.5852153455768756"/>
    <n v="0.8"/>
    <x v="0"/>
    <n v="1477232336.6275198"/>
    <n v="-11946219029.23488"/>
  </r>
  <r>
    <n v="220"/>
    <x v="201"/>
    <d v="2025-03-31T00:00:00"/>
    <x v="22"/>
    <x v="3"/>
    <n v="-75.624452000000005"/>
    <n v="5.6145550000000002"/>
    <n v="0"/>
    <n v="0"/>
    <s v=""/>
    <x v="0"/>
    <m/>
    <x v="16"/>
    <s v="Segundo Orden"/>
    <s v="Vías secundarias mejoradas"/>
    <s v="Puente sobre la quebrada Sabaletas. Requiere estudios y probable reubicación en un sitio más estable.  "/>
    <m/>
    <m/>
    <m/>
    <n v="6"/>
    <n v="6485715716.868001"/>
    <n v="3717110032.7600002"/>
    <n v="2768605684.1080008"/>
    <n v="598561755.20000005"/>
    <n v="823222224"/>
    <n v="1421783979.2"/>
    <n v="0.21921774577665112"/>
    <n v="5063931737.6680012"/>
    <n v="4051145390.1344013"/>
    <n v="3038359042.6008005"/>
    <n v="0.42099345889155032"/>
    <n v="0.68598337343648785"/>
    <n v="0.8"/>
    <x v="0"/>
    <n v="607671808.52016008"/>
    <n v="-1701336321.8790393"/>
  </r>
  <r>
    <n v="221"/>
    <x v="202"/>
    <d v="2025-03-31T00:00:00"/>
    <x v="92"/>
    <x v="3"/>
    <n v="-75.976806999999994"/>
    <s v="5,964198"/>
    <n v="0"/>
    <n v="1"/>
    <s v=""/>
    <x v="0"/>
    <m/>
    <x v="16"/>
    <s v="Segundo Orden"/>
    <s v="Vías secundarias mejoradas"/>
    <s v="PRIORITARIO. Puente sobre quebrada La Liboriana en el área urbana de Salgar. Acción inmediata: Requiere reparación inmediata. Reforzamiento de vigas. Acción de medianto plazo: Reemplazo del puente.  "/>
    <n v="1"/>
    <s v="Recursos propios"/>
    <s v="Puentes metalicos"/>
    <n v="6"/>
    <n v="13308978307.0145"/>
    <n v="4910718349.54"/>
    <n v="8398259957.4744997"/>
    <n v="0"/>
    <n v="3987177539"/>
    <n v="3987177539"/>
    <n v="0.29958554646516761"/>
    <n v="9321800768.0144997"/>
    <n v="7457440614.4116001"/>
    <n v="5593080460.8086996"/>
    <n v="0"/>
    <n v="0.65348583125551507"/>
    <n v="0.8"/>
    <x v="0"/>
    <n v="1118616092.1617401"/>
    <n v="6711696552.9704399"/>
  </r>
  <r>
    <n v="222"/>
    <x v="203"/>
    <d v="2025-03-31T00:00:00"/>
    <x v="31"/>
    <x v="2"/>
    <n v="-75.185483000000005"/>
    <s v="6,058295"/>
    <n v="0"/>
    <n v="1"/>
    <s v=""/>
    <x v="1"/>
    <m/>
    <x v="16"/>
    <s v="Segundo Orden"/>
    <s v="Vías secundarias mejoradas"/>
    <s v="Se ejecuta por recursos propios. No reporta informacion en diagnostico 2025"/>
    <n v="1"/>
    <s v="Recursos propios"/>
    <s v="Puentes metalicos"/>
    <n v="6"/>
    <n v="12327690626.8465"/>
    <n v="4723680091.2799997"/>
    <n v="7604010535.5665007"/>
    <n v="445297438"/>
    <n v="33508702"/>
    <n v="478806140"/>
    <n v="3.8839889359105498E-2"/>
    <n v="11848884486.8465"/>
    <n v="9479107589.4772015"/>
    <n v="7109330692.1078997"/>
    <n v="0.93001613972619479"/>
    <n v="0.63996045822337311"/>
    <n v="0.8"/>
    <x v="0"/>
    <n v="1421866138.4215801"/>
    <n v="4809429397.52948"/>
  </r>
  <r>
    <n v="223"/>
    <x v="204"/>
    <d v="2025-03-31T00:00:00"/>
    <x v="47"/>
    <x v="7"/>
    <n v="-75.826648000000006"/>
    <s v="6,556484"/>
    <n v="0"/>
    <n v="1"/>
    <s v=""/>
    <x v="0"/>
    <m/>
    <x v="16"/>
    <s v="Segundo Orden"/>
    <s v="Vías secundarias mejoradas"/>
    <s v="Puente emblemático del Departamento cuya conservación es un imperativo categórico de primera importancia. "/>
    <n v="1"/>
    <s v="Recursos propios"/>
    <s v="Mantenimiento"/>
    <n v="5"/>
    <n v="40656193467.687004"/>
    <n v="18778286398.540001"/>
    <n v="21877907069.147003"/>
    <n v="5492975516"/>
    <n v="2014055909"/>
    <n v="7507031425"/>
    <n v="0.18464668688096655"/>
    <n v="33149162042.687004"/>
    <n v="26519329634.149605"/>
    <n v="19889497225.612202"/>
    <n v="0.73171073957506449"/>
    <n v="0.53391906125286837"/>
    <n v="0.8"/>
    <x v="0"/>
    <n v="3977899445.1224403"/>
    <n v="-22304221465.265358"/>
  </r>
  <r>
    <n v="224"/>
    <x v="205"/>
    <d v="2025-03-31T00:00:00"/>
    <x v="93"/>
    <x v="3"/>
    <n v="-75.643867999999998"/>
    <s v="5,54853"/>
    <n v="0"/>
    <n v="0"/>
    <s v=""/>
    <x v="1"/>
    <m/>
    <x v="16"/>
    <s v="Segundo Orden"/>
    <s v="Vías secundarias mejoradas"/>
    <s v="PRIORITARIO. Viaducto o Muro contención para reponer puente metálico modular.  "/>
    <m/>
    <m/>
    <m/>
    <n v="6"/>
    <n v="4632250570.3755007"/>
    <n v="2678094476.75"/>
    <n v="1954156093.6255007"/>
    <n v="1940610936.6700001"/>
    <n v="0"/>
    <n v="1940610936.6700001"/>
    <n v="0.41893479361430352"/>
    <n v="2691639633.7055006"/>
    <n v="2153311706.9644008"/>
    <n v="1614983780.2233002"/>
    <n v="1"/>
    <n v="0.76459744811231467"/>
    <n v="0.8"/>
    <x v="2"/>
    <n v="322996756.04466009"/>
    <n v="-2240232137.7320395"/>
  </r>
  <r>
    <n v="225"/>
    <x v="206"/>
    <d v="2025-03-31T00:00:00"/>
    <x v="89"/>
    <x v="2"/>
    <n v="-75.028490000000005"/>
    <s v="6,293759"/>
    <n v="0"/>
    <n v="1"/>
    <s v=""/>
    <x v="3"/>
    <m/>
    <x v="16"/>
    <s v="Segundo Orden"/>
    <s v="Vías secundarias mejoradas"/>
    <s v="PRIORITARIO. Puente con poca capacidad hidráulica y vigas longitudinales en algo grado de deterioro por impacto de rocas trasportadas por la corriente. Reemplazo del puente URGENTE.  "/>
    <m/>
    <m/>
    <m/>
    <n v="6"/>
    <n v="17565923370.843998"/>
    <n v="4463335582.5100002"/>
    <n v="13102587788.333998"/>
    <n v="2561424191"/>
    <n v="0"/>
    <n v="2561424191"/>
    <n v="0.14581779374328047"/>
    <n v="15004499179.843998"/>
    <n v="12003599343.875198"/>
    <n v="9002699507.9063988"/>
    <n v="1"/>
    <n v="0.64471709259563048"/>
    <n v="0.8"/>
    <x v="0"/>
    <n v="1800539901.5812798"/>
    <n v="3805966446.4876785"/>
  </r>
  <r>
    <n v="226"/>
    <x v="207"/>
    <d v="2025-03-31T00:00:00"/>
    <x v="75"/>
    <x v="2"/>
    <n v="-74.993618999999995"/>
    <s v="6,043017"/>
    <n v="0"/>
    <n v="1"/>
    <s v=""/>
    <x v="3"/>
    <m/>
    <x v="16"/>
    <s v="Segundo Orden"/>
    <s v="Vías secundarias mejoradas"/>
    <s v="Puente que fue repotenciado con vigas en acero y ha mantenido uso sin embargo no se considera seguro y es necesario su reemplazo en el corto plazo.  Programa puentes y PAP"/>
    <m/>
    <m/>
    <m/>
    <n v="6"/>
    <n v="10860999220.161499"/>
    <n v="3903981787.4000001"/>
    <n v="6957017432.7614994"/>
    <n v="1425530293"/>
    <n v="0"/>
    <n v="1425530293"/>
    <n v="0.13125222312453153"/>
    <n v="9435468927.161499"/>
    <n v="7548375141.7291994"/>
    <n v="5661281356.2968988"/>
    <n v="1"/>
    <n v="0.63270124114427018"/>
    <n v="0.8"/>
    <x v="0"/>
    <n v="1132256271.2593799"/>
    <n v="-72218731181.443726"/>
  </r>
  <r>
    <n v="227"/>
    <x v="208"/>
    <d v="2025-03-31T00:00:00"/>
    <x v="1"/>
    <x v="1"/>
    <n v="-75.331626999999997"/>
    <s v="6,439195"/>
    <n v="0"/>
    <n v="0"/>
    <s v=""/>
    <x v="3"/>
    <m/>
    <x v="16"/>
    <s v="Segundo Orden"/>
    <s v="Vías secundarias mejoradas"/>
    <s v="Puente estrecho de baja sección hidráulica y problemas recurrentes de socavación. Programa puentes y PAP. No se encuentran en visita."/>
    <m/>
    <m/>
    <m/>
    <n v="4"/>
    <n v="56592203197.536499"/>
    <n v="24375972647.860001"/>
    <n v="32216230549.676498"/>
    <n v="0"/>
    <n v="15044963334.42"/>
    <n v="15044963334.42"/>
    <n v="0.26584869442006315"/>
    <n v="41547239863.116501"/>
    <n v="33237791890.493202"/>
    <n v="24928343917.8699"/>
    <n v="0"/>
    <n v="0.60385208261970102"/>
    <n v="0.8"/>
    <x v="0"/>
    <n v="4985668783.5739803"/>
    <n v="-31357431194.556122"/>
  </r>
  <r>
    <n v="228"/>
    <x v="209"/>
    <d v="2025-03-31T00:00:00"/>
    <x v="1"/>
    <x v="1"/>
    <n v="-75.331626999999997"/>
    <s v="6,439195"/>
    <n v="0"/>
    <n v="0"/>
    <s v=""/>
    <x v="3"/>
    <m/>
    <x v="16"/>
    <s v="Segundo Orden"/>
    <s v="Vías secundarias mejoradas"/>
    <s v="Puente estrecho de baja sección hidráulica y problemas recurrentes de socavación. Programa puentes y PAP.No se encuentran en visita."/>
    <m/>
    <m/>
    <m/>
    <n v="4"/>
    <n v="56592203197.536499"/>
    <n v="24375972647.860001"/>
    <n v="32216230549.676498"/>
    <n v="0"/>
    <n v="15044963334.42"/>
    <n v="15044963334.42"/>
    <n v="0.26584869442006315"/>
    <n v="41547239863.116501"/>
    <n v="33237791890.493202"/>
    <n v="24928343917.8699"/>
    <n v="0"/>
    <n v="0.60385208261970102"/>
    <n v="0.8"/>
    <x v="0"/>
    <n v="4985668783.5739803"/>
    <n v="-31357431194.556122"/>
  </r>
  <r>
    <n v="229"/>
    <x v="210"/>
    <d v="2025-03-31T00:00:00"/>
    <x v="81"/>
    <x v="2"/>
    <n v="-75.184445999999994"/>
    <s v="6,142892"/>
    <n v="0"/>
    <n v="1"/>
    <s v=""/>
    <x v="0"/>
    <m/>
    <x v="16"/>
    <s v="Segundo Orden"/>
    <s v="Vías secundarias mejoradas"/>
    <s v="Puente La Virgen. Puente que colapsó el 25 de enero de 2025  "/>
    <m/>
    <m/>
    <m/>
    <n v="6"/>
    <n v="9100976268.0305004"/>
    <n v="3221460794.1700001"/>
    <n v="5879515473.8605003"/>
    <n v="1026722956"/>
    <n v="190000000"/>
    <n v="1216722956"/>
    <n v="0.13369147662477152"/>
    <n v="7884253312.0305004"/>
    <n v="6307402649.6244011"/>
    <n v="4730551987.2182999"/>
    <n v="0.84384284108140062"/>
    <n v="0.65864601932480682"/>
    <n v="0.8"/>
    <x v="0"/>
    <n v="946110397.44366002"/>
    <n v="-23609701698.338039"/>
  </r>
  <r>
    <n v="230"/>
    <x v="211"/>
    <d v="2025-03-31T00:00:00"/>
    <x v="81"/>
    <x v="2"/>
    <n v="-75.184445999999994"/>
    <s v="6,142892"/>
    <n v="0"/>
    <n v="1"/>
    <s v=""/>
    <x v="0"/>
    <m/>
    <x v="16"/>
    <s v="Segundo Orden"/>
    <s v="Vías secundarias mejoradas"/>
    <s v="Puente San Bartolo. Puente que colapsó el 25 enero 2025 "/>
    <m/>
    <m/>
    <m/>
    <n v="6"/>
    <n v="9100976268.0305004"/>
    <n v="3221460794.1700001"/>
    <n v="5879515473.8605003"/>
    <n v="1026722956"/>
    <n v="190000000"/>
    <n v="1216722956"/>
    <n v="0.13369147662477152"/>
    <n v="7884253312.0305004"/>
    <n v="6307402649.6244011"/>
    <n v="4730551987.2182999"/>
    <n v="0.84384284108140062"/>
    <n v="0.65864601932480682"/>
    <n v="0.8"/>
    <x v="0"/>
    <n v="946110397.44366002"/>
    <n v="-23609701698.338039"/>
  </r>
  <r>
    <n v="231"/>
    <x v="212"/>
    <d v="2025-03-31T00:00:00"/>
    <x v="6"/>
    <x v="5"/>
    <n v="-76.652652000000003"/>
    <s v="7,755148"/>
    <n v="1"/>
    <n v="1"/>
    <s v=""/>
    <x v="3"/>
    <m/>
    <x v="16"/>
    <s v="Segundo Orden"/>
    <s v="Vías secundarias mejoradas"/>
    <s v="Puente el Cerro.  Puente con pilas de cimentación cortas y con alto grado de socavación. Sitio geológicamente inestable. Falla inminente.  "/>
    <m/>
    <m/>
    <m/>
    <n v="6"/>
    <n v="31551501799.776001"/>
    <n v="12896901947.809999"/>
    <n v="18654599851.966003"/>
    <n v="4320802475"/>
    <n v="2118562934.45"/>
    <n v="6439365409.4499998"/>
    <n v="0.20409061509381832"/>
    <n v="25112136390.326"/>
    <n v="20089709112.260799"/>
    <n v="15067281834.195601"/>
    <n v="0.67099818076158058"/>
    <n v="0.60103296352987046"/>
    <n v="0.8"/>
    <x v="0"/>
    <n v="3013456366.8391204"/>
    <n v="10290788523.034721"/>
  </r>
  <r>
    <n v="232"/>
    <x v="213"/>
    <d v="2025-03-31T00:00:00"/>
    <x v="6"/>
    <x v="5"/>
    <n v="-76.652652000000003"/>
    <s v="7,755148"/>
    <n v="1"/>
    <n v="1"/>
    <s v=""/>
    <x v="3"/>
    <m/>
    <x v="16"/>
    <s v="Segundo Orden"/>
    <s v="Vías secundarias mejoradas"/>
    <s v="Puente sobre un flujo de escombros. Sin sección hidráulica requerida. Puente con falla Total. Restitución inmediata. _x000a_Este puente se visito con el Secretario de Infraestructura y se definió mantener un paso con maquinaria por la complejidad de la situación generada por el arrastre de materiales.  "/>
    <m/>
    <m/>
    <m/>
    <n v="6"/>
    <n v="31551501799.776001"/>
    <n v="12896901947.809999"/>
    <n v="18654599851.966003"/>
    <n v="4320802475"/>
    <n v="2118562934.45"/>
    <n v="6439365409.4499998"/>
    <n v="0.20409061509381832"/>
    <n v="25112136390.326"/>
    <n v="20089709112.260799"/>
    <n v="15067281834.195601"/>
    <n v="0.67099818076158058"/>
    <n v="0.60103296352987046"/>
    <n v="0.8"/>
    <x v="0"/>
    <n v="3013456366.8391204"/>
    <n v="10290788523.034721"/>
  </r>
  <r>
    <n v="233"/>
    <x v="214"/>
    <d v="2025-03-31T00:00:00"/>
    <x v="6"/>
    <x v="5"/>
    <n v="-76.652652000000003"/>
    <s v="7,755148"/>
    <n v="1"/>
    <n v="1"/>
    <s v=""/>
    <x v="3"/>
    <m/>
    <x v="16"/>
    <s v="Segundo Orden"/>
    <s v="Vías secundarias mejoradas"/>
    <s v="Puente necesario para sustituir un boxcoulver triple en muy mal estado. Corto Plazo.  "/>
    <m/>
    <m/>
    <m/>
    <n v="6"/>
    <n v="31551501799.776001"/>
    <n v="12896901947.809999"/>
    <n v="18654599851.966003"/>
    <n v="4320802475"/>
    <n v="2118562934.45"/>
    <n v="6439365409.4499998"/>
    <n v="0.20409061509381832"/>
    <n v="25112136390.326"/>
    <n v="20089709112.260799"/>
    <n v="15067281834.195601"/>
    <n v="0.67099818076158058"/>
    <n v="0.60103296352987046"/>
    <n v="0.8"/>
    <x v="0"/>
    <n v="3013456366.8391204"/>
    <n v="10290788523.034721"/>
  </r>
  <r>
    <n v="234"/>
    <x v="215"/>
    <d v="2025-03-31T00:00:00"/>
    <x v="82"/>
    <x v="8"/>
    <n v="-74.78716"/>
    <s v="6,552116"/>
    <n v="0"/>
    <n v="0"/>
    <s v=""/>
    <x v="2"/>
    <m/>
    <x v="16"/>
    <s v="Segundo Orden"/>
    <s v="Vías secundarias mejoradas"/>
    <s v="Se requiere puente nuevo ya que el existente es muy estrecho y no suple la necesidad de carga y de tránsito actual sobre la vía.  "/>
    <m/>
    <m/>
    <m/>
    <n v="6"/>
    <n v="12443958135.744499"/>
    <n v="4756407219.6099997"/>
    <n v="7687550916.1344995"/>
    <n v="8000000000"/>
    <n v="0"/>
    <n v="8000000000"/>
    <n v="0.64288226565312012"/>
    <n v="4443958135.7444992"/>
    <n v="3555166508.5955997"/>
    <n v="2666374881.4466996"/>
    <n v="1"/>
    <n v="0.49448054880206244"/>
    <n v="0.8"/>
    <x v="0"/>
    <n v="533274976.28933996"/>
    <n v="-10227839015.26396"/>
  </r>
  <r>
    <n v="235"/>
    <x v="216"/>
    <d v="2025-03-31T00:00:00"/>
    <x v="18"/>
    <x v="8"/>
    <n v="-74.641189999999995"/>
    <s v="5,871318"/>
    <n v="0"/>
    <n v="0"/>
    <s v=""/>
    <x v="3"/>
    <m/>
    <x v="16"/>
    <s v="Segundo Orden"/>
    <s v="Vías secundarias mejoradas"/>
    <s v="YA HACEN PARTE DE CONTRATO PUERTO NARE QUE ESTA EN PROCESO.PRIORITARIO. Se requiere puente nuevo ya que el existente es muy estrecho y no suple la necesidad de carga y de tránsito actual sobre la vía.  "/>
    <m/>
    <m/>
    <m/>
    <n v="6"/>
    <n v="22896432570.9105"/>
    <n v="6514105665.9899998"/>
    <n v="16382326904.9205"/>
    <n v="15087488121"/>
    <n v="152370595"/>
    <n v="15239858716"/>
    <n v="0.66559970287082904"/>
    <n v="7656573854.9104996"/>
    <n v="6125259083.9284"/>
    <n v="4593944312.9462996"/>
    <n v="0.99000183677293352"/>
    <n v="0.53987925149269589"/>
    <n v="0.8"/>
    <x v="0"/>
    <n v="918788862.58925998"/>
    <n v="-4671652589.4644403"/>
  </r>
  <r>
    <n v="236"/>
    <x v="217"/>
    <d v="2025-03-31T00:00:00"/>
    <x v="80"/>
    <x v="7"/>
    <n v="-75.726974999999996"/>
    <s v="6,44809"/>
    <n v="0"/>
    <n v="0"/>
    <s v=""/>
    <x v="3"/>
    <m/>
    <x v="16"/>
    <s v="Segundo Orden"/>
    <s v="Vías secundarias mejoradas"/>
    <s v="Se requiere puente nuevo ya que el existente es no tiene capacidad hidráulica y presenta falla en estribo.   "/>
    <m/>
    <m/>
    <m/>
    <n v="6"/>
    <n v="21865753958.964001"/>
    <n v="8371779870.6599998"/>
    <n v="13493974088.304001"/>
    <n v="851002641"/>
    <n v="4636492005"/>
    <n v="5487494646"/>
    <n v="0.25096297416949431"/>
    <n v="16378259312.964001"/>
    <n v="13102607450.371201"/>
    <n v="9826955587.7784004"/>
    <n v="0.15508035923466848"/>
    <n v="0.43479333121090752"/>
    <n v="0.8"/>
    <x v="0"/>
    <n v="1965391117.5556803"/>
    <n v="3742368840.3340797"/>
  </r>
  <r>
    <n v="237"/>
    <x v="218"/>
    <d v="2025-03-31T00:00:00"/>
    <x v="35"/>
    <x v="4"/>
    <n v="-75.550359999999998"/>
    <s v="7,112803"/>
    <n v="1"/>
    <n v="1"/>
    <s v=""/>
    <x v="1"/>
    <n v="2100000000"/>
    <x v="16"/>
    <s v="Segundo Orden"/>
    <s v="Vías secundarias mejoradas"/>
    <s v="Puente con diseños. El puente actual tiene poca capacidad hidráulica y no responde a ningún parámetro de alineamiento vial. El puente está en una curva con muy poco radio de curvatura.  4600007028 de 2017.Priorizado el 04/04/2025"/>
    <n v="1"/>
    <s v="SGR Regionales 60%"/>
    <s v="Puentes y PAP 2025-1"/>
    <n v="6"/>
    <n v="15936675551.976999"/>
    <n v="6355203503.6700001"/>
    <n v="9581472048.3069992"/>
    <n v="166905356.59"/>
    <n v="5064590198"/>
    <n v="5231495554.5900002"/>
    <n v="0.32826768277534613"/>
    <n v="10705179997.386999"/>
    <n v="8564143997.9095993"/>
    <n v="6423107998.4321995"/>
    <n v="3.1903946939907245E-2"/>
    <n v="0.65192157878949775"/>
    <n v="0.8"/>
    <x v="0"/>
    <n v="1284621599.68644"/>
    <n v="-845089345.88136101"/>
  </r>
  <r>
    <n v="238"/>
    <x v="219"/>
    <d v="2025-03-31T00:00:00"/>
    <x v="90"/>
    <x v="8"/>
    <n v="-74.757420999999994"/>
    <s v="6,409829"/>
    <n v="0"/>
    <n v="0"/>
    <s v=""/>
    <x v="0"/>
    <m/>
    <x v="16"/>
    <s v="Segundo Orden"/>
    <s v="Vías secundarias mejoradas"/>
    <s v="Puente sobre línea férrea. Dado que se preve modificación de trazado de linea férrea este puente debe aplazarse y solamente realizar mantenimiento. 4600007028 de 2017"/>
    <m/>
    <m/>
    <m/>
    <n v="6"/>
    <n v="6287173903.2990007"/>
    <n v="2101889048.3700001"/>
    <n v="4185284854.9290009"/>
    <n v="1389004859"/>
    <n v="1150000000"/>
    <n v="2539004859"/>
    <n v="0.40383881503066671"/>
    <n v="3748169044.2990007"/>
    <n v="2998535235.4392009"/>
    <n v="2248901426.5794005"/>
    <n v="0.54706664072595224"/>
    <n v="0.5833393396108878"/>
    <n v="0.8"/>
    <x v="0"/>
    <n v="449780285.31588012"/>
    <n v="2698681711.8952808"/>
  </r>
  <r>
    <n v="239"/>
    <x v="220"/>
    <d v="2025-03-31T00:00:00"/>
    <x v="18"/>
    <x v="8"/>
    <n v="-74.641189999999995"/>
    <s v="5,871318"/>
    <n v="0"/>
    <n v="0"/>
    <s v=""/>
    <x v="3"/>
    <m/>
    <x v="16"/>
    <s v="Segundo Orden"/>
    <s v="Vías secundarias mejoradas"/>
    <s v="YA HACEN PARTE DE CONTRATO PUERTO NARE QUE ESTA EN PROCESO.PRIORITARIO. Puente sobre caño Tolones. Prioridad dado que la vía está en proceso de pavimentación.4600007028 de 2017"/>
    <m/>
    <m/>
    <m/>
    <n v="6"/>
    <n v="22896432570.9105"/>
    <n v="6514105665.9899998"/>
    <n v="16382326904.9205"/>
    <n v="15087488121"/>
    <n v="152370595"/>
    <n v="15239858716"/>
    <n v="0.66559970287082904"/>
    <n v="7656573854.9104996"/>
    <n v="6125259083.9284"/>
    <n v="4593944312.9462996"/>
    <n v="0.99000183677293352"/>
    <n v="0.53987925149269589"/>
    <n v="0.8"/>
    <x v="0"/>
    <n v="918788862.58925998"/>
    <n v="-4671652589.4644403"/>
  </r>
  <r>
    <n v="240"/>
    <x v="221"/>
    <d v="2025-03-31T00:00:00"/>
    <x v="50"/>
    <x v="4"/>
    <n v="-75.556742999999997"/>
    <s v="6,46012"/>
    <n v="0"/>
    <n v="0"/>
    <s v=""/>
    <x v="1"/>
    <m/>
    <x v="16"/>
    <s v="Segundo Orden"/>
    <s v="Vías secundarias mejoradas"/>
    <s v="Pertenece a via lactea .Puente con problemas de apoyo. Se encuentra en zona con dificultad geotécnica. Se debe reemplazar en el corto o mediano plazo. 46000007028 de 2017"/>
    <m/>
    <m/>
    <m/>
    <n v="6"/>
    <n v="31632055796.696003"/>
    <n v="14204097707.720001"/>
    <n v="17427958088.976002"/>
    <n v="6063106860"/>
    <n v="5275762021"/>
    <n v="11338868881"/>
    <n v="0.35846133282884368"/>
    <n v="20293186915.696003"/>
    <n v="16234549532.556803"/>
    <n v="12175912149.417601"/>
    <n v="0.53471884397214064"/>
    <n v="0.58208884880898415"/>
    <n v="0.8"/>
    <x v="0"/>
    <n v="2435182429.8835201"/>
    <n v="4659094579.3011208"/>
  </r>
  <r>
    <n v="241"/>
    <x v="222"/>
    <d v="2025-03-31T00:00:00"/>
    <x v="94"/>
    <x v="7"/>
    <n v="-76.064304000000007"/>
    <s v="6,632282"/>
    <n v="0"/>
    <n v="1"/>
    <s v=""/>
    <x v="4"/>
    <m/>
    <x v="16"/>
    <s v="Segundo Orden"/>
    <s v="Vías secundarias mejoradas"/>
    <s v="YA ESTA EN PROYECTO DE PAVIMENTACION"/>
    <m/>
    <m/>
    <m/>
    <n v="6"/>
    <n v="4751801726.2775002"/>
    <n v="1263292997.6800001"/>
    <n v="3488508728.5974998"/>
    <n v="691012966"/>
    <n v="0"/>
    <n v="691012966"/>
    <n v="0.14542125404321754"/>
    <n v="4060788760.2775002"/>
    <n v="3248631008.2220001"/>
    <n v="2436473256.1665001"/>
    <n v="1"/>
    <n v="0.49444669710295669"/>
    <n v="0.8"/>
    <x v="0"/>
    <n v="487294651.23330003"/>
    <n v="2923767907.3998003"/>
  </r>
  <r>
    <n v="242"/>
    <x v="223"/>
    <d v="2025-03-31T00:00:00"/>
    <x v="13"/>
    <x v="5"/>
    <n v="-76.380566999999999"/>
    <s v="8,276884"/>
    <n v="1"/>
    <n v="1"/>
    <s v=""/>
    <x v="1"/>
    <n v="3393000000"/>
    <x v="16"/>
    <s v="Segundo Orden"/>
    <s v="Vías secundarias mejoradas"/>
    <s v="Puente estrecho que presenta incomodidad y riesgo en la vía. Debe reemplazarse en el corto plazo.  4600007002 de 2017. Se hara por medio de programa de puentes y PAP. Priorizado el 04/04/2025"/>
    <n v="1"/>
    <s v="SGR Regionales 60%"/>
    <s v="Puentes y PAP 2025-1"/>
    <n v="6"/>
    <n v="19508372714.52"/>
    <n v="5389834315.5"/>
    <n v="14118538399.02"/>
    <n v="2594281047"/>
    <n v="1833333333"/>
    <n v="4427614380"/>
    <n v="0.22695969801235882"/>
    <n v="15080758334.52"/>
    <n v="12064606667.616001"/>
    <n v="9048455000.7119999"/>
    <n v="0.58593202215591322"/>
    <n v="0.58851112900500024"/>
    <n v="0.8"/>
    <x v="0"/>
    <n v="1809691000.1424"/>
    <n v="-12151086930.145599"/>
  </r>
  <r>
    <n v="243"/>
    <x v="224"/>
    <d v="2025-03-31T00:00:00"/>
    <x v="3"/>
    <x v="3"/>
    <n v="-75.567351000000002"/>
    <s v="5,875527"/>
    <n v="0"/>
    <n v="0"/>
    <s v=""/>
    <x v="0"/>
    <m/>
    <x v="16"/>
    <s v="Segundo Orden"/>
    <s v="Vías secundarias mejoradas"/>
    <s v="Puente en mal estado. Con poca capacidad hidráulica. Para reemplazar en el corto o  mediano plazo.  4600007002 de 2017. VERIFICAR SI YA SE CONSTRUYO"/>
    <m/>
    <m/>
    <m/>
    <n v="6"/>
    <n v="12109127304.486"/>
    <n v="6485076277.8299999"/>
    <n v="5624051026.6560001"/>
    <n v="3662325591"/>
    <n v="0"/>
    <n v="3662325591"/>
    <n v="0.30244339653141139"/>
    <n v="8446801713.4860001"/>
    <n v="6757441370.7888002"/>
    <n v="5068081028.0915995"/>
    <n v="1"/>
    <n v="0.55253262293583549"/>
    <n v="0.8"/>
    <x v="0"/>
    <n v="1013616205.61832"/>
    <n v="5281697233.709919"/>
  </r>
  <r>
    <n v="244"/>
    <x v="225"/>
    <d v="2025-03-31T00:00:00"/>
    <x v="34"/>
    <x v="8"/>
    <n v="-74.583011999999997"/>
    <s v="6,186025"/>
    <n v="0"/>
    <n v="0"/>
    <s v=""/>
    <x v="3"/>
    <m/>
    <x v="16"/>
    <s v="Segundo Orden"/>
    <s v="Vías secundarias mejoradas"/>
    <s v="Proyecto especial - estrategico"/>
    <m/>
    <m/>
    <m/>
    <n v="6"/>
    <n v="17406090503.82"/>
    <n v="8490973725.3299999"/>
    <n v="8915116778.4899998"/>
    <n v="6695063584"/>
    <n v="0"/>
    <n v="6695063584"/>
    <n v="0.38463913436108349"/>
    <n v="10711026919.82"/>
    <n v="8568821535.8559999"/>
    <n v="6426616151.8919992"/>
    <n v="1"/>
    <n v="0.75913384232200265"/>
    <n v="0.8"/>
    <x v="2"/>
    <n v="1285323230.3783998"/>
    <n v="6058539526.2703991"/>
  </r>
  <r>
    <n v="245"/>
    <x v="226"/>
    <d v="2025-03-31T00:00:00"/>
    <x v="77"/>
    <x v="3"/>
    <n v="-75.735544000000004"/>
    <n v="5.9646929999999996"/>
    <n v="0"/>
    <n v="0"/>
    <s v=""/>
    <x v="3"/>
    <m/>
    <x v="16"/>
    <s v="Segundo Orden"/>
    <s v="Vías secundarias mejoradas"/>
    <s v="Proyecto especial - estrategico"/>
    <m/>
    <m/>
    <m/>
    <n v="6"/>
    <n v="12522207884.799"/>
    <n v="6810462569.46"/>
    <n v="5711745315.3389997"/>
    <n v="0"/>
    <n v="0"/>
    <n v="0"/>
    <n v="0"/>
    <n v="12522207884.799"/>
    <n v="10017766307.839201"/>
    <n v="7513324730.8793993"/>
    <n v="0"/>
    <n v="0.68767493145996073"/>
    <n v="0.8"/>
    <x v="0"/>
    <n v="1502664946.17588"/>
    <n v="-35504250404.944717"/>
  </r>
  <r>
    <n v="247"/>
    <x v="227"/>
    <d v="2025-02-17T00:00:00"/>
    <x v="13"/>
    <x v="5"/>
    <n v="-76.380566999999999"/>
    <s v="8,276884"/>
    <n v="1"/>
    <n v="1"/>
    <s v="2025010072501"/>
    <x v="1"/>
    <n v="1949820000"/>
    <x v="16"/>
    <s v="Tercer Orden"/>
    <s v="Vías terciarias mejoradas"/>
    <s v="Parte de programa de puentes y PAP"/>
    <n v="1"/>
    <s v="SGR Regionales 60%"/>
    <s v="Puentes y PAP 2025-1"/>
    <n v="6"/>
    <n v="19508372714.52"/>
    <n v="5389834315.5"/>
    <n v="14118538399.02"/>
    <n v="2594281047"/>
    <n v="1833333333"/>
    <n v="4427614380"/>
    <n v="0.22695969801235882"/>
    <n v="15080758334.52"/>
    <n v="12064606667.616001"/>
    <n v="9048455000.7119999"/>
    <n v="0.58593202215591322"/>
    <n v="0.58851112900500024"/>
    <n v="0.8"/>
    <x v="0"/>
    <n v="1809691000.1424"/>
    <n v="-12151086930.145599"/>
  </r>
  <r>
    <n v="248"/>
    <x v="228"/>
    <d v="2025-02-18T00:00:00"/>
    <x v="54"/>
    <x v="2"/>
    <n v="-75.360873999999995"/>
    <s v="5,973845"/>
    <n v="0"/>
    <n v="0"/>
    <s v="2025010076176"/>
    <x v="1"/>
    <n v="4853481778"/>
    <x v="4"/>
    <s v="Tercer Orden"/>
    <s v="Vías terciarias mejoradas"/>
    <m/>
    <m/>
    <m/>
    <m/>
    <n v="6"/>
    <n v="22781121123.307999"/>
    <n v="7460247261.1800003"/>
    <n v="15320873862.127998"/>
    <n v="8372353142.5600004"/>
    <n v="142113074"/>
    <n v="8514466216.5600004"/>
    <n v="0.37375097434729027"/>
    <n v="14266654906.747997"/>
    <n v="11413323925.398399"/>
    <n v="8559992944.0487976"/>
    <n v="0.98330922099102336"/>
    <n v="0.47573857187041646"/>
    <n v="0.8"/>
    <x v="0"/>
    <n v="1711998588.8097596"/>
    <n v="-9965414152.1414433"/>
  </r>
  <r>
    <n v="249"/>
    <x v="229"/>
    <d v="2025-02-12T00:00:00"/>
    <x v="95"/>
    <x v="3"/>
    <n v="-75.984452000000005"/>
    <s v="6,115208"/>
    <n v="0"/>
    <n v="0"/>
    <s v="2025010067007"/>
    <x v="1"/>
    <n v="126398173"/>
    <x v="5"/>
    <m/>
    <s v="Otros"/>
    <s v="Reemplazo de MH en zona urbana que ha colapsado dejando una gran zocavacion"/>
    <m/>
    <m/>
    <m/>
    <n v="6"/>
    <n v="12058979368.9545"/>
    <n v="3567680920.52"/>
    <n v="8491298448.4344997"/>
    <n v="914830553"/>
    <n v="0"/>
    <n v="914830553"/>
    <n v="7.586301667910679E-2"/>
    <n v="11144148815.9545"/>
    <n v="8915319052.7636013"/>
    <n v="6686489289.5726995"/>
    <n v="1"/>
    <n v="0.60206976758564179"/>
    <n v="0.8"/>
    <x v="0"/>
    <n v="1337297857.9145401"/>
    <n v="7897388974.4872398"/>
  </r>
  <r>
    <n v="250"/>
    <x v="230"/>
    <d v="2025-03-31T00:00:00"/>
    <x v="79"/>
    <x v="4"/>
    <n v="-75.298090999999999"/>
    <s v="6,979771"/>
    <n v="0"/>
    <n v="1"/>
    <s v=""/>
    <x v="0"/>
    <m/>
    <x v="10"/>
    <s v="Segundo Orden"/>
    <s v="Vías secundarias mejoradas"/>
    <s v="Puntos criticos identificados y priorizados en diagnostico realizado en febrero de 2025."/>
    <m/>
    <m/>
    <m/>
    <n v="6"/>
    <n v="8809287720.75"/>
    <n v="2669441983.3800001"/>
    <n v="6139845737.3699999"/>
    <n v="3083047525"/>
    <n v="0"/>
    <n v="3083047525"/>
    <n v="0.34997693601696972"/>
    <n v="5726240195.75"/>
    <n v="4580992156.6000004"/>
    <n v="3435744117.4499998"/>
    <n v="1"/>
    <n v="0.72230003829506451"/>
    <n v="0.8"/>
    <x v="0"/>
    <n v="687148823.49000001"/>
    <n v="-2079909113.0600004"/>
  </r>
  <r>
    <n v="251"/>
    <x v="231"/>
    <d v="2025-03-31T00:00:00"/>
    <x v="88"/>
    <x v="0"/>
    <n v="-75.148354999999995"/>
    <s v="7,074703"/>
    <n v="1"/>
    <n v="1"/>
    <s v=""/>
    <x v="0"/>
    <m/>
    <x v="10"/>
    <s v="Segundo Orden"/>
    <s v="Vías secundarias mejoradas"/>
    <s v="Puntos criticos identificados y priorizados en diagnostico realizado en febrero de 2025."/>
    <m/>
    <m/>
    <m/>
    <n v="6"/>
    <n v="16148449667.859503"/>
    <n v="5168319228.7700005"/>
    <n v="10980130439.089502"/>
    <n v="943947740"/>
    <n v="680000000"/>
    <n v="1623947740"/>
    <n v="0.10056369332049052"/>
    <n v="14524501927.859503"/>
    <n v="11619601542.287603"/>
    <n v="8714701156.7157021"/>
    <n v="0.58126731344199534"/>
    <n v="0.64090582782582184"/>
    <n v="0.8"/>
    <x v="0"/>
    <n v="1742940231.3431406"/>
    <n v="6232088008.0588417"/>
  </r>
  <r>
    <n v="252"/>
    <x v="232"/>
    <d v="2025-03-31T00:00:00"/>
    <x v="15"/>
    <x v="0"/>
    <n v="-75.013385"/>
    <n v="6.5945109999999998"/>
    <n v="0"/>
    <n v="1"/>
    <s v=""/>
    <x v="0"/>
    <m/>
    <x v="10"/>
    <s v="Segundo Orden"/>
    <s v="Vías secundarias mejoradas"/>
    <s v="Puntos criticos identificados y priorizados en diagnostico realizado en febrero de 2025."/>
    <m/>
    <m/>
    <m/>
    <n v="6"/>
    <n v="18632663202.9925"/>
    <n v="4332293517.3299999"/>
    <n v="14300369685.6625"/>
    <n v="3970281006"/>
    <n v="1500000000"/>
    <n v="5470281006"/>
    <n v="0.29358556779588252"/>
    <n v="13162382196.9925"/>
    <n v="10529905757.594002"/>
    <n v="7897429318.1954994"/>
    <n v="0.72579105198531002"/>
    <n v="0.44683077557401057"/>
    <n v="0.8"/>
    <x v="0"/>
    <n v="1579485863.6391001"/>
    <n v="2914007486.8345985"/>
  </r>
  <r>
    <n v="253"/>
    <x v="233"/>
    <d v="2025-03-31T00:00:00"/>
    <x v="15"/>
    <x v="0"/>
    <n v="-75.013385"/>
    <n v="6.5945109999999998"/>
    <n v="0"/>
    <n v="1"/>
    <s v=""/>
    <x v="0"/>
    <m/>
    <x v="10"/>
    <s v="Segundo Orden"/>
    <s v="Vías secundarias mejoradas"/>
    <s v="Puntos criticos identificados y priorizados en diagnostico realizado en febrero de 2025."/>
    <m/>
    <m/>
    <m/>
    <n v="6"/>
    <n v="18632663202.9925"/>
    <n v="4332293517.3299999"/>
    <n v="14300369685.6625"/>
    <n v="3970281006"/>
    <n v="1500000000"/>
    <n v="5470281006"/>
    <n v="0.29358556779588252"/>
    <n v="13162382196.9925"/>
    <n v="10529905757.594002"/>
    <n v="7897429318.1954994"/>
    <n v="0.72579105198531002"/>
    <n v="0.44683077557401057"/>
    <n v="0.8"/>
    <x v="0"/>
    <n v="1579485863.6391001"/>
    <n v="2914007486.8345985"/>
  </r>
  <r>
    <n v="254"/>
    <x v="234"/>
    <d v="2025-03-31T00:00:00"/>
    <x v="96"/>
    <x v="0"/>
    <n v="-75.077500999999998"/>
    <s v="6,909655"/>
    <n v="1"/>
    <n v="1"/>
    <s v=""/>
    <x v="0"/>
    <m/>
    <x v="10"/>
    <s v="Segundo Orden"/>
    <s v="Vías secundarias mejoradas"/>
    <s v="Puntos criticos identificados y priorizados en diagnostico realizado en febrero de 2025."/>
    <m/>
    <m/>
    <m/>
    <n v="6"/>
    <n v="15844230778.251999"/>
    <n v="8497967637.5100002"/>
    <n v="7346263140.7419987"/>
    <n v="0"/>
    <n v="7918633450"/>
    <n v="7918633450"/>
    <n v="0.49978023930762366"/>
    <n v="7925597328.2519989"/>
    <n v="6340477862.6015997"/>
    <n v="4755358396.9511995"/>
    <n v="0"/>
    <n v="0.78459127310588017"/>
    <n v="0.8"/>
    <x v="2"/>
    <n v="951071679.39023995"/>
    <n v="5706430076.3414392"/>
  </r>
  <r>
    <n v="255"/>
    <x v="235"/>
    <d v="2025-03-31T00:00:00"/>
    <x v="70"/>
    <x v="0"/>
    <n v="-75.019109"/>
    <s v="6,485939"/>
    <n v="0"/>
    <n v="0"/>
    <s v=""/>
    <x v="0"/>
    <m/>
    <x v="10"/>
    <s v="Segundo Orden"/>
    <s v="Vías secundarias mejoradas"/>
    <s v="Puntos criticos identificados y priorizados en diagnostico realizado en febrero de 2025."/>
    <m/>
    <m/>
    <m/>
    <n v="6"/>
    <n v="13645854382.4415"/>
    <n v="5036095672.2200003"/>
    <n v="8609758710.2215004"/>
    <n v="2357809963"/>
    <n v="1093248488"/>
    <n v="3451058451"/>
    <n v="0.25290160324739891"/>
    <n v="10194795931.4415"/>
    <n v="8155836745.1532001"/>
    <n v="6116877558.8648996"/>
    <n v="0.68321356954032075"/>
    <n v="0.58815143933117542"/>
    <n v="0.8"/>
    <x v="0"/>
    <n v="1223375511.77298"/>
    <n v="-66818961.362120628"/>
  </r>
  <r>
    <n v="256"/>
    <x v="236"/>
    <d v="2025-03-31T00:00:00"/>
    <x v="97"/>
    <x v="4"/>
    <n v="-75.335115999999999"/>
    <s v="6,885175"/>
    <n v="0"/>
    <n v="1"/>
    <s v=""/>
    <x v="0"/>
    <m/>
    <x v="10"/>
    <s v="Segundo Orden"/>
    <s v="Vías secundarias mejoradas"/>
    <s v="Puntos criticos identificados y priorizados en diagnostico realizado en febrero de 2025."/>
    <m/>
    <m/>
    <m/>
    <n v="6"/>
    <n v="12764062914.553999"/>
    <n v="4266060462.2200003"/>
    <n v="8498002452.3339987"/>
    <n v="4258957687"/>
    <n v="500000000"/>
    <n v="4758957687"/>
    <n v="0.37284035019708983"/>
    <n v="8005105227.5539989"/>
    <n v="6404084182.0431995"/>
    <n v="4803063136.5323992"/>
    <n v="0.89493497675639244"/>
    <n v="0.64132957807138946"/>
    <n v="0.8"/>
    <x v="0"/>
    <n v="960612627.30647993"/>
    <n v="-8999039296.1611214"/>
  </r>
  <r>
    <n v="257"/>
    <x v="237"/>
    <d v="2025-03-31T00:00:00"/>
    <x v="11"/>
    <x v="4"/>
    <n v="-75.683351999999999"/>
    <s v="6,85009"/>
    <n v="0"/>
    <n v="0"/>
    <s v=""/>
    <x v="0"/>
    <m/>
    <x v="10"/>
    <s v="Segundo Orden"/>
    <s v="Vías secundarias mejoradas"/>
    <s v="Puntos criticos identificados y priorizados en diagnostico realizado en febrero de 2025."/>
    <m/>
    <m/>
    <m/>
    <n v="6"/>
    <n v="5437802568.3275003"/>
    <n v="2195257843.8499999"/>
    <n v="3242544724.4775004"/>
    <n v="1389038990"/>
    <n v="0"/>
    <n v="1389038990"/>
    <n v="0.25544123247329026"/>
    <n v="4048763578.3275003"/>
    <n v="3239010862.6620007"/>
    <n v="2429258146.9965"/>
    <n v="1"/>
    <n v="0.74230580339650343"/>
    <n v="0.8"/>
    <x v="0"/>
    <n v="485851629.39930004"/>
    <n v="-14155936706.6042"/>
  </r>
  <r>
    <n v="258"/>
    <x v="238"/>
    <d v="2025-03-31T00:00:00"/>
    <x v="11"/>
    <x v="4"/>
    <n v="-75.683351999999999"/>
    <s v="6,85009"/>
    <n v="0"/>
    <n v="0"/>
    <s v=""/>
    <x v="0"/>
    <m/>
    <x v="10"/>
    <s v="Segundo Orden"/>
    <s v="Vías secundarias mejoradas"/>
    <s v="Muro de contencion cuenta con diseños .Puntos criticos identificados y priorizados en diagnostico realizado en febrero de 2025."/>
    <m/>
    <m/>
    <m/>
    <n v="6"/>
    <n v="5437802568.3275003"/>
    <n v="2195257843.8499999"/>
    <n v="3242544724.4775004"/>
    <n v="1389038990"/>
    <n v="0"/>
    <n v="1389038990"/>
    <n v="0.25544123247329026"/>
    <n v="4048763578.3275003"/>
    <n v="3239010862.6620007"/>
    <n v="2429258146.9965"/>
    <n v="1"/>
    <n v="0.74230580339650343"/>
    <n v="0.8"/>
    <x v="0"/>
    <n v="485851629.39930004"/>
    <n v="-14155936706.6042"/>
  </r>
  <r>
    <n v="259"/>
    <x v="239"/>
    <d v="2025-03-31T00:00:00"/>
    <x v="30"/>
    <x v="4"/>
    <n v="-75.418828000000005"/>
    <n v="6.963832"/>
    <n v="0"/>
    <n v="1"/>
    <s v=""/>
    <x v="0"/>
    <m/>
    <x v="10"/>
    <s v="Segundo Orden"/>
    <s v="Vías secundarias mejoradas"/>
    <s v="Puntos criticos identificados y priorizados en diagnostico realizado en febrero de 2025."/>
    <m/>
    <m/>
    <m/>
    <n v="5"/>
    <n v="36204719778.619003"/>
    <n v="11082623753.610001"/>
    <n v="25122096025.009003"/>
    <n v="1291156679"/>
    <n v="12320355879.07"/>
    <n v="13611512558.07"/>
    <n v="0.37595961635113639"/>
    <n v="22593207220.549004"/>
    <n v="18074565776.439205"/>
    <n v="13555924332.329401"/>
    <n v="9.4857692963336279E-2"/>
    <n v="0.39053077044629697"/>
    <n v="0.8"/>
    <x v="0"/>
    <n v="2711184866.4658804"/>
    <n v="-1286623972.2047195"/>
  </r>
  <r>
    <n v="260"/>
    <x v="240"/>
    <d v="2025-03-31T00:00:00"/>
    <x v="35"/>
    <x v="4"/>
    <n v="-75.550359999999998"/>
    <s v="7,112803"/>
    <n v="1"/>
    <n v="1"/>
    <s v=""/>
    <x v="0"/>
    <m/>
    <x v="10"/>
    <s v="Segundo Orden"/>
    <s v="Vías secundarias mejoradas"/>
    <s v="Puntos criticos identificados y priorizados en diagnostico realizado en febrero de 2025."/>
    <m/>
    <m/>
    <m/>
    <n v="6"/>
    <n v="15936675551.976999"/>
    <n v="6355203503.6700001"/>
    <n v="9581472048.3069992"/>
    <n v="166905356.59"/>
    <n v="5064590198"/>
    <n v="5231495554.5900002"/>
    <n v="0.32826768277534613"/>
    <n v="10705179997.386999"/>
    <n v="8564143997.9095993"/>
    <n v="6423107998.4321995"/>
    <n v="3.1903946939907245E-2"/>
    <n v="0.65192157878949775"/>
    <n v="0.8"/>
    <x v="0"/>
    <n v="1284621599.68644"/>
    <n v="-845089345.88136101"/>
  </r>
  <r>
    <n v="261"/>
    <x v="241"/>
    <d v="2025-03-31T00:00:00"/>
    <x v="59"/>
    <x v="4"/>
    <n v="-75.439273999999997"/>
    <n v="7.1651999999999996"/>
    <n v="1"/>
    <n v="1"/>
    <s v=""/>
    <x v="0"/>
    <m/>
    <x v="10"/>
    <s v="Segundo Orden"/>
    <s v="Vías secundarias mejoradas"/>
    <s v="Puntos criticos identificados y priorizados en diagnostico realizado en febrero de 2025."/>
    <m/>
    <m/>
    <m/>
    <n v="6"/>
    <n v="13037566833.207003"/>
    <n v="3869989518.3099999"/>
    <n v="9167577314.8970032"/>
    <n v="3761583922"/>
    <n v="0"/>
    <n v="3761583922"/>
    <n v="0.28851886016178674"/>
    <n v="9275982911.2070026"/>
    <n v="7420786328.9656029"/>
    <n v="5565589746.7242012"/>
    <n v="1"/>
    <n v="0.55776534569064784"/>
    <n v="0.8"/>
    <x v="0"/>
    <n v="1113117949.3448403"/>
    <n v="2421182898.0690413"/>
  </r>
  <r>
    <n v="262"/>
    <x v="242"/>
    <d v="2025-03-31T00:00:00"/>
    <x v="11"/>
    <x v="4"/>
    <n v="-75.683351999999999"/>
    <s v="6,85009"/>
    <n v="0"/>
    <n v="0"/>
    <s v=""/>
    <x v="0"/>
    <m/>
    <x v="10"/>
    <s v="Segundo Orden"/>
    <s v="Vías secundarias mejoradas"/>
    <s v="Puntos criticos identificados y priorizados en diagnostico realizado en febrero de 2025."/>
    <m/>
    <m/>
    <m/>
    <n v="6"/>
    <n v="5437802568.3275003"/>
    <n v="2195257843.8499999"/>
    <n v="3242544724.4775004"/>
    <n v="1389038990"/>
    <n v="0"/>
    <n v="1389038990"/>
    <n v="0.25544123247329026"/>
    <n v="4048763578.3275003"/>
    <n v="3239010862.6620007"/>
    <n v="2429258146.9965"/>
    <n v="1"/>
    <n v="0.74230580339650343"/>
    <n v="0.8"/>
    <x v="0"/>
    <n v="485851629.39930004"/>
    <n v="-14155936706.6042"/>
  </r>
  <r>
    <n v="263"/>
    <x v="243"/>
    <d v="2025-03-31T00:00:00"/>
    <x v="98"/>
    <x v="4"/>
    <n v="-75.283192"/>
    <s v="6,725995"/>
    <n v="0"/>
    <n v="0"/>
    <s v=""/>
    <x v="1"/>
    <n v="1807500000"/>
    <x v="10"/>
    <s v="Segundo Orden"/>
    <s v="Vías secundarias mejoradas"/>
    <s v="Muro de contencion en K41+900 ya tiene diseños.Puntos criticos identificados y priorizados en diagnostico realizado en febrero de 2025.Priorizado 04/04/2025"/>
    <n v="1"/>
    <s v="SGR Regionales 60%"/>
    <s v="Puentes y PAP 2025-1"/>
    <n v="6"/>
    <n v="12753516160.956001"/>
    <n v="2768667331.0500002"/>
    <n v="9984848829.906002"/>
    <n v="1244778755"/>
    <n v="0"/>
    <n v="1244778755"/>
    <n v="9.760278963779441E-2"/>
    <n v="11508737405.956001"/>
    <n v="9206989924.764801"/>
    <n v="6905242443.5736008"/>
    <n v="1"/>
    <n v="0.7839967136976107"/>
    <n v="0.8"/>
    <x v="2"/>
    <n v="1381048488.7147202"/>
    <n v="6478790932.2883205"/>
  </r>
  <r>
    <n v="264"/>
    <x v="244"/>
    <d v="2025-03-31T00:00:00"/>
    <x v="55"/>
    <x v="6"/>
    <n v="-75.352050000000006"/>
    <s v="7,578366"/>
    <n v="1"/>
    <n v="1"/>
    <s v=""/>
    <x v="0"/>
    <m/>
    <x v="10"/>
    <s v="Segundo Orden"/>
    <s v="Vías secundarias mejoradas"/>
    <s v="Puntos criticos identificados y priorizados en diagnostico realizado en febrero de 2025."/>
    <m/>
    <m/>
    <m/>
    <n v="6"/>
    <n v="16341381522.362501"/>
    <n v="6183321664.5100002"/>
    <n v="10158059857.852501"/>
    <n v="3504148016"/>
    <n v="5476192157"/>
    <n v="8980340173"/>
    <n v="0.54954595856603539"/>
    <n v="7361041349.3625011"/>
    <n v="5888833079.4900017"/>
    <n v="4416624809.6175003"/>
    <n v="0.39020214696715588"/>
    <n v="0.6661172152696142"/>
    <n v="0.8"/>
    <x v="0"/>
    <n v="883324961.92350006"/>
    <n v="-321308282411.45898"/>
  </r>
  <r>
    <n v="265"/>
    <x v="245"/>
    <d v="2025-03-31T00:00:00"/>
    <x v="53"/>
    <x v="6"/>
    <n v="-74.776470000000003"/>
    <s v="8,094129"/>
    <n v="1"/>
    <n v="1"/>
    <s v=""/>
    <x v="0"/>
    <m/>
    <x v="10"/>
    <s v="Segundo Orden"/>
    <s v="Vías secundarias mejoradas"/>
    <s v="Puntos criticos identificados y priorizados en diagnostico realizado en febrero de 2025."/>
    <m/>
    <m/>
    <m/>
    <n v="6"/>
    <n v="17207529181.433002"/>
    <n v="3556882387.1300001"/>
    <n v="13650646794.303001"/>
    <n v="2981910160"/>
    <n v="5898924731"/>
    <n v="8880834891"/>
    <n v="0.51610168998478057"/>
    <n v="8326694290.4330025"/>
    <n v="6661355432.3464022"/>
    <n v="4996016574.2598009"/>
    <n v="0.3357691249301259"/>
    <n v="0.46603493316730282"/>
    <n v="0.8"/>
    <x v="0"/>
    <n v="999203314.85196018"/>
    <n v="-4219206551.8882389"/>
  </r>
  <r>
    <n v="266"/>
    <x v="246"/>
    <d v="2025-03-31T00:00:00"/>
    <x v="13"/>
    <x v="5"/>
    <n v="-76.380566999999999"/>
    <s v="8,276884"/>
    <n v="1"/>
    <n v="1"/>
    <s v=""/>
    <x v="1"/>
    <m/>
    <x v="10"/>
    <s v="Segundo Orden"/>
    <s v="Vías secundarias mejoradas"/>
    <s v="Puntos criticos identificados y priorizados en diagnostico realizado en febrero de 2025."/>
    <n v="1"/>
    <s v="Recursos propios"/>
    <m/>
    <n v="6"/>
    <n v="19508372714.52"/>
    <n v="5389834315.5"/>
    <n v="14118538399.02"/>
    <n v="2594281047"/>
    <n v="1833333333"/>
    <n v="4427614380"/>
    <n v="0.22695969801235882"/>
    <n v="15080758334.52"/>
    <n v="12064606667.616001"/>
    <n v="9048455000.7119999"/>
    <n v="0.58593202215591322"/>
    <n v="0.58851112900500024"/>
    <n v="0.8"/>
    <x v="0"/>
    <n v="1809691000.1424"/>
    <n v="-12151086930.145599"/>
  </r>
  <r>
    <n v="267"/>
    <x v="247"/>
    <d v="2025-03-31T00:00:00"/>
    <x v="6"/>
    <x v="5"/>
    <n v="-76.652652000000003"/>
    <s v="7,755148"/>
    <n v="1"/>
    <n v="1"/>
    <s v=""/>
    <x v="0"/>
    <m/>
    <x v="10"/>
    <s v="Segundo Orden"/>
    <s v="Vías secundarias mejoradas"/>
    <s v="Puntos criticos identificados y priorizados en diagnostico realizado en febrero de 2025."/>
    <m/>
    <m/>
    <m/>
    <n v="6"/>
    <n v="31551501799.776001"/>
    <n v="12896901947.809999"/>
    <n v="18654599851.966003"/>
    <n v="4320802475"/>
    <n v="2118562934.45"/>
    <n v="6439365409.4499998"/>
    <n v="0.20409061509381832"/>
    <n v="25112136390.326"/>
    <n v="20089709112.260799"/>
    <n v="15067281834.195601"/>
    <n v="0.67099818076158058"/>
    <n v="0.60103296352987046"/>
    <n v="0.8"/>
    <x v="0"/>
    <n v="3013456366.8391204"/>
    <n v="10290788523.034721"/>
  </r>
  <r>
    <n v="268"/>
    <x v="248"/>
    <d v="2025-03-31T00:00:00"/>
    <x v="56"/>
    <x v="5"/>
    <n v="-76.426708000000005"/>
    <s v="8,849317"/>
    <n v="0"/>
    <n v="0"/>
    <s v=""/>
    <x v="0"/>
    <m/>
    <x v="10"/>
    <s v="Segundo Orden"/>
    <s v="Vías secundarias mejoradas"/>
    <s v="Puntos criticos identificados y priorizados en diagnostico realizado en febrero de 2025."/>
    <m/>
    <m/>
    <m/>
    <n v="6"/>
    <n v="19782037469.424"/>
    <n v="6224691780.3400002"/>
    <n v="13557345689.084"/>
    <n v="5530076291"/>
    <n v="135075758"/>
    <n v="5665152049"/>
    <n v="0.28637859258715448"/>
    <n v="14116885420.424"/>
    <n v="11293508336.339201"/>
    <n v="8470131252.2543993"/>
    <n v="0.97615672856938707"/>
    <n v="0.63121490876418529"/>
    <n v="0.8"/>
    <x v="0"/>
    <n v="1694026250.4508801"/>
    <n v="-26539735251.29472"/>
  </r>
  <r>
    <n v="269"/>
    <x v="249"/>
    <d v="2025-03-31T00:00:00"/>
    <x v="56"/>
    <x v="5"/>
    <n v="-76.426708000000005"/>
    <s v="8,849317"/>
    <n v="0"/>
    <n v="0"/>
    <s v=""/>
    <x v="0"/>
    <m/>
    <x v="10"/>
    <s v="Segundo Orden"/>
    <s v="Vías secundarias mejoradas"/>
    <s v="Puntos criticos identificados y priorizados en diagnostico realizado en febrero de 2025."/>
    <m/>
    <m/>
    <m/>
    <n v="6"/>
    <n v="19782037469.424"/>
    <n v="6224691780.3400002"/>
    <n v="13557345689.084"/>
    <n v="5530076291"/>
    <n v="135075758"/>
    <n v="5665152049"/>
    <n v="0.28637859258715448"/>
    <n v="14116885420.424"/>
    <n v="11293508336.339201"/>
    <n v="8470131252.2543993"/>
    <n v="0.97615672856938707"/>
    <n v="0.63121490876418529"/>
    <n v="0.8"/>
    <x v="0"/>
    <n v="1694026250.4508801"/>
    <n v="-26539735251.29472"/>
  </r>
  <r>
    <n v="270"/>
    <x v="250"/>
    <d v="2024-08-12T00:00:00"/>
    <x v="99"/>
    <x v="8"/>
    <n v="-73.912445000000005"/>
    <n v="7.0039600000000002"/>
    <n v="1"/>
    <n v="1"/>
    <s v="2024010363244"/>
    <x v="3"/>
    <m/>
    <x v="3"/>
    <s v="Segundo Orden"/>
    <s v="Vías secundarias mejoradas"/>
    <s v="Otra fuente de financiacion"/>
    <m/>
    <m/>
    <m/>
    <n v="6"/>
    <n v="30235702409.850498"/>
    <n v="8068276995.0799999"/>
    <n v="22167425414.7705"/>
    <n v="0"/>
    <n v="0"/>
    <n v="0"/>
    <n v="0"/>
    <n v="30235702409.850498"/>
    <n v="24188561927.880402"/>
    <n v="18141421445.910297"/>
    <n v="0"/>
    <n v="0.48110149713114325"/>
    <n v="0.8"/>
    <x v="0"/>
    <n v="3628284289.1820598"/>
    <n v="21769705735.092358"/>
  </r>
  <r>
    <n v="271"/>
    <x v="251"/>
    <d v="2025-03-31T00:00:00"/>
    <x v="90"/>
    <x v="8"/>
    <n v="-74.757420999999994"/>
    <s v="6,409829"/>
    <n v="0"/>
    <n v="0"/>
    <s v=""/>
    <x v="0"/>
    <m/>
    <x v="10"/>
    <s v="Segundo Orden"/>
    <s v="Vías secundarias mejoradas"/>
    <s v="Puntos criticos identificados y priorizados en diagnostico realizado en febrero de 2025."/>
    <m/>
    <m/>
    <m/>
    <n v="6"/>
    <n v="6287173903.2990007"/>
    <n v="2101889048.3700001"/>
    <n v="4185284854.9290009"/>
    <n v="1389004859"/>
    <n v="1150000000"/>
    <n v="2539004859"/>
    <n v="0.40383881503066671"/>
    <n v="3748169044.2990007"/>
    <n v="2998535235.4392009"/>
    <n v="2248901426.5794005"/>
    <n v="0.54706664072595224"/>
    <n v="0.5833393396108878"/>
    <n v="0.8"/>
    <x v="0"/>
    <n v="449780285.31588012"/>
    <n v="2698681711.8952808"/>
  </r>
  <r>
    <n v="272"/>
    <x v="252"/>
    <d v="2025-03-31T00:00:00"/>
    <x v="82"/>
    <x v="8"/>
    <n v="-74.78716"/>
    <s v="6,552116"/>
    <n v="0"/>
    <n v="0"/>
    <s v=""/>
    <x v="0"/>
    <m/>
    <x v="10"/>
    <s v="Segundo Orden"/>
    <s v="Vías secundarias mejoradas"/>
    <s v="Puntos criticos identificados y priorizados en diagnostico realizado en febrero de 2025."/>
    <m/>
    <m/>
    <m/>
    <n v="6"/>
    <n v="12443958135.744499"/>
    <n v="4756407219.6099997"/>
    <n v="7687550916.1344995"/>
    <n v="8000000000"/>
    <n v="0"/>
    <n v="8000000000"/>
    <n v="0.64288226565312012"/>
    <n v="4443958135.7444992"/>
    <n v="3555166508.5955997"/>
    <n v="2666374881.4466996"/>
    <n v="1"/>
    <n v="0.49448054880206244"/>
    <n v="0.8"/>
    <x v="0"/>
    <n v="533274976.28933996"/>
    <n v="-10227839015.26396"/>
  </r>
  <r>
    <n v="273"/>
    <x v="253"/>
    <d v="2025-03-31T00:00:00"/>
    <x v="90"/>
    <x v="8"/>
    <n v="-74.757420999999994"/>
    <s v="6,409829"/>
    <n v="0"/>
    <n v="0"/>
    <s v=""/>
    <x v="0"/>
    <m/>
    <x v="10"/>
    <s v="Segundo Orden"/>
    <s v="Vías secundarias mejoradas"/>
    <s v="Puntos criticos identificados y priorizados en diagnostico realizado en febrero de 2025."/>
    <m/>
    <m/>
    <m/>
    <n v="6"/>
    <n v="6287173903.2990007"/>
    <n v="2101889048.3700001"/>
    <n v="4185284854.9290009"/>
    <n v="1389004859"/>
    <n v="1150000000"/>
    <n v="2539004859"/>
    <n v="0.40383881503066671"/>
    <n v="3748169044.2990007"/>
    <n v="2998535235.4392009"/>
    <n v="2248901426.5794005"/>
    <n v="0.54706664072595224"/>
    <n v="0.5833393396108878"/>
    <n v="0.8"/>
    <x v="0"/>
    <n v="449780285.31588012"/>
    <n v="2698681711.8952808"/>
  </r>
  <r>
    <n v="274"/>
    <x v="254"/>
    <d v="2025-03-31T00:00:00"/>
    <x v="84"/>
    <x v="7"/>
    <n v="-75.982929999999996"/>
    <s v="6,405607"/>
    <n v="0"/>
    <n v="1"/>
    <s v=""/>
    <x v="0"/>
    <m/>
    <x v="10"/>
    <s v="Segundo Orden"/>
    <s v="Vías secundarias mejoradas"/>
    <s v="Puntos criticos identificados y priorizados en diagnostico realizado en febrero de 2025."/>
    <m/>
    <m/>
    <m/>
    <n v="6"/>
    <n v="8536446221.1044998"/>
    <n v="2840287960.8099999"/>
    <n v="5696158260.2945004"/>
    <n v="1059912604"/>
    <n v="559890374"/>
    <n v="1619802978"/>
    <n v="0.18975144176453554"/>
    <n v="6916643243.1044998"/>
    <n v="5533314594.4836006"/>
    <n v="4149985945.8626995"/>
    <n v="0.65434662017271583"/>
    <n v="0.62730744736284794"/>
    <n v="0.8"/>
    <x v="0"/>
    <n v="829997189.17253995"/>
    <n v="-7956520095.9647608"/>
  </r>
  <r>
    <n v="275"/>
    <x v="255"/>
    <d v="2025-03-31T00:00:00"/>
    <x v="39"/>
    <x v="3"/>
    <n v="-75.791887000000003"/>
    <n v="6.0623909999999999"/>
    <n v="0"/>
    <n v="0"/>
    <s v=""/>
    <x v="0"/>
    <m/>
    <x v="10"/>
    <s v="Segundo Orden"/>
    <s v="Vías secundarias mejoradas"/>
    <s v="Puntos criticos identificados y priorizados en diagnostico realizado en febrero de 2025."/>
    <m/>
    <m/>
    <m/>
    <n v="6"/>
    <n v="11592686445.107998"/>
    <n v="5670743725.9899998"/>
    <n v="5921942719.1179981"/>
    <n v="1149558272.3800001"/>
    <n v="1133660976"/>
    <n v="2283219248.3800001"/>
    <n v="0.19695342052001213"/>
    <n v="9309467196.7279968"/>
    <n v="7447573757.3823977"/>
    <n v="5585680318.0367975"/>
    <n v="0.50348133373334159"/>
    <n v="0.69203788539600963"/>
    <n v="0.8"/>
    <x v="0"/>
    <n v="1117136063.6073596"/>
    <n v="-971455770.35584259"/>
  </r>
  <r>
    <n v="276"/>
    <x v="256"/>
    <d v="2025-03-31T00:00:00"/>
    <x v="71"/>
    <x v="7"/>
    <n v="-76.130764999999997"/>
    <s v="6,776066"/>
    <n v="0"/>
    <n v="1"/>
    <s v=""/>
    <x v="0"/>
    <m/>
    <x v="10"/>
    <s v="Segundo Orden"/>
    <s v="Vías secundarias mejoradas"/>
    <s v="Puntos criticos identificados y priorizados en diagnostico realizado en febrero de 2025."/>
    <m/>
    <m/>
    <m/>
    <n v="6"/>
    <n v="15502017167.017002"/>
    <n v="4560047682.8000002"/>
    <n v="10941969484.217003"/>
    <n v="1591148139"/>
    <n v="1671853559"/>
    <n v="3263001698"/>
    <n v="0.2104888456027873"/>
    <n v="12239015469.017002"/>
    <n v="9791212375.2136021"/>
    <n v="7343409281.4102011"/>
    <n v="0.4876332549796914"/>
    <n v="0.42560105953702715"/>
    <n v="0.8"/>
    <x v="0"/>
    <n v="1468681856.2820404"/>
    <n v="-10121554576.307758"/>
  </r>
  <r>
    <n v="277"/>
    <x v="257"/>
    <d v="2025-03-31T00:00:00"/>
    <x v="71"/>
    <x v="7"/>
    <n v="-76.130764999999997"/>
    <s v="6,776066"/>
    <n v="0"/>
    <n v="1"/>
    <s v=""/>
    <x v="0"/>
    <m/>
    <x v="10"/>
    <s v="Segundo Orden"/>
    <s v="Vías secundarias mejoradas"/>
    <s v="Puntos criticos identificados y priorizados en diagnostico realizado en febrero de 2025."/>
    <m/>
    <m/>
    <m/>
    <n v="6"/>
    <n v="15502017167.017002"/>
    <n v="4560047682.8000002"/>
    <n v="10941969484.217003"/>
    <n v="1591148139"/>
    <n v="1671853559"/>
    <n v="3263001698"/>
    <n v="0.2104888456027873"/>
    <n v="12239015469.017002"/>
    <n v="9791212375.2136021"/>
    <n v="7343409281.4102011"/>
    <n v="0.4876332549796914"/>
    <n v="0.42560105953702715"/>
    <n v="0.8"/>
    <x v="0"/>
    <n v="1468681856.2820404"/>
    <n v="-10121554576.307758"/>
  </r>
  <r>
    <n v="278"/>
    <x v="258"/>
    <d v="2025-03-31T00:00:00"/>
    <x v="94"/>
    <x v="7"/>
    <n v="-76.064304000000007"/>
    <s v="6,632282"/>
    <n v="0"/>
    <n v="1"/>
    <s v=""/>
    <x v="0"/>
    <m/>
    <x v="10"/>
    <s v="Segundo Orden"/>
    <s v="Vías secundarias mejoradas"/>
    <s v="Puntos criticos identificados y priorizados en diagnostico realizado en febrero de 2025."/>
    <m/>
    <m/>
    <m/>
    <n v="6"/>
    <n v="4751801726.2775002"/>
    <n v="1263292997.6800001"/>
    <n v="3488508728.5974998"/>
    <n v="691012966"/>
    <n v="0"/>
    <n v="691012966"/>
    <n v="0.14542125404321754"/>
    <n v="4060788760.2775002"/>
    <n v="3248631008.2220001"/>
    <n v="2436473256.1665001"/>
    <n v="1"/>
    <n v="0.49444669710295669"/>
    <n v="0.8"/>
    <x v="0"/>
    <n v="487294651.23330003"/>
    <n v="2923767907.3998003"/>
  </r>
  <r>
    <n v="279"/>
    <x v="259"/>
    <d v="2025-03-31T00:00:00"/>
    <x v="100"/>
    <x v="7"/>
    <n v="-75.906999999999996"/>
    <s v="6,720759"/>
    <n v="0"/>
    <n v="0"/>
    <s v=""/>
    <x v="0"/>
    <m/>
    <x v="10"/>
    <s v="Segundo Orden"/>
    <s v="Vías secundarias mejoradas"/>
    <s v="Puntos criticos identificados y priorizados en diagnostico realizado en febrero de 2025."/>
    <m/>
    <m/>
    <m/>
    <n v="6"/>
    <n v="22970429632.738503"/>
    <n v="4753029850.6400003"/>
    <n v="18217399782.098503"/>
    <n v="1226974981"/>
    <n v="868957450"/>
    <n v="2095932431"/>
    <n v="9.1244807542162021E-2"/>
    <n v="20874497201.738503"/>
    <n v="16699597761.390802"/>
    <n v="12524698321.0431"/>
    <n v="0.58540769867022491"/>
    <n v="0.40516346801716352"/>
    <n v="0.8"/>
    <x v="0"/>
    <n v="2504939664.2086201"/>
    <n v="13376602640.25172"/>
  </r>
  <r>
    <n v="280"/>
    <x v="260"/>
    <d v="2025-03-31T00:00:00"/>
    <x v="76"/>
    <x v="7"/>
    <n v="-75.811773000000002"/>
    <s v="6,626492"/>
    <n v="0"/>
    <n v="0"/>
    <s v=""/>
    <x v="0"/>
    <m/>
    <x v="10"/>
    <s v="Segundo Orden"/>
    <s v="Vías secundarias mejoradas"/>
    <s v="Puntos criticos identificados y priorizados en diagnostico realizado en febrero de 2025."/>
    <m/>
    <m/>
    <m/>
    <n v="6"/>
    <n v="4127448900.7750001"/>
    <n v="1679484660.96"/>
    <n v="2447964239.8150001"/>
    <n v="2175868693"/>
    <n v="0"/>
    <n v="2175868693"/>
    <n v="0.52717035275504998"/>
    <n v="1951580207.7750001"/>
    <n v="1561264166.2200003"/>
    <n v="1170948124.665"/>
    <n v="1"/>
    <n v="0.89586302238809568"/>
    <n v="0.8"/>
    <x v="1"/>
    <n v="234189624.933"/>
    <n v="-5192738357.4020004"/>
  </r>
  <r>
    <n v="281"/>
    <x v="261"/>
    <d v="2025-03-31T00:00:00"/>
    <x v="61"/>
    <x v="7"/>
    <n v="-75.812837999999999"/>
    <s v="6,677316"/>
    <n v="0"/>
    <n v="0"/>
    <s v=""/>
    <x v="0"/>
    <m/>
    <x v="10"/>
    <s v="Segundo Orden"/>
    <s v="Vías secundarias mejoradas"/>
    <s v="Puntos criticos identificados y priorizados en diagnostico realizado en febrero de 2025."/>
    <m/>
    <m/>
    <m/>
    <n v="6"/>
    <n v="8030428413.9210014"/>
    <n v="3080588699.4500003"/>
    <n v="4949839714.4710007"/>
    <n v="1577607418.01"/>
    <n v="1800000000"/>
    <n v="3377607418.0100002"/>
    <n v="0.42060114901900014"/>
    <n v="4652820995.9110012"/>
    <n v="3722256796.7288013"/>
    <n v="2791692597.5466008"/>
    <n v="0.46707838501239612"/>
    <n v="0.73590701114566914"/>
    <n v="0.8"/>
    <x v="0"/>
    <n v="558338519.50932014"/>
    <n v="3350031117.0559211"/>
  </r>
  <r>
    <n v="282"/>
    <x v="262"/>
    <d v="2025-03-31T00:00:00"/>
    <x v="101"/>
    <x v="7"/>
    <n v="-75.766413"/>
    <s v="6,325615"/>
    <n v="0"/>
    <n v="0"/>
    <s v=""/>
    <x v="0"/>
    <m/>
    <x v="10"/>
    <s v="Segundo Orden"/>
    <s v="Vías secundarias mejoradas"/>
    <s v="Puntos criticos identificados y priorizados en diagnostico realizado en febrero de 2025."/>
    <m/>
    <m/>
    <m/>
    <n v="6"/>
    <n v="9001864307.6529999"/>
    <n v="3627307640.0900002"/>
    <n v="5374556667.5629997"/>
    <n v="556835774"/>
    <n v="0"/>
    <n v="556835774"/>
    <n v="6.1857827997540693E-2"/>
    <n v="8445028533.6529999"/>
    <n v="6756022826.9224005"/>
    <n v="5067017120.1918001"/>
    <n v="1"/>
    <n v="0.55157730220974377"/>
    <n v="0.8"/>
    <x v="0"/>
    <n v="1013403424.0383601"/>
    <n v="6080420544.2301598"/>
  </r>
  <r>
    <n v="283"/>
    <x v="263"/>
    <d v="2025-03-31T00:00:00"/>
    <x v="102"/>
    <x v="1"/>
    <n v="-75.581774999999993"/>
    <s v="6,246631"/>
    <n v="0"/>
    <n v="0"/>
    <s v=""/>
    <x v="0"/>
    <m/>
    <x v="10"/>
    <s v="Segundo Orden"/>
    <s v="Vías secundarias mejoradas"/>
    <s v="Puntos criticos identificados y priorizados en diagnostico realizado en febrero de 2025."/>
    <m/>
    <m/>
    <m/>
    <s v="ESP"/>
    <n v="3643253573623.1133"/>
    <n v="1227432033091.78"/>
    <n v="2415821540531.333"/>
    <n v="180986901342"/>
    <n v="2084001890354"/>
    <n v="2264988791696"/>
    <n v="0.62169397378605529"/>
    <n v="1378264781927.1133"/>
    <n v="1102611825541.6907"/>
    <n v="826958869156.26794"/>
    <n v="7.9906312121959283E-2"/>
    <n v="0.31949631926682159"/>
    <n v="0.5"/>
    <x v="0"/>
    <n v="165391773831.2536"/>
    <n v="992350642987.52148"/>
  </r>
  <r>
    <n v="284"/>
    <x v="264"/>
    <d v="2025-03-31T00:00:00"/>
    <x v="52"/>
    <x v="7"/>
    <n v="-76.028227999999999"/>
    <s v="6,753859"/>
    <n v="0"/>
    <n v="0"/>
    <s v=""/>
    <x v="0"/>
    <m/>
    <x v="10"/>
    <s v="Segundo Orden"/>
    <s v="Vías secundarias mejoradas"/>
    <s v="Puntos criticos identificados y priorizados en diagnostico realizado en febrero de 2025."/>
    <m/>
    <m/>
    <m/>
    <n v="6"/>
    <n v="17304408242.457001"/>
    <n v="4260885029.46"/>
    <n v="13043523212.997002"/>
    <n v="3210633884"/>
    <n v="0"/>
    <n v="3210633884"/>
    <n v="0.1855384962614666"/>
    <n v="14093774358.457001"/>
    <n v="11275019486.765602"/>
    <n v="8456264615.0741997"/>
    <n v="1"/>
    <n v="0.3794626866525494"/>
    <n v="0.8"/>
    <x v="0"/>
    <n v="1691252923.0148401"/>
    <n v="-145378147798.91095"/>
  </r>
  <r>
    <n v="285"/>
    <x v="265"/>
    <d v="2025-03-31T00:00:00"/>
    <x v="103"/>
    <x v="7"/>
    <n v="-76.261613999999994"/>
    <s v="6,998112"/>
    <n v="1"/>
    <n v="1"/>
    <s v=""/>
    <x v="0"/>
    <m/>
    <x v="10"/>
    <s v="Segundo Orden"/>
    <s v="Vías secundarias mejoradas"/>
    <s v="Puntos criticos identificados y priorizados en diagnostico realizado en febrero de 2025."/>
    <m/>
    <m/>
    <m/>
    <n v="6"/>
    <n v="24612921465.534"/>
    <n v="6692367651.6599998"/>
    <n v="17920553813.874001"/>
    <n v="830923107"/>
    <n v="8409573820"/>
    <n v="9240496927"/>
    <n v="0.37543275551176097"/>
    <n v="15372424538.534"/>
    <n v="12297939630.827202"/>
    <n v="9223454723.1203995"/>
    <n v="8.9921907183596203E-2"/>
    <n v="0.49254696748300181"/>
    <n v="0.8"/>
    <x v="0"/>
    <n v="1844690944.6240799"/>
    <n v="10612545667.74448"/>
  </r>
  <r>
    <n v="286"/>
    <x v="266"/>
    <d v="2025-03-31T00:00:00"/>
    <x v="71"/>
    <x v="7"/>
    <n v="-76.130764999999997"/>
    <s v="6,776066"/>
    <n v="0"/>
    <n v="1"/>
    <s v=""/>
    <x v="0"/>
    <m/>
    <x v="10"/>
    <s v="Segundo Orden"/>
    <s v="Vías secundarias mejoradas"/>
    <s v="Puntos criticos identificados y priorizados en diagnostico realizado en febrero de 2025."/>
    <m/>
    <m/>
    <m/>
    <n v="6"/>
    <n v="15502017167.017002"/>
    <n v="4560047682.8000002"/>
    <n v="10941969484.217003"/>
    <n v="1591148139"/>
    <n v="1671853559"/>
    <n v="3263001698"/>
    <n v="0.2104888456027873"/>
    <n v="12239015469.017002"/>
    <n v="9791212375.2136021"/>
    <n v="7343409281.4102011"/>
    <n v="0.4876332549796914"/>
    <n v="0.42560105953702715"/>
    <n v="0.8"/>
    <x v="0"/>
    <n v="1468681856.2820404"/>
    <n v="-10121554576.307758"/>
  </r>
  <r>
    <n v="287"/>
    <x v="267"/>
    <d v="2025-03-31T00:00:00"/>
    <x v="101"/>
    <x v="7"/>
    <n v="-75.766413"/>
    <s v="6,325615"/>
    <n v="0"/>
    <n v="0"/>
    <s v=""/>
    <x v="0"/>
    <m/>
    <x v="10"/>
    <s v="Segundo Orden"/>
    <s v="Vías secundarias mejoradas"/>
    <s v="Puntos criticos identificados y priorizados en diagnostico realizado en febrero de 2025."/>
    <m/>
    <m/>
    <m/>
    <n v="6"/>
    <n v="9001864307.6529999"/>
    <n v="3627307640.0900002"/>
    <n v="5374556667.5629997"/>
    <n v="556835774"/>
    <n v="0"/>
    <n v="556835774"/>
    <n v="6.1857827997540693E-2"/>
    <n v="8445028533.6529999"/>
    <n v="6756022826.9224005"/>
    <n v="5067017120.1918001"/>
    <n v="1"/>
    <n v="0.55157730220974377"/>
    <n v="0.8"/>
    <x v="0"/>
    <n v="1013403424.0383601"/>
    <n v="6080420544.2301598"/>
  </r>
  <r>
    <n v="288"/>
    <x v="268"/>
    <d v="2025-03-31T00:00:00"/>
    <x v="71"/>
    <x v="7"/>
    <n v="-76.130764999999997"/>
    <s v="6,776066"/>
    <n v="0"/>
    <n v="1"/>
    <s v=""/>
    <x v="0"/>
    <m/>
    <x v="10"/>
    <s v="Segundo Orden"/>
    <s v="Vías secundarias mejoradas"/>
    <s v="Puntos criticos identificados y priorizados en diagnostico realizado en febrero de 2025."/>
    <m/>
    <m/>
    <m/>
    <n v="6"/>
    <n v="15502017167.017002"/>
    <n v="4560047682.8000002"/>
    <n v="10941969484.217003"/>
    <n v="1591148139"/>
    <n v="1671853559"/>
    <n v="3263001698"/>
    <n v="0.2104888456027873"/>
    <n v="12239015469.017002"/>
    <n v="9791212375.2136021"/>
    <n v="7343409281.4102011"/>
    <n v="0.4876332549796914"/>
    <n v="0.42560105953702715"/>
    <n v="0.8"/>
    <x v="0"/>
    <n v="1468681856.2820404"/>
    <n v="-10121554576.307758"/>
  </r>
  <r>
    <n v="289"/>
    <x v="269"/>
    <d v="2025-03-31T00:00:00"/>
    <x v="71"/>
    <x v="7"/>
    <n v="-76.130764999999997"/>
    <s v="6,776066"/>
    <n v="0"/>
    <n v="1"/>
    <s v=""/>
    <x v="0"/>
    <m/>
    <x v="10"/>
    <s v="Segundo Orden"/>
    <s v="Vías secundarias mejoradas"/>
    <s v="Puntos criticos identificados y priorizados en diagnostico realizado en febrero de 2025."/>
    <m/>
    <m/>
    <m/>
    <n v="6"/>
    <n v="15502017167.017002"/>
    <n v="4560047682.8000002"/>
    <n v="10941969484.217003"/>
    <n v="1591148139"/>
    <n v="1671853559"/>
    <n v="3263001698"/>
    <n v="0.2104888456027873"/>
    <n v="12239015469.017002"/>
    <n v="9791212375.2136021"/>
    <n v="7343409281.4102011"/>
    <n v="0.4876332549796914"/>
    <n v="0.42560105953702715"/>
    <n v="0.8"/>
    <x v="0"/>
    <n v="1468681856.2820404"/>
    <n v="-10121554576.307758"/>
  </r>
  <r>
    <n v="290"/>
    <x v="270"/>
    <d v="2025-03-31T00:00:00"/>
    <x v="24"/>
    <x v="7"/>
    <n v="-75.747377999999998"/>
    <n v="6.5007450000000002"/>
    <n v="0"/>
    <n v="0"/>
    <s v=""/>
    <x v="0"/>
    <m/>
    <x v="10"/>
    <s v="Segundo Orden"/>
    <s v="Vías secundarias mejoradas"/>
    <s v="Puntos criticos identificados y priorizados en diagnostico realizado en febrero de 2025."/>
    <m/>
    <m/>
    <m/>
    <n v="6"/>
    <n v="16347842057.745998"/>
    <n v="7901643157.3299999"/>
    <n v="8446198900.4159985"/>
    <n v="1620905965.8499999"/>
    <n v="2416666620"/>
    <n v="4037572585.8499999"/>
    <n v="0.24697893285168493"/>
    <n v="12310269471.895998"/>
    <n v="9848215577.516798"/>
    <n v="7386161683.137599"/>
    <n v="0.40145556058375176"/>
    <n v="0.5852153455768756"/>
    <n v="0.8"/>
    <x v="0"/>
    <n v="1477232336.6275198"/>
    <n v="-11946219029.23488"/>
  </r>
  <r>
    <n v="291"/>
    <x v="271"/>
    <d v="2025-03-31T00:00:00"/>
    <x v="28"/>
    <x v="2"/>
    <n v="-75.429433000000003"/>
    <s v="6,028062"/>
    <n v="0"/>
    <n v="0"/>
    <s v=""/>
    <x v="0"/>
    <m/>
    <x v="10"/>
    <s v="Segundo Orden"/>
    <s v="Vías secundarias mejoradas"/>
    <s v="Puntos criticos identificados y priorizados en diagnostico realizado en febrero de 2025."/>
    <m/>
    <m/>
    <m/>
    <n v="2"/>
    <n v="102691614388.099"/>
    <n v="29123622287.32"/>
    <n v="73567992100.778992"/>
    <n v="5166195556"/>
    <n v="27283390599"/>
    <n v="32449586155"/>
    <n v="0.3159906127521217"/>
    <n v="70242028233.098999"/>
    <n v="56193622586.479202"/>
    <n v="42145216939.859398"/>
    <n v="0.15920682412783146"/>
    <n v="0.28977187660096981"/>
    <n v="0.7"/>
    <x v="0"/>
    <n v="8429043387.97188"/>
    <n v="50574260327.831276"/>
  </r>
  <r>
    <n v="292"/>
    <x v="272"/>
    <d v="2025-03-31T00:00:00"/>
    <x v="4"/>
    <x v="2"/>
    <n v="-75.428738999999993"/>
    <n v="5.7893150000000002"/>
    <n v="0"/>
    <n v="1"/>
    <s v=""/>
    <x v="0"/>
    <m/>
    <x v="10"/>
    <s v="Segundo Orden"/>
    <s v="Vías secundarias mejoradas"/>
    <s v="Puntos criticos identificados y priorizados en diagnostico realizado en febrero de 2025."/>
    <m/>
    <m/>
    <m/>
    <n v="6"/>
    <n v="15030770872.282"/>
    <n v="4409672661.8199997"/>
    <n v="10621098210.462"/>
    <n v="1969764886"/>
    <n v="0"/>
    <n v="1969764886"/>
    <n v="0.13104882661955891"/>
    <n v="13061005986.282"/>
    <n v="10448804789.0256"/>
    <n v="7836603591.7691994"/>
    <n v="1"/>
    <n v="0.39507659260977307"/>
    <n v="0.8"/>
    <x v="0"/>
    <n v="1567320718.3538399"/>
    <n v="4201171682.1230392"/>
  </r>
  <r>
    <n v="293"/>
    <x v="273"/>
    <d v="2025-03-31T00:00:00"/>
    <x v="4"/>
    <x v="2"/>
    <n v="-75.428738999999993"/>
    <n v="5.7893150000000002"/>
    <n v="0"/>
    <n v="1"/>
    <s v=""/>
    <x v="0"/>
    <m/>
    <x v="10"/>
    <s v="Segundo Orden"/>
    <s v="Vías secundarias mejoradas"/>
    <s v="Puntos criticos identificados y priorizados en diagnostico realizado en febrero de 2025."/>
    <m/>
    <m/>
    <m/>
    <n v="6"/>
    <n v="15030770872.282"/>
    <n v="4409672661.8199997"/>
    <n v="10621098210.462"/>
    <n v="1969764886"/>
    <n v="0"/>
    <n v="1969764886"/>
    <n v="0.13104882661955891"/>
    <n v="13061005986.282"/>
    <n v="10448804789.0256"/>
    <n v="7836603591.7691994"/>
    <n v="1"/>
    <n v="0.39507659260977307"/>
    <n v="0.8"/>
    <x v="0"/>
    <n v="1567320718.3538399"/>
    <n v="4201171682.1230392"/>
  </r>
  <r>
    <n v="294"/>
    <x v="274"/>
    <d v="2025-03-31T00:00:00"/>
    <x v="20"/>
    <x v="2"/>
    <n v="-75.309595999999999"/>
    <s v="5,714851"/>
    <n v="0"/>
    <n v="1"/>
    <s v=""/>
    <x v="0"/>
    <m/>
    <x v="10"/>
    <s v="Segundo Orden"/>
    <s v="Vías secundarias mejoradas"/>
    <s v="Puntos criticos identificados y priorizados en diagnostico realizado en febrero de 2025."/>
    <m/>
    <m/>
    <m/>
    <n v="5"/>
    <n v="35695767669.016502"/>
    <n v="13532488388.23"/>
    <n v="22163279280.786503"/>
    <n v="1067761948"/>
    <n v="4932032890"/>
    <n v="5999794838"/>
    <n v="0.16808140655867587"/>
    <n v="29695972831.016502"/>
    <n v="23756778264.813202"/>
    <n v="17817583698.609901"/>
    <n v="0.17796640999076777"/>
    <n v="0.4016729815979605"/>
    <n v="0.8"/>
    <x v="0"/>
    <n v="3563516739.7219806"/>
    <n v="-5870025797.6681175"/>
  </r>
  <r>
    <n v="295"/>
    <x v="275"/>
    <d v="2025-03-31T00:00:00"/>
    <x v="37"/>
    <x v="2"/>
    <n v="-75.141069999999999"/>
    <s v="5,731474"/>
    <n v="0"/>
    <n v="1"/>
    <s v=""/>
    <x v="0"/>
    <m/>
    <x v="10"/>
    <s v="Segundo Orden"/>
    <s v="Vías secundarias mejoradas"/>
    <s v="Puntos criticos identificados y priorizados en diagnostico realizado en febrero de 2025."/>
    <m/>
    <m/>
    <m/>
    <n v="6"/>
    <n v="7397887197.3409996"/>
    <n v="2145550795.75"/>
    <n v="5252336401.5909996"/>
    <n v="913988424"/>
    <n v="0"/>
    <n v="913988424"/>
    <n v="0.12354722363548773"/>
    <n v="6483898773.3409996"/>
    <n v="5187119018.6728001"/>
    <n v="3890339264.0045996"/>
    <n v="1"/>
    <n v="0.55936476249157852"/>
    <n v="0.8"/>
    <x v="0"/>
    <n v="778067852.80092001"/>
    <n v="-57612554588.194481"/>
  </r>
  <r>
    <n v="296"/>
    <x v="276"/>
    <d v="2025-03-31T00:00:00"/>
    <x v="46"/>
    <x v="2"/>
    <n v="-75.441612000000006"/>
    <s v="6,27787"/>
    <n v="0"/>
    <n v="0"/>
    <s v=""/>
    <x v="0"/>
    <m/>
    <x v="10"/>
    <s v="Segundo Orden"/>
    <s v="Vías secundarias mejoradas"/>
    <s v="Puntos criticos identificados y priorizados en diagnostico realizado en febrero de 2025."/>
    <m/>
    <m/>
    <m/>
    <n v="2"/>
    <n v="94297942873.182495"/>
    <n v="31502477356.16"/>
    <n v="62795465517.022491"/>
    <n v="12269275368"/>
    <n v="1587282296.6800001"/>
    <n v="13856557664.68"/>
    <n v="0.14694443211041333"/>
    <n v="80441385208.502502"/>
    <n v="64353108166.802002"/>
    <n v="48264831125.101501"/>
    <n v="0.88544901734678727"/>
    <n v="0.32613717500698253"/>
    <n v="0.7"/>
    <x v="0"/>
    <n v="9652966225.0202999"/>
    <n v="21706110806.121803"/>
  </r>
  <r>
    <n v="297"/>
    <x v="277"/>
    <d v="2025-03-31T00:00:00"/>
    <x v="46"/>
    <x v="2"/>
    <n v="-75.441612000000006"/>
    <s v="6,27787"/>
    <n v="0"/>
    <n v="0"/>
    <s v=""/>
    <x v="0"/>
    <m/>
    <x v="10"/>
    <s v="Segundo Orden"/>
    <s v="Vías secundarias mejoradas"/>
    <s v="Puntos criticos identificados y priorizados en diagnostico realizado en febrero de 2025."/>
    <m/>
    <m/>
    <m/>
    <n v="2"/>
    <n v="94297942873.182495"/>
    <n v="31502477356.16"/>
    <n v="62795465517.022491"/>
    <n v="12269275368"/>
    <n v="1587282296.6800001"/>
    <n v="13856557664.68"/>
    <n v="0.14694443211041333"/>
    <n v="80441385208.502502"/>
    <n v="64353108166.802002"/>
    <n v="48264831125.101501"/>
    <n v="0.88544901734678727"/>
    <n v="0.32613717500698253"/>
    <n v="0.7"/>
    <x v="0"/>
    <n v="9652966225.0202999"/>
    <n v="21706110806.121803"/>
  </r>
  <r>
    <n v="298"/>
    <x v="278"/>
    <d v="2025-03-31T00:00:00"/>
    <x v="104"/>
    <x v="2"/>
    <n v="-75.332616000000002"/>
    <s v="6,282164"/>
    <n v="0"/>
    <n v="0"/>
    <s v=""/>
    <x v="0"/>
    <m/>
    <x v="10"/>
    <s v="Segundo Orden"/>
    <s v="Vías secundarias mejoradas"/>
    <s v="Puntos criticos identificados y priorizados en diagnostico realizado en febrero de 2025."/>
    <m/>
    <m/>
    <m/>
    <n v="6"/>
    <n v="18910688140.249004"/>
    <n v="5456011434.4000006"/>
    <n v="13454676705.849003"/>
    <n v="5580933878"/>
    <n v="4737487939"/>
    <n v="10318421817"/>
    <n v="0.5456396795544709"/>
    <n v="8592266323.2490044"/>
    <n v="6873813058.5992041"/>
    <n v="5155359793.9494028"/>
    <n v="0.54087087899480857"/>
    <n v="0.45745893515208286"/>
    <n v="0.8"/>
    <x v="0"/>
    <n v="1031071958.7898806"/>
    <n v="-1530430916.2607164"/>
  </r>
  <r>
    <n v="299"/>
    <x v="279"/>
    <d v="2025-03-31T00:00:00"/>
    <x v="104"/>
    <x v="2"/>
    <n v="-75.332616000000002"/>
    <s v="6,282164"/>
    <n v="0"/>
    <n v="0"/>
    <s v=""/>
    <x v="0"/>
    <m/>
    <x v="10"/>
    <s v="Segundo Orden"/>
    <s v="Vías secundarias mejoradas"/>
    <s v="Puntos criticos identificados y priorizados en diagnostico realizado en febrero de 2025."/>
    <m/>
    <m/>
    <m/>
    <n v="6"/>
    <n v="18910688140.249004"/>
    <n v="5456011434.4000006"/>
    <n v="13454676705.849003"/>
    <n v="5580933878"/>
    <n v="4737487939"/>
    <n v="10318421817"/>
    <n v="0.5456396795544709"/>
    <n v="8592266323.2490044"/>
    <n v="6873813058.5992041"/>
    <n v="5155359793.9494028"/>
    <n v="0.54087087899480857"/>
    <n v="0.45745893515208286"/>
    <n v="0.8"/>
    <x v="0"/>
    <n v="1031071958.7898806"/>
    <n v="-1530430916.2607164"/>
  </r>
  <r>
    <n v="300"/>
    <x v="280"/>
    <d v="2025-03-31T00:00:00"/>
    <x v="51"/>
    <x v="2"/>
    <n v="-75.339344999999994"/>
    <s v="6,173995"/>
    <n v="0"/>
    <n v="0"/>
    <s v=""/>
    <x v="0"/>
    <m/>
    <x v="10"/>
    <s v="Segundo Orden"/>
    <s v="Vías secundarias mejoradas"/>
    <s v="Puntos criticos identificados y priorizados en diagnostico realizado en febrero de 2025."/>
    <m/>
    <m/>
    <m/>
    <n v="4"/>
    <n v="62016835956.019493"/>
    <n v="25368005936.310001"/>
    <n v="36648830019.709488"/>
    <n v="25635932166"/>
    <n v="7522176280"/>
    <n v="33158108446"/>
    <n v="0.53466301424204787"/>
    <n v="28858727510.019493"/>
    <n v="23086982008.015594"/>
    <n v="17315236506.011696"/>
    <n v="0.77314217750839676"/>
    <n v="0.52777286703387605"/>
    <n v="0.8"/>
    <x v="0"/>
    <n v="3463047301.2023392"/>
    <n v="-1514260574754.7859"/>
  </r>
  <r>
    <n v="301"/>
    <x v="281"/>
    <d v="2025-03-31T00:00:00"/>
    <x v="66"/>
    <x v="2"/>
    <n v="-75.242693000000003"/>
    <s v="6,219349"/>
    <n v="0"/>
    <n v="0"/>
    <s v=""/>
    <x v="0"/>
    <m/>
    <x v="10"/>
    <s v="Segundo Orden"/>
    <s v="Vías secundarias mejoradas"/>
    <s v="Puntos criticos identificados y priorizados en diagnostico realizado en febrero de 2025."/>
    <m/>
    <m/>
    <m/>
    <n v="6"/>
    <n v="28258567441.100002"/>
    <n v="6469994311.25"/>
    <n v="21788573129.850002"/>
    <n v="1548230438"/>
    <n v="3356151670"/>
    <n v="4904382108"/>
    <n v="0.17355381224551877"/>
    <n v="23354185333.100002"/>
    <n v="18683348266.480003"/>
    <n v="14012511199.860001"/>
    <n v="0.31568307768567533"/>
    <n v="0.29902452385532635"/>
    <n v="0.8"/>
    <x v="0"/>
    <n v="2802502239.9720001"/>
    <n v="6184360283.8320007"/>
  </r>
  <r>
    <n v="302"/>
    <x v="282"/>
    <d v="2025-03-31T00:00:00"/>
    <x v="105"/>
    <x v="2"/>
    <n v="-75.160041000000007"/>
    <s v="6,232461"/>
    <n v="0"/>
    <n v="0"/>
    <s v=""/>
    <x v="0"/>
    <m/>
    <x v="10"/>
    <s v="Segundo Orden"/>
    <s v="Vías secundarias mejoradas"/>
    <s v="Puntos criticos identificados y priorizados en diagnostico realizado en febrero de 2025."/>
    <m/>
    <m/>
    <m/>
    <n v="6"/>
    <n v="21077944175.9025"/>
    <n v="7240492267.29"/>
    <n v="13837451908.612499"/>
    <n v="6499961675"/>
    <n v="4615945782.0699997"/>
    <n v="11115907457.07"/>
    <n v="0.52737151993116738"/>
    <n v="9962036718.8325005"/>
    <n v="7969629375.0660009"/>
    <n v="5977222031.2995005"/>
    <n v="0.58474413358541044"/>
    <n v="0.56956931049455672"/>
    <n v="0.8"/>
    <x v="0"/>
    <n v="1195444406.2599001"/>
    <n v="7172666437.5594006"/>
  </r>
  <r>
    <n v="303"/>
    <x v="283"/>
    <d v="2025-03-31T00:00:00"/>
    <x v="89"/>
    <x v="2"/>
    <n v="-75.028490000000005"/>
    <s v="6,293759"/>
    <n v="0"/>
    <n v="1"/>
    <s v=""/>
    <x v="0"/>
    <m/>
    <x v="10"/>
    <s v="Segundo Orden"/>
    <s v="Vías secundarias mejoradas"/>
    <s v="Puntos criticos identificados y priorizados en diagnostico realizado en febrero de 2025."/>
    <m/>
    <m/>
    <m/>
    <n v="6"/>
    <n v="17565923370.843998"/>
    <n v="4463335582.5100002"/>
    <n v="13102587788.333998"/>
    <n v="2561424191"/>
    <n v="0"/>
    <n v="2561424191"/>
    <n v="0.14581779374328047"/>
    <n v="15004499179.843998"/>
    <n v="12003599343.875198"/>
    <n v="9002699507.9063988"/>
    <n v="1"/>
    <n v="0.64471709259563048"/>
    <n v="0.8"/>
    <x v="0"/>
    <n v="1800539901.5812798"/>
    <n v="3805966446.4876785"/>
  </r>
  <r>
    <n v="304"/>
    <x v="284"/>
    <d v="2025-03-31T00:00:00"/>
    <x v="81"/>
    <x v="2"/>
    <n v="-75.184445999999994"/>
    <s v="6,142892"/>
    <n v="0"/>
    <n v="1"/>
    <s v=""/>
    <x v="0"/>
    <m/>
    <x v="10"/>
    <s v="Segundo Orden"/>
    <s v="Vías secundarias mejoradas"/>
    <s v="Puntos criticos identificados y priorizados en diagnostico realizado en febrero de 2025."/>
    <m/>
    <m/>
    <m/>
    <n v="6"/>
    <n v="9100976268.0305004"/>
    <n v="3221460794.1700001"/>
    <n v="5879515473.8605003"/>
    <n v="1026722956"/>
    <n v="190000000"/>
    <n v="1216722956"/>
    <n v="0.13369147662477152"/>
    <n v="7884253312.0305004"/>
    <n v="6307402649.6244011"/>
    <n v="4730551987.2182999"/>
    <n v="0.84384284108140062"/>
    <n v="0.65864601932480682"/>
    <n v="0.8"/>
    <x v="0"/>
    <n v="946110397.44366002"/>
    <n v="-23609701698.338039"/>
  </r>
  <r>
    <n v="305"/>
    <x v="285"/>
    <d v="2025-03-31T00:00:00"/>
    <x v="81"/>
    <x v="2"/>
    <n v="-75.184445999999994"/>
    <s v="6,142892"/>
    <n v="0"/>
    <n v="1"/>
    <s v=""/>
    <x v="0"/>
    <m/>
    <x v="10"/>
    <s v="Segundo Orden"/>
    <s v="Vías secundarias mejoradas"/>
    <s v="Puntos criticos identificados y priorizados en diagnostico realizado en febrero de 2025."/>
    <m/>
    <m/>
    <m/>
    <n v="6"/>
    <n v="9100976268.0305004"/>
    <n v="3221460794.1700001"/>
    <n v="5879515473.8605003"/>
    <n v="1026722956"/>
    <n v="190000000"/>
    <n v="1216722956"/>
    <n v="0.13369147662477152"/>
    <n v="7884253312.0305004"/>
    <n v="6307402649.6244011"/>
    <n v="4730551987.2182999"/>
    <n v="0.84384284108140062"/>
    <n v="0.65864601932480682"/>
    <n v="0.8"/>
    <x v="0"/>
    <n v="946110397.44366002"/>
    <n v="-23609701698.338039"/>
  </r>
  <r>
    <n v="306"/>
    <x v="286"/>
    <d v="2025-03-31T00:00:00"/>
    <x v="31"/>
    <x v="2"/>
    <n v="-75.185483000000005"/>
    <s v="6,058295"/>
    <n v="0"/>
    <n v="1"/>
    <s v=""/>
    <x v="0"/>
    <m/>
    <x v="10"/>
    <s v="Segundo Orden"/>
    <s v="Vías secundarias mejoradas"/>
    <s v="Puntos criticos identificados y priorizados en diagnostico realizado en febrero de 2025."/>
    <m/>
    <m/>
    <m/>
    <n v="6"/>
    <n v="12327690626.8465"/>
    <n v="4723680091.2799997"/>
    <n v="7604010535.5665007"/>
    <n v="445297438"/>
    <n v="33508702"/>
    <n v="478806140"/>
    <n v="3.8839889359105498E-2"/>
    <n v="11848884486.8465"/>
    <n v="9479107589.4772015"/>
    <n v="7109330692.1078997"/>
    <n v="0.93001613972619479"/>
    <n v="0.63996045822337311"/>
    <n v="0.8"/>
    <x v="0"/>
    <n v="1421866138.4215801"/>
    <n v="4809429397.52948"/>
  </r>
  <r>
    <n v="307"/>
    <x v="287"/>
    <d v="2025-03-31T00:00:00"/>
    <x v="31"/>
    <x v="2"/>
    <n v="-75.185483000000005"/>
    <s v="6,058295"/>
    <n v="0"/>
    <n v="1"/>
    <s v=""/>
    <x v="0"/>
    <m/>
    <x v="10"/>
    <s v="Segundo Orden"/>
    <s v="Vías secundarias mejoradas"/>
    <s v="Puntos criticos identificados y priorizados en diagnostico realizado en febrero de 2025."/>
    <m/>
    <m/>
    <m/>
    <n v="6"/>
    <n v="12327690626.8465"/>
    <n v="4723680091.2799997"/>
    <n v="7604010535.5665007"/>
    <n v="445297438"/>
    <n v="33508702"/>
    <n v="478806140"/>
    <n v="3.8839889359105498E-2"/>
    <n v="11848884486.8465"/>
    <n v="9479107589.4772015"/>
    <n v="7109330692.1078997"/>
    <n v="0.93001613972619479"/>
    <n v="0.63996045822337311"/>
    <n v="0.8"/>
    <x v="0"/>
    <n v="1421866138.4215801"/>
    <n v="4809429397.52948"/>
  </r>
  <r>
    <n v="308"/>
    <x v="288"/>
    <d v="2025-03-31T00:00:00"/>
    <x v="27"/>
    <x v="2"/>
    <n v="-75.101562000000001"/>
    <s v="5,963476"/>
    <n v="0"/>
    <n v="1"/>
    <s v=""/>
    <x v="0"/>
    <m/>
    <x v="10"/>
    <s v="Segundo Orden"/>
    <s v="Vías secundarias mejoradas"/>
    <s v="Puntos criticos identificados y priorizados en diagnostico realizado en febrero de 2025."/>
    <m/>
    <m/>
    <m/>
    <n v="6"/>
    <n v="7763487077.335"/>
    <n v="2329929022.3600001"/>
    <n v="5433558054.9750004"/>
    <n v="1217107364.4400001"/>
    <n v="0"/>
    <n v="1217107364.4400001"/>
    <n v="0.15677328400446064"/>
    <n v="6546379712.8950005"/>
    <n v="5237103770.3160009"/>
    <n v="3927827827.737"/>
    <n v="1"/>
    <n v="0.68141761997590633"/>
    <n v="0.8"/>
    <x v="0"/>
    <n v="785565565.5474"/>
    <n v="-4960892756.7156"/>
  </r>
  <r>
    <n v="309"/>
    <x v="289"/>
    <d v="2025-03-31T00:00:00"/>
    <x v="75"/>
    <x v="2"/>
    <n v="-74.993618999999995"/>
    <s v="6,043017"/>
    <n v="0"/>
    <n v="1"/>
    <s v=""/>
    <x v="0"/>
    <m/>
    <x v="10"/>
    <s v="Segundo Orden"/>
    <s v="Vías secundarias mejoradas"/>
    <s v="Puntos criticos identificados y priorizados en diagnostico realizado en febrero de 2025."/>
    <m/>
    <m/>
    <m/>
    <n v="6"/>
    <n v="10860999220.161499"/>
    <n v="3903981787.4000001"/>
    <n v="6957017432.7614994"/>
    <n v="1425530293"/>
    <n v="0"/>
    <n v="1425530293"/>
    <n v="0.13125222312453153"/>
    <n v="9435468927.161499"/>
    <n v="7548375141.7291994"/>
    <n v="5661281356.2968988"/>
    <n v="1"/>
    <n v="0.63270124114427018"/>
    <n v="0.8"/>
    <x v="0"/>
    <n v="1132256271.2593799"/>
    <n v="-72218731181.443726"/>
  </r>
  <r>
    <n v="310"/>
    <x v="290"/>
    <d v="2025-03-31T00:00:00"/>
    <x v="25"/>
    <x v="2"/>
    <n v="-75.257587000000001"/>
    <s v="6,394348"/>
    <n v="0"/>
    <n v="1"/>
    <s v=""/>
    <x v="0"/>
    <m/>
    <x v="10"/>
    <s v="Segundo Orden"/>
    <s v="Vías secundarias mejoradas"/>
    <s v="Puntos criticos identificados y priorizados en diagnostico realizado en febrero de 2025."/>
    <m/>
    <m/>
    <m/>
    <n v="6"/>
    <n v="8725724060.9459991"/>
    <n v="1935290211.05"/>
    <n v="6790433849.895999"/>
    <n v="661232494"/>
    <n v="0"/>
    <n v="661232494"/>
    <n v="7.5779670475657063E-2"/>
    <n v="8064491566.9459991"/>
    <n v="6451593253.5567999"/>
    <n v="4838694940.1675997"/>
    <n v="1"/>
    <n v="0.53402239411083863"/>
    <n v="0.8"/>
    <x v="0"/>
    <n v="967738988.03351998"/>
    <n v="5806433928.2011194"/>
  </r>
  <r>
    <n v="311"/>
    <x v="291"/>
    <d v="2025-03-31T00:00:00"/>
    <x v="25"/>
    <x v="2"/>
    <n v="-75.257587000000001"/>
    <s v="6,394348"/>
    <n v="0"/>
    <n v="1"/>
    <s v=""/>
    <x v="0"/>
    <m/>
    <x v="10"/>
    <s v="Segundo Orden"/>
    <s v="Vías secundarias mejoradas"/>
    <s v="Puntos criticos identificados y priorizados en diagnostico realizado en febrero de 2025."/>
    <m/>
    <m/>
    <m/>
    <n v="6"/>
    <n v="8725724060.9459991"/>
    <n v="1935290211.05"/>
    <n v="6790433849.895999"/>
    <n v="661232494"/>
    <n v="0"/>
    <n v="661232494"/>
    <n v="7.5779670475657063E-2"/>
    <n v="8064491566.9459991"/>
    <n v="6451593253.5567999"/>
    <n v="4838694940.1675997"/>
    <n v="1"/>
    <n v="0.53402239411083863"/>
    <n v="0.8"/>
    <x v="0"/>
    <n v="967738988.03351998"/>
    <n v="5806433928.2011194"/>
  </r>
  <r>
    <n v="312"/>
    <x v="292"/>
    <d v="2025-03-31T00:00:00"/>
    <x v="25"/>
    <x v="2"/>
    <n v="-75.257587000000001"/>
    <s v="6,394348"/>
    <n v="0"/>
    <n v="1"/>
    <s v=""/>
    <x v="0"/>
    <m/>
    <x v="10"/>
    <s v="Segundo Orden"/>
    <s v="Vías secundarias mejoradas"/>
    <s v="Puntos criticos identificados y priorizados en diagnostico realizado en febrero de 2025."/>
    <m/>
    <m/>
    <m/>
    <n v="6"/>
    <n v="8725724060.9459991"/>
    <n v="1935290211.05"/>
    <n v="6790433849.895999"/>
    <n v="661232494"/>
    <n v="0"/>
    <n v="661232494"/>
    <n v="7.5779670475657063E-2"/>
    <n v="8064491566.9459991"/>
    <n v="6451593253.5567999"/>
    <n v="4838694940.1675997"/>
    <n v="1"/>
    <n v="0.53402239411083863"/>
    <n v="0.8"/>
    <x v="0"/>
    <n v="967738988.03351998"/>
    <n v="5806433928.2011194"/>
  </r>
  <r>
    <n v="313"/>
    <x v="293"/>
    <d v="2025-03-31T00:00:00"/>
    <x v="70"/>
    <x v="0"/>
    <n v="-75.019109"/>
    <s v="6,485939"/>
    <n v="0"/>
    <n v="0"/>
    <s v=""/>
    <x v="0"/>
    <m/>
    <x v="10"/>
    <s v="Segundo Orden"/>
    <s v="Vías secundarias mejoradas"/>
    <s v="Puntos criticos identificados y priorizados en diagnostico realizado en febrero de 2025."/>
    <m/>
    <m/>
    <m/>
    <n v="6"/>
    <n v="13645854382.4415"/>
    <n v="5036095672.2200003"/>
    <n v="8609758710.2215004"/>
    <n v="2357809963"/>
    <n v="1093248488"/>
    <n v="3451058451"/>
    <n v="0.25290160324739891"/>
    <n v="10194795931.4415"/>
    <n v="8155836745.1532001"/>
    <n v="6116877558.8648996"/>
    <n v="0.68321356954032075"/>
    <n v="0.58815143933117542"/>
    <n v="0.8"/>
    <x v="0"/>
    <n v="1223375511.77298"/>
    <n v="-66818961.362120628"/>
  </r>
  <r>
    <n v="314"/>
    <x v="294"/>
    <d v="2025-03-31T00:00:00"/>
    <x v="16"/>
    <x v="2"/>
    <n v="-75.141345999999999"/>
    <s v="6,376061"/>
    <n v="0"/>
    <n v="1"/>
    <s v=""/>
    <x v="0"/>
    <m/>
    <x v="10"/>
    <s v="Segundo Orden"/>
    <s v="Vías secundarias mejoradas"/>
    <s v="Puntos criticos identificados y priorizados en diagnostico realizado en febrero de 2025."/>
    <m/>
    <m/>
    <m/>
    <n v="6"/>
    <n v="8362831920.7600002"/>
    <n v="2199279418.0799999"/>
    <n v="6163552502.6800003"/>
    <n v="284104325"/>
    <n v="209000000"/>
    <n v="493104325"/>
    <n v="5.8963797152961017E-2"/>
    <n v="7869727595.7600002"/>
    <n v="6295782076.6080008"/>
    <n v="4721836557.4560003"/>
    <n v="0.57615459973911198"/>
    <n v="0.61308928502962989"/>
    <n v="0.8"/>
    <x v="0"/>
    <n v="944367311.49120009"/>
    <n v="-546162555.05279922"/>
  </r>
  <r>
    <n v="315"/>
    <x v="295"/>
    <d v="2025-03-31T00:00:00"/>
    <x v="16"/>
    <x v="2"/>
    <n v="-75.141345999999999"/>
    <s v="6,376061"/>
    <n v="0"/>
    <n v="1"/>
    <s v=""/>
    <x v="0"/>
    <m/>
    <x v="10"/>
    <s v="Segundo Orden"/>
    <s v="Vías secundarias mejoradas"/>
    <s v="Puntos criticos identificados y priorizados en diagnostico realizado en febrero de 2025."/>
    <m/>
    <m/>
    <m/>
    <n v="6"/>
    <n v="8362831920.7600002"/>
    <n v="2199279418.0799999"/>
    <n v="6163552502.6800003"/>
    <n v="284104325"/>
    <n v="209000000"/>
    <n v="493104325"/>
    <n v="5.8963797152961017E-2"/>
    <n v="7869727595.7600002"/>
    <n v="6295782076.6080008"/>
    <n v="4721836557.4560003"/>
    <n v="0.57615459973911198"/>
    <n v="0.61308928502962989"/>
    <n v="0.8"/>
    <x v="0"/>
    <n v="944367311.49120009"/>
    <n v="-546162555.05279922"/>
  </r>
  <r>
    <n v="316"/>
    <x v="296"/>
    <d v="2025-03-31T00:00:00"/>
    <x v="106"/>
    <x v="2"/>
    <n v="-75.176261999999994"/>
    <s v="5,610777"/>
    <n v="0"/>
    <n v="1"/>
    <s v=""/>
    <x v="0"/>
    <m/>
    <x v="10"/>
    <s v="Segundo Orden"/>
    <s v="Vías secundarias mejoradas"/>
    <s v="Puntos criticos identificados y priorizados en diagnostico realizado en febrero de 2025."/>
    <m/>
    <m/>
    <m/>
    <n v="6"/>
    <n v="8540444993.8640003"/>
    <n v="2695571158.3099999"/>
    <n v="5844873835.5540009"/>
    <n v="0"/>
    <n v="0"/>
    <n v="0"/>
    <n v="0"/>
    <n v="8540444993.8640003"/>
    <n v="6832355995.0912008"/>
    <n v="5124266996.3184004"/>
    <n v="0"/>
    <n v="0.54404764708917908"/>
    <n v="0.8"/>
    <x v="0"/>
    <n v="1024853399.2636801"/>
    <n v="4386642530.5820808"/>
  </r>
  <r>
    <n v="317"/>
    <x v="297"/>
    <d v="2025-03-31T00:00:00"/>
    <x v="27"/>
    <x v="2"/>
    <n v="-75.101562000000001"/>
    <s v="5,963476"/>
    <n v="0"/>
    <n v="1"/>
    <s v=""/>
    <x v="0"/>
    <m/>
    <x v="10"/>
    <s v="Segundo Orden"/>
    <s v="Vías secundarias mejoradas"/>
    <s v="Puntos criticos identificados y priorizados en diagnostico realizado en febrero de 2025."/>
    <m/>
    <m/>
    <m/>
    <n v="6"/>
    <n v="7763487077.335"/>
    <n v="2329929022.3600001"/>
    <n v="5433558054.9750004"/>
    <n v="1217107364.4400001"/>
    <n v="0"/>
    <n v="1217107364.4400001"/>
    <n v="0.15677328400446064"/>
    <n v="6546379712.8950005"/>
    <n v="5237103770.3160009"/>
    <n v="3927827827.737"/>
    <n v="1"/>
    <n v="0.68141761997590633"/>
    <n v="0.8"/>
    <x v="0"/>
    <n v="785565565.5474"/>
    <n v="-4960892756.7156"/>
  </r>
  <r>
    <n v="318"/>
    <x v="298"/>
    <d v="2025-03-31T00:00:00"/>
    <x v="39"/>
    <x v="3"/>
    <n v="-75.791887000000003"/>
    <n v="6.0623909999999999"/>
    <n v="0"/>
    <n v="0"/>
    <s v=""/>
    <x v="0"/>
    <m/>
    <x v="10"/>
    <s v="Segundo Orden"/>
    <s v="Vías secundarias mejoradas"/>
    <s v="Puntos criticos identificados y priorizados en diagnostico realizado en febrero de 2025."/>
    <m/>
    <m/>
    <m/>
    <n v="6"/>
    <n v="11592686445.107998"/>
    <n v="5670743725.9899998"/>
    <n v="5921942719.1179981"/>
    <n v="1149558272.3800001"/>
    <n v="1133660976"/>
    <n v="2283219248.3800001"/>
    <n v="0.19695342052001213"/>
    <n v="9309467196.7279968"/>
    <n v="7447573757.3823977"/>
    <n v="5585680318.0367975"/>
    <n v="0.50348133373334159"/>
    <n v="0.69203788539600963"/>
    <n v="0.8"/>
    <x v="0"/>
    <n v="1117136063.6073596"/>
    <n v="-971455770.35584259"/>
  </r>
  <r>
    <n v="319"/>
    <x v="299"/>
    <d v="2025-03-31T00:00:00"/>
    <x v="95"/>
    <x v="3"/>
    <n v="-75.984452000000005"/>
    <s v="6,115208"/>
    <n v="0"/>
    <n v="0"/>
    <s v=""/>
    <x v="0"/>
    <m/>
    <x v="10"/>
    <s v="Segundo Orden"/>
    <s v="Vías secundarias mejoradas"/>
    <s v="Puntos criticos identificados y priorizados en diagnostico realizado en febrero de 2025."/>
    <m/>
    <m/>
    <m/>
    <n v="6"/>
    <n v="12058979368.9545"/>
    <n v="3567680920.52"/>
    <n v="8491298448.4344997"/>
    <n v="914830553"/>
    <n v="0"/>
    <n v="914830553"/>
    <n v="7.586301667910679E-2"/>
    <n v="11144148815.9545"/>
    <n v="8915319052.7636013"/>
    <n v="6686489289.5726995"/>
    <n v="1"/>
    <n v="0.60206976758564179"/>
    <n v="0.8"/>
    <x v="0"/>
    <n v="1337297857.9145401"/>
    <n v="7897388974.4872398"/>
  </r>
  <r>
    <n v="320"/>
    <x v="300"/>
    <d v="2025-03-31T00:00:00"/>
    <x v="95"/>
    <x v="3"/>
    <n v="-75.984452000000005"/>
    <s v="6,115208"/>
    <n v="0"/>
    <n v="0"/>
    <s v=""/>
    <x v="0"/>
    <m/>
    <x v="10"/>
    <s v="Segundo Orden"/>
    <s v="Vías secundarias mejoradas"/>
    <s v="Puntos criticos identificados y priorizados en diagnostico realizado en febrero de 2025."/>
    <m/>
    <m/>
    <m/>
    <n v="6"/>
    <n v="12058979368.9545"/>
    <n v="3567680920.52"/>
    <n v="8491298448.4344997"/>
    <n v="914830553"/>
    <n v="0"/>
    <n v="914830553"/>
    <n v="7.586301667910679E-2"/>
    <n v="11144148815.9545"/>
    <n v="8915319052.7636013"/>
    <n v="6686489289.5726995"/>
    <n v="1"/>
    <n v="0.60206976758564179"/>
    <n v="0.8"/>
    <x v="0"/>
    <n v="1337297857.9145401"/>
    <n v="7897388974.4872398"/>
  </r>
  <r>
    <n v="321"/>
    <x v="301"/>
    <d v="2025-03-31T00:00:00"/>
    <x v="92"/>
    <x v="3"/>
    <n v="-75.976806999999994"/>
    <s v="5,964198"/>
    <n v="0"/>
    <n v="1"/>
    <s v=""/>
    <x v="0"/>
    <m/>
    <x v="10"/>
    <s v="Segundo Orden"/>
    <s v="Vías secundarias mejoradas"/>
    <s v="Puntos criticos identificados y priorizados en diagnostico realizado en febrero de 2025."/>
    <m/>
    <m/>
    <m/>
    <n v="6"/>
    <n v="13308978307.0145"/>
    <n v="4910718349.54"/>
    <n v="8398259957.4744997"/>
    <n v="0"/>
    <n v="3987177539"/>
    <n v="3987177539"/>
    <n v="0.29958554646516761"/>
    <n v="9321800768.0144997"/>
    <n v="7457440614.4116001"/>
    <n v="5593080460.8086996"/>
    <n v="0"/>
    <n v="0.65348583125551507"/>
    <n v="0.8"/>
    <x v="0"/>
    <n v="1118616092.1617401"/>
    <n v="6711696552.9704399"/>
  </r>
  <r>
    <n v="322"/>
    <x v="302"/>
    <d v="2025-03-31T00:00:00"/>
    <x v="21"/>
    <x v="3"/>
    <n v="-75.839903000000007"/>
    <s v="5,79158"/>
    <n v="0"/>
    <n v="0"/>
    <s v=""/>
    <x v="0"/>
    <m/>
    <x v="10"/>
    <s v="Segundo Orden"/>
    <s v="Vías secundarias mejoradas"/>
    <s v="Puntos criticos identificados y priorizados en diagnostico realizado en febrero de 2025."/>
    <m/>
    <m/>
    <m/>
    <n v="6"/>
    <n v="7408957946.4439993"/>
    <n v="2726179218.2000003"/>
    <n v="4682778728.2439995"/>
    <n v="1117539497"/>
    <n v="0"/>
    <n v="1117539497"/>
    <n v="0.15083625863153588"/>
    <n v="6291418449.4439993"/>
    <n v="5033134759.5551996"/>
    <n v="3774851069.6663995"/>
    <n v="1"/>
    <n v="0.78495373596781126"/>
    <n v="0.8"/>
    <x v="2"/>
    <n v="754970213.93327999"/>
    <n v="-4520144590.4003201"/>
  </r>
  <r>
    <n v="323"/>
    <x v="303"/>
    <d v="2025-03-31T00:00:00"/>
    <x v="65"/>
    <x v="3"/>
    <n v="-75.523454999999998"/>
    <s v="5,946313"/>
    <n v="0"/>
    <n v="1"/>
    <s v=""/>
    <x v="0"/>
    <m/>
    <x v="10"/>
    <s v="Segundo Orden"/>
    <s v="Vías secundarias mejoradas"/>
    <s v="Puntos criticos identificados y priorizados en diagnostico realizado en febrero de 2025."/>
    <m/>
    <m/>
    <m/>
    <n v="6"/>
    <n v="6527267076.0299997"/>
    <n v="2852468155.77"/>
    <n v="3674798920.2599998"/>
    <n v="1320825426"/>
    <n v="0"/>
    <n v="1320825426"/>
    <n v="0.2023550454753798"/>
    <n v="5206441650.0299997"/>
    <n v="4165153320.0240002"/>
    <n v="3123864990.0179996"/>
    <n v="1"/>
    <n v="0.63926485007667311"/>
    <n v="0.8"/>
    <x v="0"/>
    <n v="624772998.0036"/>
    <n v="3748637988.0215998"/>
  </r>
  <r>
    <n v="324"/>
    <x v="304"/>
    <d v="2025-03-31T00:00:00"/>
    <x v="12"/>
    <x v="3"/>
    <n v="-75.675072"/>
    <s v="5,928039"/>
    <n v="0"/>
    <n v="0"/>
    <s v=""/>
    <x v="0"/>
    <m/>
    <x v="10"/>
    <s v="Segundo Orden"/>
    <s v="Vías secundarias mejoradas"/>
    <s v="Puntos criticos identificados y priorizados en diagnostico realizado en febrero de 2025."/>
    <m/>
    <m/>
    <m/>
    <n v="6"/>
    <n v="17515986067.273998"/>
    <n v="8346764868.3600006"/>
    <n v="9169221198.9139977"/>
    <n v="0"/>
    <n v="6328650461"/>
    <n v="6328650461"/>
    <n v="0.36130711891945022"/>
    <n v="11187335606.273998"/>
    <n v="8949868485.0191994"/>
    <n v="6712401363.7643986"/>
    <n v="0"/>
    <n v="0.67376313277740918"/>
    <n v="0.8"/>
    <x v="0"/>
    <n v="1342480272.7528799"/>
    <n v="3280962216.5172787"/>
  </r>
  <r>
    <n v="325"/>
    <x v="305"/>
    <d v="2025-03-31T00:00:00"/>
    <x v="77"/>
    <x v="3"/>
    <n v="-75.735544000000004"/>
    <n v="5.9646929999999996"/>
    <n v="0"/>
    <n v="0"/>
    <s v=""/>
    <x v="0"/>
    <m/>
    <x v="10"/>
    <s v="Segundo Orden"/>
    <s v="Vías secundarias mejoradas"/>
    <s v="Puntos criticos identificados y priorizados en diagnostico realizado en febrero de 2025."/>
    <m/>
    <m/>
    <m/>
    <n v="6"/>
    <n v="12522207884.799"/>
    <n v="6810462569.46"/>
    <n v="5711745315.3389997"/>
    <n v="0"/>
    <n v="0"/>
    <n v="0"/>
    <n v="0"/>
    <n v="12522207884.799"/>
    <n v="10017766307.839201"/>
    <n v="7513324730.8793993"/>
    <n v="0"/>
    <n v="0.68767493145996073"/>
    <n v="0.8"/>
    <x v="0"/>
    <n v="1502664946.17588"/>
    <n v="-35504250404.944717"/>
  </r>
  <r>
    <n v="326"/>
    <x v="306"/>
    <d v="2025-03-31T00:00:00"/>
    <x v="21"/>
    <x v="3"/>
    <n v="-75.839903000000007"/>
    <s v="5,79158"/>
    <n v="0"/>
    <n v="0"/>
    <s v=""/>
    <x v="0"/>
    <m/>
    <x v="10"/>
    <s v="Segundo Orden"/>
    <s v="Vías secundarias mejoradas"/>
    <s v="Puntos criticos identificados y priorizados en diagnostico realizado en febrero de 2025."/>
    <m/>
    <m/>
    <m/>
    <n v="6"/>
    <n v="7408957946.4439993"/>
    <n v="2726179218.2000003"/>
    <n v="4682778728.2439995"/>
    <n v="1117539497"/>
    <n v="0"/>
    <n v="1117539497"/>
    <n v="0.15083625863153588"/>
    <n v="6291418449.4439993"/>
    <n v="5033134759.5551996"/>
    <n v="3774851069.6663995"/>
    <n v="1"/>
    <n v="0.78495373596781126"/>
    <n v="0.8"/>
    <x v="2"/>
    <n v="754970213.93327999"/>
    <n v="-4520144590.4003201"/>
  </r>
  <r>
    <n v="327"/>
    <x v="307"/>
    <d v="2025-03-31T00:00:00"/>
    <x v="32"/>
    <x v="3"/>
    <n v="-75.976789999999994"/>
    <s v="5,74615"/>
    <n v="0"/>
    <n v="0"/>
    <s v=""/>
    <x v="0"/>
    <m/>
    <x v="10"/>
    <s v="Segundo Orden"/>
    <s v="Vías secundarias mejoradas"/>
    <s v="Puntos criticos identificados y priorizados en diagnostico realizado en febrero de 2025."/>
    <m/>
    <m/>
    <m/>
    <n v="6"/>
    <n v="9197355968.8835011"/>
    <n v="3350398615.7000003"/>
    <n v="5846957353.1835003"/>
    <n v="958841544"/>
    <n v="680000000"/>
    <n v="1638841544"/>
    <n v="0.17818616019044273"/>
    <n v="7558514424.8835011"/>
    <n v="6046811539.9068012"/>
    <n v="4535108654.9301004"/>
    <n v="0.58507275917579493"/>
    <n v="0.53687312631507866"/>
    <n v="0.8"/>
    <x v="0"/>
    <n v="907021730.98602009"/>
    <n v="-2964573994.0838795"/>
  </r>
  <r>
    <n v="328"/>
    <x v="308"/>
    <d v="2025-03-31T00:00:00"/>
    <x v="107"/>
    <x v="3"/>
    <n v="-75.906587000000002"/>
    <s v="5,799461"/>
    <n v="0"/>
    <n v="0"/>
    <s v=""/>
    <x v="0"/>
    <m/>
    <x v="10"/>
    <s v="Segundo Orden"/>
    <s v="Vías secundarias mejoradas"/>
    <s v="Puntos criticos identificados y priorizados en diagnostico realizado en febrero de 2025."/>
    <m/>
    <m/>
    <m/>
    <n v="6"/>
    <n v="6274381972.2840004"/>
    <n v="2404546434.0300002"/>
    <n v="3869835538.2540002"/>
    <n v="1292225834"/>
    <n v="0"/>
    <n v="1292225834"/>
    <n v="0.20595268820230975"/>
    <n v="4982156138.2840004"/>
    <n v="3985724910.6272006"/>
    <n v="2989293682.9704003"/>
    <n v="1"/>
    <n v="0.75496548270760855"/>
    <n v="0.8"/>
    <x v="2"/>
    <n v="597858736.59408009"/>
    <n v="-2938227867.4355197"/>
  </r>
  <r>
    <n v="329"/>
    <x v="309"/>
    <d v="2025-03-31T00:00:00"/>
    <x v="22"/>
    <x v="3"/>
    <n v="-75.624452000000005"/>
    <n v="5.6145550000000002"/>
    <n v="0"/>
    <n v="0"/>
    <s v=""/>
    <x v="0"/>
    <m/>
    <x v="10"/>
    <s v="Segundo Orden"/>
    <s v="Vías secundarias mejoradas"/>
    <s v="Puntos criticos identificados y priorizados en diagnostico realizado en febrero de 2025."/>
    <m/>
    <m/>
    <m/>
    <n v="6"/>
    <n v="6485715716.868001"/>
    <n v="3717110032.7600002"/>
    <n v="2768605684.1080008"/>
    <n v="598561755.20000005"/>
    <n v="823222224"/>
    <n v="1421783979.2"/>
    <n v="0.21921774577665112"/>
    <n v="5063931737.6680012"/>
    <n v="4051145390.1344013"/>
    <n v="3038359042.6008005"/>
    <n v="0.42099345889155032"/>
    <n v="0.68598337343648785"/>
    <n v="0.8"/>
    <x v="0"/>
    <n v="607671808.52016008"/>
    <n v="-1701336321.8790393"/>
  </r>
  <r>
    <n v="330"/>
    <x v="310"/>
    <d v="2025-03-31T00:00:00"/>
    <x v="12"/>
    <x v="3"/>
    <n v="-75.675072"/>
    <s v="5,928039"/>
    <n v="0"/>
    <n v="0"/>
    <s v=""/>
    <x v="0"/>
    <m/>
    <x v="10"/>
    <s v="Segundo Orden"/>
    <s v="Vías secundarias mejoradas"/>
    <s v="Puntos criticos identificados y priorizados en diagnostico realizado en febrero de 2025."/>
    <m/>
    <m/>
    <m/>
    <n v="6"/>
    <n v="17515986067.273998"/>
    <n v="8346764868.3600006"/>
    <n v="9169221198.9139977"/>
    <n v="0"/>
    <n v="6328650461"/>
    <n v="6328650461"/>
    <n v="0.36130711891945022"/>
    <n v="11187335606.273998"/>
    <n v="8949868485.0191994"/>
    <n v="6712401363.7643986"/>
    <n v="0"/>
    <n v="0.67376313277740918"/>
    <n v="0.8"/>
    <x v="0"/>
    <n v="1342480272.7528799"/>
    <n v="3280962216.5172787"/>
  </r>
  <r>
    <n v="331"/>
    <x v="311"/>
    <d v="2025-03-31T00:00:00"/>
    <x v="12"/>
    <x v="3"/>
    <n v="-75.675072"/>
    <s v="5,928039"/>
    <n v="0"/>
    <n v="0"/>
    <s v=""/>
    <x v="0"/>
    <m/>
    <x v="10"/>
    <s v="Segundo Orden"/>
    <s v="Vías secundarias mejoradas"/>
    <s v="Puntos criticos identificados y priorizados en diagnostico realizado en febrero de 2025."/>
    <m/>
    <m/>
    <m/>
    <n v="6"/>
    <n v="17515986067.273998"/>
    <n v="8346764868.3600006"/>
    <n v="9169221198.9139977"/>
    <n v="0"/>
    <n v="6328650461"/>
    <n v="6328650461"/>
    <n v="0.36130711891945022"/>
    <n v="11187335606.273998"/>
    <n v="8949868485.0191994"/>
    <n v="6712401363.7643986"/>
    <n v="0"/>
    <n v="0.67376313277740918"/>
    <n v="0.8"/>
    <x v="0"/>
    <n v="1342480272.7528799"/>
    <n v="3280962216.5172787"/>
  </r>
  <r>
    <n v="332"/>
    <x v="312"/>
    <d v="2025-03-31T00:00:00"/>
    <x v="9"/>
    <x v="3"/>
    <n v="-75.714428999999996"/>
    <n v="5.6646450000000002"/>
    <n v="0"/>
    <n v="0"/>
    <s v=""/>
    <x v="0"/>
    <m/>
    <x v="10"/>
    <s v="Segundo Orden"/>
    <s v="Vías secundarias mejoradas"/>
    <s v="Puntos criticos identificados y priorizados en diagnostico realizado en febrero de 2025."/>
    <m/>
    <m/>
    <m/>
    <n v="6"/>
    <n v="13939577899.640499"/>
    <n v="5408645166.3600006"/>
    <n v="8530932733.2804985"/>
    <n v="2408239973"/>
    <n v="812109375"/>
    <n v="3220349348"/>
    <n v="0.23102201309001277"/>
    <n v="10719228551.640499"/>
    <n v="8575382841.3123999"/>
    <n v="6431537130.9842997"/>
    <n v="0.74781947942872684"/>
    <n v="0.48148969869574604"/>
    <n v="0.8"/>
    <x v="0"/>
    <n v="1286307426.1968601"/>
    <n v="-10772171787.81884"/>
  </r>
  <r>
    <n v="333"/>
    <x v="313"/>
    <d v="2025-03-31T00:00:00"/>
    <x v="62"/>
    <x v="3"/>
    <n v="-75.878827999999999"/>
    <s v="5,657194"/>
    <n v="0"/>
    <n v="0"/>
    <s v=""/>
    <x v="0"/>
    <m/>
    <x v="10"/>
    <s v="Segundo Orden"/>
    <s v="Vías secundarias mejoradas"/>
    <s v="Puntos criticos identificados y priorizados en diagnostico realizado en febrero de 2025."/>
    <m/>
    <m/>
    <m/>
    <n v="6"/>
    <n v="27843076411.630001"/>
    <n v="11739999040.630001"/>
    <n v="16103077371"/>
    <n v="13999483044"/>
    <n v="1243354438.6800001"/>
    <n v="15242837482.68"/>
    <n v="0.54745521857322832"/>
    <n v="12600238928.950001"/>
    <n v="10080191143.160002"/>
    <n v="7560143357.3699999"/>
    <n v="0.91843025026719671"/>
    <n v="0.46026317160648733"/>
    <n v="0.8"/>
    <x v="0"/>
    <n v="1512028671.474"/>
    <n v="-18234436450.155998"/>
  </r>
  <r>
    <n v="334"/>
    <x v="314"/>
    <d v="2025-03-31T00:00:00"/>
    <x v="83"/>
    <x v="3"/>
    <n v="-75.908448000000007"/>
    <s v="6,045738"/>
    <n v="0"/>
    <n v="0"/>
    <s v=""/>
    <x v="0"/>
    <m/>
    <x v="10"/>
    <s v="Segundo Orden"/>
    <s v="Vías secundarias mejoradas"/>
    <s v="Puntos criticos identificados y priorizados en diagnostico realizado en febrero de 2025."/>
    <m/>
    <m/>
    <m/>
    <n v="6"/>
    <n v="15768761995.465"/>
    <n v="6120714378.3199997"/>
    <n v="9648047617.1450005"/>
    <n v="0"/>
    <n v="1826140917"/>
    <n v="1826140917"/>
    <n v="0.11580750077432755"/>
    <n v="13942621078.465"/>
    <n v="11154096862.772001"/>
    <n v="8365572647.0789995"/>
    <n v="0"/>
    <n v="0.59742617293949363"/>
    <n v="0.8"/>
    <x v="0"/>
    <n v="1673114529.4158001"/>
    <n v="7657125639.4948006"/>
  </r>
  <r>
    <n v="335"/>
    <x v="315"/>
    <d v="2025-03-31T00:00:00"/>
    <x v="95"/>
    <x v="3"/>
    <n v="-75.984452000000005"/>
    <s v="6,115208"/>
    <n v="0"/>
    <n v="0"/>
    <s v=""/>
    <x v="0"/>
    <m/>
    <x v="10"/>
    <s v="Segundo Orden"/>
    <s v="Vías secundarias mejoradas"/>
    <s v="Puntos criticos identificados y priorizados en diagnostico realizado en febrero de 2025."/>
    <m/>
    <m/>
    <m/>
    <n v="6"/>
    <n v="12058979368.9545"/>
    <n v="3567680920.52"/>
    <n v="8491298448.4344997"/>
    <n v="914830553"/>
    <n v="0"/>
    <n v="914830553"/>
    <n v="7.586301667910679E-2"/>
    <n v="11144148815.9545"/>
    <n v="8915319052.7636013"/>
    <n v="6686489289.5726995"/>
    <n v="1"/>
    <n v="0.60206976758564179"/>
    <n v="0.8"/>
    <x v="0"/>
    <n v="1337297857.9145401"/>
    <n v="7897388974.4872398"/>
  </r>
  <r>
    <n v="336"/>
    <x v="316"/>
    <d v="2025-03-31T00:00:00"/>
    <x v="10"/>
    <x v="3"/>
    <n v="-75.822956000000005"/>
    <n v="5.8645420000000001"/>
    <n v="0"/>
    <n v="0"/>
    <s v=""/>
    <x v="0"/>
    <m/>
    <x v="10"/>
    <s v="Segundo Orden"/>
    <s v="Vías secundarias mejoradas"/>
    <s v="Puntos criticos identificados y priorizados en diagnostico realizado en febrero de 2025."/>
    <m/>
    <m/>
    <m/>
    <n v="6"/>
    <n v="9297204605.9125004"/>
    <n v="4650900904.1300001"/>
    <n v="4646303701.7825003"/>
    <n v="1308996768"/>
    <n v="0"/>
    <n v="1308996768"/>
    <n v="0.14079466070560084"/>
    <n v="7988207837.9125004"/>
    <n v="6390566270.3300009"/>
    <n v="4792924702.7475004"/>
    <n v="1"/>
    <n v="0.67267671220391811"/>
    <n v="0.8"/>
    <x v="0"/>
    <n v="958584940.54950011"/>
    <n v="-1217788521.7029991"/>
  </r>
  <r>
    <n v="337"/>
    <x v="317"/>
    <d v="2025-03-31T00:00:00"/>
    <x v="63"/>
    <x v="3"/>
    <n v="-76.133950999999996"/>
    <n v="6.3173430000000002"/>
    <n v="0"/>
    <n v="1"/>
    <s v=""/>
    <x v="0"/>
    <m/>
    <x v="10"/>
    <s v="Segundo Orden"/>
    <s v="Vías secundarias mejoradas"/>
    <s v="Puntos criticos identificados y priorizados en diagnostico realizado en febrero de 2025."/>
    <m/>
    <m/>
    <m/>
    <n v="6"/>
    <n v="16589184003.816"/>
    <n v="7984390195.2300005"/>
    <n v="8604793808.5859985"/>
    <n v="1709535383"/>
    <n v="1454838487"/>
    <n v="3164373870"/>
    <n v="0.19074921763916181"/>
    <n v="13424810133.816"/>
    <n v="10739848107.052801"/>
    <n v="8054886080.2895994"/>
    <n v="0.5402444379936685"/>
    <n v="0.52370394920362784"/>
    <n v="0.8"/>
    <x v="0"/>
    <n v="1610977216.05792"/>
    <n v="-5739555739.6524811"/>
  </r>
  <r>
    <n v="338"/>
    <x v="318"/>
    <d v="2025-03-31T00:00:00"/>
    <x v="63"/>
    <x v="3"/>
    <n v="-76.133950999999996"/>
    <n v="6.3173430000000002"/>
    <n v="0"/>
    <n v="1"/>
    <s v=""/>
    <x v="0"/>
    <m/>
    <x v="10"/>
    <s v="Segundo Orden"/>
    <s v="Vías secundarias mejoradas"/>
    <s v="Puntos criticos identificados y priorizados en diagnostico realizado en febrero de 2025."/>
    <m/>
    <m/>
    <m/>
    <n v="6"/>
    <n v="16589184003.816"/>
    <n v="7984390195.2300005"/>
    <n v="8604793808.5859985"/>
    <n v="1709535383"/>
    <n v="1454838487"/>
    <n v="3164373870"/>
    <n v="0.19074921763916181"/>
    <n v="13424810133.816"/>
    <n v="10739848107.052801"/>
    <n v="8054886080.2895994"/>
    <n v="0.5402444379936685"/>
    <n v="0.52370394920362784"/>
    <n v="0.8"/>
    <x v="0"/>
    <n v="1610977216.05792"/>
    <n v="-5739555739.6524811"/>
  </r>
  <r>
    <n v="339"/>
    <x v="319"/>
    <d v="2025-03-31T00:00:00"/>
    <x v="63"/>
    <x v="3"/>
    <n v="-76.133950999999996"/>
    <n v="6.3173430000000002"/>
    <n v="0"/>
    <n v="1"/>
    <s v=""/>
    <x v="1"/>
    <n v="6365000000"/>
    <x v="16"/>
    <s v="Tercer Orden"/>
    <s v="Vías terciarias mejoradas"/>
    <s v="Puente prioritario el 80% de los habitantes de la zona selvatica de Urrao lo utilizan y en este momento tiene  un puente completamente inseguro.Priorizado el 04/04/2025"/>
    <n v="1"/>
    <s v="SGR Regionales 60%"/>
    <s v="Puentes y PAP 2025-1"/>
    <n v="6"/>
    <n v="16589184003.816"/>
    <n v="7984390195.2300005"/>
    <n v="8604793808.5859985"/>
    <n v="1709535383"/>
    <n v="1454838487"/>
    <n v="3164373870"/>
    <n v="0.19074921763916181"/>
    <n v="13424810133.816"/>
    <n v="10739848107.052801"/>
    <n v="8054886080.2895994"/>
    <n v="0.5402444379936685"/>
    <n v="0.52370394920362784"/>
    <n v="0.8"/>
    <x v="0"/>
    <n v="1610977216.05792"/>
    <n v="-5739555739.6524811"/>
  </r>
  <r>
    <n v="340"/>
    <x v="320"/>
    <d v="2025-03-31T00:00:00"/>
    <x v="80"/>
    <x v="7"/>
    <n v="-75.726974999999996"/>
    <s v="6,44809"/>
    <n v="0"/>
    <n v="0"/>
    <s v=""/>
    <x v="1"/>
    <n v="6749977865"/>
    <x v="16"/>
    <s v="Tercer Orden"/>
    <s v="Vías terciarias mejoradas"/>
    <s v="Puente prioritario conecta dos vías de intreres para el Departamento así mismo es el principal punto de conexión con la zona rural."/>
    <m/>
    <m/>
    <m/>
    <n v="6"/>
    <n v="21865753958.964001"/>
    <n v="8371779870.6599998"/>
    <n v="13493974088.304001"/>
    <n v="851002641"/>
    <n v="4636492005"/>
    <n v="5487494646"/>
    <n v="0.25096297416949431"/>
    <n v="16378259312.964001"/>
    <n v="13102607450.371201"/>
    <n v="9826955587.7784004"/>
    <n v="0.15508035923466848"/>
    <n v="0.43479333121090752"/>
    <n v="0.8"/>
    <x v="0"/>
    <n v="1965391117.5556803"/>
    <n v="3742368840.3340797"/>
  </r>
  <r>
    <n v="341"/>
    <x v="321"/>
    <d v="2025-03-31T00:00:00"/>
    <x v="14"/>
    <x v="5"/>
    <n v="-76.528570000000002"/>
    <s v="8,758964"/>
    <n v="0"/>
    <n v="0"/>
    <s v=""/>
    <x v="1"/>
    <n v="4787694559"/>
    <x v="16"/>
    <s v="Tercer Orden"/>
    <s v="Vías terciarias mejoradas"/>
    <s v="Priorizado el 04/04/2025"/>
    <n v="1"/>
    <s v="SGR Regionales 60%"/>
    <s v="Puentes y PAP 2025-1"/>
    <n v="6"/>
    <n v="21558400486.167"/>
    <n v="4028552935.2600002"/>
    <n v="17529847550.906998"/>
    <n v="573337825"/>
    <n v="3454671378"/>
    <n v="4028009203"/>
    <n v="0.18684174670493675"/>
    <n v="17530391283.167"/>
    <n v="14024313026.5336"/>
    <n v="10518234769.9002"/>
    <n v="0.14233776441548016"/>
    <n v="0.45202185420266422"/>
    <n v="0.8"/>
    <x v="0"/>
    <n v="2103646953.9800401"/>
    <n v="5694222504.8802395"/>
  </r>
  <r>
    <n v="342"/>
    <x v="322"/>
    <d v="2025-03-31T00:00:00"/>
    <x v="108"/>
    <x v="0"/>
    <n v="-74.840058999999997"/>
    <n v="6.6765540000000003"/>
    <n v="0"/>
    <n v="1"/>
    <s v=""/>
    <x v="3"/>
    <n v="2673121142"/>
    <x v="16"/>
    <s v="Tercer Orden"/>
    <s v="Vías terciarias mejoradas"/>
    <s v="Priorizado el  14/05/2025"/>
    <n v="1"/>
    <s v="SGR Regionales 60%"/>
    <s v="Puentes y PAP 2025-1"/>
    <n v="6"/>
    <n v="8242883516.8785"/>
    <n v="3016955550.77"/>
    <n v="5225927966.1084995"/>
    <n v="1780602025"/>
    <n v="0"/>
    <n v="1780602025"/>
    <n v="0.2160168855175448"/>
    <n v="6462281491.8785"/>
    <n v="5169825193.5028"/>
    <n v="3877368895.1271"/>
    <n v="1"/>
    <n v="0.64988265281416979"/>
    <n v="0.8"/>
    <x v="0"/>
    <n v="775473779.02542007"/>
    <n v="1979721532.1525202"/>
  </r>
  <r>
    <n v="343"/>
    <x v="323"/>
    <d v="2025-03-31T00:00:00"/>
    <x v="108"/>
    <x v="0"/>
    <n v="-74.840058999999997"/>
    <n v="6.6765540000000003"/>
    <n v="0"/>
    <n v="1"/>
    <s v=""/>
    <x v="3"/>
    <m/>
    <x v="13"/>
    <s v="Tercer Orden"/>
    <s v="Vías terciarias mejoradas"/>
    <m/>
    <n v="1"/>
    <s v="SGR Regionales 60%"/>
    <s v="Puentes y PAP 2025-1"/>
    <n v="6"/>
    <n v="8242883516.8785"/>
    <n v="3016955550.77"/>
    <n v="5225927966.1084995"/>
    <n v="1780602025"/>
    <n v="0"/>
    <n v="1780602025"/>
    <n v="0.2160168855175448"/>
    <n v="6462281491.8785"/>
    <n v="5169825193.5028"/>
    <n v="3877368895.1271"/>
    <n v="1"/>
    <n v="0.64988265281416979"/>
    <n v="0.8"/>
    <x v="0"/>
    <n v="775473779.02542007"/>
    <n v="1979721532.1525202"/>
  </r>
  <r>
    <n v="344"/>
    <x v="324"/>
    <d v="2025-03-31T00:00:00"/>
    <x v="42"/>
    <x v="5"/>
    <n v="-76.787271000000004"/>
    <s v="8,434526"/>
    <n v="1"/>
    <n v="1"/>
    <s v=""/>
    <x v="0"/>
    <m/>
    <x v="16"/>
    <s v="Segundo Orden"/>
    <s v="Vías secundarias mejoradas"/>
    <m/>
    <m/>
    <m/>
    <m/>
    <n v="6"/>
    <n v="30137297790.127998"/>
    <n v="12298726691.530001"/>
    <n v="17838571098.598"/>
    <n v="2369107602"/>
    <n v="13974896585"/>
    <n v="16344004187"/>
    <n v="0.54231817002364979"/>
    <n v="13793293603.127998"/>
    <n v="11034634882.502399"/>
    <n v="8275976161.8767986"/>
    <n v="0.1449527040554961"/>
    <n v="0.58055985759165929"/>
    <n v="0.8"/>
    <x v="0"/>
    <n v="1655195232.3753598"/>
    <n v="-27536564888.747841"/>
  </r>
  <r>
    <n v="345"/>
    <x v="325"/>
    <d v="2025-03-31T00:00:00"/>
    <x v="89"/>
    <x v="2"/>
    <n v="-75.028490000000005"/>
    <s v="6,293759"/>
    <n v="0"/>
    <n v="1"/>
    <s v=""/>
    <x v="0"/>
    <m/>
    <x v="16"/>
    <s v="Segundo Orden"/>
    <s v="Vías secundarias mejoradas"/>
    <s v="No reporta informacion en diagnostico 2025"/>
    <m/>
    <m/>
    <m/>
    <n v="6"/>
    <n v="17565923370.843998"/>
    <n v="4463335582.5100002"/>
    <n v="13102587788.333998"/>
    <n v="2561424191"/>
    <n v="0"/>
    <n v="2561424191"/>
    <n v="0.14581779374328047"/>
    <n v="15004499179.843998"/>
    <n v="12003599343.875198"/>
    <n v="9002699507.9063988"/>
    <n v="1"/>
    <n v="0.64471709259563048"/>
    <n v="0.8"/>
    <x v="0"/>
    <n v="1800539901.5812798"/>
    <n v="3805966446.4876785"/>
  </r>
  <r>
    <n v="346"/>
    <x v="326"/>
    <d v="2025-03-31T00:00:00"/>
    <x v="89"/>
    <x v="2"/>
    <n v="-75.028490000000005"/>
    <s v="6,293759"/>
    <n v="0"/>
    <n v="1"/>
    <s v=""/>
    <x v="0"/>
    <m/>
    <x v="16"/>
    <s v="Segundo Orden"/>
    <s v="Vías secundarias mejoradas"/>
    <s v="No reporta informacion en diagnostico 2025"/>
    <m/>
    <m/>
    <m/>
    <n v="6"/>
    <n v="17565923370.843998"/>
    <n v="4463335582.5100002"/>
    <n v="13102587788.333998"/>
    <n v="2561424191"/>
    <n v="0"/>
    <n v="2561424191"/>
    <n v="0.14581779374328047"/>
    <n v="15004499179.843998"/>
    <n v="12003599343.875198"/>
    <n v="9002699507.9063988"/>
    <n v="1"/>
    <n v="0.64471709259563048"/>
    <n v="0.8"/>
    <x v="0"/>
    <n v="1800539901.5812798"/>
    <n v="3805966446.4876785"/>
  </r>
  <r>
    <n v="347"/>
    <x v="327"/>
    <d v="2025-03-31T00:00:00"/>
    <x v="89"/>
    <x v="2"/>
    <n v="-75.028490000000005"/>
    <s v="6,293759"/>
    <n v="0"/>
    <n v="1"/>
    <s v=""/>
    <x v="0"/>
    <m/>
    <x v="16"/>
    <s v="Segundo Orden"/>
    <s v="Vías secundarias mejoradas"/>
    <s v="No reporta informacion en diagnostico 2025"/>
    <m/>
    <m/>
    <m/>
    <n v="6"/>
    <n v="17565923370.843998"/>
    <n v="4463335582.5100002"/>
    <n v="13102587788.333998"/>
    <n v="2561424191"/>
    <n v="0"/>
    <n v="2561424191"/>
    <n v="0.14581779374328047"/>
    <n v="15004499179.843998"/>
    <n v="12003599343.875198"/>
    <n v="9002699507.9063988"/>
    <n v="1"/>
    <n v="0.64471709259563048"/>
    <n v="0.8"/>
    <x v="0"/>
    <n v="1800539901.5812798"/>
    <n v="3805966446.4876785"/>
  </r>
  <r>
    <n v="348"/>
    <x v="328"/>
    <d v="2025-03-31T00:00:00"/>
    <x v="89"/>
    <x v="2"/>
    <n v="-75.028490000000005"/>
    <s v="6,293759"/>
    <n v="0"/>
    <n v="1"/>
    <s v=""/>
    <x v="0"/>
    <m/>
    <x v="13"/>
    <s v="Segundo Orden"/>
    <s v="Vías secundarias mejoradas"/>
    <s v="No reporta informacion en diagnostico 2025"/>
    <m/>
    <m/>
    <m/>
    <n v="6"/>
    <n v="17565923370.843998"/>
    <n v="4463335582.5100002"/>
    <n v="13102587788.333998"/>
    <n v="2561424191"/>
    <n v="0"/>
    <n v="2561424191"/>
    <n v="0.14581779374328047"/>
    <n v="15004499179.843998"/>
    <n v="12003599343.875198"/>
    <n v="9002699507.9063988"/>
    <n v="1"/>
    <n v="0.64471709259563048"/>
    <n v="0.8"/>
    <x v="0"/>
    <n v="1800539901.5812798"/>
    <n v="3805966446.4876785"/>
  </r>
  <r>
    <n v="349"/>
    <x v="329"/>
    <d v="2025-03-31T00:00:00"/>
    <x v="71"/>
    <x v="7"/>
    <n v="-76.130764999999997"/>
    <s v="6,776066"/>
    <n v="0"/>
    <n v="1"/>
    <s v=""/>
    <x v="0"/>
    <m/>
    <x v="16"/>
    <s v="Tercer Orden"/>
    <s v="Vías terciarias mejoradas"/>
    <s v="Prirorizado 29/04/2025"/>
    <m/>
    <m/>
    <m/>
    <n v="6"/>
    <n v="15502017167.017002"/>
    <n v="4560047682.8000002"/>
    <n v="10941969484.217003"/>
    <n v="1591148139"/>
    <n v="1671853559"/>
    <n v="3263001698"/>
    <n v="0.2104888456027873"/>
    <n v="12239015469.017002"/>
    <n v="9791212375.2136021"/>
    <n v="7343409281.4102011"/>
    <n v="0.4876332549796914"/>
    <n v="0.42560105953702715"/>
    <n v="0.8"/>
    <x v="0"/>
    <n v="1468681856.2820404"/>
    <n v="-10121554576.307758"/>
  </r>
  <r>
    <n v="350"/>
    <x v="330"/>
    <d v="2025-03-31T00:00:00"/>
    <x v="71"/>
    <x v="7"/>
    <n v="-76.130764999999997"/>
    <s v="6,776066"/>
    <n v="0"/>
    <n v="1"/>
    <s v=""/>
    <x v="0"/>
    <m/>
    <x v="16"/>
    <s v="Tercer Orden"/>
    <s v="Vías terciarias mejoradas"/>
    <s v="Prirorizado 29/04/2025"/>
    <m/>
    <m/>
    <m/>
    <n v="6"/>
    <n v="15502017167.017002"/>
    <n v="4560047682.8000002"/>
    <n v="10941969484.217003"/>
    <n v="1591148139"/>
    <n v="1671853559"/>
    <n v="3263001698"/>
    <n v="0.2104888456027873"/>
    <n v="12239015469.017002"/>
    <n v="9791212375.2136021"/>
    <n v="7343409281.4102011"/>
    <n v="0.4876332549796914"/>
    <n v="0.42560105953702715"/>
    <n v="0.8"/>
    <x v="0"/>
    <n v="1468681856.2820404"/>
    <n v="-10121554576.307758"/>
  </r>
  <r>
    <n v="351"/>
    <x v="331"/>
    <d v="2025-03-31T00:00:00"/>
    <x v="71"/>
    <x v="7"/>
    <n v="-76.130764999999997"/>
    <s v="6,776066"/>
    <n v="0"/>
    <n v="1"/>
    <s v=""/>
    <x v="0"/>
    <m/>
    <x v="16"/>
    <s v="Tercer Orden"/>
    <s v="Vías terciarias mejoradas"/>
    <s v="Prirorizado 29/04/2025"/>
    <m/>
    <m/>
    <m/>
    <n v="6"/>
    <n v="15502017167.017002"/>
    <n v="4560047682.8000002"/>
    <n v="10941969484.217003"/>
    <n v="1591148139"/>
    <n v="1671853559"/>
    <n v="3263001698"/>
    <n v="0.2104888456027873"/>
    <n v="12239015469.017002"/>
    <n v="9791212375.2136021"/>
    <n v="7343409281.4102011"/>
    <n v="0.4876332549796914"/>
    <n v="0.42560105953702715"/>
    <n v="0.8"/>
    <x v="0"/>
    <n v="1468681856.2820404"/>
    <n v="-10121554576.307758"/>
  </r>
  <r>
    <n v="352"/>
    <x v="332"/>
    <d v="2025-02-26T00:00:00"/>
    <x v="86"/>
    <x v="4"/>
    <n v="-75.667778999999996"/>
    <s v="6,606319"/>
    <n v="0"/>
    <n v="0"/>
    <s v="2025010091549"/>
    <x v="0"/>
    <n v="460000000"/>
    <x v="10"/>
    <s v="Tercer Orden"/>
    <s v="Vías terciarias mejoradas"/>
    <m/>
    <m/>
    <m/>
    <m/>
    <n v="6"/>
    <n v="10160021082.964001"/>
    <n v="3265249234.6399999"/>
    <n v="6894771848.3240013"/>
    <n v="3316718973.96"/>
    <n v="0"/>
    <n v="3316718973.96"/>
    <n v="0.32644804049879078"/>
    <n v="6843302109.0040007"/>
    <n v="5474641687.2032013"/>
    <n v="4105981265.4024"/>
    <n v="1"/>
    <n v="0.59534208417675272"/>
    <n v="0.8"/>
    <x v="0"/>
    <n v="821196253.0804801"/>
    <n v="-1916076050.5171204"/>
  </r>
  <r>
    <n v="353"/>
    <x v="333"/>
    <d v="2025-03-03T00:00:00"/>
    <x v="109"/>
    <x v="1"/>
    <n v="-75.633673000000002"/>
    <s v="6,091077"/>
    <n v="0"/>
    <n v="0"/>
    <s v="2025010098088"/>
    <x v="0"/>
    <m/>
    <x v="4"/>
    <s v="Tercer Orden"/>
    <s v="Vías terciarias mejoradas"/>
    <s v="Solicitud presentada por JAC"/>
    <m/>
    <m/>
    <m/>
    <n v="3"/>
    <n v="60283861588.903008"/>
    <n v="20841388380.529999"/>
    <n v="39442473208.373009"/>
    <n v="0"/>
    <n v="16534829375"/>
    <n v="16534829375"/>
    <n v="0.27428285015576565"/>
    <n v="43749032213.903008"/>
    <n v="34999225771.122406"/>
    <n v="26249419328.341805"/>
    <n v="0"/>
    <n v="0.44205372732348919"/>
    <n v="0.7"/>
    <x v="0"/>
    <n v="5249883865.6683617"/>
    <n v="31499303194.010166"/>
  </r>
  <r>
    <n v="354"/>
    <x v="334"/>
    <d v="2025-03-31T00:00:00"/>
    <x v="81"/>
    <x v="2"/>
    <n v="-75.184445999999994"/>
    <s v="6,142892"/>
    <n v="0"/>
    <n v="1"/>
    <s v=""/>
    <x v="1"/>
    <n v="300324960"/>
    <x v="13"/>
    <s v="Tercer Orden"/>
    <s v="Vías terciarias mejoradas"/>
    <s v="FASE 3  se atendera por programa de puentes y PAP. Priorizado el 04/04/2025"/>
    <n v="1"/>
    <s v="SGR Regionales 60%"/>
    <s v="Puentes y PAP 2025-1"/>
    <n v="6"/>
    <n v="9100976268.0305004"/>
    <n v="3221460794.1700001"/>
    <n v="5879515473.8605003"/>
    <n v="1026722956"/>
    <n v="190000000"/>
    <n v="1216722956"/>
    <n v="0.13369147662477152"/>
    <n v="7884253312.0305004"/>
    <n v="6307402649.6244011"/>
    <n v="4730551987.2182999"/>
    <n v="0.84384284108140062"/>
    <n v="0.65864601932480682"/>
    <n v="0.8"/>
    <x v="0"/>
    <n v="946110397.44366002"/>
    <n v="-23609701698.338039"/>
  </r>
  <r>
    <n v="355"/>
    <x v="335"/>
    <d v="2025-03-31T00:00:00"/>
    <x v="87"/>
    <x v="3"/>
    <n v="-75.711388999999997"/>
    <s v="6,109719"/>
    <n v="0"/>
    <n v="0"/>
    <s v=""/>
    <x v="3"/>
    <m/>
    <x v="16"/>
    <s v="Tercer Orden"/>
    <s v="Vías terciarias mejoradas"/>
    <s v="Estudios y diseños incompletos"/>
    <m/>
    <m/>
    <m/>
    <n v="5"/>
    <n v="7630980393.4579992"/>
    <n v="2836641555.8400002"/>
    <n v="4794338837.6179991"/>
    <n v="46770446.019999996"/>
    <n v="1700000000"/>
    <n v="1746770446.02"/>
    <n v="0.22890511519561726"/>
    <n v="5884209947.4379997"/>
    <n v="4707367957.9504004"/>
    <n v="3530525968.4627995"/>
    <n v="2.6775382035210189E-2"/>
    <n v="0.7580768893854527"/>
    <n v="0.8"/>
    <x v="2"/>
    <n v="706105193.69255996"/>
    <n v="-8074382003.8446407"/>
  </r>
  <r>
    <n v="356"/>
    <x v="336"/>
    <d v="2025-03-31T00:00:00"/>
    <x v="48"/>
    <x v="7"/>
    <n v="-75.854442000000006"/>
    <s v="6,302641"/>
    <n v="0"/>
    <n v="0"/>
    <s v=""/>
    <x v="3"/>
    <n v="655963259"/>
    <x v="16"/>
    <s v="Tercer Orden"/>
    <s v="Vías terciarias mejoradas"/>
    <s v="Estudios y diseños incompletos. Va por programa de puentes y PAP. Priorizado el 04/04/2025"/>
    <n v="1"/>
    <s v="SGR Regionales 60%"/>
    <s v="Puentes y PAP 2025-1"/>
    <n v="6"/>
    <n v="7049911897.9460001"/>
    <n v="2502449802.4500003"/>
    <n v="4547462095.4960003"/>
    <n v="1083993787"/>
    <n v="0"/>
    <n v="1083993787"/>
    <n v="0.15375990546999926"/>
    <n v="5965918110.9460001"/>
    <n v="4772734488.7568007"/>
    <n v="3579550866.5675998"/>
    <n v="1"/>
    <n v="0.68972189795110483"/>
    <n v="0.8"/>
    <x v="0"/>
    <n v="715910173.31351995"/>
    <n v="-2869466523.1188803"/>
  </r>
  <r>
    <n v="357"/>
    <x v="337"/>
    <d v="2025-03-31T00:00:00"/>
    <x v="56"/>
    <x v="5"/>
    <n v="-76.426708000000005"/>
    <s v="8,849317"/>
    <n v="0"/>
    <n v="0"/>
    <s v="2025010265694"/>
    <x v="1"/>
    <n v="5439190174"/>
    <x v="16"/>
    <s v="Tercer Orden"/>
    <s v="Vías terciarias mejoradas"/>
    <s v="El proyecto radicado incluye varios puentes y boxculvert"/>
    <n v="1"/>
    <s v="SGR Regionales 60%"/>
    <s v="Puentes y PAP 2025-1"/>
    <n v="6"/>
    <n v="19782037469.424"/>
    <n v="6224691780.3400002"/>
    <n v="13557345689.084"/>
    <n v="5530076291"/>
    <n v="135075758"/>
    <n v="5665152049"/>
    <n v="0.28637859258715448"/>
    <n v="14116885420.424"/>
    <n v="11293508336.339201"/>
    <n v="8470131252.2543993"/>
    <n v="0.97615672856938707"/>
    <n v="0.63121490876418529"/>
    <n v="0.8"/>
    <x v="0"/>
    <n v="1694026250.4508801"/>
    <n v="-26539735251.29472"/>
  </r>
  <r>
    <n v="358"/>
    <x v="338"/>
    <d v="2025-03-31T00:00:00"/>
    <x v="56"/>
    <x v="5"/>
    <n v="-76.426708000000005"/>
    <s v="8,849317"/>
    <n v="0"/>
    <n v="0"/>
    <n v="2024010401561"/>
    <x v="3"/>
    <m/>
    <x v="10"/>
    <s v="Tercer Orden"/>
    <s v="Vías terciarias mejoradas"/>
    <s v="Estudios y diseños incompletos. Se trata de obras de proteccion en orillas de dos puentes"/>
    <m/>
    <m/>
    <m/>
    <n v="6"/>
    <n v="19782037469.424"/>
    <n v="6224691780.3400002"/>
    <n v="13557345689.084"/>
    <n v="5530076291"/>
    <n v="135075758"/>
    <n v="5665152049"/>
    <n v="0.28637859258715448"/>
    <n v="14116885420.424"/>
    <n v="11293508336.339201"/>
    <n v="8470131252.2543993"/>
    <n v="0.97615672856938707"/>
    <n v="0.63121490876418529"/>
    <n v="0.8"/>
    <x v="0"/>
    <n v="1694026250.4508801"/>
    <n v="-26539735251.29472"/>
  </r>
  <r>
    <n v="359"/>
    <x v="339"/>
    <d v="2025-03-31T00:00:00"/>
    <x v="32"/>
    <x v="3"/>
    <n v="-75.976789999999994"/>
    <s v="5,74615"/>
    <n v="0"/>
    <n v="0"/>
    <s v="2025010247574"/>
    <x v="3"/>
    <n v="203839099"/>
    <x v="16"/>
    <s v="Tercer Orden"/>
    <s v="Vías terciarias mejoradas"/>
    <s v="Estudios y diseños incompletos Priorizado el 14/05/2025"/>
    <n v="1"/>
    <s v="SGR Regionales 60%"/>
    <s v="Puentes y PAP 2025-1"/>
    <n v="6"/>
    <n v="9197355968.8835011"/>
    <n v="3350398615.7000003"/>
    <n v="5846957353.1835003"/>
    <n v="958841544"/>
    <n v="680000000"/>
    <n v="1638841544"/>
    <n v="0.17818616019044273"/>
    <n v="7558514424.8835011"/>
    <n v="6046811539.9068012"/>
    <n v="4535108654.9301004"/>
    <n v="0.58507275917579493"/>
    <n v="0.53687312631507866"/>
    <n v="0.8"/>
    <x v="0"/>
    <n v="907021730.98602009"/>
    <n v="-2964573994.0838795"/>
  </r>
  <r>
    <n v="360"/>
    <x v="340"/>
    <d v="2025-03-31T00:00:00"/>
    <x v="35"/>
    <x v="4"/>
    <n v="-75.550359999999998"/>
    <s v="7,112803"/>
    <n v="1"/>
    <n v="1"/>
    <s v=""/>
    <x v="3"/>
    <n v="304815168"/>
    <x v="16"/>
    <s v="Tercer Orden"/>
    <s v="Vías terciarias mejoradas"/>
    <s v="Estudios y diseños incompletos. Visitado pendiente por priorizacion"/>
    <m/>
    <m/>
    <m/>
    <n v="6"/>
    <n v="15936675551.976999"/>
    <n v="6355203503.6700001"/>
    <n v="9581472048.3069992"/>
    <n v="166905356.59"/>
    <n v="5064590198"/>
    <n v="5231495554.5900002"/>
    <n v="0.32826768277534613"/>
    <n v="10705179997.386999"/>
    <n v="8564143997.9095993"/>
    <n v="6423107998.4321995"/>
    <n v="3.1903946939907245E-2"/>
    <n v="0.65192157878949775"/>
    <n v="0.8"/>
    <x v="0"/>
    <n v="1284621599.68644"/>
    <n v="-845089345.88136101"/>
  </r>
  <r>
    <n v="361"/>
    <x v="341"/>
    <d v="2025-03-31T00:00:00"/>
    <x v="35"/>
    <x v="4"/>
    <n v="-75.550359999999998"/>
    <s v="7,112803"/>
    <n v="1"/>
    <n v="1"/>
    <s v=""/>
    <x v="3"/>
    <n v="1697006832"/>
    <x v="16"/>
    <s v="Tercer Orden"/>
    <s v="Vías terciarias mejoradas"/>
    <s v="Estudios y diseños incompletos"/>
    <m/>
    <m/>
    <m/>
    <n v="6"/>
    <n v="15936675551.976999"/>
    <n v="6355203503.6700001"/>
    <n v="9581472048.3069992"/>
    <n v="166905356.59"/>
    <n v="5064590198"/>
    <n v="5231495554.5900002"/>
    <n v="0.32826768277534613"/>
    <n v="10705179997.386999"/>
    <n v="8564143997.9095993"/>
    <n v="6423107998.4321995"/>
    <n v="3.1903946939907245E-2"/>
    <n v="0.65192157878949775"/>
    <n v="0.8"/>
    <x v="0"/>
    <n v="1284621599.68644"/>
    <n v="-845089345.88136101"/>
  </r>
  <r>
    <n v="362"/>
    <x v="342"/>
    <d v="2025-03-31T00:00:00"/>
    <x v="49"/>
    <x v="6"/>
    <n v="-74.799097000000003"/>
    <s v="7,5975"/>
    <n v="1"/>
    <n v="1"/>
    <s v=""/>
    <x v="0"/>
    <m/>
    <x v="16"/>
    <s v="Tercer Orden"/>
    <s v="Vías terciarias mejoradas"/>
    <s v="Estudios y diseños incompletos"/>
    <m/>
    <m/>
    <m/>
    <n v="6"/>
    <n v="50634494381.026505"/>
    <n v="15839182742.690001"/>
    <n v="34795311638.336502"/>
    <n v="67652077"/>
    <n v="17477834894.650002"/>
    <n v="17545486971.650002"/>
    <n v="0.34651253431345719"/>
    <n v="33089007409.376503"/>
    <n v="26471205927.501205"/>
    <n v="19853404445.6259"/>
    <n v="3.8558107340829141E-3"/>
    <n v="0.40594992695874271"/>
    <n v="0.8"/>
    <x v="0"/>
    <n v="3970680889.1251802"/>
    <n v="-9892273308.2489204"/>
  </r>
  <r>
    <n v="363"/>
    <x v="343"/>
    <d v="2025-03-31T00:00:00"/>
    <x v="66"/>
    <x v="2"/>
    <n v="-75.242693000000003"/>
    <s v="6,219349"/>
    <n v="0"/>
    <n v="0"/>
    <s v=""/>
    <x v="3"/>
    <m/>
    <x v="16"/>
    <s v="Tercer Orden"/>
    <s v="Vías terciarias mejoradas"/>
    <s v="Estudios y diseños incompletos"/>
    <m/>
    <m/>
    <m/>
    <n v="6"/>
    <n v="28258567441.100002"/>
    <n v="6469994311.25"/>
    <n v="21788573129.850002"/>
    <n v="1548230438"/>
    <n v="3356151670"/>
    <n v="4904382108"/>
    <n v="0.17355381224551877"/>
    <n v="23354185333.100002"/>
    <n v="18683348266.480003"/>
    <n v="14012511199.860001"/>
    <n v="0.31568307768567533"/>
    <n v="0.29902452385532635"/>
    <n v="0.8"/>
    <x v="0"/>
    <n v="2802502239.9720001"/>
    <n v="6184360283.8320007"/>
  </r>
  <r>
    <n v="364"/>
    <x v="344"/>
    <d v="2025-03-31T00:00:00"/>
    <x v="66"/>
    <x v="2"/>
    <n v="-75.242693000000003"/>
    <s v="6,219349"/>
    <n v="0"/>
    <n v="0"/>
    <s v=""/>
    <x v="3"/>
    <m/>
    <x v="16"/>
    <s v="Tercer Orden"/>
    <s v="Vías terciarias mejoradas"/>
    <s v="Estudios y diseños incompletos"/>
    <m/>
    <m/>
    <m/>
    <n v="6"/>
    <n v="28258567441.100002"/>
    <n v="6469994311.25"/>
    <n v="21788573129.850002"/>
    <n v="1548230438"/>
    <n v="3356151670"/>
    <n v="4904382108"/>
    <n v="0.17355381224551877"/>
    <n v="23354185333.100002"/>
    <n v="18683348266.480003"/>
    <n v="14012511199.860001"/>
    <n v="0.31568307768567533"/>
    <n v="0.29902452385532635"/>
    <n v="0.8"/>
    <x v="0"/>
    <n v="2802502239.9720001"/>
    <n v="6184360283.8320007"/>
  </r>
  <r>
    <n v="365"/>
    <x v="345"/>
    <d v="2025-03-31T00:00:00"/>
    <x v="42"/>
    <x v="5"/>
    <n v="-76.787271000000004"/>
    <s v="8,434526"/>
    <n v="1"/>
    <n v="1"/>
    <s v=""/>
    <x v="1"/>
    <n v="5999420580"/>
    <x v="16"/>
    <s v="Tercer Orden"/>
    <s v="Vías terciarias mejoradas"/>
    <s v="Estudios y diseños incompletos"/>
    <n v="1"/>
    <s v="SGR Regionales 60%"/>
    <s v="Puentes y PAP 2025-1"/>
    <n v="6"/>
    <n v="30137297790.127998"/>
    <n v="12298726691.530001"/>
    <n v="17838571098.598"/>
    <n v="2369107602"/>
    <n v="13974896585"/>
    <n v="16344004187"/>
    <n v="0.54231817002364979"/>
    <n v="13793293603.127998"/>
    <n v="11034634882.502399"/>
    <n v="8275976161.8767986"/>
    <n v="0.1449527040554961"/>
    <n v="0.58055985759165929"/>
    <n v="0.8"/>
    <x v="0"/>
    <n v="1655195232.3753598"/>
    <n v="-27536564888.747841"/>
  </r>
  <r>
    <n v="366"/>
    <x v="346"/>
    <d v="2025-03-31T00:00:00"/>
    <x v="85"/>
    <x v="7"/>
    <n v="-75.910357000000005"/>
    <s v="7,021029"/>
    <n v="0"/>
    <n v="0"/>
    <s v=""/>
    <x v="3"/>
    <m/>
    <x v="16"/>
    <s v="Tercer Orden"/>
    <s v="Vías terciarias mejoradas"/>
    <s v="Tras visita del 25 de marzo se comprueba que el puente ya fue construido."/>
    <m/>
    <m/>
    <m/>
    <n v="6"/>
    <n v="13002660545.618999"/>
    <n v="2851909764.96"/>
    <n v="10150750780.659"/>
    <n v="3580400217"/>
    <n v="0"/>
    <n v="3580400217"/>
    <n v="0.27535904705336234"/>
    <n v="9422260328.6189995"/>
    <n v="7537808262.8951998"/>
    <n v="5653356197.1713991"/>
    <n v="1"/>
    <n v="0.60546314083774588"/>
    <n v="0.8"/>
    <x v="0"/>
    <n v="1130671239.4342799"/>
    <n v="-65295013.394321442"/>
  </r>
  <r>
    <n v="367"/>
    <x v="347"/>
    <d v="2025-03-31T00:00:00"/>
    <x v="21"/>
    <x v="3"/>
    <n v="-75.839903000000007"/>
    <s v="5,79158"/>
    <n v="0"/>
    <n v="0"/>
    <s v=""/>
    <x v="3"/>
    <m/>
    <x v="16"/>
    <s v="Tercer Orden"/>
    <s v="Vías terciarias mejoradas"/>
    <s v="Estudios y diseños incompletos"/>
    <m/>
    <m/>
    <m/>
    <n v="6"/>
    <n v="7408957946.4439993"/>
    <n v="2726179218.2000003"/>
    <n v="4682778728.2439995"/>
    <n v="1117539497"/>
    <n v="0"/>
    <n v="1117539497"/>
    <n v="0.15083625863153588"/>
    <n v="6291418449.4439993"/>
    <n v="5033134759.5551996"/>
    <n v="3774851069.6663995"/>
    <n v="1"/>
    <n v="0.78495373596781126"/>
    <n v="0.8"/>
    <x v="2"/>
    <n v="754970213.93327999"/>
    <n v="-4520144590.4003201"/>
  </r>
  <r>
    <n v="368"/>
    <x v="348"/>
    <d v="2025-03-31T00:00:00"/>
    <x v="13"/>
    <x v="5"/>
    <n v="-76.380566999999999"/>
    <s v="8,276884"/>
    <n v="1"/>
    <n v="1"/>
    <s v=""/>
    <x v="3"/>
    <m/>
    <x v="16"/>
    <s v="Tercer Orden"/>
    <s v="Vías terciarias mejoradas"/>
    <s v="Estudios y diseños incompletos"/>
    <m/>
    <m/>
    <m/>
    <n v="6"/>
    <n v="19508372714.52"/>
    <n v="5389834315.5"/>
    <n v="14118538399.02"/>
    <n v="2594281047"/>
    <n v="1833333333"/>
    <n v="4427614380"/>
    <n v="0.22695969801235882"/>
    <n v="15080758334.52"/>
    <n v="12064606667.616001"/>
    <n v="9048455000.7119999"/>
    <n v="0.58593202215591322"/>
    <n v="0.58851112900500024"/>
    <n v="0.8"/>
    <x v="0"/>
    <n v="1809691000.1424"/>
    <n v="-12151086930.145599"/>
  </r>
  <r>
    <n v="369"/>
    <x v="349"/>
    <d v="2025-03-31T00:00:00"/>
    <x v="22"/>
    <x v="3"/>
    <n v="-75.624452000000005"/>
    <n v="5.6145550000000002"/>
    <n v="0"/>
    <n v="0"/>
    <s v=""/>
    <x v="3"/>
    <m/>
    <x v="16"/>
    <s v="Tercer Orden"/>
    <s v="Vías terciarias mejoradas"/>
    <s v="Estudios y diseños incompletos"/>
    <m/>
    <m/>
    <m/>
    <n v="6"/>
    <n v="6485715716.868001"/>
    <n v="3717110032.7600002"/>
    <n v="2768605684.1080008"/>
    <n v="598561755.20000005"/>
    <n v="823222224"/>
    <n v="1421783979.2"/>
    <n v="0.21921774577665112"/>
    <n v="5063931737.6680012"/>
    <n v="4051145390.1344013"/>
    <n v="3038359042.6008005"/>
    <n v="0.42099345889155032"/>
    <n v="0.68598337343648785"/>
    <n v="0.8"/>
    <x v="0"/>
    <n v="607671808.52016008"/>
    <n v="-1701336321.8790393"/>
  </r>
  <r>
    <n v="370"/>
    <x v="350"/>
    <d v="2025-03-31T00:00:00"/>
    <x v="40"/>
    <x v="5"/>
    <n v="-76.896004000000005"/>
    <n v="6.5881639999999999"/>
    <n v="1"/>
    <n v="1"/>
    <s v=""/>
    <x v="1"/>
    <n v="1235112566"/>
    <x v="13"/>
    <s v="Tercer Orden"/>
    <s v="Vías terciarias mejoradas"/>
    <s v="Estudios y diseños incompletos. Priorizado el 04/04/2025"/>
    <n v="1"/>
    <s v="SGR Regionales 60%"/>
    <s v="Puentes y PAP 2025-1"/>
    <n v="6"/>
    <n v="18943215673.273502"/>
    <n v="6022595389.6999998"/>
    <n v="12920620283.573502"/>
    <n v="4570267145"/>
    <n v="0"/>
    <n v="4570267145"/>
    <n v="0.24126142170508424"/>
    <n v="14372948528.273502"/>
    <n v="11498358822.618803"/>
    <n v="8623769116.9641018"/>
    <n v="1"/>
    <n v="0.63532752805182191"/>
    <n v="0.8"/>
    <x v="0"/>
    <n v="1724753823.3928204"/>
    <n v="-458030095.64307785"/>
  </r>
  <r>
    <n v="371"/>
    <x v="351"/>
    <d v="2025-03-31T00:00:00"/>
    <x v="15"/>
    <x v="0"/>
    <n v="-75.013385"/>
    <n v="6.5945109999999998"/>
    <n v="0"/>
    <n v="1"/>
    <s v=""/>
    <x v="0"/>
    <m/>
    <x v="16"/>
    <s v="Tercer Orden"/>
    <s v="Vías terciarias mejoradas"/>
    <s v="Estudios y diseños incompletos"/>
    <m/>
    <m/>
    <m/>
    <n v="6"/>
    <n v="18632663202.9925"/>
    <n v="4332293517.3299999"/>
    <n v="14300369685.6625"/>
    <n v="3970281006"/>
    <n v="1500000000"/>
    <n v="5470281006"/>
    <n v="0.29358556779588252"/>
    <n v="13162382196.9925"/>
    <n v="10529905757.594002"/>
    <n v="7897429318.1954994"/>
    <n v="0.72579105198531002"/>
    <n v="0.44683077557401057"/>
    <n v="0.8"/>
    <x v="0"/>
    <n v="1579485863.6391001"/>
    <n v="2914007486.8345985"/>
  </r>
  <r>
    <n v="372"/>
    <x v="352"/>
    <d v="2025-03-31T00:00:00"/>
    <x v="58"/>
    <x v="6"/>
    <n v="-74.867075"/>
    <n v="7.4885830000000002"/>
    <n v="1"/>
    <n v="1"/>
    <s v=""/>
    <x v="3"/>
    <n v="3013655989"/>
    <x v="16"/>
    <s v="Tercer Orden"/>
    <s v="Vías terciarias mejoradas"/>
    <s v="Estudios y diseños incompletos. Municipio entregara estudios el 15 de abril 2024. Priorizado 14/05/2025"/>
    <n v="1"/>
    <s v="SGR Regionales 60%"/>
    <s v="Puentes y PAP 2025-1"/>
    <n v="6"/>
    <n v="26491016162.216"/>
    <n v="7986352410.1199999"/>
    <n v="18504663752.096001"/>
    <n v="6804069561"/>
    <n v="0"/>
    <n v="6804069561"/>
    <n v="0.25684441545525194"/>
    <n v="19686946601.216"/>
    <n v="15749557280.972801"/>
    <n v="11812167960.729599"/>
    <n v="1"/>
    <n v="0.54140540347070121"/>
    <n v="0.8"/>
    <x v="0"/>
    <n v="2362433592.1459198"/>
    <n v="-15716605637.124481"/>
  </r>
  <r>
    <n v="373"/>
    <x v="353"/>
    <d v="2025-03-31T00:00:00"/>
    <x v="58"/>
    <x v="6"/>
    <n v="-74.867075"/>
    <n v="7.4885830000000002"/>
    <n v="1"/>
    <n v="1"/>
    <s v=""/>
    <x v="3"/>
    <n v="3063931064"/>
    <x v="16"/>
    <s v="Tercer Orden"/>
    <s v="Vías terciarias mejoradas"/>
    <s v="Estudios y diseños incompletos. Municipio entregara estudios el 15 de abril 2024. Priorizado 14/05/2025"/>
    <n v="1"/>
    <s v="SGR Regionales 60%"/>
    <s v="Puentes y PAP 2025-1"/>
    <n v="6"/>
    <n v="26491016162.216"/>
    <n v="7986352410.1199999"/>
    <n v="18504663752.096001"/>
    <n v="6804069561"/>
    <n v="0"/>
    <n v="6804069561"/>
    <n v="0.25684441545525194"/>
    <n v="19686946601.216"/>
    <n v="15749557280.972801"/>
    <n v="11812167960.729599"/>
    <n v="1"/>
    <n v="0.54140540347070121"/>
    <n v="0.8"/>
    <x v="0"/>
    <n v="2362433592.1459198"/>
    <n v="-15716605637.124481"/>
  </r>
  <r>
    <n v="374"/>
    <x v="354"/>
    <d v="2025-03-31T00:00:00"/>
    <x v="97"/>
    <x v="4"/>
    <n v="-75.335115999999999"/>
    <s v="6,885175"/>
    <n v="0"/>
    <n v="1"/>
    <s v=""/>
    <x v="1"/>
    <n v="1416091824"/>
    <x v="16"/>
    <s v="Tercer Orden"/>
    <s v="Vías terciarias mejoradas"/>
    <s v="Estudios y diseños incompletos. Priorizado el 14/05/2025"/>
    <n v="1"/>
    <s v="SGR Regionales 60%"/>
    <s v="Puentes y PAP 2025-1"/>
    <n v="6"/>
    <n v="12764062914.553999"/>
    <n v="4266060462.2200003"/>
    <n v="8498002452.3339987"/>
    <n v="4258957687"/>
    <n v="500000000"/>
    <n v="4758957687"/>
    <n v="0.37284035019708983"/>
    <n v="8005105227.5539989"/>
    <n v="6404084182.0431995"/>
    <n v="4803063136.5323992"/>
    <n v="0.89493497675639244"/>
    <n v="0.64132957807138946"/>
    <n v="0.8"/>
    <x v="0"/>
    <n v="960612627.30647993"/>
    <n v="-8999039296.1611214"/>
  </r>
  <r>
    <n v="375"/>
    <x v="355"/>
    <d v="2025-03-31T00:00:00"/>
    <x v="13"/>
    <x v="5"/>
    <n v="-76.380566999999999"/>
    <s v="8,276884"/>
    <n v="1"/>
    <n v="1"/>
    <s v=""/>
    <x v="1"/>
    <n v="1749677000"/>
    <x v="16"/>
    <s v="Tercer Orden"/>
    <s v="Vías terciarias mejoradas"/>
    <s v="Estudios y diseños incompletos"/>
    <n v="1"/>
    <s v="SGR Regionales 60%"/>
    <s v="Puentes y PAP 2025-1"/>
    <n v="6"/>
    <n v="19508372714.52"/>
    <n v="5389834315.5"/>
    <n v="14118538399.02"/>
    <n v="2594281047"/>
    <n v="1833333333"/>
    <n v="4427614380"/>
    <n v="0.22695969801235882"/>
    <n v="15080758334.52"/>
    <n v="12064606667.616001"/>
    <n v="9048455000.7119999"/>
    <n v="0.58593202215591322"/>
    <n v="0.58851112900500024"/>
    <n v="0.8"/>
    <x v="0"/>
    <n v="1809691000.1424"/>
    <n v="-12151086930.145599"/>
  </r>
  <r>
    <n v="376"/>
    <x v="356"/>
    <d v="2025-03-31T00:00:00"/>
    <x v="97"/>
    <x v="4"/>
    <n v="-75.335115999999999"/>
    <s v="6,885175"/>
    <n v="0"/>
    <n v="1"/>
    <s v=""/>
    <x v="3"/>
    <n v="1368359324"/>
    <x v="16"/>
    <s v="Tercer Orden"/>
    <s v="Vías terciarias mejoradas"/>
    <s v="Estudios y diseños incompletos"/>
    <m/>
    <m/>
    <m/>
    <n v="6"/>
    <n v="12764062914.553999"/>
    <n v="4266060462.2200003"/>
    <n v="8498002452.3339987"/>
    <n v="4258957687"/>
    <n v="500000000"/>
    <n v="4758957687"/>
    <n v="0.37284035019708983"/>
    <n v="8005105227.5539989"/>
    <n v="6404084182.0431995"/>
    <n v="4803063136.5323992"/>
    <n v="0.89493497675639244"/>
    <n v="0.64132957807138946"/>
    <n v="0.8"/>
    <x v="0"/>
    <n v="960612627.30647993"/>
    <n v="-8999039296.1611214"/>
  </r>
  <r>
    <n v="377"/>
    <x v="357"/>
    <d v="2025-03-31T00:00:00"/>
    <x v="97"/>
    <x v="4"/>
    <n v="-75.335115999999999"/>
    <s v="6,885175"/>
    <n v="0"/>
    <n v="1"/>
    <s v=""/>
    <x v="3"/>
    <n v="545343196"/>
    <x v="16"/>
    <s v="Tercer Orden"/>
    <s v="Vías terciarias mejoradas"/>
    <s v="Estudios y diseños incompletos"/>
    <m/>
    <m/>
    <m/>
    <n v="6"/>
    <n v="12764062914.553999"/>
    <n v="4266060462.2200003"/>
    <n v="8498002452.3339987"/>
    <n v="4258957687"/>
    <n v="500000000"/>
    <n v="4758957687"/>
    <n v="0.37284035019708983"/>
    <n v="8005105227.5539989"/>
    <n v="6404084182.0431995"/>
    <n v="4803063136.5323992"/>
    <n v="0.89493497675639244"/>
    <n v="0.64132957807138946"/>
    <n v="0.8"/>
    <x v="0"/>
    <n v="960612627.30647993"/>
    <n v="-8999039296.1611214"/>
  </r>
  <r>
    <n v="378"/>
    <x v="358"/>
    <d v="2025-03-31T00:00:00"/>
    <x v="97"/>
    <x v="4"/>
    <n v="-75.335115999999999"/>
    <s v="6,885175"/>
    <n v="0"/>
    <n v="1"/>
    <s v=""/>
    <x v="3"/>
    <n v="1779119065"/>
    <x v="16"/>
    <s v="Tercer Orden"/>
    <s v="Vías terciarias mejoradas"/>
    <s v="Estudios y diseños incompletos"/>
    <m/>
    <m/>
    <m/>
    <n v="6"/>
    <n v="12764062914.553999"/>
    <n v="4266060462.2200003"/>
    <n v="8498002452.3339987"/>
    <n v="4258957687"/>
    <n v="500000000"/>
    <n v="4758957687"/>
    <n v="0.37284035019708983"/>
    <n v="8005105227.5539989"/>
    <n v="6404084182.0431995"/>
    <n v="4803063136.5323992"/>
    <n v="0.89493497675639244"/>
    <n v="0.64132957807138946"/>
    <n v="0.8"/>
    <x v="0"/>
    <n v="960612627.30647993"/>
    <n v="-8999039296.1611214"/>
  </r>
  <r>
    <n v="379"/>
    <x v="359"/>
    <d v="2025-03-31T00:00:00"/>
    <x v="17"/>
    <x v="5"/>
    <n v="-76.728858000000002"/>
    <n v="8.0899289999999997"/>
    <n v="1"/>
    <n v="1"/>
    <s v=""/>
    <x v="1"/>
    <n v="6868201452"/>
    <x v="16"/>
    <s v="Tercer Orden"/>
    <s v="Vías terciarias mejoradas"/>
    <s v="Estudios y diseños incompletosPriorizados 21/05/2025"/>
    <n v="1"/>
    <s v="SGR Regionales 60%"/>
    <s v="Puentes y PAP 2025-1"/>
    <n v="5"/>
    <n v="57277943756.629501"/>
    <n v="34159399600.959999"/>
    <n v="23118544155.669502"/>
    <n v="3450000000"/>
    <n v="21452083665"/>
    <n v="24902083665"/>
    <n v="0.43475868775610099"/>
    <n v="32375860091.629501"/>
    <n v="25900688073.303604"/>
    <n v="19425516054.977699"/>
    <n v="0.13854262343712995"/>
    <n v="0.87015152665365447"/>
    <n v="0.8"/>
    <x v="1"/>
    <n v="3885103210.9955401"/>
    <n v="-42559571320.026764"/>
  </r>
  <r>
    <n v="380"/>
    <x v="360"/>
    <d v="2025-03-31T00:00:00"/>
    <x v="17"/>
    <x v="5"/>
    <n v="-76.728858000000002"/>
    <n v="8.0899289999999997"/>
    <n v="1"/>
    <n v="1"/>
    <s v=""/>
    <x v="1"/>
    <n v="3521945000"/>
    <x v="16"/>
    <s v="Tercer Orden"/>
    <s v="Vías terciarias mejoradas"/>
    <s v="Estudios y diseños incompletosPriorizados 21/05/2025"/>
    <n v="1"/>
    <s v="SGR Regionales 60%"/>
    <s v="Puentes y PAP 2025-1"/>
    <n v="5"/>
    <n v="57277943756.629501"/>
    <n v="34159399600.959999"/>
    <n v="23118544155.669502"/>
    <n v="3450000000"/>
    <n v="21452083665"/>
    <n v="24902083665"/>
    <n v="0.43475868775610099"/>
    <n v="32375860091.629501"/>
    <n v="25900688073.303604"/>
    <n v="19425516054.977699"/>
    <n v="0.13854262343712995"/>
    <n v="0.87015152665365447"/>
    <n v="0.8"/>
    <x v="1"/>
    <n v="3885103210.9955401"/>
    <n v="-42559571320.026764"/>
  </r>
  <r>
    <n v="381"/>
    <x v="361"/>
    <d v="2025-03-31T00:00:00"/>
    <x v="31"/>
    <x v="2"/>
    <n v="-75.185483000000005"/>
    <s v="6,058295"/>
    <n v="0"/>
    <n v="1"/>
    <s v=""/>
    <x v="1"/>
    <m/>
    <x v="16"/>
    <s v="Tercer Orden"/>
    <s v="Vías terciarias mejoradas"/>
    <s v="Estudios y diseños incompletos"/>
    <n v="1"/>
    <s v="Recursos propios"/>
    <s v="Puentes metalicos"/>
    <n v="6"/>
    <n v="12327690626.8465"/>
    <n v="4723680091.2799997"/>
    <n v="7604010535.5665007"/>
    <n v="445297438"/>
    <n v="33508702"/>
    <n v="478806140"/>
    <n v="3.8839889359105498E-2"/>
    <n v="11848884486.8465"/>
    <n v="9479107589.4772015"/>
    <n v="7109330692.1078997"/>
    <n v="0.93001613972619479"/>
    <n v="0.63996045822337311"/>
    <n v="0.8"/>
    <x v="0"/>
    <n v="1421866138.4215801"/>
    <n v="4809429397.52948"/>
  </r>
  <r>
    <n v="382"/>
    <x v="362"/>
    <d v="2025-03-31T00:00:00"/>
    <x v="18"/>
    <x v="8"/>
    <n v="-74.641189999999995"/>
    <s v="5,871318"/>
    <n v="0"/>
    <n v="0"/>
    <s v=""/>
    <x v="3"/>
    <m/>
    <x v="16"/>
    <s v="Segundo Orden"/>
    <s v="Vías secundarias mejoradas"/>
    <s v="YA HACEN PARTE DE CONTRATO PUERTO NARE QUE ESTA EN PROCESO."/>
    <m/>
    <m/>
    <m/>
    <n v="6"/>
    <n v="22896432570.9105"/>
    <n v="6514105665.9899998"/>
    <n v="16382326904.9205"/>
    <n v="15087488121"/>
    <n v="152370595"/>
    <n v="15239858716"/>
    <n v="0.66559970287082904"/>
    <n v="7656573854.9104996"/>
    <n v="6125259083.9284"/>
    <n v="4593944312.9462996"/>
    <n v="0.99000183677293352"/>
    <n v="0.53987925149269589"/>
    <n v="0.8"/>
    <x v="0"/>
    <n v="918788862.58925998"/>
    <n v="-4671652589.4644403"/>
  </r>
  <r>
    <n v="383"/>
    <x v="363"/>
    <d v="2025-02-24T00:00:00"/>
    <x v="91"/>
    <x v="0"/>
    <n v="-75.087046999999998"/>
    <s v="6,537829"/>
    <n v="0"/>
    <n v="0"/>
    <s v="2025010087091"/>
    <x v="1"/>
    <n v="5134606831"/>
    <x v="4"/>
    <s v="Tercer Orden"/>
    <s v="Vías terciarias mejoradas"/>
    <s v="Estudios para pavimentación de 2 km de vías rurales. Adjunta estudios y diseños"/>
    <m/>
    <m/>
    <m/>
    <n v="6"/>
    <n v="11769915072.3085"/>
    <n v="4043512144.3800001"/>
    <n v="7726402927.9285002"/>
    <n v="3010151420"/>
    <n v="0"/>
    <n v="3010151420"/>
    <n v="0.255749629585866"/>
    <n v="8759763652.3085003"/>
    <n v="7007810921.8468008"/>
    <n v="5255858191.3851004"/>
    <n v="1"/>
    <n v="0.52320001604697897"/>
    <n v="0.8"/>
    <x v="0"/>
    <n v="1051171638.2770201"/>
    <n v="-11518386102.337879"/>
  </r>
  <r>
    <n v="384"/>
    <x v="364"/>
    <d v="2025-02-24T00:00:00"/>
    <x v="91"/>
    <x v="0"/>
    <n v="-75.087046999999998"/>
    <s v="6,537829"/>
    <n v="0"/>
    <n v="0"/>
    <s v="2025010087091"/>
    <x v="1"/>
    <n v="7365388005"/>
    <x v="6"/>
    <s v="Urbana"/>
    <s v="Vía urbana mejorada"/>
    <s v="Estudios para pavimentación de 15 km vías urbanas. Adjunta estudios y diseños"/>
    <m/>
    <m/>
    <m/>
    <n v="6"/>
    <n v="11769915072.3085"/>
    <n v="4043512144.3800001"/>
    <n v="7726402927.9285002"/>
    <n v="3010151420"/>
    <n v="0"/>
    <n v="3010151420"/>
    <n v="0.255749629585866"/>
    <n v="8759763652.3085003"/>
    <n v="7007810921.8468008"/>
    <n v="5255858191.3851004"/>
    <n v="1"/>
    <n v="0.52320001604697897"/>
    <n v="0.8"/>
    <x v="0"/>
    <n v="1051171638.2770201"/>
    <n v="-11518386102.337879"/>
  </r>
  <r>
    <n v="385"/>
    <x v="365"/>
    <d v="2025-02-25T00:00:00"/>
    <x v="56"/>
    <x v="5"/>
    <n v="-76.426708000000005"/>
    <s v="8,849317"/>
    <n v="0"/>
    <n v="0"/>
    <s v="2025010088949"/>
    <x v="1"/>
    <n v="16142060924"/>
    <x v="6"/>
    <s v="Tercer Orden"/>
    <s v="Vías terciarias mejoradas"/>
    <s v="Contiene estudios y diseños"/>
    <m/>
    <m/>
    <m/>
    <n v="6"/>
    <n v="19782037469.424"/>
    <n v="6224691780.3400002"/>
    <n v="13557345689.084"/>
    <n v="5530076291"/>
    <n v="135075758"/>
    <n v="5665152049"/>
    <n v="0.28637859258715448"/>
    <n v="14116885420.424"/>
    <n v="11293508336.339201"/>
    <n v="8470131252.2543993"/>
    <n v="0.97615672856938707"/>
    <n v="0.63121490876418529"/>
    <n v="0.8"/>
    <x v="0"/>
    <n v="1694026250.4508801"/>
    <n v="-26539735251.29472"/>
  </r>
  <r>
    <n v="386"/>
    <x v="366"/>
    <d v="2025-02-25T00:00:00"/>
    <x v="28"/>
    <x v="2"/>
    <n v="-75.429433000000003"/>
    <s v="6,028062"/>
    <n v="0"/>
    <n v="0"/>
    <s v="2025010089650"/>
    <x v="0"/>
    <m/>
    <x v="4"/>
    <s v="Tercer Orden"/>
    <s v="Vías terciarias mejoradas"/>
    <s v="FASE 1 .No presenta estudios ni presupuesto"/>
    <m/>
    <m/>
    <m/>
    <n v="2"/>
    <n v="102691614388.099"/>
    <n v="29123622287.32"/>
    <n v="73567992100.778992"/>
    <n v="5166195556"/>
    <n v="27283390599"/>
    <n v="32449586155"/>
    <n v="0.3159906127521217"/>
    <n v="70242028233.098999"/>
    <n v="56193622586.479202"/>
    <n v="42145216939.859398"/>
    <n v="0.15920682412783146"/>
    <n v="0.28977187660096981"/>
    <n v="0.7"/>
    <x v="0"/>
    <n v="8429043387.97188"/>
    <n v="50574260327.831276"/>
  </r>
  <r>
    <n v="387"/>
    <x v="367"/>
    <d v="2025-03-04T00:00:00"/>
    <x v="93"/>
    <x v="3"/>
    <n v="-75.643867999999998"/>
    <s v="5,54853"/>
    <n v="0"/>
    <n v="0"/>
    <s v="2025010102267"/>
    <x v="1"/>
    <n v="4178212674"/>
    <x v="4"/>
    <s v="Tercer Orden"/>
    <s v="Vías terciarias mejoradas"/>
    <s v="Presenta estudios técnicos y presupuesto"/>
    <m/>
    <m/>
    <m/>
    <n v="6"/>
    <n v="4632250570.3755007"/>
    <n v="2678094476.75"/>
    <n v="1954156093.6255007"/>
    <n v="1940610936.6700001"/>
    <n v="0"/>
    <n v="1940610936.6700001"/>
    <n v="0.41893479361430352"/>
    <n v="2691639633.7055006"/>
    <n v="2153311706.9644008"/>
    <n v="1614983780.2233002"/>
    <n v="1"/>
    <n v="0.76459744811231467"/>
    <n v="0.8"/>
    <x v="2"/>
    <n v="322996756.04466009"/>
    <n v="-2240232137.7320395"/>
  </r>
  <r>
    <n v="388"/>
    <x v="368"/>
    <d v="2025-03-05T00:00:00"/>
    <x v="103"/>
    <x v="7"/>
    <n v="-76.261613999999994"/>
    <s v="6,998112"/>
    <n v="1"/>
    <n v="1"/>
    <s v="2025010105056 2025010105063"/>
    <x v="1"/>
    <m/>
    <x v="4"/>
    <s v="Tercer Orden"/>
    <s v="Vías terciarias mejoradas"/>
    <s v="No presenta presupuesto. Presenta estudios"/>
    <n v="1"/>
    <s v="SGR Regionales 60%"/>
    <s v="Placa huellas 2025-2"/>
    <n v="6"/>
    <n v="24612921465.534"/>
    <n v="6692367651.6599998"/>
    <n v="17920553813.874001"/>
    <n v="830923107"/>
    <n v="8409573820"/>
    <n v="9240496927"/>
    <n v="0.37543275551176097"/>
    <n v="15372424538.534"/>
    <n v="12297939630.827202"/>
    <n v="9223454723.1203995"/>
    <n v="8.9921907183596203E-2"/>
    <n v="0.49254696748300181"/>
    <n v="0.8"/>
    <x v="0"/>
    <n v="1844690944.6240799"/>
    <n v="10612545667.74448"/>
  </r>
  <r>
    <n v="389"/>
    <x v="369"/>
    <d v="2025-03-31T00:00:00"/>
    <x v="7"/>
    <x v="6"/>
    <n v="-75.197996000000003"/>
    <s v="7,977278"/>
    <n v="1"/>
    <n v="1"/>
    <s v=""/>
    <x v="1"/>
    <n v="2800000000"/>
    <x v="4"/>
    <m/>
    <m/>
    <s v="Proyecto estructurado. Reportado en presentacion de estrategia de consolidacion territorial para la paz en la subregion del Bajo Cauca."/>
    <m/>
    <m/>
    <m/>
    <n v="5"/>
    <n v="55415011363.643501"/>
    <n v="24252117123.400002"/>
    <n v="31162894240.2435"/>
    <n v="8970758412"/>
    <n v="3572173854.98"/>
    <n v="12542932266.98"/>
    <n v="0.22634538834019124"/>
    <n v="42872079096.663498"/>
    <n v="34297663277.330799"/>
    <n v="25723247457.998096"/>
    <n v="0.71520424578996133"/>
    <n v="0.67052010826145281"/>
    <n v="0.8"/>
    <x v="0"/>
    <n v="5144649491.5996199"/>
    <n v="11453646060.597717"/>
  </r>
  <r>
    <n v="390"/>
    <x v="370"/>
    <d v="2025-03-31T00:00:00"/>
    <x v="7"/>
    <x v="6"/>
    <n v="-75.197996000000003"/>
    <s v="7,977278"/>
    <n v="1"/>
    <n v="1"/>
    <s v=""/>
    <x v="1"/>
    <n v="3000000000"/>
    <x v="4"/>
    <m/>
    <m/>
    <s v="Proyecto estructurado. Reportado en presentacion de estrategia de consolidacion territorial para la paz en la subregion del Bajo Cauca."/>
    <m/>
    <m/>
    <m/>
    <n v="5"/>
    <n v="55415011363.643501"/>
    <n v="24252117123.400002"/>
    <n v="31162894240.2435"/>
    <n v="8970758412"/>
    <n v="3572173854.98"/>
    <n v="12542932266.98"/>
    <n v="0.22634538834019124"/>
    <n v="42872079096.663498"/>
    <n v="34297663277.330799"/>
    <n v="25723247457.998096"/>
    <n v="0.71520424578996133"/>
    <n v="0.67052010826145281"/>
    <n v="0.8"/>
    <x v="0"/>
    <n v="5144649491.5996199"/>
    <n v="11453646060.597717"/>
  </r>
  <r>
    <n v="391"/>
    <x v="371"/>
    <d v="2025-03-31T00:00:00"/>
    <x v="7"/>
    <x v="6"/>
    <n v="-75.197996000000003"/>
    <s v="7,977278"/>
    <n v="1"/>
    <n v="1"/>
    <s v=""/>
    <x v="1"/>
    <n v="8000000000"/>
    <x v="4"/>
    <m/>
    <m/>
    <s v="Proyecto estructurado. Reportado en presentacion de estrategia de consolidacion territorial para la paz en la subregion del Bajo Cauca."/>
    <m/>
    <m/>
    <m/>
    <n v="5"/>
    <n v="55415011363.643501"/>
    <n v="24252117123.400002"/>
    <n v="31162894240.2435"/>
    <n v="8970758412"/>
    <n v="3572173854.98"/>
    <n v="12542932266.98"/>
    <n v="0.22634538834019124"/>
    <n v="42872079096.663498"/>
    <n v="34297663277.330799"/>
    <n v="25723247457.998096"/>
    <n v="0.71520424578996133"/>
    <n v="0.67052010826145281"/>
    <n v="0.8"/>
    <x v="0"/>
    <n v="5144649491.5996199"/>
    <n v="11453646060.597717"/>
  </r>
  <r>
    <n v="392"/>
    <x v="372"/>
    <d v="2025-03-31T00:00:00"/>
    <x v="7"/>
    <x v="6"/>
    <n v="-75.197996000000003"/>
    <s v="7,977278"/>
    <n v="1"/>
    <n v="1"/>
    <s v=""/>
    <x v="1"/>
    <n v="1800000000"/>
    <x v="6"/>
    <m/>
    <m/>
    <s v="Proyecto estructurado. Reportado en presentacion de estrategia de consolidacion territorial para la paz en la subregion del Bajo Cauca."/>
    <m/>
    <m/>
    <m/>
    <n v="5"/>
    <n v="55415011363.643501"/>
    <n v="24252117123.400002"/>
    <n v="31162894240.2435"/>
    <n v="8970758412"/>
    <n v="3572173854.98"/>
    <n v="12542932266.98"/>
    <n v="0.22634538834019124"/>
    <n v="42872079096.663498"/>
    <n v="34297663277.330799"/>
    <n v="25723247457.998096"/>
    <n v="0.71520424578996133"/>
    <n v="0.67052010826145281"/>
    <n v="0.8"/>
    <x v="0"/>
    <n v="5144649491.5996199"/>
    <n v="11453646060.597717"/>
  </r>
  <r>
    <n v="393"/>
    <x v="373"/>
    <d v="2025-03-31T00:00:00"/>
    <x v="110"/>
    <x v="6"/>
    <n v="-75.401407000000006"/>
    <n v="7.5801270000000001"/>
    <n v="1"/>
    <n v="1"/>
    <s v=""/>
    <x v="1"/>
    <n v="4000000000"/>
    <x v="6"/>
    <m/>
    <m/>
    <s v="Proyecto estructurado. Reportado en presentacion de estrategia de consolidacion territorial para la paz en la subregion del Bajo Cauca."/>
    <m/>
    <m/>
    <m/>
    <n v="6"/>
    <n v="12386294028.284"/>
    <n v="5371610026.9800005"/>
    <n v="7014684001.3039999"/>
    <n v="1476389847"/>
    <n v="1615533927.0799999"/>
    <n v="3091923774.0799999"/>
    <n v="0.24962460660304184"/>
    <n v="9294370254.2040005"/>
    <n v="7435496203.3632011"/>
    <n v="5576622152.5223999"/>
    <n v="0.47749878550589397"/>
    <n v="0.88953529502502671"/>
    <n v="0.8"/>
    <x v="1"/>
    <n v="1115324430.5044801"/>
    <n v="2691946583.0268803"/>
  </r>
  <r>
    <n v="394"/>
    <x v="374"/>
    <d v="2025-03-31T00:00:00"/>
    <x v="53"/>
    <x v="6"/>
    <n v="-74.776470000000003"/>
    <s v="8,094129"/>
    <n v="1"/>
    <n v="1"/>
    <s v=""/>
    <x v="0"/>
    <m/>
    <x v="3"/>
    <s v="Segundo Orden"/>
    <s v="Vías secundarias mejoradas"/>
    <s v="Proyecto estructurado. Reportado en presentacion de estrategia de consolidacion territorial para la paz en la subregion del Bajo Cauca."/>
    <m/>
    <m/>
    <m/>
    <n v="6"/>
    <n v="17207529181.433002"/>
    <n v="3556882387.1300001"/>
    <n v="13650646794.303001"/>
    <n v="2981910160"/>
    <n v="5898924731"/>
    <n v="8880834891"/>
    <n v="0.51610168998478057"/>
    <n v="8326694290.4330025"/>
    <n v="6661355432.3464022"/>
    <n v="4996016574.2598009"/>
    <n v="0.3357691249301259"/>
    <n v="0.46603493316730282"/>
    <n v="0.8"/>
    <x v="0"/>
    <n v="999203314.85196018"/>
    <n v="-4219206551.8882389"/>
  </r>
  <r>
    <n v="395"/>
    <x v="375"/>
    <d v="2025-03-31T00:00:00"/>
    <x v="49"/>
    <x v="6"/>
    <n v="-74.799097000000003"/>
    <s v="7,5975"/>
    <n v="1"/>
    <n v="1"/>
    <s v=""/>
    <x v="0"/>
    <m/>
    <x v="4"/>
    <m/>
    <m/>
    <s v="Proyecto estructurado. Reportado en presentacion de estrategia de consolidacion territorial para la paz en la subregion del Bajo Cauca."/>
    <m/>
    <m/>
    <m/>
    <n v="6"/>
    <n v="50634494381.026505"/>
    <n v="15839182742.690001"/>
    <n v="34795311638.336502"/>
    <n v="67652077"/>
    <n v="17477834894.650002"/>
    <n v="17545486971.650002"/>
    <n v="0.34651253431345719"/>
    <n v="33089007409.376503"/>
    <n v="26471205927.501205"/>
    <n v="19853404445.6259"/>
    <n v="3.8558107340829141E-3"/>
    <n v="0.40594992695874271"/>
    <n v="0.8"/>
    <x v="0"/>
    <n v="3970680889.1251802"/>
    <n v="-9892273308.2489204"/>
  </r>
  <r>
    <n v="397"/>
    <x v="376"/>
    <d v="2024-08-11T00:00:00"/>
    <x v="107"/>
    <x v="3"/>
    <n v="-75.906587000000002"/>
    <s v="5,799461"/>
    <n v="0"/>
    <n v="0"/>
    <s v="2024010512526 2025010027600"/>
    <x v="1"/>
    <n v="3893893359"/>
    <x v="4"/>
    <s v="Tercer Orden"/>
    <s v="Vías terciarias mejoradas"/>
    <s v="&quot;LA PALMIRA - SECTOR EL GUASQUIAN-FILO DE LA INDIA - 34037 ml LA PALMIRA-SECTOR LA CLARA - 37859 ml LA PALMIRA-SECTOR VILLA DEL LAGO - 1.24374 m LA PALMIRA-SECTOR EL CHAVERRA - 53730 ml&quot;"/>
    <n v="1"/>
    <s v="SGR Regionales 60%"/>
    <s v="Placa huellas 2025-2"/>
    <n v="6"/>
    <n v="6274381972.2840004"/>
    <n v="2404546434.0300002"/>
    <n v="3869835538.2540002"/>
    <n v="1292225834"/>
    <n v="0"/>
    <n v="1292225834"/>
    <n v="0.20595268820230975"/>
    <n v="4982156138.2840004"/>
    <n v="3985724910.6272006"/>
    <n v="2989293682.9704003"/>
    <n v="1"/>
    <n v="0.75496548270760855"/>
    <n v="0.8"/>
    <x v="2"/>
    <n v="597858736.59408009"/>
    <n v="-2938227867.4355197"/>
  </r>
  <r>
    <n v="398"/>
    <x v="377"/>
    <d v="2025-02-20T00:00:00"/>
    <x v="12"/>
    <x v="3"/>
    <n v="-75.675072"/>
    <s v="5,928039"/>
    <n v="0"/>
    <n v="0"/>
    <s v="2025010080871 2025050284678 2025050284679 2025010150616"/>
    <x v="0"/>
    <n v="638423715"/>
    <x v="10"/>
    <s v="Segundo Orden"/>
    <s v="Vías secundarias mejoradas"/>
    <s v="Recuperación de la vía  CAMILO C - EL CINCO - FREDONIA SECTOR EL AMPARO"/>
    <m/>
    <m/>
    <m/>
    <n v="6"/>
    <n v="17515986067.273998"/>
    <n v="8346764868.3600006"/>
    <n v="9169221198.9139977"/>
    <n v="0"/>
    <n v="6328650461"/>
    <n v="6328650461"/>
    <n v="0.36130711891945022"/>
    <n v="11187335606.273998"/>
    <n v="8949868485.0191994"/>
    <n v="6712401363.7643986"/>
    <n v="0"/>
    <n v="0.67376313277740918"/>
    <n v="0.8"/>
    <x v="0"/>
    <n v="1342480272.7528799"/>
    <n v="3280962216.5172787"/>
  </r>
  <r>
    <n v="399"/>
    <x v="378"/>
    <d v="2025-02-26T00:00:00"/>
    <x v="111"/>
    <x v="0"/>
    <n v="-75.164902999999995"/>
    <s v="6,473032"/>
    <n v="0"/>
    <n v="1"/>
    <s v="0"/>
    <x v="2"/>
    <m/>
    <x v="15"/>
    <s v="Tercer Orden"/>
    <s v="Vías terciarias mejoradas"/>
    <m/>
    <m/>
    <m/>
    <m/>
    <n v="6"/>
    <n v="13758623676.126001"/>
    <n v="4170961872.3800001"/>
    <n v="9587661803.7460022"/>
    <n v="5765015946"/>
    <n v="0"/>
    <n v="5765015946"/>
    <n v="0.41901109309381507"/>
    <n v="7993607730.1260014"/>
    <n v="6394886184.1008015"/>
    <n v="4796164638.0756006"/>
    <n v="1"/>
    <n v="0.61660684639206742"/>
    <n v="0.8"/>
    <x v="0"/>
    <n v="959232927.61512017"/>
    <n v="5265448683.6907206"/>
  </r>
  <r>
    <n v="400"/>
    <x v="379"/>
    <d v="2025-03-10T00:00:00"/>
    <x v="107"/>
    <x v="3"/>
    <n v="-75.906587000000002"/>
    <s v="5,799461"/>
    <n v="0"/>
    <n v="0"/>
    <s v="2025010116063"/>
    <x v="1"/>
    <n v="2631486928"/>
    <x v="6"/>
    <s v="Urbana"/>
    <s v="Vía urbana mejorada"/>
    <s v="Solicitud cofinanciación proyecto 90% Departamento - 10% Municipio"/>
    <m/>
    <m/>
    <m/>
    <n v="6"/>
    <n v="6274381972.2840004"/>
    <n v="2404546434.0300002"/>
    <n v="3869835538.2540002"/>
    <n v="1292225834"/>
    <n v="0"/>
    <n v="1292225834"/>
    <n v="0.20595268820230975"/>
    <n v="4982156138.2840004"/>
    <n v="3985724910.6272006"/>
    <n v="2989293682.9704003"/>
    <n v="1"/>
    <n v="0.75496548270760855"/>
    <n v="0.8"/>
    <x v="2"/>
    <n v="597858736.59408009"/>
    <n v="-2938227867.4355197"/>
  </r>
  <r>
    <n v="401"/>
    <x v="380"/>
    <d v="2025-03-31T00:00:00"/>
    <x v="52"/>
    <x v="7"/>
    <n v="-76.028227999999999"/>
    <s v="6,753859"/>
    <n v="0"/>
    <n v="0"/>
    <m/>
    <x v="0"/>
    <m/>
    <x v="10"/>
    <m/>
    <m/>
    <s v="Cuatro muros de contencion 1 sector variante 1 sector la piscina 1 sector La Virgen- Carpinteria 1 sector de Los Guaduales. Tienen diseños por cartilla."/>
    <m/>
    <m/>
    <m/>
    <n v="6"/>
    <n v="17304408242.457001"/>
    <n v="4260885029.46"/>
    <n v="13043523212.997002"/>
    <n v="3210633884"/>
    <n v="0"/>
    <n v="3210633884"/>
    <n v="0.1855384962614666"/>
    <n v="14093774358.457001"/>
    <n v="11275019486.765602"/>
    <n v="8456264615.0741997"/>
    <n v="1"/>
    <n v="0.3794626866525494"/>
    <n v="0.8"/>
    <x v="0"/>
    <n v="1691252923.0148401"/>
    <n v="-145378147798.91095"/>
  </r>
  <r>
    <n v="402"/>
    <x v="381"/>
    <d v="2025-03-31T00:00:00"/>
    <x v="48"/>
    <x v="7"/>
    <n v="-75.854442000000006"/>
    <s v="6,302641"/>
    <n v="0"/>
    <n v="0"/>
    <s v=""/>
    <x v="3"/>
    <m/>
    <x v="10"/>
    <s v="Urbana"/>
    <s v="Vía urbana mejorada"/>
    <s v="4 muros de contencion. Traslado de gestion de riesgos."/>
    <m/>
    <m/>
    <m/>
    <n v="6"/>
    <n v="7049911897.9460001"/>
    <n v="2502449802.4500003"/>
    <n v="4547462095.4960003"/>
    <n v="1083993787"/>
    <n v="0"/>
    <n v="1083993787"/>
    <n v="0.15375990546999926"/>
    <n v="5965918110.9460001"/>
    <n v="4772734488.7568007"/>
    <n v="3579550866.5675998"/>
    <n v="1"/>
    <n v="0.68972189795110483"/>
    <n v="0.8"/>
    <x v="0"/>
    <n v="715910173.31351995"/>
    <n v="-2869466523.1188803"/>
  </r>
  <r>
    <n v="403"/>
    <x v="382"/>
    <d v="2025-03-31T00:00:00"/>
    <x v="91"/>
    <x v="0"/>
    <n v="-75.087046999999998"/>
    <s v="6,537829"/>
    <n v="0"/>
    <n v="0"/>
    <s v=""/>
    <x v="2"/>
    <m/>
    <x v="10"/>
    <m/>
    <m/>
    <s v="Muros de contencion de la quebrada San German y la Rivera del Rio Nus. TRASLADO A DAGRAN"/>
    <m/>
    <m/>
    <m/>
    <n v="6"/>
    <n v="11769915072.3085"/>
    <n v="4043512144.3800001"/>
    <n v="7726402927.9285002"/>
    <n v="3010151420"/>
    <n v="0"/>
    <n v="3010151420"/>
    <n v="0.255749629585866"/>
    <n v="8759763652.3085003"/>
    <n v="7007810921.8468008"/>
    <n v="5255858191.3851004"/>
    <n v="1"/>
    <n v="0.52320001604697897"/>
    <n v="0.8"/>
    <x v="0"/>
    <n v="1051171638.2770201"/>
    <n v="-11518386102.337879"/>
  </r>
  <r>
    <n v="404"/>
    <x v="383"/>
    <d v="2025-03-31T00:00:00"/>
    <x v="37"/>
    <x v="2"/>
    <n v="-75.141069999999999"/>
    <s v="5,731474"/>
    <n v="0"/>
    <n v="1"/>
    <s v=""/>
    <x v="3"/>
    <n v="2886353537"/>
    <x v="10"/>
    <s v="Tercer Orden"/>
    <s v="Vías terciarias mejoradas"/>
    <s v="Hay E&amp;D por porgrama de puentes y PAP.2 muros de contencion en sector El Zancudo 2 muros de contencion sector Estrella"/>
    <n v="1"/>
    <s v="SGR Regionales 60%"/>
    <s v="Puentes y PAP 2025-1"/>
    <n v="6"/>
    <n v="7397887197.3409996"/>
    <n v="2145550795.75"/>
    <n v="5252336401.5909996"/>
    <n v="913988424"/>
    <n v="0"/>
    <n v="913988424"/>
    <n v="0.12354722363548773"/>
    <n v="6483898773.3409996"/>
    <n v="5187119018.6728001"/>
    <n v="3890339264.0045996"/>
    <n v="1"/>
    <n v="0.55936476249157852"/>
    <n v="0.8"/>
    <x v="0"/>
    <n v="778067852.80092001"/>
    <n v="-57612554588.194481"/>
  </r>
  <r>
    <n v="405"/>
    <x v="384"/>
    <d v="2025-03-31T00:00:00"/>
    <x v="52"/>
    <x v="7"/>
    <n v="-76.028227999999999"/>
    <s v="6,753859"/>
    <n v="0"/>
    <n v="0"/>
    <s v=""/>
    <x v="2"/>
    <m/>
    <x v="10"/>
    <m/>
    <m/>
    <s v="Cuatro puntos criticos entre puentes y reposicion de banca"/>
    <m/>
    <m/>
    <m/>
    <n v="6"/>
    <n v="17304408242.457001"/>
    <n v="4260885029.46"/>
    <n v="13043523212.997002"/>
    <n v="3210633884"/>
    <n v="0"/>
    <n v="3210633884"/>
    <n v="0.1855384962614666"/>
    <n v="14093774358.457001"/>
    <n v="11275019486.765602"/>
    <n v="8456264615.0741997"/>
    <n v="1"/>
    <n v="0.3794626866525494"/>
    <n v="0.8"/>
    <x v="0"/>
    <n v="1691252923.0148401"/>
    <n v="-145378147798.91095"/>
  </r>
  <r>
    <n v="406"/>
    <x v="385"/>
    <d v="2025-03-31T00:00:00"/>
    <x v="81"/>
    <x v="2"/>
    <n v="-75.184445999999994"/>
    <s v="6,142892"/>
    <n v="0"/>
    <n v="1"/>
    <s v=""/>
    <x v="1"/>
    <n v="6700000000"/>
    <x v="4"/>
    <s v="Tercer Orden"/>
    <s v="Vías terciarias mejoradas"/>
    <m/>
    <m/>
    <m/>
    <m/>
    <n v="6"/>
    <n v="9100976268.0305004"/>
    <n v="3221460794.1700001"/>
    <n v="5879515473.8605003"/>
    <n v="1026722956"/>
    <n v="190000000"/>
    <n v="1216722956"/>
    <n v="0.13369147662477152"/>
    <n v="7884253312.0305004"/>
    <n v="6307402649.6244011"/>
    <n v="4730551987.2182999"/>
    <n v="0.84384284108140062"/>
    <n v="0.65864601932480682"/>
    <n v="0.8"/>
    <x v="0"/>
    <n v="946110397.44366002"/>
    <n v="-23609701698.338039"/>
  </r>
  <r>
    <n v="407"/>
    <x v="386"/>
    <d v="2025-03-13T00:00:00"/>
    <x v="64"/>
    <x v="3"/>
    <n v="-76.021508999999995"/>
    <s v="5,850273"/>
    <n v="0"/>
    <n v="0"/>
    <s v="2025010124005"/>
    <x v="3"/>
    <m/>
    <x v="16"/>
    <m/>
    <m/>
    <m/>
    <m/>
    <m/>
    <m/>
    <n v="6"/>
    <n v="18608617574.017002"/>
    <n v="7376218347.0799999"/>
    <n v="11232399226.937002"/>
    <n v="2665498102.3000002"/>
    <n v="2057047588"/>
    <n v="4722545690.3000002"/>
    <n v="0.25378272574605631"/>
    <n v="13886071883.717003"/>
    <n v="11108857506.973602"/>
    <n v="8331643130.2302017"/>
    <n v="0.56441975940537148"/>
    <n v="0.57306836090110702"/>
    <n v="0.8"/>
    <x v="0"/>
    <n v="1666328626.0460405"/>
    <n v="-385425037556.72375"/>
  </r>
  <r>
    <n v="408"/>
    <x v="387"/>
    <d v="2025-03-13T00:00:00"/>
    <x v="45"/>
    <x v="4"/>
    <n v="-75.517685"/>
    <s v="6,566273"/>
    <n v="0"/>
    <n v="0"/>
    <s v="2025010122987"/>
    <x v="1"/>
    <n v="39642294947"/>
    <x v="3"/>
    <s v="Tercer Orden"/>
    <s v="Vías terciarias mejoradas"/>
    <s v="Presentación de Estudios Diseños y presupuesto. "/>
    <m/>
    <m/>
    <m/>
    <n v="6"/>
    <n v="18940820544.593998"/>
    <n v="5983055403.6199999"/>
    <n v="12957765140.973999"/>
    <n v="528703455"/>
    <n v="4617666038"/>
    <n v="5146369493"/>
    <n v="0.27170784290382038"/>
    <n v="13794451051.593998"/>
    <n v="11035560841.2752"/>
    <n v="8276670630.956398"/>
    <n v="0.10273328716858224"/>
    <n v="0.44981176046067123"/>
    <n v="0.8"/>
    <x v="0"/>
    <n v="1655334126.1912796"/>
    <n v="-31956675730.852322"/>
  </r>
  <r>
    <n v="409"/>
    <x v="388"/>
    <d v="2025-03-12T00:00:00"/>
    <x v="24"/>
    <x v="7"/>
    <n v="-75.747377999999998"/>
    <n v="6.5007450000000002"/>
    <n v="0"/>
    <n v="0"/>
    <s v="2024010555821"/>
    <x v="1"/>
    <n v="3853795225"/>
    <x v="3"/>
    <s v="Tercer Orden"/>
    <s v="Vías terciarias mejoradas"/>
    <m/>
    <m/>
    <m/>
    <m/>
    <n v="6"/>
    <n v="16347842057.745998"/>
    <n v="7901643157.3299999"/>
    <n v="8446198900.4159985"/>
    <n v="1620905965.8499999"/>
    <n v="2416666620"/>
    <n v="4037572585.8499999"/>
    <n v="0.24697893285168493"/>
    <n v="12310269471.895998"/>
    <n v="9848215577.516798"/>
    <n v="7386161683.137599"/>
    <n v="0.40145556058375176"/>
    <n v="0.5852153455768756"/>
    <n v="0.8"/>
    <x v="0"/>
    <n v="1477232336.6275198"/>
    <n v="-11946219029.23488"/>
  </r>
  <r>
    <n v="410"/>
    <x v="389"/>
    <d v="2025-03-13T00:00:00"/>
    <x v="29"/>
    <x v="5"/>
    <n v="-76.681531000000007"/>
    <s v="7,666147"/>
    <n v="1"/>
    <n v="1"/>
    <s v="2025010123714"/>
    <x v="1"/>
    <n v="5241523447"/>
    <x v="18"/>
    <s v="Urbana"/>
    <s v="Vía urbana mejorada"/>
    <s v="Presental el proyecto con el fin de que sea cofinanciado 50% el Departamento y 50% el municipio._x000a_Presentan enlace para descarga de EyD pero es necesario solicitar acceso al propietario de la carpeta"/>
    <m/>
    <m/>
    <m/>
    <n v="6"/>
    <n v="31480625713.601501"/>
    <n v="12012746210.970001"/>
    <n v="19467879502.6315"/>
    <n v="990257688"/>
    <n v="4241046406.5999999"/>
    <n v="5231304094.6000004"/>
    <n v="0.16617535312647125"/>
    <n v="26249321619.001503"/>
    <n v="20999457295.201202"/>
    <n v="15749592971.400902"/>
    <n v="0.18929461375074541"/>
    <n v="0.57128723877428544"/>
    <n v="0.8"/>
    <x v="0"/>
    <n v="3149918594.2801805"/>
    <n v="-8926199522.3189163"/>
  </r>
  <r>
    <n v="411"/>
    <x v="390"/>
    <d v="2025-03-31T00:00:00"/>
    <x v="112"/>
    <x v="1"/>
    <n v="-75.582192000000006"/>
    <s v="6,166695"/>
    <n v="0"/>
    <n v="0"/>
    <s v="2025010119542"/>
    <x v="1"/>
    <n v="18376102798"/>
    <x v="3"/>
    <s v="Tercer Orden"/>
    <s v="Vías terciarias mejoradas"/>
    <s v="Reposicion de pavimento por pavimento flexible de 8.2km de vias terciarias  longitud distribuida en tres vias."/>
    <m/>
    <m/>
    <m/>
    <n v="1"/>
    <n v="529100951775.10547"/>
    <n v="139843828606.55002"/>
    <n v="389257123168.55542"/>
    <n v="36309816121"/>
    <n v="162755467295"/>
    <n v="199065283416"/>
    <n v="0.37623308510057785"/>
    <n v="330035668359.10547"/>
    <n v="264028534687.28439"/>
    <n v="198021401015.46329"/>
    <n v="0.18240154937072053"/>
    <n v="0.24492606689818583"/>
    <n v="0.65"/>
    <x v="0"/>
    <n v="39604280203.092659"/>
    <n v="219249578420.55594"/>
  </r>
  <r>
    <n v="412"/>
    <x v="391"/>
    <d v="2025-03-31T00:00:00"/>
    <x v="47"/>
    <x v="7"/>
    <n v="-75.826648000000006"/>
    <s v="6,556484"/>
    <n v="0"/>
    <n v="1"/>
    <m/>
    <x v="1"/>
    <n v="1052754655"/>
    <x v="16"/>
    <s v="Tercer Orden"/>
    <s v="Vías terciarias mejoradas"/>
    <s v="La via pertenece al INVIAS se debe solicitar permiso de intervencion. Pertenece a programa de puentes y PAP. Priorizado 04/04/2025"/>
    <n v="1"/>
    <s v="SGR Regionales 60%"/>
    <s v="Puentes y PAP 2025-1"/>
    <n v="5"/>
    <n v="40656193467.687004"/>
    <n v="18778286398.540001"/>
    <n v="21877907069.147003"/>
    <n v="5492975516"/>
    <n v="2014055909"/>
    <n v="7507031425"/>
    <n v="0.18464668688096655"/>
    <n v="33149162042.687004"/>
    <n v="26519329634.149605"/>
    <n v="19889497225.612202"/>
    <n v="0.73171073957506449"/>
    <n v="0.53391906125286837"/>
    <n v="0.8"/>
    <x v="0"/>
    <n v="3977899445.1224403"/>
    <n v="-22304221465.265358"/>
  </r>
  <r>
    <n v="414"/>
    <x v="392"/>
    <d v="2025-03-25T00:00:00"/>
    <x v="85"/>
    <x v="7"/>
    <n v="-75.910357000000005"/>
    <s v="7,021029"/>
    <n v="0"/>
    <n v="0"/>
    <s v="2025010142801 2025010142897"/>
    <x v="3"/>
    <m/>
    <x v="19"/>
    <s v="Urbana"/>
    <s v="Vía urbana mejorada"/>
    <s v="Proyecto esta en FASE 3.Puede ser competencia de DAGRAN. "/>
    <m/>
    <m/>
    <m/>
    <n v="6"/>
    <n v="13002660545.618999"/>
    <n v="2851909764.96"/>
    <n v="10150750780.659"/>
    <n v="3580400217"/>
    <n v="0"/>
    <n v="3580400217"/>
    <n v="0.27535904705336234"/>
    <n v="9422260328.6189995"/>
    <n v="7537808262.8951998"/>
    <n v="5653356197.1713991"/>
    <n v="1"/>
    <n v="0.60546314083774588"/>
    <n v="0.8"/>
    <x v="0"/>
    <n v="1130671239.4342799"/>
    <n v="-65295013.394321442"/>
  </r>
  <r>
    <n v="415"/>
    <x v="393"/>
    <d v="2025-03-25T00:00:00"/>
    <x v="113"/>
    <x v="4"/>
    <n v="-75.764673000000002"/>
    <s v="7,171629"/>
    <n v="1"/>
    <n v="1"/>
    <s v="2025010144661"/>
    <x v="2"/>
    <m/>
    <x v="19"/>
    <s v="Urbana"/>
    <s v="Vía urbana mejorada"/>
    <s v="Estudios ya habian sido radicados en el 2024. Municipio envia presupuesto actualizado al presente año. Puede ser competencia de DAGRAN"/>
    <m/>
    <m/>
    <m/>
    <n v="6"/>
    <n v="18426107981.286503"/>
    <n v="4869802105.2700005"/>
    <n v="13556305876.016502"/>
    <n v="951343820.02999997"/>
    <n v="9684082914"/>
    <n v="10635426734.030001"/>
    <n v="0.57719333593569011"/>
    <n v="7790681247.2565022"/>
    <n v="6232544997.8052025"/>
    <n v="4674408748.3539009"/>
    <n v="8.9450460599385329E-2"/>
    <n v="0.56172885881394896"/>
    <n v="0.8"/>
    <x v="0"/>
    <n v="934881749.67078018"/>
    <n v="-17632992525.975319"/>
  </r>
  <r>
    <n v="416"/>
    <x v="394"/>
    <d v="2025-03-26T00:00:00"/>
    <x v="78"/>
    <x v="3"/>
    <n v="-75.607810000000001"/>
    <s v="5,743808"/>
    <n v="0"/>
    <n v="0"/>
    <s v="2025010147279"/>
    <x v="3"/>
    <m/>
    <x v="19"/>
    <s v="Urbana"/>
    <s v="Vía urbana mejorada"/>
    <s v="Mitigacion de riesgos. Muros estimados con cartilla.^Puede ser competencia de DAGRAN"/>
    <m/>
    <m/>
    <m/>
    <n v="6"/>
    <n v="10783113038.2925"/>
    <n v="5750561650.9200001"/>
    <n v="5032551387.3724995"/>
    <n v="4104930290"/>
    <n v="0"/>
    <n v="4104930290"/>
    <n v="0.38068137423977277"/>
    <n v="6678182748.2924995"/>
    <n v="5342546198.6339998"/>
    <n v="4006909648.9754996"/>
    <n v="1"/>
    <n v="0.6829525248720959"/>
    <n v="0.8"/>
    <x v="0"/>
    <n v="801381929.79509997"/>
    <n v="3545266902.7705994"/>
  </r>
  <r>
    <n v="417"/>
    <x v="395"/>
    <d v="2025-03-28T00:00:00"/>
    <x v="81"/>
    <x v="2"/>
    <n v="-75.184445999999994"/>
    <s v="6,142892"/>
    <n v="0"/>
    <n v="1"/>
    <s v=""/>
    <x v="3"/>
    <m/>
    <x v="3"/>
    <s v="Segundo Orden"/>
    <s v="Vías secundarias mejoradas"/>
    <s v="Informacion recibida por email 28/03/2025"/>
    <m/>
    <m/>
    <m/>
    <n v="6"/>
    <n v="9100976268.0305004"/>
    <n v="3221460794.1700001"/>
    <n v="5879515473.8605003"/>
    <n v="1026722956"/>
    <n v="190000000"/>
    <n v="1216722956"/>
    <n v="0.13369147662477152"/>
    <n v="7884253312.0305004"/>
    <n v="6307402649.6244011"/>
    <n v="4730551987.2182999"/>
    <n v="0.84384284108140062"/>
    <n v="0.65864601932480682"/>
    <n v="0.8"/>
    <x v="0"/>
    <n v="946110397.44366002"/>
    <n v="-23609701698.338039"/>
  </r>
  <r>
    <n v="418"/>
    <x v="396"/>
    <d v="2025-03-26T00:00:00"/>
    <x v="51"/>
    <x v="2"/>
    <n v="-75.339344999999994"/>
    <s v="6,173995"/>
    <n v="0"/>
    <n v="0"/>
    <s v="2025010142669"/>
    <x v="1"/>
    <n v="5048252540"/>
    <x v="4"/>
    <s v="Tercer Orden"/>
    <s v="Vías terciarias mejoradas"/>
    <s v="Tiene E&amp;D"/>
    <m/>
    <m/>
    <m/>
    <n v="4"/>
    <n v="62016835956.019493"/>
    <n v="25368005936.310001"/>
    <n v="36648830019.709488"/>
    <n v="25635932166"/>
    <n v="7522176280"/>
    <n v="33158108446"/>
    <n v="0.53466301424204787"/>
    <n v="28858727510.019493"/>
    <n v="23086982008.015594"/>
    <n v="17315236506.011696"/>
    <n v="0.77314217750839676"/>
    <n v="0.52777286703387605"/>
    <n v="0.8"/>
    <x v="0"/>
    <n v="3463047301.2023392"/>
    <n v="-1514260574754.7859"/>
  </r>
  <r>
    <n v="501"/>
    <x v="397"/>
    <d v="2025-03-26T00:00:00"/>
    <x v="13"/>
    <x v="5"/>
    <n v="-76.380566999999999"/>
    <s v="8,276884"/>
    <n v="1"/>
    <n v="1"/>
    <s v="2025010138651"/>
    <x v="1"/>
    <n v="5076162496"/>
    <x v="4"/>
    <s v="Tercer Orden"/>
    <s v="Vías terciarias mejoradas"/>
    <m/>
    <m/>
    <m/>
    <m/>
    <n v="6"/>
    <n v="19508372714.52"/>
    <n v="5389834315.5"/>
    <n v="14118538399.02"/>
    <n v="2594281047"/>
    <n v="1833333333"/>
    <n v="4427614380"/>
    <n v="0.22695969801235882"/>
    <n v="15080758334.52"/>
    <n v="12064606667.616001"/>
    <n v="9048455000.7119999"/>
    <n v="0.58593202215591322"/>
    <n v="0.58851112900500024"/>
    <n v="0.8"/>
    <x v="0"/>
    <n v="1809691000.1424"/>
    <n v="-12151086930.145599"/>
  </r>
  <r>
    <n v="508"/>
    <x v="398"/>
    <d v="2025-03-31T00:00:00"/>
    <x v="60"/>
    <x v="2"/>
    <n v="-75.333900999999997"/>
    <s v="6,082885"/>
    <n v="0"/>
    <n v="0"/>
    <s v="2025010153503"/>
    <x v="3"/>
    <n v="4455284728"/>
    <x v="12"/>
    <s v="Urbana"/>
    <s v="Vía urbana mejorada"/>
    <s v="El proyecto contempla pavimento articulado andenes alumbrado y otras obras urbanisticas"/>
    <m/>
    <m/>
    <m/>
    <n v="3"/>
    <n v="70430942311.208496"/>
    <n v="29041990033.869999"/>
    <n v="41388952277.338501"/>
    <n v="14609948257"/>
    <n v="2802411494.09375"/>
    <n v="17412359751.09375"/>
    <n v="0.24722599442379914"/>
    <n v="53018582560.114746"/>
    <n v="42414866048.091797"/>
    <n v="31811149536.068848"/>
    <n v="0.83905619145516919"/>
    <n v="0.45782837875910809"/>
    <n v="0.7"/>
    <x v="0"/>
    <n v="6362229907.2137699"/>
    <n v="28993841225.282616"/>
  </r>
  <r>
    <n v="509"/>
    <x v="399"/>
    <d v="2025-03-27T00:00:00"/>
    <x v="97"/>
    <x v="4"/>
    <n v="-75.335115999999999"/>
    <s v="6,885175"/>
    <n v="0"/>
    <n v="1"/>
    <s v="2025010148140"/>
    <x v="1"/>
    <n v="77355076"/>
    <x v="6"/>
    <s v="Urbana"/>
    <s v="Vía urbana mejorada"/>
    <m/>
    <m/>
    <m/>
    <m/>
    <n v="6"/>
    <n v="12764062914.553999"/>
    <n v="4266060462.2200003"/>
    <n v="8498002452.3339987"/>
    <n v="4258957687"/>
    <n v="500000000"/>
    <n v="4758957687"/>
    <n v="0.37284035019708983"/>
    <n v="8005105227.5539989"/>
    <n v="6404084182.0431995"/>
    <n v="4803063136.5323992"/>
    <n v="0.89493497675639244"/>
    <n v="0.64132957807138946"/>
    <n v="0.8"/>
    <x v="0"/>
    <n v="960612627.30647993"/>
    <n v="-8999039296.1611214"/>
  </r>
  <r>
    <n v="510"/>
    <x v="400"/>
    <d v="2025-03-27T00:00:00"/>
    <x v="97"/>
    <x v="4"/>
    <n v="-75.335115999999999"/>
    <s v="6,885175"/>
    <n v="0"/>
    <n v="1"/>
    <s v="2025010148140"/>
    <x v="1"/>
    <n v="1540411797"/>
    <x v="6"/>
    <s v="Urbana"/>
    <s v="Vía urbana mejorada"/>
    <m/>
    <m/>
    <m/>
    <m/>
    <n v="6"/>
    <n v="12764062914.553999"/>
    <n v="4266060462.2200003"/>
    <n v="8498002452.3339987"/>
    <n v="4258957687"/>
    <n v="500000000"/>
    <n v="4758957687"/>
    <n v="0.37284035019708983"/>
    <n v="8005105227.5539989"/>
    <n v="6404084182.0431995"/>
    <n v="4803063136.5323992"/>
    <n v="0.89493497675639244"/>
    <n v="0.64132957807138946"/>
    <n v="0.8"/>
    <x v="0"/>
    <n v="960612627.30647993"/>
    <n v="-8999039296.1611214"/>
  </r>
  <r>
    <n v="511"/>
    <x v="401"/>
    <d v="2025-03-27T00:00:00"/>
    <x v="97"/>
    <x v="4"/>
    <n v="-75.335115999999999"/>
    <s v="6,885175"/>
    <n v="0"/>
    <n v="1"/>
    <s v="2025010148140"/>
    <x v="1"/>
    <n v="483820114"/>
    <x v="6"/>
    <s v="Urbana"/>
    <s v="Vía urbana mejorada"/>
    <m/>
    <m/>
    <m/>
    <m/>
    <n v="6"/>
    <n v="12764062914.553999"/>
    <n v="4266060462.2200003"/>
    <n v="8498002452.3339987"/>
    <n v="4258957687"/>
    <n v="500000000"/>
    <n v="4758957687"/>
    <n v="0.37284035019708983"/>
    <n v="8005105227.5539989"/>
    <n v="6404084182.0431995"/>
    <n v="4803063136.5323992"/>
    <n v="0.89493497675639244"/>
    <n v="0.64132957807138946"/>
    <n v="0.8"/>
    <x v="0"/>
    <n v="960612627.30647993"/>
    <n v="-8999039296.1611214"/>
  </r>
  <r>
    <n v="512"/>
    <x v="402"/>
    <d v="2025-03-28T00:00:00"/>
    <x v="81"/>
    <x v="2"/>
    <n v="-75.184445999999994"/>
    <s v="6,142892"/>
    <n v="0"/>
    <n v="1"/>
    <s v="2025010152936"/>
    <x v="3"/>
    <n v="8212482639"/>
    <x v="3"/>
    <s v="Tercer Orden"/>
    <s v="Vías terciarias mejoradas"/>
    <s v="Nuevo trazado de via de acceso a casco urbano debido a problemas de inestabilidad en via existente"/>
    <m/>
    <m/>
    <m/>
    <n v="6"/>
    <n v="9100976268.0305004"/>
    <n v="3221460794.1700001"/>
    <n v="5879515473.8605003"/>
    <n v="1026722956"/>
    <n v="190000000"/>
    <n v="1216722956"/>
    <n v="0.13369147662477152"/>
    <n v="7884253312.0305004"/>
    <n v="6307402649.6244011"/>
    <n v="4730551987.2182999"/>
    <n v="0.84384284108140062"/>
    <n v="0.65864601932480682"/>
    <n v="0.8"/>
    <x v="0"/>
    <n v="946110397.44366002"/>
    <n v="-23609701698.338039"/>
  </r>
  <r>
    <n v="513"/>
    <x v="403"/>
    <d v="2023-04-04T00:00:00"/>
    <x v="58"/>
    <x v="6"/>
    <n v="-74.867075"/>
    <n v="7.4885830000000002"/>
    <n v="1"/>
    <n v="1"/>
    <s v="2025010165443"/>
    <x v="1"/>
    <n v="7806792761"/>
    <x v="6"/>
    <s v="Tercer Orden"/>
    <s v="Vías terciarias mejoradas"/>
    <m/>
    <m/>
    <m/>
    <m/>
    <n v="6"/>
    <n v="26491016162.216"/>
    <n v="7986352410.1199999"/>
    <n v="18504663752.096001"/>
    <n v="6804069561"/>
    <n v="0"/>
    <n v="6804069561"/>
    <n v="0.25684441545525194"/>
    <n v="19686946601.216"/>
    <n v="15749557280.972801"/>
    <n v="11812167960.729599"/>
    <n v="1"/>
    <n v="0.54140540347070121"/>
    <n v="0.8"/>
    <x v="0"/>
    <n v="2362433592.1459198"/>
    <n v="-15716605637.124481"/>
  </r>
  <r>
    <n v="514"/>
    <x v="404"/>
    <d v="2025-04-02T00:00:00"/>
    <x v="84"/>
    <x v="7"/>
    <n v="-75.982929999999996"/>
    <s v="6,405607"/>
    <n v="0"/>
    <n v="1"/>
    <s v="2025010147040 2025010244316"/>
    <x v="1"/>
    <n v="5847441427"/>
    <x v="16"/>
    <s v="Tercer Orden"/>
    <s v="Vías terciarias mejoradas"/>
    <s v="Municipio solicita apoyo para llevar proyecto a FASE III. Son dos puentes la soledad y Jardin solo el primero tiene EYD. Priorizado 14/05/2025"/>
    <n v="1"/>
    <s v="SGR Regionales 60%"/>
    <s v="Puentes y PAP 2025-1"/>
    <n v="6"/>
    <n v="8536446221.1044998"/>
    <n v="2840287960.8099999"/>
    <n v="5696158260.2945004"/>
    <n v="1059912604"/>
    <n v="559890374"/>
    <n v="1619802978"/>
    <n v="0.18975144176453554"/>
    <n v="6916643243.1044998"/>
    <n v="5533314594.4836006"/>
    <n v="4149985945.8626995"/>
    <n v="0.65434662017271583"/>
    <n v="0.62730744736284794"/>
    <n v="0.8"/>
    <x v="0"/>
    <n v="829997189.17253995"/>
    <n v="-7956520095.9647608"/>
  </r>
  <r>
    <n v="515"/>
    <x v="405"/>
    <d v="2025-04-03T00:00:00"/>
    <x v="22"/>
    <x v="3"/>
    <n v="-75.624452000000005"/>
    <n v="5.6145550000000002"/>
    <n v="0"/>
    <n v="0"/>
    <s v="2025010162556"/>
    <x v="3"/>
    <n v="2673683584"/>
    <x v="10"/>
    <s v="Tercer Orden"/>
    <s v="Vías terciarias mejoradas"/>
    <m/>
    <m/>
    <m/>
    <m/>
    <n v="6"/>
    <n v="6485715716.868001"/>
    <n v="3717110032.7600002"/>
    <n v="2768605684.1080008"/>
    <n v="598561755.20000005"/>
    <n v="823222224"/>
    <n v="1421783979.2"/>
    <n v="0.21921774577665112"/>
    <n v="5063931737.6680012"/>
    <n v="4051145390.1344013"/>
    <n v="3038359042.6008005"/>
    <n v="0.42099345889155032"/>
    <n v="0.68598337343648785"/>
    <n v="0.8"/>
    <x v="0"/>
    <n v="607671808.52016008"/>
    <n v="-1701336321.8790393"/>
  </r>
  <r>
    <n v="516"/>
    <x v="406"/>
    <d v="2025-04-02T00:00:00"/>
    <x v="70"/>
    <x v="0"/>
    <n v="-75.019109"/>
    <s v="6,485939"/>
    <n v="0"/>
    <n v="0"/>
    <s v="2025010161226"/>
    <x v="0"/>
    <m/>
    <x v="16"/>
    <s v="Tercer Orden"/>
    <s v="Vías terciarias mejoradas"/>
    <s v="Apoyo para la financiacion de estudios  de dos puentes vehiculares en las veredas San Juan y San Antonio"/>
    <m/>
    <m/>
    <m/>
    <n v="6"/>
    <n v="13645854382.4415"/>
    <n v="5036095672.2200003"/>
    <n v="8609758710.2215004"/>
    <n v="2357809963"/>
    <n v="1093248488"/>
    <n v="3451058451"/>
    <n v="0.25290160324739891"/>
    <n v="10194795931.4415"/>
    <n v="8155836745.1532001"/>
    <n v="6116877558.8648996"/>
    <n v="0.68321356954032075"/>
    <n v="0.58815143933117542"/>
    <n v="0.8"/>
    <x v="0"/>
    <n v="1223375511.77298"/>
    <n v="-66818961.362120628"/>
  </r>
  <r>
    <n v="517"/>
    <x v="407"/>
    <d v="2025-03-31T00:00:00"/>
    <x v="60"/>
    <x v="2"/>
    <n v="-75.333900999999997"/>
    <s v="6,082885"/>
    <n v="0"/>
    <n v="0"/>
    <s v="2025010153506"/>
    <x v="1"/>
    <n v="1976490339"/>
    <x v="18"/>
    <s v="Urbana"/>
    <s v="Vía urbana mejorada"/>
    <s v="Apoyo coofinanciacion proyecto luminaria"/>
    <m/>
    <m/>
    <m/>
    <n v="3"/>
    <n v="70430942311.208496"/>
    <n v="29041990033.869999"/>
    <n v="41388952277.338501"/>
    <n v="14609948257"/>
    <n v="2802411494.09375"/>
    <n v="17412359751.09375"/>
    <n v="0.24722599442379914"/>
    <n v="53018582560.114746"/>
    <n v="42414866048.091797"/>
    <n v="31811149536.068848"/>
    <n v="0.83905619145516919"/>
    <n v="0.45782837875910809"/>
    <n v="0.7"/>
    <x v="0"/>
    <n v="6362229907.2137699"/>
    <n v="28993841225.282616"/>
  </r>
  <r>
    <n v="518"/>
    <x v="408"/>
    <d v="2025-04-10T00:00:00"/>
    <x v="57"/>
    <x v="1"/>
    <n v="-75.444237999999999"/>
    <s v="6,379472"/>
    <n v="0"/>
    <n v="0"/>
    <s v="2025010177572"/>
    <x v="5"/>
    <n v="17008905677"/>
    <x v="15"/>
    <m/>
    <m/>
    <s v="Solicitud escalada a secretario para establecer el sentido de la respuesta"/>
    <m/>
    <m/>
    <m/>
    <n v="2"/>
    <n v="101079829717.10699"/>
    <n v="35923834396.690002"/>
    <n v="65155995320.416992"/>
    <n v="0"/>
    <n v="33364035579"/>
    <n v="33364035579"/>
    <n v="0.33007609601615101"/>
    <n v="67715794138.106995"/>
    <n v="54172635310.485596"/>
    <n v="40629476482.864197"/>
    <n v="0"/>
    <n v="0.39321465077323631"/>
    <n v="0.7"/>
    <x v="0"/>
    <n v="8125895296.5728397"/>
    <n v="-24641831699.562965"/>
  </r>
  <r>
    <n v="519"/>
    <x v="409"/>
    <d v="2025-04-21T00:00:00"/>
    <x v="74"/>
    <x v="2"/>
    <n v="-75.501300999999998"/>
    <s v="6,062454"/>
    <n v="0"/>
    <n v="0"/>
    <s v="2025010190600"/>
    <x v="3"/>
    <n v="4749403169"/>
    <x v="10"/>
    <s v="Tercer Orden"/>
    <s v="Vías terciarias mejoradas"/>
    <s v="Disenos de muros cartilla veredas El Carmen (3) y Pantalio (1)"/>
    <m/>
    <m/>
    <m/>
    <n v="3"/>
    <n v="69187005609.695007"/>
    <n v="24929217109.209999"/>
    <n v="44257788500.485008"/>
    <n v="0"/>
    <n v="0"/>
    <n v="0"/>
    <n v="0"/>
    <n v="69187005609.695007"/>
    <n v="55349604487.756012"/>
    <n v="41512203365.817001"/>
    <n v="0"/>
    <n v="0.36680132048521774"/>
    <n v="0.7"/>
    <x v="0"/>
    <n v="8302440673.1634007"/>
    <n v="17930040883.9804"/>
  </r>
  <r>
    <n v="520"/>
    <x v="410"/>
    <d v="2025-04-30T00:00:00"/>
    <x v="35"/>
    <x v="4"/>
    <n v="-75.550359999999998"/>
    <s v="7,112803"/>
    <n v="1"/>
    <n v="1"/>
    <s v="2025010210387"/>
    <x v="0"/>
    <m/>
    <x v="10"/>
    <s v="N/A"/>
    <s v="Espacio público adecuado"/>
    <s v="Propuesta remodelación Parque Principal Briceño Antioquia (recursos para estudios y diseños)"/>
    <m/>
    <m/>
    <m/>
    <n v="6"/>
    <n v="15936675551.976999"/>
    <n v="6355203503.6700001"/>
    <n v="9581472048.3069992"/>
    <n v="166905356.59"/>
    <n v="5064590198"/>
    <n v="5231495554.5900002"/>
    <n v="0.32826768277534613"/>
    <n v="10705179997.386999"/>
    <n v="8564143997.9095993"/>
    <n v="6423107998.4321995"/>
    <n v="3.1903946939907245E-2"/>
    <n v="0.65192157878949775"/>
    <n v="0.8"/>
    <x v="0"/>
    <n v="1284621599.68644"/>
    <n v="-845089345.88136101"/>
  </r>
  <r>
    <n v="521"/>
    <x v="411"/>
    <d v="2025-04-23T00:00:00"/>
    <x v="84"/>
    <x v="7"/>
    <n v="-75.982929999999996"/>
    <s v="6,405607"/>
    <n v="0"/>
    <n v="1"/>
    <s v="2025050334542"/>
    <x v="0"/>
    <m/>
    <x v="3"/>
    <m/>
    <m/>
    <s v="Solicitud recursos para estudios y diseños via Caicedo Urrao"/>
    <m/>
    <m/>
    <m/>
    <n v="6"/>
    <n v="8536446221.1044998"/>
    <n v="2840287960.8099999"/>
    <n v="5696158260.2945004"/>
    <n v="1059912604"/>
    <n v="559890374"/>
    <n v="1619802978"/>
    <n v="0.18975144176453554"/>
    <n v="6916643243.1044998"/>
    <n v="5533314594.4836006"/>
    <n v="4149985945.8626995"/>
    <n v="0.65434662017271583"/>
    <n v="0.62730744736284794"/>
    <n v="0.8"/>
    <x v="0"/>
    <n v="829997189.17253995"/>
    <n v="-7956520095.9647608"/>
  </r>
  <r>
    <n v="522"/>
    <x v="412"/>
    <d v="2025-04-23T00:00:00"/>
    <x v="84"/>
    <x v="7"/>
    <n v="-75.982929999999996"/>
    <s v="6,405607"/>
    <n v="0"/>
    <n v="1"/>
    <s v="2025020367371"/>
    <x v="0"/>
    <m/>
    <x v="10"/>
    <m/>
    <m/>
    <s v="Solicitud intervencion via Caicedo Urrao"/>
    <m/>
    <m/>
    <m/>
    <n v="6"/>
    <n v="8536446221.1044998"/>
    <n v="2840287960.8099999"/>
    <n v="5696158260.2945004"/>
    <n v="1059912604"/>
    <n v="559890374"/>
    <n v="1619802978"/>
    <n v="0.18975144176453554"/>
    <n v="6916643243.1044998"/>
    <n v="5533314594.4836006"/>
    <n v="4149985945.8626995"/>
    <n v="0.65434662017271583"/>
    <n v="0.62730744736284794"/>
    <n v="0.8"/>
    <x v="0"/>
    <n v="829997189.17253995"/>
    <n v="-7956520095.9647608"/>
  </r>
  <r>
    <n v="523"/>
    <x v="413"/>
    <d v="2025-05-05T00:00:00"/>
    <x v="42"/>
    <x v="5"/>
    <n v="-76.787271000000004"/>
    <s v="8,434526"/>
    <n v="1"/>
    <n v="1"/>
    <s v="2025010216055"/>
    <x v="1"/>
    <n v="10785716418"/>
    <x v="16"/>
    <s v="Tercer Orden"/>
    <s v="Vías terciarias mejoradas"/>
    <s v="Solicitud recursos construccion puente sobre quebrada Babilla"/>
    <n v="1"/>
    <s v="SGR Regionales 60%"/>
    <s v="Puentes y PAP 2025-1"/>
    <n v="6"/>
    <n v="30137297790.127998"/>
    <n v="12298726691.530001"/>
    <n v="17838571098.598"/>
    <n v="2369107602"/>
    <n v="13974896585"/>
    <n v="16344004187"/>
    <n v="0.54231817002364979"/>
    <n v="13793293603.127998"/>
    <n v="11034634882.502399"/>
    <n v="8275976161.8767986"/>
    <n v="0.1449527040554961"/>
    <n v="0.58055985759165929"/>
    <n v="0.8"/>
    <x v="0"/>
    <n v="1655195232.3753598"/>
    <n v="-27536564888.747841"/>
  </r>
  <r>
    <n v="524"/>
    <x v="414"/>
    <d v="2025-05-05T00:00:00"/>
    <x v="54"/>
    <x v="2"/>
    <n v="-75.360873999999995"/>
    <s v="5,973845"/>
    <n v="0"/>
    <n v="0"/>
    <s v="2025010217979"/>
    <x v="3"/>
    <m/>
    <x v="16"/>
    <s v="Urbana"/>
    <s v="Vía urbana mejorada"/>
    <s v="Presentacion proyecto mejoramiento mantenimiento y rehabilitacion del corredor vial de la circunvalar norte y las vias urbanas mediante la construccion de un puente vehicular urbano en el municipio de La Union"/>
    <m/>
    <m/>
    <m/>
    <n v="6"/>
    <n v="22781121123.307999"/>
    <n v="7460247261.1800003"/>
    <n v="15320873862.127998"/>
    <n v="8372353142.5600004"/>
    <n v="142113074"/>
    <n v="8514466216.5600004"/>
    <n v="0.37375097434729027"/>
    <n v="14266654906.747997"/>
    <n v="11413323925.398399"/>
    <n v="8559992944.0487976"/>
    <n v="0.98330922099102336"/>
    <n v="0.47573857187041646"/>
    <n v="0.8"/>
    <x v="0"/>
    <n v="1711998588.8097596"/>
    <n v="-9965414152.1414433"/>
  </r>
  <r>
    <n v="525"/>
    <x v="415"/>
    <d v="2025-05-05T00:00:00"/>
    <x v="54"/>
    <x v="2"/>
    <n v="-75.360873999999995"/>
    <s v="5,973845"/>
    <n v="0"/>
    <n v="0"/>
    <m/>
    <x v="3"/>
    <n v="2063521851"/>
    <x v="10"/>
    <s v="Tercer Orden"/>
    <s v="Vías terciarias mejoradas"/>
    <s v="Presentacion proyecto construccion BoxCulvert sobre la vereda La Almeria"/>
    <m/>
    <m/>
    <m/>
    <n v="6"/>
    <n v="22781121123.307999"/>
    <n v="7460247261.1800003"/>
    <n v="15320873862.127998"/>
    <n v="8372353142.5600004"/>
    <n v="142113074"/>
    <n v="8514466216.5600004"/>
    <n v="0.37375097434729027"/>
    <n v="14266654906.747997"/>
    <n v="11413323925.398399"/>
    <n v="8559992944.0487976"/>
    <n v="0.98330922099102336"/>
    <n v="0.47573857187041646"/>
    <n v="0.8"/>
    <x v="0"/>
    <n v="1711998588.8097596"/>
    <n v="-9965414152.1414433"/>
  </r>
  <r>
    <n v="526"/>
    <x v="416"/>
    <d v="2025-05-09T00:00:00"/>
    <x v="30"/>
    <x v="4"/>
    <n v="-75.418828000000005"/>
    <n v="6.963832"/>
    <n v="0"/>
    <n v="1"/>
    <s v="2025010230047"/>
    <x v="1"/>
    <n v="1987058803"/>
    <x v="16"/>
    <s v="Tercer Orden"/>
    <s v="Vías terciarias mejoradas"/>
    <s v="Hace parte del programa de Puentes y PAP. Priorizado 14/05/2025"/>
    <n v="1"/>
    <s v="SGR Regionales 60%"/>
    <s v="Puentes y PAP 2025-1"/>
    <n v="5"/>
    <n v="36204719778.619003"/>
    <n v="11082623753.610001"/>
    <n v="25122096025.009003"/>
    <n v="1291156679"/>
    <n v="12320355879.07"/>
    <n v="13611512558.07"/>
    <n v="0.37595961635113639"/>
    <n v="22593207220.549004"/>
    <n v="18074565776.439205"/>
    <n v="13555924332.329401"/>
    <n v="9.4857692963336279E-2"/>
    <n v="0.39053077044629697"/>
    <n v="0.8"/>
    <x v="0"/>
    <n v="2711184866.4658804"/>
    <n v="-1286623972.2047195"/>
  </r>
  <r>
    <n v="528"/>
    <x v="417"/>
    <d v="2025-03-26T00:00:00"/>
    <x v="103"/>
    <x v="7"/>
    <n v="-76.261613999999994"/>
    <s v="6,998112"/>
    <n v="1"/>
    <n v="1"/>
    <s v="2025010146334"/>
    <x v="0"/>
    <n v="30000000"/>
    <x v="15"/>
    <s v="Tercer Orden"/>
    <s v="Vías terciarias mejoradas"/>
    <s v="Peticion hecha por JAC del sector"/>
    <m/>
    <m/>
    <m/>
    <n v="6"/>
    <n v="24612921465.534"/>
    <n v="6692367651.6599998"/>
    <n v="17920553813.874001"/>
    <n v="830923107"/>
    <n v="8409573820"/>
    <n v="9240496927"/>
    <n v="0.37543275551176097"/>
    <n v="15372424538.534"/>
    <n v="12297939630.827202"/>
    <n v="9223454723.1203995"/>
    <n v="8.9921907183596203E-2"/>
    <n v="0.49254696748300181"/>
    <n v="0.8"/>
    <x v="0"/>
    <n v="1844690944.6240799"/>
    <n v="10612545667.74448"/>
  </r>
  <r>
    <n v="529"/>
    <x v="418"/>
    <d v="2025-04-24T00:00:00"/>
    <x v="36"/>
    <x v="4"/>
    <n v="-75.220017999999996"/>
    <s v="6,683269"/>
    <n v="0"/>
    <n v="0"/>
    <s v="2025010199475"/>
    <x v="0"/>
    <n v="4156350000"/>
    <x v="17"/>
    <s v="Tercer Orden"/>
    <s v="Vías terciarias mejoradas"/>
    <m/>
    <m/>
    <m/>
    <m/>
    <n v="6"/>
    <n v="12229746381.692001"/>
    <n v="3376878617.9000001"/>
    <n v="8852867763.7920017"/>
    <n v="1494526177.51"/>
    <n v="880381975"/>
    <n v="2374908152.5100002"/>
    <n v="0.19419112043609105"/>
    <n v="9854838229.1820011"/>
    <n v="7883870583.3456011"/>
    <n v="5912902937.5092001"/>
    <n v="0.6292985166312477"/>
    <n v="0.5600857997738885"/>
    <n v="0.8"/>
    <x v="0"/>
    <n v="1182580587.5018401"/>
    <n v="-14890911393.98896"/>
  </r>
  <r>
    <n v="530"/>
    <x v="419"/>
    <d v="2025-05-08T00:00:00"/>
    <x v="56"/>
    <x v="5"/>
    <n v="-76.426708000000005"/>
    <s v="8,849317"/>
    <n v="0"/>
    <n v="0"/>
    <s v="2025010225771"/>
    <x v="0"/>
    <m/>
    <x v="4"/>
    <s v="Tercer Orden"/>
    <s v="Vías terciarias mejoradas"/>
    <s v="Peticion hecha por JAC del sector"/>
    <m/>
    <m/>
    <m/>
    <n v="6"/>
    <n v="19782037469.424"/>
    <n v="6224691780.3400002"/>
    <n v="13557345689.084"/>
    <n v="5530076291"/>
    <n v="135075758"/>
    <n v="5665152049"/>
    <n v="0.28637859258715448"/>
    <n v="14116885420.424"/>
    <n v="11293508336.339201"/>
    <n v="8470131252.2543993"/>
    <n v="0.97615672856938707"/>
    <n v="0.63121490876418529"/>
    <n v="0.8"/>
    <x v="0"/>
    <n v="1694026250.4508801"/>
    <n v="-26539735251.29472"/>
  </r>
  <r>
    <n v="531"/>
    <x v="420"/>
    <d v="2025-05-08T00:00:00"/>
    <x v="14"/>
    <x v="5"/>
    <n v="-76.528570000000002"/>
    <s v="8,758964"/>
    <n v="0"/>
    <n v="0"/>
    <s v="2025010225808"/>
    <x v="0"/>
    <m/>
    <x v="4"/>
    <s v="Tercer Orden"/>
    <s v="Vías terciarias mejoradas"/>
    <s v="Peticion hecha por JAC del sector"/>
    <m/>
    <m/>
    <m/>
    <n v="6"/>
    <n v="21558400486.167"/>
    <n v="4028552935.2600002"/>
    <n v="17529847550.906998"/>
    <n v="573337825"/>
    <n v="3454671378"/>
    <n v="4028009203"/>
    <n v="0.18684174670493675"/>
    <n v="17530391283.167"/>
    <n v="14024313026.5336"/>
    <n v="10518234769.9002"/>
    <n v="0.14233776441548016"/>
    <n v="0.45202185420266422"/>
    <n v="0.8"/>
    <x v="0"/>
    <n v="2103646953.9800401"/>
    <n v="5694222504.8802395"/>
  </r>
  <r>
    <n v="532"/>
    <x v="421"/>
    <d v="2025-05-08T00:00:00"/>
    <x v="14"/>
    <x v="5"/>
    <n v="-76.528570000000002"/>
    <s v="8,758964"/>
    <n v="0"/>
    <n v="0"/>
    <s v="2025010225809"/>
    <x v="0"/>
    <m/>
    <x v="4"/>
    <s v="Tercer Orden"/>
    <s v="Vías terciarias mejoradas"/>
    <s v="Peticion hecha por JAC del sector"/>
    <m/>
    <m/>
    <m/>
    <n v="6"/>
    <n v="21558400486.167"/>
    <n v="4028552935.2600002"/>
    <n v="17529847550.906998"/>
    <n v="573337825"/>
    <n v="3454671378"/>
    <n v="4028009203"/>
    <n v="0.18684174670493675"/>
    <n v="17530391283.167"/>
    <n v="14024313026.5336"/>
    <n v="10518234769.9002"/>
    <n v="0.14233776441548016"/>
    <n v="0.45202185420266422"/>
    <n v="0.8"/>
    <x v="0"/>
    <n v="2103646953.9800401"/>
    <n v="5694222504.8802395"/>
  </r>
  <r>
    <n v="533"/>
    <x v="422"/>
    <d v="2025-05-08T00:00:00"/>
    <x v="56"/>
    <x v="5"/>
    <n v="-76.426708000000005"/>
    <s v="8,849317"/>
    <n v="0"/>
    <n v="0"/>
    <s v="2025010225810"/>
    <x v="0"/>
    <m/>
    <x v="4"/>
    <s v="Tercer Orden"/>
    <s v="Vías terciarias mejoradas"/>
    <s v="Peticion hecha por JAC del sector"/>
    <m/>
    <m/>
    <m/>
    <n v="6"/>
    <n v="19782037469.424"/>
    <n v="6224691780.3400002"/>
    <n v="13557345689.084"/>
    <n v="5530076291"/>
    <n v="135075758"/>
    <n v="5665152049"/>
    <n v="0.28637859258715448"/>
    <n v="14116885420.424"/>
    <n v="11293508336.339201"/>
    <n v="8470131252.2543993"/>
    <n v="0.97615672856938707"/>
    <n v="0.63121490876418529"/>
    <n v="0.8"/>
    <x v="0"/>
    <n v="1694026250.4508801"/>
    <n v="-26539735251.29472"/>
  </r>
  <r>
    <n v="534"/>
    <x v="423"/>
    <d v="2025-05-08T00:00:00"/>
    <x v="14"/>
    <x v="5"/>
    <n v="-76.528570000000002"/>
    <s v="8,758964"/>
    <n v="0"/>
    <n v="0"/>
    <s v="2025010225812"/>
    <x v="0"/>
    <m/>
    <x v="4"/>
    <s v="Tercer Orden"/>
    <s v="Vías terciarias mejoradas"/>
    <s v="Peticion hecha por JAC del sector"/>
    <m/>
    <m/>
    <m/>
    <n v="6"/>
    <n v="21558400486.167"/>
    <n v="4028552935.2600002"/>
    <n v="17529847550.906998"/>
    <n v="573337825"/>
    <n v="3454671378"/>
    <n v="4028009203"/>
    <n v="0.18684174670493675"/>
    <n v="17530391283.167"/>
    <n v="14024313026.5336"/>
    <n v="10518234769.9002"/>
    <n v="0.14233776441548016"/>
    <n v="0.45202185420266422"/>
    <n v="0.8"/>
    <x v="0"/>
    <n v="2103646953.9800401"/>
    <n v="5694222504.8802395"/>
  </r>
  <r>
    <n v="535"/>
    <x v="424"/>
    <d v="2025-05-08T00:00:00"/>
    <x v="56"/>
    <x v="5"/>
    <n v="-76.426708000000005"/>
    <s v="8,849317"/>
    <n v="0"/>
    <n v="0"/>
    <s v="2025010225813"/>
    <x v="0"/>
    <m/>
    <x v="4"/>
    <s v="Tercer Orden"/>
    <s v="Vías terciarias mejoradas"/>
    <s v="Peticion hecha por JAC del sector"/>
    <m/>
    <m/>
    <m/>
    <n v="6"/>
    <n v="19782037469.424"/>
    <n v="6224691780.3400002"/>
    <n v="13557345689.084"/>
    <n v="5530076291"/>
    <n v="135075758"/>
    <n v="5665152049"/>
    <n v="0.28637859258715448"/>
    <n v="14116885420.424"/>
    <n v="11293508336.339201"/>
    <n v="8470131252.2543993"/>
    <n v="0.97615672856938707"/>
    <n v="0.63121490876418529"/>
    <n v="0.8"/>
    <x v="0"/>
    <n v="1694026250.4508801"/>
    <n v="-26539735251.29472"/>
  </r>
  <r>
    <n v="536"/>
    <x v="425"/>
    <d v="2025-05-08T00:00:00"/>
    <x v="14"/>
    <x v="5"/>
    <n v="-76.528570000000002"/>
    <s v="8,758964"/>
    <n v="0"/>
    <n v="0"/>
    <s v="2025010225981"/>
    <x v="0"/>
    <m/>
    <x v="4"/>
    <s v="Tercer Orden"/>
    <s v="Vías terciarias mejoradas"/>
    <s v="Peticion hecha por JAC del sector"/>
    <m/>
    <m/>
    <m/>
    <n v="6"/>
    <n v="21558400486.167"/>
    <n v="4028552935.2600002"/>
    <n v="17529847550.906998"/>
    <n v="573337825"/>
    <n v="3454671378"/>
    <n v="4028009203"/>
    <n v="0.18684174670493675"/>
    <n v="17530391283.167"/>
    <n v="14024313026.5336"/>
    <n v="10518234769.9002"/>
    <n v="0.14233776441548016"/>
    <n v="0.45202185420266422"/>
    <n v="0.8"/>
    <x v="0"/>
    <n v="2103646953.9800401"/>
    <n v="5694222504.8802395"/>
  </r>
  <r>
    <n v="537"/>
    <x v="426"/>
    <d v="2025-05-08T00:00:00"/>
    <x v="13"/>
    <x v="5"/>
    <n v="-76.380566999999999"/>
    <s v="8,276884"/>
    <n v="1"/>
    <n v="1"/>
    <s v="2025010226243"/>
    <x v="0"/>
    <m/>
    <x v="4"/>
    <s v="Tercer Orden"/>
    <s v="Vías terciarias mejoradas"/>
    <s v="Peticion hecha por JAC del sector"/>
    <m/>
    <m/>
    <m/>
    <n v="6"/>
    <n v="19508372714.52"/>
    <n v="5389834315.5"/>
    <n v="14118538399.02"/>
    <n v="2594281047"/>
    <n v="1833333333"/>
    <n v="4427614380"/>
    <n v="0.22695969801235882"/>
    <n v="15080758334.52"/>
    <n v="12064606667.616001"/>
    <n v="9048455000.7119999"/>
    <n v="0.58593202215591322"/>
    <n v="0.58851112900500024"/>
    <n v="0.8"/>
    <x v="0"/>
    <n v="1809691000.1424"/>
    <n v="-12151086930.145599"/>
  </r>
  <r>
    <n v="538"/>
    <x v="427"/>
    <d v="2025-05-12T00:00:00"/>
    <x v="89"/>
    <x v="2"/>
    <n v="-75.028490000000005"/>
    <s v="6,293759"/>
    <n v="0"/>
    <n v="1"/>
    <s v="2025010231356"/>
    <x v="1"/>
    <n v="2150080474"/>
    <x v="4"/>
    <s v="Tercer Orden"/>
    <s v="Vías terciarias mejoradas"/>
    <s v="Peticion hecha por JAC del sector"/>
    <m/>
    <m/>
    <m/>
    <n v="6"/>
    <n v="17565923370.843998"/>
    <n v="4463335582.5100002"/>
    <n v="13102587788.333998"/>
    <n v="2561424191"/>
    <n v="0"/>
    <n v="2561424191"/>
    <n v="0.14581779374328047"/>
    <n v="15004499179.843998"/>
    <n v="12003599343.875198"/>
    <n v="9002699507.9063988"/>
    <n v="1"/>
    <n v="0.64471709259563048"/>
    <n v="0.8"/>
    <x v="0"/>
    <n v="1800539901.5812798"/>
    <n v="3805966446.4876785"/>
  </r>
  <r>
    <n v="539"/>
    <x v="428"/>
    <d v="2025-04-21T00:00:00"/>
    <x v="17"/>
    <x v="5"/>
    <n v="-76.728858000000002"/>
    <n v="8.0899289999999997"/>
    <n v="1"/>
    <n v="1"/>
    <s v="2025010189622"/>
    <x v="1"/>
    <n v="2467375711"/>
    <x v="4"/>
    <s v="Tercer Orden"/>
    <s v="Vías terciarias mejoradas"/>
    <m/>
    <m/>
    <m/>
    <m/>
    <n v="5"/>
    <n v="57277943756.629501"/>
    <n v="34159399600.959999"/>
    <n v="23118544155.669502"/>
    <n v="3450000000"/>
    <n v="21452083665"/>
    <n v="24902083665"/>
    <n v="0.43475868775610099"/>
    <n v="32375860091.629501"/>
    <n v="25900688073.303604"/>
    <n v="19425516054.977699"/>
    <n v="0.13854262343712995"/>
    <n v="0.87015152665365447"/>
    <n v="0.8"/>
    <x v="1"/>
    <n v="3885103210.9955401"/>
    <n v="-42559571320.026764"/>
  </r>
  <r>
    <n v="540"/>
    <x v="429"/>
    <d v="2025-04-28T00:00:00"/>
    <x v="1"/>
    <x v="1"/>
    <n v="-75.331626999999997"/>
    <s v="6,439195"/>
    <n v="0"/>
    <n v="0"/>
    <s v="2025010205506"/>
    <x v="3"/>
    <n v="2357267513"/>
    <x v="4"/>
    <s v="Tercer Orden"/>
    <s v="Vías terciarias mejoradas"/>
    <s v="Placahuella 952 m"/>
    <m/>
    <m/>
    <m/>
    <n v="4"/>
    <n v="56592203197.536499"/>
    <n v="24375972647.860001"/>
    <n v="32216230549.676498"/>
    <n v="0"/>
    <n v="15044963334.42"/>
    <n v="15044963334.42"/>
    <n v="0.26584869442006315"/>
    <n v="41547239863.116501"/>
    <n v="33237791890.493202"/>
    <n v="24928343917.8699"/>
    <n v="0"/>
    <n v="0.60385208261970102"/>
    <n v="0.8"/>
    <x v="0"/>
    <n v="4985668783.5739803"/>
    <n v="-31357431194.556122"/>
  </r>
  <r>
    <n v="541"/>
    <x v="430"/>
    <d v="2025-04-28T00:00:00"/>
    <x v="1"/>
    <x v="1"/>
    <n v="-75.331626999999997"/>
    <s v="6,439195"/>
    <n v="0"/>
    <n v="0"/>
    <s v="2025010205522"/>
    <x v="3"/>
    <n v="1421603722"/>
    <x v="4"/>
    <s v="Tercer Orden"/>
    <s v="Vías terciarias mejoradas"/>
    <s v="Placahuella 570 m"/>
    <m/>
    <m/>
    <m/>
    <n v="4"/>
    <n v="56592203197.536499"/>
    <n v="24375972647.860001"/>
    <n v="32216230549.676498"/>
    <n v="0"/>
    <n v="15044963334.42"/>
    <n v="15044963334.42"/>
    <n v="0.26584869442006315"/>
    <n v="41547239863.116501"/>
    <n v="33237791890.493202"/>
    <n v="24928343917.8699"/>
    <n v="0"/>
    <n v="0.60385208261970102"/>
    <n v="0.8"/>
    <x v="0"/>
    <n v="4985668783.5739803"/>
    <n v="-31357431194.556122"/>
  </r>
  <r>
    <n v="542"/>
    <x v="431"/>
    <d v="2025-04-28T00:00:00"/>
    <x v="1"/>
    <x v="1"/>
    <n v="-75.331626999999997"/>
    <s v="6,439195"/>
    <n v="0"/>
    <n v="0"/>
    <s v="2025010205535"/>
    <x v="3"/>
    <n v="2838061532"/>
    <x v="4"/>
    <s v="Tercer Orden"/>
    <s v="Vías terciarias mejoradas"/>
    <s v="Placahuella 1150 m"/>
    <m/>
    <m/>
    <m/>
    <n v="4"/>
    <n v="56592203197.536499"/>
    <n v="24375972647.860001"/>
    <n v="32216230549.676498"/>
    <n v="0"/>
    <n v="15044963334.42"/>
    <n v="15044963334.42"/>
    <n v="0.26584869442006315"/>
    <n v="41547239863.116501"/>
    <n v="33237791890.493202"/>
    <n v="24928343917.8699"/>
    <n v="0"/>
    <n v="0.60385208261970102"/>
    <n v="0.8"/>
    <x v="0"/>
    <n v="4985668783.5739803"/>
    <n v="-31357431194.556122"/>
  </r>
  <r>
    <n v="543"/>
    <x v="432"/>
    <d v="2025-04-28T00:00:00"/>
    <x v="42"/>
    <x v="5"/>
    <n v="-76.787271000000004"/>
    <s v="8,434526"/>
    <n v="1"/>
    <n v="1"/>
    <s v="2025010206251"/>
    <x v="3"/>
    <n v="8112428279"/>
    <x v="6"/>
    <s v="Tercer Orden"/>
    <s v="Vías terciarias mejoradas"/>
    <m/>
    <m/>
    <m/>
    <m/>
    <n v="6"/>
    <n v="30137297790.127998"/>
    <n v="12298726691.530001"/>
    <n v="17838571098.598"/>
    <n v="2369107602"/>
    <n v="13974896585"/>
    <n v="16344004187"/>
    <n v="0.54231817002364979"/>
    <n v="13793293603.127998"/>
    <n v="11034634882.502399"/>
    <n v="8275976161.8767986"/>
    <n v="0.1449527040554961"/>
    <n v="0.58055985759165929"/>
    <n v="0.8"/>
    <x v="0"/>
    <n v="1655195232.3753598"/>
    <n v="-27536564888.747841"/>
  </r>
  <r>
    <n v="544"/>
    <x v="433"/>
    <d v="2025-05-05T00:00:00"/>
    <x v="97"/>
    <x v="4"/>
    <n v="-75.335115999999999"/>
    <s v="6,885175"/>
    <n v="0"/>
    <n v="1"/>
    <s v="2025010217007"/>
    <x v="1"/>
    <n v="7552214664"/>
    <x v="4"/>
    <s v="Tercer Orden"/>
    <s v="Vías terciarias mejoradas"/>
    <s v="Son 4 proyectos distintos. El presupuesto es la suma de todos los proyectos"/>
    <n v="1"/>
    <s v="SGR Regionales 60%"/>
    <s v="Placa huellas 2025-2"/>
    <n v="6"/>
    <n v="12764062914.553999"/>
    <n v="4266060462.2200003"/>
    <n v="8498002452.3339987"/>
    <n v="4258957687"/>
    <n v="500000000"/>
    <n v="4758957687"/>
    <n v="0.37284035019708983"/>
    <n v="8005105227.5539989"/>
    <n v="6404084182.0431995"/>
    <n v="4803063136.5323992"/>
    <n v="0.89493497675639244"/>
    <n v="0.64132957807138946"/>
    <n v="0.8"/>
    <x v="0"/>
    <n v="960612627.30647993"/>
    <n v="-8999039296.1611214"/>
  </r>
  <r>
    <n v="545"/>
    <x v="434"/>
    <d v="2025-05-06T00:00:00"/>
    <x v="113"/>
    <x v="4"/>
    <n v="-75.764673000000002"/>
    <s v="7,171629"/>
    <n v="1"/>
    <n v="1"/>
    <s v="2025010220927"/>
    <x v="1"/>
    <n v="6732781667"/>
    <x v="6"/>
    <s v="Tercer Orden"/>
    <s v="Vías terciarias mejoradas"/>
    <m/>
    <m/>
    <m/>
    <m/>
    <n v="6"/>
    <n v="18426107981.286503"/>
    <n v="4869802105.2700005"/>
    <n v="13556305876.016502"/>
    <n v="951343820.02999997"/>
    <n v="9684082914"/>
    <n v="10635426734.030001"/>
    <n v="0.57719333593569011"/>
    <n v="7790681247.2565022"/>
    <n v="6232544997.8052025"/>
    <n v="4674408748.3539009"/>
    <n v="8.9450460599385329E-2"/>
    <n v="0.56172885881394896"/>
    <n v="0.8"/>
    <x v="0"/>
    <n v="934881749.67078018"/>
    <n v="-17632992525.975319"/>
  </r>
  <r>
    <n v="546"/>
    <x v="435"/>
    <d v="2025-05-13T00:00:00"/>
    <x v="106"/>
    <x v="2"/>
    <n v="-75.176261999999994"/>
    <s v="5,610777"/>
    <n v="0"/>
    <n v="1"/>
    <s v="2025010234337"/>
    <x v="1"/>
    <n v="1762477865"/>
    <x v="4"/>
    <s v="Tercer Orden"/>
    <s v="Vías terciarias mejoradas"/>
    <m/>
    <m/>
    <m/>
    <m/>
    <n v="6"/>
    <n v="8540444993.8640003"/>
    <n v="2695571158.3099999"/>
    <n v="5844873835.5540009"/>
    <n v="0"/>
    <n v="0"/>
    <n v="0"/>
    <n v="0"/>
    <n v="8540444993.8640003"/>
    <n v="6832355995.0912008"/>
    <n v="5124266996.3184004"/>
    <n v="0"/>
    <n v="0.54404764708917908"/>
    <n v="0.8"/>
    <x v="0"/>
    <n v="1024853399.2636801"/>
    <n v="4386642530.5820808"/>
  </r>
  <r>
    <n v="547"/>
    <x v="436"/>
    <d v="2025-05-16T00:00:00"/>
    <x v="84"/>
    <x v="7"/>
    <n v="-75.982929999999996"/>
    <s v="6,405607"/>
    <n v="0"/>
    <n v="1"/>
    <s v="2025010243405 2025010243584"/>
    <x v="3"/>
    <n v="68156478"/>
    <x v="19"/>
    <s v="Tercer Orden"/>
    <s v="Vías terciarias mejoradas"/>
    <m/>
    <m/>
    <m/>
    <m/>
    <n v="6"/>
    <n v="8536446221.1044998"/>
    <n v="2840287960.8099999"/>
    <n v="5696158260.2945004"/>
    <n v="1059912604"/>
    <n v="559890374"/>
    <n v="1619802978"/>
    <n v="0.18975144176453554"/>
    <n v="6916643243.1044998"/>
    <n v="5533314594.4836006"/>
    <n v="4149985945.8626995"/>
    <n v="0.65434662017271583"/>
    <n v="0.62730744736284794"/>
    <n v="0.8"/>
    <x v="0"/>
    <n v="829997189.17253995"/>
    <n v="-7956520095.9647608"/>
  </r>
  <r>
    <n v="549"/>
    <x v="437"/>
    <d v="2025-05-13T00:00:00"/>
    <x v="86"/>
    <x v="4"/>
    <n v="-75.667778999999996"/>
    <s v="6,606319"/>
    <n v="0"/>
    <n v="0"/>
    <s v="2025010236715 2025010092021"/>
    <x v="1"/>
    <n v="1400602219"/>
    <x v="16"/>
    <s v="Tercer Orden"/>
    <s v="Vías terciarias mejoradas"/>
    <s v="Pertenece al programa de Puentes y PAP. Priorizado 14/05/2025"/>
    <n v="1"/>
    <s v="SGR Regionales 60%"/>
    <s v="Puentes y PAP 2025-1"/>
    <n v="6"/>
    <n v="10160021082.964001"/>
    <n v="3265249234.6399999"/>
    <n v="6894771848.3240013"/>
    <n v="3316718973.96"/>
    <n v="0"/>
    <n v="3316718973.96"/>
    <n v="0.32644804049879078"/>
    <n v="6843302109.0040007"/>
    <n v="5474641687.2032013"/>
    <n v="4105981265.4024"/>
    <n v="1"/>
    <n v="0.59534208417675272"/>
    <n v="0.8"/>
    <x v="0"/>
    <n v="821196253.0804801"/>
    <n v="-1916076050.5171204"/>
  </r>
  <r>
    <n v="550"/>
    <x v="438"/>
    <d v="2025-05-16T00:00:00"/>
    <x v="84"/>
    <x v="7"/>
    <n v="-75.982929999999996"/>
    <s v="6,405607"/>
    <n v="0"/>
    <n v="1"/>
    <s v="2025010242848"/>
    <x v="3"/>
    <n v="41127749"/>
    <x v="19"/>
    <s v="Tercer Orden"/>
    <s v="Vías terciarias mejoradas"/>
    <m/>
    <m/>
    <m/>
    <m/>
    <n v="6"/>
    <n v="8536446221.1044998"/>
    <n v="2840287960.8099999"/>
    <n v="5696158260.2945004"/>
    <n v="1059912604"/>
    <n v="559890374"/>
    <n v="1619802978"/>
    <n v="0.18975144176453554"/>
    <n v="6916643243.1044998"/>
    <n v="5533314594.4836006"/>
    <n v="4149985945.8626995"/>
    <n v="0.65434662017271583"/>
    <n v="0.62730744736284794"/>
    <n v="0.8"/>
    <x v="0"/>
    <n v="829997189.17253995"/>
    <n v="-7956520095.9647608"/>
  </r>
  <r>
    <n v="551"/>
    <x v="439"/>
    <d v="2025-05-16T00:00:00"/>
    <x v="84"/>
    <x v="7"/>
    <n v="-75.982929999999996"/>
    <s v="6,405607"/>
    <n v="0"/>
    <n v="1"/>
    <s v="2025010243616"/>
    <x v="3"/>
    <n v="76772085"/>
    <x v="19"/>
    <s v="Tercer Orden"/>
    <s v="Vías terciarias mejoradas"/>
    <m/>
    <m/>
    <m/>
    <m/>
    <n v="6"/>
    <n v="8536446221.1044998"/>
    <n v="2840287960.8099999"/>
    <n v="5696158260.2945004"/>
    <n v="1059912604"/>
    <n v="559890374"/>
    <n v="1619802978"/>
    <n v="0.18975144176453554"/>
    <n v="6916643243.1044998"/>
    <n v="5533314594.4836006"/>
    <n v="4149985945.8626995"/>
    <n v="0.65434662017271583"/>
    <n v="0.62730744736284794"/>
    <n v="0.8"/>
    <x v="0"/>
    <n v="829997189.17253995"/>
    <n v="-7956520095.9647608"/>
  </r>
  <r>
    <n v="553"/>
    <x v="440"/>
    <d v="2025-05-16T00:00:00"/>
    <x v="42"/>
    <x v="5"/>
    <n v="-76.787271000000004"/>
    <s v="8,434526"/>
    <n v="1"/>
    <n v="1"/>
    <s v="2025010243594"/>
    <x v="1"/>
    <n v="7909417909"/>
    <x v="16"/>
    <s v="Tercer Orden"/>
    <s v="Vías terciarias mejoradas"/>
    <s v="Pertenece al programa de Puentes y PAP. Priorizado"/>
    <n v="1"/>
    <s v="SGR Regionales 60%"/>
    <s v="Puentes y PAP 2025-1"/>
    <n v="6"/>
    <n v="30137297790.127998"/>
    <n v="12298726691.530001"/>
    <n v="17838571098.598"/>
    <n v="2369107602"/>
    <n v="13974896585"/>
    <n v="16344004187"/>
    <n v="0.54231817002364979"/>
    <n v="13793293603.127998"/>
    <n v="11034634882.502399"/>
    <n v="8275976161.8767986"/>
    <n v="0.1449527040554961"/>
    <n v="0.58055985759165929"/>
    <n v="0.8"/>
    <x v="0"/>
    <n v="1655195232.3753598"/>
    <n v="-27536564888.747841"/>
  </r>
  <r>
    <n v="554"/>
    <x v="441"/>
    <d v="2024-12-09T00:00:00"/>
    <x v="54"/>
    <x v="2"/>
    <n v="-75.360873999999995"/>
    <s v="5,973845"/>
    <n v="0"/>
    <n v="0"/>
    <s v="2024010565137"/>
    <x v="1"/>
    <n v="1430944868"/>
    <x v="4"/>
    <s v="Tercer Orden"/>
    <s v="Vías terciarias mejoradas"/>
    <m/>
    <m/>
    <m/>
    <m/>
    <n v="6"/>
    <n v="22781121123.307999"/>
    <n v="7460247261.1800003"/>
    <n v="15320873862.127998"/>
    <n v="8372353142.5600004"/>
    <n v="142113074"/>
    <n v="8514466216.5600004"/>
    <n v="0.37375097434729027"/>
    <n v="14266654906.747997"/>
    <n v="11413323925.398399"/>
    <n v="8559992944.0487976"/>
    <n v="0.98330922099102336"/>
    <n v="0.47573857187041646"/>
    <n v="0.8"/>
    <x v="0"/>
    <n v="1711998588.8097596"/>
    <n v="-9965414152.1414433"/>
  </r>
  <r>
    <n v="556"/>
    <x v="442"/>
    <d v="2025-05-21T00:00:00"/>
    <x v="86"/>
    <x v="4"/>
    <n v="-75.667778999999996"/>
    <s v="6,606319"/>
    <n v="0"/>
    <n v="0"/>
    <n v="2025010091549"/>
    <x v="3"/>
    <n v="460000000"/>
    <x v="19"/>
    <s v="Tercer Orden"/>
    <s v="Vías terciarias mejoradas"/>
    <m/>
    <m/>
    <m/>
    <m/>
    <n v="6"/>
    <n v="10160021082.964001"/>
    <n v="3265249234.6399999"/>
    <n v="6894771848.3240013"/>
    <n v="3316718973.96"/>
    <n v="0"/>
    <n v="3316718973.96"/>
    <n v="0.32644804049879078"/>
    <n v="6843302109.0040007"/>
    <n v="5474641687.2032013"/>
    <n v="4105981265.4024"/>
    <n v="1"/>
    <n v="0.59534208417675272"/>
    <n v="0.8"/>
    <x v="0"/>
    <n v="821196253.0804801"/>
    <n v="-1916076050.5171204"/>
  </r>
  <r>
    <n v="557"/>
    <x v="443"/>
    <d v="2025-05-21T00:00:00"/>
    <x v="32"/>
    <x v="3"/>
    <n v="-75.976789999999994"/>
    <s v="5,74615"/>
    <n v="0"/>
    <n v="0"/>
    <s v=""/>
    <x v="0"/>
    <m/>
    <x v="16"/>
    <s v="Segundo Orden"/>
    <s v="Vías secundarias mejoradas"/>
    <m/>
    <m/>
    <m/>
    <m/>
    <n v="6"/>
    <n v="9197355968.8835011"/>
    <n v="3350398615.7000003"/>
    <n v="5846957353.1835003"/>
    <n v="958841544"/>
    <n v="680000000"/>
    <n v="1638841544"/>
    <n v="0.17818616019044273"/>
    <n v="7558514424.8835011"/>
    <n v="6046811539.9068012"/>
    <n v="4535108654.9301004"/>
    <n v="0.58507275917579493"/>
    <n v="0.53687312631507866"/>
    <n v="0.8"/>
    <x v="0"/>
    <n v="907021730.98602009"/>
    <n v="-2964573994.0838795"/>
  </r>
  <r>
    <n v="558"/>
    <x v="444"/>
    <d v="2025-05-21T00:00:00"/>
    <x v="32"/>
    <x v="3"/>
    <n v="-75.976789999999994"/>
    <s v="5,74615"/>
    <n v="0"/>
    <n v="0"/>
    <s v=""/>
    <x v="0"/>
    <n v="40000000"/>
    <x v="5"/>
    <s v="Tercer Orden"/>
    <s v="Vías terciarias mejoradas"/>
    <m/>
    <m/>
    <m/>
    <m/>
    <n v="6"/>
    <n v="9197355968.8835011"/>
    <n v="3350398615.7000003"/>
    <n v="5846957353.1835003"/>
    <n v="958841544"/>
    <n v="680000000"/>
    <n v="1638841544"/>
    <n v="0.17818616019044273"/>
    <n v="7558514424.8835011"/>
    <n v="6046811539.9068012"/>
    <n v="4535108654.9301004"/>
    <n v="0.58507275917579493"/>
    <n v="0.53687312631507866"/>
    <n v="0.8"/>
    <x v="0"/>
    <n v="907021730.98602009"/>
    <n v="-2964573994.0838795"/>
  </r>
  <r>
    <n v="559"/>
    <x v="445"/>
    <d v="2025-05-21T00:00:00"/>
    <x v="32"/>
    <x v="3"/>
    <n v="-75.976789999999994"/>
    <s v="5,74615"/>
    <n v="0"/>
    <n v="0"/>
    <s v=""/>
    <x v="0"/>
    <n v="50000000"/>
    <x v="5"/>
    <s v="Tercer Orden"/>
    <s v="Vías terciarias mejoradas"/>
    <m/>
    <m/>
    <m/>
    <m/>
    <n v="6"/>
    <n v="9197355968.8835011"/>
    <n v="3350398615.7000003"/>
    <n v="5846957353.1835003"/>
    <n v="958841544"/>
    <n v="680000000"/>
    <n v="1638841544"/>
    <n v="0.17818616019044273"/>
    <n v="7558514424.8835011"/>
    <n v="6046811539.9068012"/>
    <n v="4535108654.9301004"/>
    <n v="0.58507275917579493"/>
    <n v="0.53687312631507866"/>
    <n v="0.8"/>
    <x v="0"/>
    <n v="907021730.98602009"/>
    <n v="-2964573994.0838795"/>
  </r>
  <r>
    <n v="560"/>
    <x v="446"/>
    <d v="2025-05-21T00:00:00"/>
    <x v="32"/>
    <x v="3"/>
    <n v="-75.976789999999994"/>
    <s v="5,74615"/>
    <n v="0"/>
    <n v="0"/>
    <s v=""/>
    <x v="0"/>
    <n v="50000000"/>
    <x v="5"/>
    <s v="Tercer Orden"/>
    <s v="Vías terciarias mejoradas"/>
    <m/>
    <m/>
    <m/>
    <m/>
    <n v="6"/>
    <n v="9197355968.8835011"/>
    <n v="3350398615.7000003"/>
    <n v="5846957353.1835003"/>
    <n v="958841544"/>
    <n v="680000000"/>
    <n v="1638841544"/>
    <n v="0.17818616019044273"/>
    <n v="7558514424.8835011"/>
    <n v="6046811539.9068012"/>
    <n v="4535108654.9301004"/>
    <n v="0.58507275917579493"/>
    <n v="0.53687312631507866"/>
    <n v="0.8"/>
    <x v="0"/>
    <n v="907021730.98602009"/>
    <n v="-2964573994.0838795"/>
  </r>
  <r>
    <n v="561"/>
    <x v="447"/>
    <d v="2025-05-21T00:00:00"/>
    <x v="32"/>
    <x v="3"/>
    <n v="-75.976789999999994"/>
    <s v="5,74615"/>
    <n v="0"/>
    <n v="0"/>
    <s v=""/>
    <x v="0"/>
    <n v="200000000"/>
    <x v="19"/>
    <s v="Tercer Orden"/>
    <s v="Vías terciarias mejoradas"/>
    <m/>
    <m/>
    <m/>
    <m/>
    <n v="6"/>
    <n v="9197355968.8835011"/>
    <n v="3350398615.7000003"/>
    <n v="5846957353.1835003"/>
    <n v="958841544"/>
    <n v="680000000"/>
    <n v="1638841544"/>
    <n v="0.17818616019044273"/>
    <n v="7558514424.8835011"/>
    <n v="6046811539.9068012"/>
    <n v="4535108654.9301004"/>
    <n v="0.58507275917579493"/>
    <n v="0.53687312631507866"/>
    <n v="0.8"/>
    <x v="0"/>
    <n v="907021730.98602009"/>
    <n v="-2964573994.0838795"/>
  </r>
  <r>
    <n v="562"/>
    <x v="448"/>
    <d v="2025-05-21T00:00:00"/>
    <x v="32"/>
    <x v="3"/>
    <n v="-75.976789999999994"/>
    <s v="5,74615"/>
    <n v="0"/>
    <n v="0"/>
    <s v=""/>
    <x v="0"/>
    <m/>
    <x v="16"/>
    <s v="Tercer Orden"/>
    <s v="Vías terciarias mejoradas"/>
    <m/>
    <m/>
    <m/>
    <m/>
    <n v="6"/>
    <n v="9197355968.8835011"/>
    <n v="3350398615.7000003"/>
    <n v="5846957353.1835003"/>
    <n v="958841544"/>
    <n v="680000000"/>
    <n v="1638841544"/>
    <n v="0.17818616019044273"/>
    <n v="7558514424.8835011"/>
    <n v="6046811539.9068012"/>
    <n v="4535108654.9301004"/>
    <n v="0.58507275917579493"/>
    <n v="0.53687312631507866"/>
    <n v="0.8"/>
    <x v="0"/>
    <n v="907021730.98602009"/>
    <n v="-2964573994.0838795"/>
  </r>
  <r>
    <n v="563"/>
    <x v="449"/>
    <d v="2025-05-21T00:00:00"/>
    <x v="35"/>
    <x v="4"/>
    <n v="-75.550359999999998"/>
    <s v="7,112803"/>
    <n v="1"/>
    <n v="1"/>
    <s v=""/>
    <x v="1"/>
    <n v="1697006832"/>
    <x v="19"/>
    <s v="Tercer Orden"/>
    <s v="Vías terciarias mejoradas"/>
    <m/>
    <m/>
    <m/>
    <m/>
    <n v="6"/>
    <n v="15936675551.976999"/>
    <n v="6355203503.6700001"/>
    <n v="9581472048.3069992"/>
    <n v="166905356.59"/>
    <n v="5064590198"/>
    <n v="5231495554.5900002"/>
    <n v="0.32826768277534613"/>
    <n v="10705179997.386999"/>
    <n v="8564143997.9095993"/>
    <n v="6423107998.4321995"/>
    <n v="3.1903946939907245E-2"/>
    <n v="0.65192157878949775"/>
    <n v="0.8"/>
    <x v="0"/>
    <n v="1284621599.68644"/>
    <n v="-845089345.88136101"/>
  </r>
  <r>
    <n v="564"/>
    <x v="450"/>
    <d v="2025-05-21T00:00:00"/>
    <x v="84"/>
    <x v="7"/>
    <n v="-75.982929999999996"/>
    <s v="6,405607"/>
    <n v="0"/>
    <n v="1"/>
    <s v=""/>
    <x v="0"/>
    <n v="68156478"/>
    <x v="19"/>
    <s v="Tercer Orden"/>
    <s v="Vías terciarias mejoradas"/>
    <m/>
    <m/>
    <m/>
    <m/>
    <n v="6"/>
    <n v="8536446221.1044998"/>
    <n v="2840287960.8099999"/>
    <n v="5696158260.2945004"/>
    <n v="1059912604"/>
    <n v="559890374"/>
    <n v="1619802978"/>
    <n v="0.18975144176453554"/>
    <n v="6916643243.1044998"/>
    <n v="5533314594.4836006"/>
    <n v="4149985945.8626995"/>
    <n v="0.65434662017271583"/>
    <n v="0.62730744736284794"/>
    <n v="0.8"/>
    <x v="0"/>
    <n v="829997189.17253995"/>
    <n v="-7956520095.9647608"/>
  </r>
  <r>
    <n v="565"/>
    <x v="451"/>
    <d v="2025-05-21T00:00:00"/>
    <x v="84"/>
    <x v="7"/>
    <n v="-75.982929999999996"/>
    <s v="6,405607"/>
    <n v="0"/>
    <n v="1"/>
    <s v=""/>
    <x v="0"/>
    <n v="41127749"/>
    <x v="19"/>
    <s v="Tercer Orden"/>
    <s v="Vías terciarias mejoradas"/>
    <m/>
    <m/>
    <m/>
    <m/>
    <n v="6"/>
    <n v="8536446221.1044998"/>
    <n v="2840287960.8099999"/>
    <n v="5696158260.2945004"/>
    <n v="1059912604"/>
    <n v="559890374"/>
    <n v="1619802978"/>
    <n v="0.18975144176453554"/>
    <n v="6916643243.1044998"/>
    <n v="5533314594.4836006"/>
    <n v="4149985945.8626995"/>
    <n v="0.65434662017271583"/>
    <n v="0.62730744736284794"/>
    <n v="0.8"/>
    <x v="0"/>
    <n v="829997189.17253995"/>
    <n v="-7956520095.9647608"/>
  </r>
  <r>
    <n v="566"/>
    <x v="452"/>
    <d v="2025-05-21T00:00:00"/>
    <x v="84"/>
    <x v="7"/>
    <n v="-75.982929999999996"/>
    <s v="6,405607"/>
    <n v="0"/>
    <n v="1"/>
    <s v=""/>
    <x v="0"/>
    <n v="76772085"/>
    <x v="16"/>
    <s v="Tercer Orden"/>
    <s v="Vías terciarias mejoradas"/>
    <m/>
    <m/>
    <m/>
    <m/>
    <n v="6"/>
    <n v="8536446221.1044998"/>
    <n v="2840287960.8099999"/>
    <n v="5696158260.2945004"/>
    <n v="1059912604"/>
    <n v="559890374"/>
    <n v="1619802978"/>
    <n v="0.18975144176453554"/>
    <n v="6916643243.1044998"/>
    <n v="5533314594.4836006"/>
    <n v="4149985945.8626995"/>
    <n v="0.65434662017271583"/>
    <n v="0.62730744736284794"/>
    <n v="0.8"/>
    <x v="0"/>
    <n v="829997189.17253995"/>
    <n v="-7956520095.9647608"/>
  </r>
  <r>
    <n v="568"/>
    <x v="453"/>
    <d v="2025-05-21T00:00:00"/>
    <x v="103"/>
    <x v="7"/>
    <n v="-76.261613999999994"/>
    <s v="6,998112"/>
    <n v="1"/>
    <n v="1"/>
    <s v=""/>
    <x v="1"/>
    <n v="425600000"/>
    <x v="19"/>
    <s v="Segundo Orden"/>
    <s v="Vías secundarias mejoradas"/>
    <s v="Convenio"/>
    <n v="1"/>
    <s v="Recursos propios"/>
    <s v="Convenio"/>
    <n v="6"/>
    <n v="24612921465.534"/>
    <n v="6692367651.6599998"/>
    <n v="17920553813.874001"/>
    <n v="830923107"/>
    <n v="8409573820"/>
    <n v="9240496927"/>
    <n v="0.37543275551176097"/>
    <n v="15372424538.534"/>
    <n v="12297939630.827202"/>
    <n v="9223454723.1203995"/>
    <n v="8.9921907183596203E-2"/>
    <n v="0.49254696748300181"/>
    <n v="0.8"/>
    <x v="0"/>
    <n v="1844690944.6240799"/>
    <n v="10612545667.74448"/>
  </r>
  <r>
    <n v="569"/>
    <x v="454"/>
    <d v="2025-05-21T00:00:00"/>
    <x v="66"/>
    <x v="2"/>
    <n v="-75.242693000000003"/>
    <s v="6,219349"/>
    <n v="0"/>
    <n v="0"/>
    <s v=""/>
    <x v="3"/>
    <n v="578575600"/>
    <x v="19"/>
    <s v="Tercer Orden"/>
    <s v="Vías terciarias mejoradas"/>
    <s v="Convenio"/>
    <n v="1"/>
    <s v="Recursos propios"/>
    <s v="Convenio"/>
    <n v="6"/>
    <n v="28258567441.100002"/>
    <n v="6469994311.25"/>
    <n v="21788573129.850002"/>
    <n v="1548230438"/>
    <n v="3356151670"/>
    <n v="4904382108"/>
    <n v="0.17355381224551877"/>
    <n v="23354185333.100002"/>
    <n v="18683348266.480003"/>
    <n v="14012511199.860001"/>
    <n v="0.31568307768567533"/>
    <n v="0.29902452385532635"/>
    <n v="0.8"/>
    <x v="0"/>
    <n v="2802502239.9720001"/>
    <n v="6184360283.8320007"/>
  </r>
  <r>
    <n v="570"/>
    <x v="455"/>
    <d v="2025-05-21T00:00:00"/>
    <x v="66"/>
    <x v="2"/>
    <n v="-75.242693000000003"/>
    <s v="6,219349"/>
    <n v="0"/>
    <n v="0"/>
    <s v=""/>
    <x v="3"/>
    <m/>
    <x v="19"/>
    <s v="Tercer Orden"/>
    <s v="Vías terciarias mejoradas"/>
    <s v="Revisado pero pendiente por priorizacion"/>
    <m/>
    <m/>
    <m/>
    <n v="6"/>
    <n v="28258567441.100002"/>
    <n v="6469994311.25"/>
    <n v="21788573129.850002"/>
    <n v="1548230438"/>
    <n v="3356151670"/>
    <n v="4904382108"/>
    <n v="0.17355381224551877"/>
    <n v="23354185333.100002"/>
    <n v="18683348266.480003"/>
    <n v="14012511199.860001"/>
    <n v="0.31568307768567533"/>
    <n v="0.29902452385532635"/>
    <n v="0.8"/>
    <x v="0"/>
    <n v="2802502239.9720001"/>
    <n v="6184360283.8320007"/>
  </r>
  <r>
    <n v="571"/>
    <x v="456"/>
    <d v="2025-05-21T00:00:00"/>
    <x v="66"/>
    <x v="2"/>
    <n v="-75.242693000000003"/>
    <s v="6,219349"/>
    <n v="0"/>
    <n v="0"/>
    <s v=""/>
    <x v="3"/>
    <n v="300000000"/>
    <x v="19"/>
    <s v="Tercer Orden"/>
    <s v="Vías terciarias mejoradas"/>
    <s v="Trasladar a DAGRAN"/>
    <m/>
    <m/>
    <m/>
    <n v="6"/>
    <n v="28258567441.100002"/>
    <n v="6469994311.25"/>
    <n v="21788573129.850002"/>
    <n v="1548230438"/>
    <n v="3356151670"/>
    <n v="4904382108"/>
    <n v="0.17355381224551877"/>
    <n v="23354185333.100002"/>
    <n v="18683348266.480003"/>
    <n v="14012511199.860001"/>
    <n v="0.31568307768567533"/>
    <n v="0.29902452385532635"/>
    <n v="0.8"/>
    <x v="0"/>
    <n v="2802502239.9720001"/>
    <n v="6184360283.8320007"/>
  </r>
  <r>
    <n v="572"/>
    <x v="457"/>
    <d v="2025-05-21T00:00:00"/>
    <x v="66"/>
    <x v="2"/>
    <n v="-75.242693000000003"/>
    <s v="6,219349"/>
    <n v="0"/>
    <n v="0"/>
    <s v=""/>
    <x v="3"/>
    <n v="389964574"/>
    <x v="19"/>
    <s v="Tercer Orden"/>
    <s v="Vías terciarias mejoradas"/>
    <s v="Revisado pero pendiente por priorizacion"/>
    <m/>
    <m/>
    <m/>
    <n v="6"/>
    <n v="28258567441.100002"/>
    <n v="6469994311.25"/>
    <n v="21788573129.850002"/>
    <n v="1548230438"/>
    <n v="3356151670"/>
    <n v="4904382108"/>
    <n v="0.17355381224551877"/>
    <n v="23354185333.100002"/>
    <n v="18683348266.480003"/>
    <n v="14012511199.860001"/>
    <n v="0.31568307768567533"/>
    <n v="0.29902452385532635"/>
    <n v="0.8"/>
    <x v="0"/>
    <n v="2802502239.9720001"/>
    <n v="6184360283.8320007"/>
  </r>
  <r>
    <n v="573"/>
    <x v="458"/>
    <d v="2025-05-21T00:00:00"/>
    <x v="12"/>
    <x v="3"/>
    <n v="-75.675072"/>
    <s v="5,928039"/>
    <n v="0"/>
    <n v="0"/>
    <s v=""/>
    <x v="1"/>
    <n v="885000000"/>
    <x v="19"/>
    <s v="Segundo Orden"/>
    <s v="Vías secundarias mejoradas"/>
    <s v="Priorizado el 14/05/2025"/>
    <n v="1"/>
    <s v="SGR Regionales 60%"/>
    <s v="Puentes y PAP 2025-1"/>
    <n v="6"/>
    <n v="17515986067.273998"/>
    <n v="8346764868.3600006"/>
    <n v="9169221198.9139977"/>
    <n v="0"/>
    <n v="6328650461"/>
    <n v="6328650461"/>
    <n v="0.36130711891945022"/>
    <n v="11187335606.273998"/>
    <n v="8949868485.0191994"/>
    <n v="6712401363.7643986"/>
    <n v="0"/>
    <n v="0.67376313277740918"/>
    <n v="0.8"/>
    <x v="0"/>
    <n v="1342480272.7528799"/>
    <n v="3280962216.5172787"/>
  </r>
  <r>
    <n v="574"/>
    <x v="459"/>
    <d v="2025-05-21T00:00:00"/>
    <x v="71"/>
    <x v="7"/>
    <n v="-76.130764999999997"/>
    <s v="6,776066"/>
    <n v="0"/>
    <n v="1"/>
    <s v=""/>
    <x v="0"/>
    <m/>
    <x v="5"/>
    <s v="Tercer Orden"/>
    <s v="Vías terciarias mejoradas"/>
    <s v="Revisado pero pendiente por priorizacion. Diseños de cartilla"/>
    <m/>
    <m/>
    <m/>
    <n v="6"/>
    <n v="15502017167.017002"/>
    <n v="4560047682.8000002"/>
    <n v="10941969484.217003"/>
    <n v="1591148139"/>
    <n v="1671853559"/>
    <n v="3263001698"/>
    <n v="0.2104888456027873"/>
    <n v="12239015469.017002"/>
    <n v="9791212375.2136021"/>
    <n v="7343409281.4102011"/>
    <n v="0.4876332549796914"/>
    <n v="0.42560105953702715"/>
    <n v="0.8"/>
    <x v="0"/>
    <n v="1468681856.2820404"/>
    <n v="-10121554576.307758"/>
  </r>
  <r>
    <n v="575"/>
    <x v="460"/>
    <d v="2025-05-21T00:00:00"/>
    <x v="71"/>
    <x v="7"/>
    <n v="-76.130764999999997"/>
    <s v="6,776066"/>
    <n v="0"/>
    <n v="1"/>
    <s v=""/>
    <x v="0"/>
    <m/>
    <x v="5"/>
    <s v="Tercer Orden"/>
    <s v="Vías terciarias mejoradas"/>
    <s v="Revisado pero pendiente por priorizacion. Diseños de cartilla"/>
    <m/>
    <m/>
    <m/>
    <n v="6"/>
    <n v="15502017167.017002"/>
    <n v="4560047682.8000002"/>
    <n v="10941969484.217003"/>
    <n v="1591148139"/>
    <n v="1671853559"/>
    <n v="3263001698"/>
    <n v="0.2104888456027873"/>
    <n v="12239015469.017002"/>
    <n v="9791212375.2136021"/>
    <n v="7343409281.4102011"/>
    <n v="0.4876332549796914"/>
    <n v="0.42560105953702715"/>
    <n v="0.8"/>
    <x v="0"/>
    <n v="1468681856.2820404"/>
    <n v="-10121554576.307758"/>
  </r>
  <r>
    <n v="576"/>
    <x v="461"/>
    <d v="2025-05-21T00:00:00"/>
    <x v="71"/>
    <x v="7"/>
    <n v="-76.130764999999997"/>
    <s v="6,776066"/>
    <n v="0"/>
    <n v="1"/>
    <s v=""/>
    <x v="0"/>
    <m/>
    <x v="5"/>
    <s v="Tercer Orden"/>
    <s v="Vías terciarias mejoradas"/>
    <s v="Revisado pero pendiente por priorizacion. Diseños de cartilla"/>
    <m/>
    <m/>
    <m/>
    <n v="6"/>
    <n v="15502017167.017002"/>
    <n v="4560047682.8000002"/>
    <n v="10941969484.217003"/>
    <n v="1591148139"/>
    <n v="1671853559"/>
    <n v="3263001698"/>
    <n v="0.2104888456027873"/>
    <n v="12239015469.017002"/>
    <n v="9791212375.2136021"/>
    <n v="7343409281.4102011"/>
    <n v="0.4876332549796914"/>
    <n v="0.42560105953702715"/>
    <n v="0.8"/>
    <x v="0"/>
    <n v="1468681856.2820404"/>
    <n v="-10121554576.307758"/>
  </r>
  <r>
    <n v="577"/>
    <x v="462"/>
    <d v="2025-05-21T00:00:00"/>
    <x v="71"/>
    <x v="7"/>
    <n v="-76.130764999999997"/>
    <s v="6,776066"/>
    <n v="0"/>
    <n v="1"/>
    <s v=""/>
    <x v="0"/>
    <m/>
    <x v="5"/>
    <s v="Tercer Orden"/>
    <s v="Vías terciarias mejoradas"/>
    <s v="Revisado pero pendiente por priorizacion. Diseños de cartilla"/>
    <m/>
    <m/>
    <m/>
    <n v="6"/>
    <n v="15502017167.017002"/>
    <n v="4560047682.8000002"/>
    <n v="10941969484.217003"/>
    <n v="1591148139"/>
    <n v="1671853559"/>
    <n v="3263001698"/>
    <n v="0.2104888456027873"/>
    <n v="12239015469.017002"/>
    <n v="9791212375.2136021"/>
    <n v="7343409281.4102011"/>
    <n v="0.4876332549796914"/>
    <n v="0.42560105953702715"/>
    <n v="0.8"/>
    <x v="0"/>
    <n v="1468681856.2820404"/>
    <n v="-10121554576.307758"/>
  </r>
  <r>
    <n v="578"/>
    <x v="463"/>
    <d v="2025-05-21T00:00:00"/>
    <x v="71"/>
    <x v="7"/>
    <n v="-76.130764999999997"/>
    <s v="6,776066"/>
    <n v="0"/>
    <n v="1"/>
    <s v=""/>
    <x v="0"/>
    <m/>
    <x v="5"/>
    <s v="Tercer Orden"/>
    <s v="Vías terciarias mejoradas"/>
    <s v="Revisado pero pendiente por priorizacion. Diseños de cartilla"/>
    <m/>
    <m/>
    <m/>
    <n v="6"/>
    <n v="15502017167.017002"/>
    <n v="4560047682.8000002"/>
    <n v="10941969484.217003"/>
    <n v="1591148139"/>
    <n v="1671853559"/>
    <n v="3263001698"/>
    <n v="0.2104888456027873"/>
    <n v="12239015469.017002"/>
    <n v="9791212375.2136021"/>
    <n v="7343409281.4102011"/>
    <n v="0.4876332549796914"/>
    <n v="0.42560105953702715"/>
    <n v="0.8"/>
    <x v="0"/>
    <n v="1468681856.2820404"/>
    <n v="-10121554576.307758"/>
  </r>
  <r>
    <n v="579"/>
    <x v="464"/>
    <d v="2025-05-21T00:00:00"/>
    <x v="46"/>
    <x v="2"/>
    <n v="-75.441612000000006"/>
    <s v="6,27787"/>
    <n v="0"/>
    <n v="0"/>
    <s v=""/>
    <x v="1"/>
    <n v="2586206636"/>
    <x v="19"/>
    <s v="Segundo Orden"/>
    <s v="Vías secundarias mejoradas"/>
    <s v="Priorizado el 14/05/2025. Pendiente entrega de EYD. Se confirma que no hay EYD"/>
    <m/>
    <m/>
    <m/>
    <n v="2"/>
    <n v="94297942873.182495"/>
    <n v="31502477356.16"/>
    <n v="62795465517.022491"/>
    <n v="12269275368"/>
    <n v="1587282296.6800001"/>
    <n v="13856557664.68"/>
    <n v="0.14694443211041333"/>
    <n v="80441385208.502502"/>
    <n v="64353108166.802002"/>
    <n v="48264831125.101501"/>
    <n v="0.88544901734678727"/>
    <n v="0.32613717500698253"/>
    <n v="0.7"/>
    <x v="0"/>
    <n v="9652966225.0202999"/>
    <n v="21706110806.121803"/>
  </r>
  <r>
    <n v="580"/>
    <x v="465"/>
    <d v="2025-05-21T00:00:00"/>
    <x v="114"/>
    <x v="7"/>
    <n v="-75.734322000000006"/>
    <s v="6,206757"/>
    <n v="0"/>
    <n v="0"/>
    <s v=""/>
    <x v="1"/>
    <n v="9800000000"/>
    <x v="19"/>
    <s v="Segundo Orden"/>
    <s v="Vías secundarias mejoradas"/>
    <s v="Priorizado el 14/05/2025. Pendiente entrega de EYD"/>
    <n v="1"/>
    <s v="Recursos propios"/>
    <s v="Recursos propios"/>
    <n v="6"/>
    <n v="5355567645.8094997"/>
    <n v="2449508849.96"/>
    <n v="2906058795.8494997"/>
    <n v="2066524240.5699999"/>
    <n v="0"/>
    <n v="2066524240.5699999"/>
    <n v="0.38586465100239481"/>
    <n v="3289043405.2395"/>
    <n v="2631234724.1916003"/>
    <n v="1973426043.1436999"/>
    <n v="1"/>
    <n v="0.75647396108034337"/>
    <n v="0.8"/>
    <x v="2"/>
    <n v="394685208.62874001"/>
    <n v="-7431888748.22756"/>
  </r>
  <r>
    <n v="581"/>
    <x v="466"/>
    <d v="2025-05-21T00:00:00"/>
    <x v="113"/>
    <x v="4"/>
    <n v="-75.764673000000002"/>
    <s v="7,171629"/>
    <n v="1"/>
    <n v="1"/>
    <s v=""/>
    <x v="1"/>
    <n v="1100000000"/>
    <x v="19"/>
    <s v="Segundo Orden"/>
    <s v="Vías secundarias mejoradas"/>
    <s v="Priorizado el 04/04/2025."/>
    <n v="1"/>
    <s v="SGR Regionales 60%"/>
    <s v="Puentes y PAP 2025-1"/>
    <n v="6"/>
    <n v="18426107981.286503"/>
    <n v="4869802105.2700005"/>
    <n v="13556305876.016502"/>
    <n v="951343820.02999997"/>
    <n v="9684082914"/>
    <n v="10635426734.030001"/>
    <n v="0.57719333593569011"/>
    <n v="7790681247.2565022"/>
    <n v="6232544997.8052025"/>
    <n v="4674408748.3539009"/>
    <n v="8.9450460599385329E-2"/>
    <n v="0.56172885881394896"/>
    <n v="0.8"/>
    <x v="0"/>
    <n v="934881749.67078018"/>
    <n v="-17632992525.975319"/>
  </r>
  <r>
    <n v="582"/>
    <x v="467"/>
    <d v="2025-05-21T00:00:00"/>
    <x v="113"/>
    <x v="4"/>
    <n v="-75.764673000000002"/>
    <s v="7,171629"/>
    <n v="1"/>
    <n v="1"/>
    <s v=""/>
    <x v="1"/>
    <n v="342000000"/>
    <x v="19"/>
    <s v="Segundo Orden"/>
    <s v="Vías secundarias mejoradas"/>
    <s v="Priorizado el 04/04/2025."/>
    <n v="1"/>
    <s v="SGR Regionales 60%"/>
    <s v="Puentes y PAP 2025-1"/>
    <n v="6"/>
    <n v="18426107981.286503"/>
    <n v="4869802105.2700005"/>
    <n v="13556305876.016502"/>
    <n v="951343820.02999997"/>
    <n v="9684082914"/>
    <n v="10635426734.030001"/>
    <n v="0.57719333593569011"/>
    <n v="7790681247.2565022"/>
    <n v="6232544997.8052025"/>
    <n v="4674408748.3539009"/>
    <n v="8.9450460599385329E-2"/>
    <n v="0.56172885881394896"/>
    <n v="0.8"/>
    <x v="0"/>
    <n v="934881749.67078018"/>
    <n v="-17632992525.975319"/>
  </r>
  <r>
    <n v="583"/>
    <x v="468"/>
    <d v="2025-05-21T00:00:00"/>
    <x v="113"/>
    <x v="4"/>
    <n v="-75.764673000000002"/>
    <s v="7,171629"/>
    <n v="1"/>
    <n v="1"/>
    <s v=""/>
    <x v="1"/>
    <n v="1472000000"/>
    <x v="19"/>
    <s v="Segundo Orden"/>
    <s v="Vías secundarias mejoradas"/>
    <s v="Priorizado el 04/04/2025."/>
    <n v="1"/>
    <s v="SGR Regionales 60%"/>
    <s v="Puentes y PAP 2025-1"/>
    <n v="6"/>
    <n v="18426107981.286503"/>
    <n v="4869802105.2700005"/>
    <n v="13556305876.016502"/>
    <n v="951343820.02999997"/>
    <n v="9684082914"/>
    <n v="10635426734.030001"/>
    <n v="0.57719333593569011"/>
    <n v="7790681247.2565022"/>
    <n v="6232544997.8052025"/>
    <n v="4674408748.3539009"/>
    <n v="8.9450460599385329E-2"/>
    <n v="0.56172885881394896"/>
    <n v="0.8"/>
    <x v="0"/>
    <n v="934881749.67078018"/>
    <n v="-17632992525.975319"/>
  </r>
  <r>
    <n v="584"/>
    <x v="469"/>
    <d v="2025-05-21T00:00:00"/>
    <x v="113"/>
    <x v="4"/>
    <n v="-75.764673000000002"/>
    <s v="7,171629"/>
    <n v="1"/>
    <n v="1"/>
    <s v=""/>
    <x v="3"/>
    <n v="320000000"/>
    <x v="19"/>
    <s v="Urbana"/>
    <s v="Vía urbana mejorada"/>
    <s v="Priorizado el 04/04/2025. Posteriormente se desprioriza por ser via urbana"/>
    <m/>
    <m/>
    <m/>
    <n v="6"/>
    <n v="18426107981.286503"/>
    <n v="4869802105.2700005"/>
    <n v="13556305876.016502"/>
    <n v="951343820.02999997"/>
    <n v="9684082914"/>
    <n v="10635426734.030001"/>
    <n v="0.57719333593569011"/>
    <n v="7790681247.2565022"/>
    <n v="6232544997.8052025"/>
    <n v="4674408748.3539009"/>
    <n v="8.9450460599385329E-2"/>
    <n v="0.56172885881394896"/>
    <n v="0.8"/>
    <x v="0"/>
    <n v="934881749.67078018"/>
    <n v="-17632992525.975319"/>
  </r>
  <r>
    <n v="585"/>
    <x v="470"/>
    <d v="2025-05-21T00:00:00"/>
    <x v="113"/>
    <x v="4"/>
    <n v="-75.764673000000002"/>
    <s v="7,171629"/>
    <n v="1"/>
    <n v="1"/>
    <s v=""/>
    <x v="3"/>
    <n v="13275501357"/>
    <x v="16"/>
    <s v="Tercer Orden"/>
    <s v="Vías terciarias mejoradas"/>
    <s v="Se ejecutara por OXI"/>
    <m/>
    <m/>
    <m/>
    <n v="6"/>
    <n v="18426107981.286503"/>
    <n v="4869802105.2700005"/>
    <n v="13556305876.016502"/>
    <n v="951343820.02999997"/>
    <n v="9684082914"/>
    <n v="10635426734.030001"/>
    <n v="0.57719333593569011"/>
    <n v="7790681247.2565022"/>
    <n v="6232544997.8052025"/>
    <n v="4674408748.3539009"/>
    <n v="8.9450460599385329E-2"/>
    <n v="0.56172885881394896"/>
    <n v="0.8"/>
    <x v="0"/>
    <n v="934881749.67078018"/>
    <n v="-17632992525.975319"/>
  </r>
  <r>
    <n v="586"/>
    <x v="471"/>
    <d v="2025-05-21T00:00:00"/>
    <x v="43"/>
    <x v="3"/>
    <n v="-75.818982000000005"/>
    <s v="5,597542"/>
    <n v="0"/>
    <n v="0"/>
    <s v=""/>
    <x v="1"/>
    <m/>
    <x v="16"/>
    <s v="Tercer Orden"/>
    <s v="Vías terciarias mejoradas"/>
    <s v="Priorizado el 14/05/2025"/>
    <n v="1"/>
    <s v="SGR Regionales 60%"/>
    <s v="Puentes y PAP 2025-1"/>
    <n v="6"/>
    <n v="14419744847.987999"/>
    <n v="4888479181.79"/>
    <n v="9531265666.197998"/>
    <n v="0"/>
    <n v="0"/>
    <n v="0"/>
    <n v="0"/>
    <n v="14419744847.987999"/>
    <n v="11535795878.3904"/>
    <n v="8651846908.792799"/>
    <n v="0"/>
    <n v="0.45738888558733654"/>
    <n v="0.8"/>
    <x v="0"/>
    <n v="1730369381.7585599"/>
    <n v="9347496667.5513592"/>
  </r>
  <r>
    <n v="587"/>
    <x v="472"/>
    <d v="2025-05-21T00:00:00"/>
    <x v="78"/>
    <x v="3"/>
    <n v="-75.607810000000001"/>
    <s v="5,743808"/>
    <n v="0"/>
    <n v="0"/>
    <s v=""/>
    <x v="0"/>
    <m/>
    <x v="19"/>
    <s v="Primer Orden"/>
    <s v="Vía primaria mantenida "/>
    <s v="Trasladar a DAGRAN"/>
    <m/>
    <m/>
    <m/>
    <n v="6"/>
    <n v="10783113038.2925"/>
    <n v="5750561650.9200001"/>
    <n v="5032551387.3724995"/>
    <n v="4104930290"/>
    <n v="0"/>
    <n v="4104930290"/>
    <n v="0.38068137423977277"/>
    <n v="6678182748.2924995"/>
    <n v="5342546198.6339998"/>
    <n v="4006909648.9754996"/>
    <n v="1"/>
    <n v="0.6829525248720959"/>
    <n v="0.8"/>
    <x v="0"/>
    <n v="801381929.79509997"/>
    <n v="3545266902.7705994"/>
  </r>
  <r>
    <n v="588"/>
    <x v="473"/>
    <d v="2025-05-21T00:00:00"/>
    <x v="61"/>
    <x v="7"/>
    <n v="-75.812837999999999"/>
    <s v="6,677316"/>
    <n v="0"/>
    <n v="0"/>
    <s v=""/>
    <x v="0"/>
    <m/>
    <x v="16"/>
    <s v="Tercer Orden"/>
    <s v="Vías terciarias mejoradas"/>
    <s v="Sin EYD. Comunicado recibido el 11 de abril"/>
    <m/>
    <m/>
    <m/>
    <n v="6"/>
    <n v="8030428413.9210014"/>
    <n v="3080588699.4500003"/>
    <n v="4949839714.4710007"/>
    <n v="1577607418.01"/>
    <n v="1800000000"/>
    <n v="3377607418.0100002"/>
    <n v="0.42060114901900014"/>
    <n v="4652820995.9110012"/>
    <n v="3722256796.7288013"/>
    <n v="2791692597.5466008"/>
    <n v="0.46707838501239612"/>
    <n v="0.73590701114566914"/>
    <n v="0.8"/>
    <x v="0"/>
    <n v="558338519.50932014"/>
    <n v="3350031117.0559211"/>
  </r>
  <r>
    <n v="589"/>
    <x v="474"/>
    <d v="2025-05-21T00:00:00"/>
    <x v="61"/>
    <x v="7"/>
    <n v="-75.812837999999999"/>
    <s v="6,677316"/>
    <n v="0"/>
    <n v="0"/>
    <s v=""/>
    <x v="0"/>
    <m/>
    <x v="19"/>
    <s v="Tercer Orden"/>
    <s v="Vías terciarias mejoradas"/>
    <s v="Sin EYD. Comunicado recibido el 11 de abril"/>
    <m/>
    <m/>
    <m/>
    <n v="6"/>
    <n v="8030428413.9210014"/>
    <n v="3080588699.4500003"/>
    <n v="4949839714.4710007"/>
    <n v="1577607418.01"/>
    <n v="1800000000"/>
    <n v="3377607418.0100002"/>
    <n v="0.42060114901900014"/>
    <n v="4652820995.9110012"/>
    <n v="3722256796.7288013"/>
    <n v="2791692597.5466008"/>
    <n v="0.46707838501239612"/>
    <n v="0.73590701114566914"/>
    <n v="0.8"/>
    <x v="0"/>
    <n v="558338519.50932014"/>
    <n v="3350031117.0559211"/>
  </r>
  <r>
    <n v="590"/>
    <x v="475"/>
    <d v="2025-05-21T00:00:00"/>
    <x v="61"/>
    <x v="7"/>
    <n v="-75.812837999999999"/>
    <s v="6,677316"/>
    <n v="0"/>
    <n v="0"/>
    <s v=""/>
    <x v="0"/>
    <m/>
    <x v="19"/>
    <s v="Tercer Orden"/>
    <s v="Vías terciarias mejoradas"/>
    <s v="Sin EYD. Comunicado recibido el 11 de abril"/>
    <m/>
    <m/>
    <m/>
    <n v="6"/>
    <n v="8030428413.9210014"/>
    <n v="3080588699.4500003"/>
    <n v="4949839714.4710007"/>
    <n v="1577607418.01"/>
    <n v="1800000000"/>
    <n v="3377607418.0100002"/>
    <n v="0.42060114901900014"/>
    <n v="4652820995.9110012"/>
    <n v="3722256796.7288013"/>
    <n v="2791692597.5466008"/>
    <n v="0.46707838501239612"/>
    <n v="0.73590701114566914"/>
    <n v="0.8"/>
    <x v="0"/>
    <n v="558338519.50932014"/>
    <n v="3350031117.0559211"/>
  </r>
  <r>
    <n v="591"/>
    <x v="476"/>
    <d v="2025-05-21T00:00:00"/>
    <x v="61"/>
    <x v="7"/>
    <n v="-75.812837999999999"/>
    <s v="6,677316"/>
    <n v="0"/>
    <n v="0"/>
    <s v=""/>
    <x v="0"/>
    <m/>
    <x v="16"/>
    <s v="Tercer Orden"/>
    <s v="Vías terciarias mejoradas"/>
    <s v="Sin EYD. Comunicado recibido el 11 de abril. Es un puente militar que debe ser devuelto al INVIAS"/>
    <m/>
    <m/>
    <m/>
    <n v="6"/>
    <n v="8030428413.9210014"/>
    <n v="3080588699.4500003"/>
    <n v="4949839714.4710007"/>
    <n v="1577607418.01"/>
    <n v="1800000000"/>
    <n v="3377607418.0100002"/>
    <n v="0.42060114901900014"/>
    <n v="4652820995.9110012"/>
    <n v="3722256796.7288013"/>
    <n v="2791692597.5466008"/>
    <n v="0.46707838501239612"/>
    <n v="0.73590701114566914"/>
    <n v="0.8"/>
    <x v="0"/>
    <n v="558338519.50932014"/>
    <n v="3350031117.0559211"/>
  </r>
  <r>
    <n v="592"/>
    <x v="477"/>
    <d v="2025-05-21T00:00:00"/>
    <x v="82"/>
    <x v="8"/>
    <n v="-74.78716"/>
    <s v="6,552116"/>
    <n v="0"/>
    <n v="0"/>
    <s v=""/>
    <x v="0"/>
    <m/>
    <x v="16"/>
    <s v="Tercer Orden"/>
    <s v="Vías terciarias mejoradas"/>
    <s v="Sin EYD. Posible puente militar. Comunicado del 10 de marzo sugiere cambiar de ubicación el puente proyectado"/>
    <m/>
    <m/>
    <m/>
    <n v="6"/>
    <n v="12443958135.744499"/>
    <n v="4756407219.6099997"/>
    <n v="7687550916.1344995"/>
    <n v="8000000000"/>
    <n v="0"/>
    <n v="8000000000"/>
    <n v="0.64288226565312012"/>
    <n v="4443958135.7444992"/>
    <n v="3555166508.5955997"/>
    <n v="2666374881.4466996"/>
    <n v="1"/>
    <n v="0.49448054880206244"/>
    <n v="0.8"/>
    <x v="0"/>
    <n v="533274976.28933996"/>
    <n v="-10227839015.26396"/>
  </r>
  <r>
    <n v="593"/>
    <x v="478"/>
    <d v="2025-05-21T00:00:00"/>
    <x v="42"/>
    <x v="5"/>
    <n v="-76.787271000000004"/>
    <s v="8,434526"/>
    <n v="1"/>
    <n v="1"/>
    <s v=""/>
    <x v="1"/>
    <n v="3750563800"/>
    <x v="16"/>
    <s v="Tercer Orden"/>
    <s v="Vías terciarias mejoradas"/>
    <s v="EYD recibidos el 16 de mayo 2025"/>
    <m/>
    <m/>
    <m/>
    <n v="6"/>
    <n v="30137297790.127998"/>
    <n v="12298726691.530001"/>
    <n v="17838571098.598"/>
    <n v="2369107602"/>
    <n v="13974896585"/>
    <n v="16344004187"/>
    <n v="0.54231817002364979"/>
    <n v="13793293603.127998"/>
    <n v="11034634882.502399"/>
    <n v="8275976161.8767986"/>
    <n v="0.1449527040554961"/>
    <n v="0.58055985759165929"/>
    <n v="0.8"/>
    <x v="0"/>
    <n v="1655195232.3753598"/>
    <n v="-27536564888.747841"/>
  </r>
  <r>
    <n v="594"/>
    <x v="479"/>
    <d v="2025-05-21T00:00:00"/>
    <x v="85"/>
    <x v="7"/>
    <n v="-75.910357000000005"/>
    <s v="7,021029"/>
    <n v="0"/>
    <n v="0"/>
    <s v=""/>
    <x v="1"/>
    <n v="1329105000"/>
    <x v="19"/>
    <s v="Urbana"/>
    <s v="Vía urbana mejorada"/>
    <s v="Trasladar a DAGRAN"/>
    <m/>
    <m/>
    <m/>
    <n v="6"/>
    <n v="13002660545.618999"/>
    <n v="2851909764.96"/>
    <n v="10150750780.659"/>
    <n v="3580400217"/>
    <n v="0"/>
    <n v="3580400217"/>
    <n v="0.27535904705336234"/>
    <n v="9422260328.6189995"/>
    <n v="7537808262.8951998"/>
    <n v="5653356197.1713991"/>
    <n v="1"/>
    <n v="0.60546314083774588"/>
    <n v="0.8"/>
    <x v="0"/>
    <n v="1130671239.4342799"/>
    <n v="-65295013.394321442"/>
  </r>
  <r>
    <n v="595"/>
    <x v="480"/>
    <d v="2025-05-21T00:00:00"/>
    <x v="85"/>
    <x v="7"/>
    <n v="-75.910357000000005"/>
    <s v="7,021029"/>
    <n v="0"/>
    <n v="0"/>
    <s v=""/>
    <x v="0"/>
    <m/>
    <x v="19"/>
    <s v="Segundo Orden"/>
    <s v="Vías secundarias mejoradas"/>
    <s v="Informe radicado el 2 de abril"/>
    <m/>
    <m/>
    <m/>
    <n v="6"/>
    <n v="13002660545.618999"/>
    <n v="2851909764.96"/>
    <n v="10150750780.659"/>
    <n v="3580400217"/>
    <n v="0"/>
    <n v="3580400217"/>
    <n v="0.27535904705336234"/>
    <n v="9422260328.6189995"/>
    <n v="7537808262.8951998"/>
    <n v="5653356197.1713991"/>
    <n v="1"/>
    <n v="0.60546314083774588"/>
    <n v="0.8"/>
    <x v="0"/>
    <n v="1130671239.4342799"/>
    <n v="-65295013.394321442"/>
  </r>
  <r>
    <n v="596"/>
    <x v="481"/>
    <d v="2025-05-21T00:00:00"/>
    <x v="115"/>
    <x v="0"/>
    <n v="-74.698134999999994"/>
    <s v="7,029424"/>
    <n v="1"/>
    <n v="1"/>
    <s v=""/>
    <x v="0"/>
    <m/>
    <x v="19"/>
    <s v="Segundo Orden"/>
    <s v="Vías secundarias mejoradas"/>
    <s v="Pérdida de banca en el sector la Argollita de la vía 62AN29-1-1 Carretera Secundaria Departamental (La Ye - Remedios). En peligro banca y oleoductos. 15/05/2025 Se confirma con secretaria de planeacion que no existen estudios en fase 3. Pasa entonces de priorizado a pendiente."/>
    <m/>
    <m/>
    <m/>
    <n v="6"/>
    <n v="31836256303.883995"/>
    <n v="12586903103.25"/>
    <n v="19249353200.633995"/>
    <n v="0"/>
    <n v="0"/>
    <n v="0"/>
    <n v="0"/>
    <n v="31836256303.883995"/>
    <n v="25469005043.107197"/>
    <n v="19101753782.330395"/>
    <n v="0"/>
    <n v="1.3391267531682534"/>
    <n v="0.8"/>
    <x v="1"/>
    <n v="3820350756.4660792"/>
    <n v="22922104538.796474"/>
  </r>
  <r>
    <n v="597"/>
    <x v="482"/>
    <d v="2025-05-21T00:00:00"/>
    <x v="27"/>
    <x v="2"/>
    <n v="-75.101562000000001"/>
    <s v="5,963476"/>
    <n v="0"/>
    <n v="1"/>
    <s v="2025010139131"/>
    <x v="0"/>
    <m/>
    <x v="19"/>
    <s v="Segundo Orden"/>
    <s v="Vías secundarias mejoradas"/>
    <s v="RAD 2025010139131. De los anexos del radicado se infiere que son seis PAP."/>
    <m/>
    <m/>
    <m/>
    <n v="6"/>
    <n v="7763487077.335"/>
    <n v="2329929022.3600001"/>
    <n v="5433558054.9750004"/>
    <n v="1217107364.4400001"/>
    <n v="0"/>
    <n v="1217107364.4400001"/>
    <n v="0.15677328400446064"/>
    <n v="6546379712.8950005"/>
    <n v="5237103770.3160009"/>
    <n v="3927827827.737"/>
    <n v="1"/>
    <n v="0.68141761997590633"/>
    <n v="0.8"/>
    <x v="0"/>
    <n v="785565565.5474"/>
    <n v="-4960892756.7156"/>
  </r>
  <r>
    <n v="598"/>
    <x v="483"/>
    <d v="2025-05-21T00:00:00"/>
    <x v="27"/>
    <x v="2"/>
    <n v="-75.101562000000001"/>
    <s v="5,963476"/>
    <n v="0"/>
    <n v="1"/>
    <s v=""/>
    <x v="0"/>
    <m/>
    <x v="19"/>
    <s v="Segundo Orden"/>
    <s v="Vías secundarias mejoradas"/>
    <s v="RAD 2025010139131. De los anexos del radicado se infiere que son seis PAP."/>
    <m/>
    <m/>
    <m/>
    <n v="6"/>
    <n v="7763487077.335"/>
    <n v="2329929022.3600001"/>
    <n v="5433558054.9750004"/>
    <n v="1217107364.4400001"/>
    <n v="0"/>
    <n v="1217107364.4400001"/>
    <n v="0.15677328400446064"/>
    <n v="6546379712.8950005"/>
    <n v="5237103770.3160009"/>
    <n v="3927827827.737"/>
    <n v="1"/>
    <n v="0.68141761997590633"/>
    <n v="0.8"/>
    <x v="0"/>
    <n v="785565565.5474"/>
    <n v="-4960892756.7156"/>
  </r>
  <r>
    <n v="599"/>
    <x v="484"/>
    <d v="2025-05-21T00:00:00"/>
    <x v="27"/>
    <x v="2"/>
    <n v="-75.101562000000001"/>
    <s v="5,963476"/>
    <n v="0"/>
    <n v="1"/>
    <s v=""/>
    <x v="0"/>
    <m/>
    <x v="19"/>
    <s v="Segundo Orden"/>
    <s v="Vías secundarias mejoradas"/>
    <s v="RAD 2025010139131. De los anexos del radicado se infiere que son seis PAP."/>
    <m/>
    <m/>
    <m/>
    <n v="6"/>
    <n v="7763487077.335"/>
    <n v="2329929022.3600001"/>
    <n v="5433558054.9750004"/>
    <n v="1217107364.4400001"/>
    <n v="0"/>
    <n v="1217107364.4400001"/>
    <n v="0.15677328400446064"/>
    <n v="6546379712.8950005"/>
    <n v="5237103770.3160009"/>
    <n v="3927827827.737"/>
    <n v="1"/>
    <n v="0.68141761997590633"/>
    <n v="0.8"/>
    <x v="0"/>
    <n v="785565565.5474"/>
    <n v="-4960892756.7156"/>
  </r>
  <r>
    <n v="600"/>
    <x v="485"/>
    <d v="2025-05-21T00:00:00"/>
    <x v="27"/>
    <x v="2"/>
    <n v="-75.101562000000001"/>
    <s v="5,963476"/>
    <n v="0"/>
    <n v="1"/>
    <s v=""/>
    <x v="0"/>
    <m/>
    <x v="19"/>
    <s v="Segundo Orden"/>
    <s v="Vías secundarias mejoradas"/>
    <s v="RAD 2025010139131. De los anexos del radicado se infiere que son seis PAP."/>
    <m/>
    <m/>
    <m/>
    <n v="6"/>
    <n v="7763487077.335"/>
    <n v="2329929022.3600001"/>
    <n v="5433558054.9750004"/>
    <n v="1217107364.4400001"/>
    <n v="0"/>
    <n v="1217107364.4400001"/>
    <n v="0.15677328400446064"/>
    <n v="6546379712.8950005"/>
    <n v="5237103770.3160009"/>
    <n v="3927827827.737"/>
    <n v="1"/>
    <n v="0.68141761997590633"/>
    <n v="0.8"/>
    <x v="0"/>
    <n v="785565565.5474"/>
    <n v="-4960892756.7156"/>
  </r>
  <r>
    <n v="601"/>
    <x v="486"/>
    <d v="2025-05-21T00:00:00"/>
    <x v="27"/>
    <x v="2"/>
    <n v="-75.101562000000001"/>
    <s v="5,963476"/>
    <n v="0"/>
    <n v="1"/>
    <s v=""/>
    <x v="0"/>
    <m/>
    <x v="19"/>
    <s v="Segundo Orden"/>
    <s v="Vías secundarias mejoradas"/>
    <s v="RAD 2025010139131. De los anexos del radicado se infiere que son seis PAP."/>
    <m/>
    <m/>
    <m/>
    <n v="6"/>
    <n v="7763487077.335"/>
    <n v="2329929022.3600001"/>
    <n v="5433558054.9750004"/>
    <n v="1217107364.4400001"/>
    <n v="0"/>
    <n v="1217107364.4400001"/>
    <n v="0.15677328400446064"/>
    <n v="6546379712.8950005"/>
    <n v="5237103770.3160009"/>
    <n v="3927827827.737"/>
    <n v="1"/>
    <n v="0.68141761997590633"/>
    <n v="0.8"/>
    <x v="0"/>
    <n v="785565565.5474"/>
    <n v="-4960892756.7156"/>
  </r>
  <r>
    <n v="602"/>
    <x v="487"/>
    <d v="2025-05-21T00:00:00"/>
    <x v="27"/>
    <x v="2"/>
    <n v="-75.101562000000001"/>
    <s v="5,963476"/>
    <n v="0"/>
    <n v="1"/>
    <s v=""/>
    <x v="0"/>
    <m/>
    <x v="19"/>
    <s v="Segundo Orden"/>
    <s v="Vías secundarias mejoradas"/>
    <s v="RAD 2025010139131. De los anexos del radicado se infiere que son seis PAP."/>
    <m/>
    <m/>
    <m/>
    <n v="6"/>
    <n v="7763487077.335"/>
    <n v="2329929022.3600001"/>
    <n v="5433558054.9750004"/>
    <n v="1217107364.4400001"/>
    <n v="0"/>
    <n v="1217107364.4400001"/>
    <n v="0.15677328400446064"/>
    <n v="6546379712.8950005"/>
    <n v="5237103770.3160009"/>
    <n v="3927827827.737"/>
    <n v="1"/>
    <n v="0.68141761997590633"/>
    <n v="0.8"/>
    <x v="0"/>
    <n v="785565565.5474"/>
    <n v="-4960892756.7156"/>
  </r>
  <r>
    <n v="603"/>
    <x v="488"/>
    <d v="2025-05-21T00:00:00"/>
    <x v="11"/>
    <x v="4"/>
    <n v="-75.683351999999999"/>
    <s v="6,85009"/>
    <n v="0"/>
    <n v="0"/>
    <s v=""/>
    <x v="1"/>
    <n v="10196000000"/>
    <x v="19"/>
    <s v="Segundo Orden"/>
    <s v="Vías secundarias mejoradas"/>
    <s v="Fue considerado para priorizacion el 04/04/2025 sin embargo por su alto costo no se ajustaba al programa de puentes y pap"/>
    <m/>
    <m/>
    <m/>
    <n v="6"/>
    <n v="5437802568.3275003"/>
    <n v="2195257843.8499999"/>
    <n v="3242544724.4775004"/>
    <n v="1389038990"/>
    <n v="0"/>
    <n v="1389038990"/>
    <n v="0.25544123247329026"/>
    <n v="4048763578.3275003"/>
    <n v="3239010862.6620007"/>
    <n v="2429258146.9965"/>
    <n v="1"/>
    <n v="0.74230580339650343"/>
    <n v="0.8"/>
    <x v="0"/>
    <n v="485851629.39930004"/>
    <n v="-14155936706.6042"/>
  </r>
  <r>
    <n v="604"/>
    <x v="489"/>
    <d v="2025-05-21T00:00:00"/>
    <x v="11"/>
    <x v="4"/>
    <n v="-75.683351999999999"/>
    <s v="6,85009"/>
    <n v="0"/>
    <n v="0"/>
    <s v=""/>
    <x v="0"/>
    <m/>
    <x v="16"/>
    <s v="Segundo Orden"/>
    <s v="Vías secundarias mejoradas"/>
    <s v="RAD 2025010180420"/>
    <m/>
    <m/>
    <m/>
    <n v="6"/>
    <n v="5437802568.3275003"/>
    <n v="2195257843.8499999"/>
    <n v="3242544724.4775004"/>
    <n v="1389038990"/>
    <n v="0"/>
    <n v="1389038990"/>
    <n v="0.25544123247329026"/>
    <n v="4048763578.3275003"/>
    <n v="3239010862.6620007"/>
    <n v="2429258146.9965"/>
    <n v="1"/>
    <n v="0.74230580339650343"/>
    <n v="0.8"/>
    <x v="0"/>
    <n v="485851629.39930004"/>
    <n v="-14155936706.6042"/>
  </r>
  <r>
    <n v="605"/>
    <x v="490"/>
    <d v="2025-05-21T00:00:00"/>
    <x v="75"/>
    <x v="2"/>
    <n v="-74.993618999999995"/>
    <s v="6,043017"/>
    <n v="0"/>
    <n v="1"/>
    <s v=""/>
    <x v="0"/>
    <m/>
    <x v="16"/>
    <s v="Tercer Orden"/>
    <s v="Vías terciarias mejoradas"/>
    <s v="Comunicado enviado el 09 de abril por email. Comunicado incluye diagnostico de 16 puentes sin E&amp;D."/>
    <m/>
    <m/>
    <m/>
    <n v="6"/>
    <n v="10860999220.161499"/>
    <n v="3903981787.4000001"/>
    <n v="6957017432.7614994"/>
    <n v="1425530293"/>
    <n v="0"/>
    <n v="1425530293"/>
    <n v="0.13125222312453153"/>
    <n v="9435468927.161499"/>
    <n v="7548375141.7291994"/>
    <n v="5661281356.2968988"/>
    <n v="1"/>
    <n v="0.63270124114427018"/>
    <n v="0.8"/>
    <x v="0"/>
    <n v="1132256271.2593799"/>
    <n v="-72218731181.443726"/>
  </r>
  <r>
    <n v="606"/>
    <x v="491"/>
    <d v="2025-05-21T00:00:00"/>
    <x v="75"/>
    <x v="2"/>
    <n v="-74.993618999999995"/>
    <s v="6,043017"/>
    <n v="0"/>
    <n v="1"/>
    <s v=""/>
    <x v="0"/>
    <m/>
    <x v="19"/>
    <s v="Segundo Orden"/>
    <s v="Vías secundarias mejoradas"/>
    <s v="Petición realizada atraves de oficio enviado el día 30/04/2025. "/>
    <m/>
    <m/>
    <m/>
    <n v="6"/>
    <n v="10860999220.161499"/>
    <n v="3903981787.4000001"/>
    <n v="6957017432.7614994"/>
    <n v="1425530293"/>
    <n v="0"/>
    <n v="1425530293"/>
    <n v="0.13125222312453153"/>
    <n v="9435468927.161499"/>
    <n v="7548375141.7291994"/>
    <n v="5661281356.2968988"/>
    <n v="1"/>
    <n v="0.63270124114427018"/>
    <n v="0.8"/>
    <x v="0"/>
    <n v="1132256271.2593799"/>
    <n v="-72218731181.443726"/>
  </r>
  <r>
    <n v="607"/>
    <x v="492"/>
    <d v="2025-05-21T00:00:00"/>
    <x v="75"/>
    <x v="2"/>
    <n v="-74.993618999999995"/>
    <s v="6,043017"/>
    <n v="0"/>
    <n v="1"/>
    <s v="2025010248056"/>
    <x v="1"/>
    <n v="853757339"/>
    <x v="19"/>
    <s v="Tercer Orden"/>
    <s v="Vías terciarias mejoradas"/>
    <m/>
    <n v="1"/>
    <s v="SGR Regionales 60%"/>
    <s v="Puentes y PAP 2025-1"/>
    <n v="6"/>
    <n v="10860999220.161499"/>
    <n v="3903981787.4000001"/>
    <n v="6957017432.7614994"/>
    <n v="1425530293"/>
    <n v="0"/>
    <n v="1425530293"/>
    <n v="0.13125222312453153"/>
    <n v="9435468927.161499"/>
    <n v="7548375141.7291994"/>
    <n v="5661281356.2968988"/>
    <n v="1"/>
    <n v="0.63270124114427018"/>
    <n v="0.8"/>
    <x v="0"/>
    <n v="1132256271.2593799"/>
    <n v="-72218731181.443726"/>
  </r>
  <r>
    <n v="608"/>
    <x v="493"/>
    <d v="2025-05-21T00:00:00"/>
    <x v="13"/>
    <x v="5"/>
    <n v="-76.380566999999999"/>
    <s v="8,276884"/>
    <n v="1"/>
    <n v="1"/>
    <s v=""/>
    <x v="1"/>
    <n v="5200000000"/>
    <x v="19"/>
    <s v="Segundo Orden"/>
    <s v="Vías secundarias mejoradas"/>
    <m/>
    <n v="1"/>
    <s v="Recursos propios"/>
    <m/>
    <n v="6"/>
    <n v="19508372714.52"/>
    <n v="5389834315.5"/>
    <n v="14118538399.02"/>
    <n v="2594281047"/>
    <n v="1833333333"/>
    <n v="4427614380"/>
    <n v="0.22695969801235882"/>
    <n v="15080758334.52"/>
    <n v="12064606667.616001"/>
    <n v="9048455000.7119999"/>
    <n v="0.58593202215591322"/>
    <n v="0.58851112900500024"/>
    <n v="0.8"/>
    <x v="0"/>
    <n v="1809691000.1424"/>
    <n v="-12151086930.145599"/>
  </r>
  <r>
    <n v="609"/>
    <x v="494"/>
    <d v="2025-05-21T00:00:00"/>
    <x v="89"/>
    <x v="2"/>
    <n v="-75.028490000000005"/>
    <s v="6,293759"/>
    <n v="0"/>
    <n v="1"/>
    <s v=""/>
    <x v="0"/>
    <m/>
    <x v="16"/>
    <s v="Segundo Orden"/>
    <s v="Vías secundarias mejoradas"/>
    <s v="Puente en muy mal estado. Refuerzo longitudinal expuesto es imperativo su reemplazo"/>
    <n v="1"/>
    <s v="SGR"/>
    <s v="Estudios y diseños etapa 1"/>
    <n v="6"/>
    <n v="17565923370.843998"/>
    <n v="4463335582.5100002"/>
    <n v="13102587788.333998"/>
    <n v="2561424191"/>
    <n v="0"/>
    <n v="2561424191"/>
    <n v="0.14581779374328047"/>
    <n v="15004499179.843998"/>
    <n v="12003599343.875198"/>
    <n v="9002699507.9063988"/>
    <n v="1"/>
    <n v="0.64471709259563048"/>
    <n v="0.8"/>
    <x v="0"/>
    <n v="1800539901.5812798"/>
    <n v="3805966446.4876785"/>
  </r>
  <r>
    <n v="610"/>
    <x v="495"/>
    <d v="2025-05-21T00:00:00"/>
    <x v="89"/>
    <x v="2"/>
    <n v="-75.028490000000005"/>
    <s v="6,293759"/>
    <n v="0"/>
    <n v="1"/>
    <s v=""/>
    <x v="0"/>
    <m/>
    <x v="16"/>
    <s v="Tercer Orden"/>
    <s v="Vías terciarias mejoradas"/>
    <m/>
    <m/>
    <m/>
    <m/>
    <n v="6"/>
    <n v="17565923370.843998"/>
    <n v="4463335582.5100002"/>
    <n v="13102587788.333998"/>
    <n v="2561424191"/>
    <n v="0"/>
    <n v="2561424191"/>
    <n v="0.14581779374328047"/>
    <n v="15004499179.843998"/>
    <n v="12003599343.875198"/>
    <n v="9002699507.9063988"/>
    <n v="1"/>
    <n v="0.64471709259563048"/>
    <n v="0.8"/>
    <x v="0"/>
    <n v="1800539901.5812798"/>
    <n v="3805966446.4876785"/>
  </r>
  <r>
    <n v="611"/>
    <x v="215"/>
    <d v="2025-05-21T00:00:00"/>
    <x v="70"/>
    <x v="0"/>
    <n v="-75.019109"/>
    <s v="6,485939"/>
    <n v="0"/>
    <n v="0"/>
    <s v=""/>
    <x v="0"/>
    <m/>
    <x v="16"/>
    <s v="Tercer Orden"/>
    <s v="Vías terciarias mejoradas"/>
    <m/>
    <m/>
    <m/>
    <m/>
    <n v="6"/>
    <n v="13645854382.4415"/>
    <n v="5036095672.2200003"/>
    <n v="8609758710.2215004"/>
    <n v="2357809963"/>
    <n v="1093248488"/>
    <n v="3451058451"/>
    <n v="0.25290160324739891"/>
    <n v="10194795931.4415"/>
    <n v="8155836745.1532001"/>
    <n v="6116877558.8648996"/>
    <n v="0.68321356954032075"/>
    <n v="0.58815143933117542"/>
    <n v="0.8"/>
    <x v="0"/>
    <n v="1223375511.77298"/>
    <n v="-66818961.362120628"/>
  </r>
  <r>
    <n v="612"/>
    <x v="496"/>
    <d v="2025-05-21T00:00:00"/>
    <x v="70"/>
    <x v="0"/>
    <n v="-75.019109"/>
    <s v="6,485939"/>
    <n v="0"/>
    <n v="0"/>
    <s v=""/>
    <x v="0"/>
    <m/>
    <x v="19"/>
    <s v="Tercer Orden"/>
    <s v="Vías terciarias mejoradas"/>
    <m/>
    <m/>
    <m/>
    <m/>
    <n v="6"/>
    <n v="13645854382.4415"/>
    <n v="5036095672.2200003"/>
    <n v="8609758710.2215004"/>
    <n v="2357809963"/>
    <n v="1093248488"/>
    <n v="3451058451"/>
    <n v="0.25290160324739891"/>
    <n v="10194795931.4415"/>
    <n v="8155836745.1532001"/>
    <n v="6116877558.8648996"/>
    <n v="0.68321356954032075"/>
    <n v="0.58815143933117542"/>
    <n v="0.8"/>
    <x v="0"/>
    <n v="1223375511.77298"/>
    <n v="-66818961.362120628"/>
  </r>
  <r>
    <n v="613"/>
    <x v="497"/>
    <d v="2025-05-21T00:00:00"/>
    <x v="70"/>
    <x v="0"/>
    <n v="-75.019109"/>
    <s v="6,485939"/>
    <n v="0"/>
    <n v="0"/>
    <s v=""/>
    <x v="0"/>
    <m/>
    <x v="19"/>
    <s v="Tercer Orden"/>
    <s v="Vías terciarias mejoradas"/>
    <m/>
    <m/>
    <m/>
    <m/>
    <n v="6"/>
    <n v="13645854382.4415"/>
    <n v="5036095672.2200003"/>
    <n v="8609758710.2215004"/>
    <n v="2357809963"/>
    <n v="1093248488"/>
    <n v="3451058451"/>
    <n v="0.25290160324739891"/>
    <n v="10194795931.4415"/>
    <n v="8155836745.1532001"/>
    <n v="6116877558.8648996"/>
    <n v="0.68321356954032075"/>
    <n v="0.58815143933117542"/>
    <n v="0.8"/>
    <x v="0"/>
    <n v="1223375511.77298"/>
    <n v="-66818961.362120628"/>
  </r>
  <r>
    <n v="614"/>
    <x v="498"/>
    <d v="2025-05-21T00:00:00"/>
    <x v="70"/>
    <x v="0"/>
    <n v="-75.019109"/>
    <s v="6,485939"/>
    <n v="0"/>
    <n v="0"/>
    <s v=""/>
    <x v="0"/>
    <m/>
    <x v="19"/>
    <s v="Tercer Orden"/>
    <s v="Vías terciarias mejoradas"/>
    <m/>
    <m/>
    <m/>
    <m/>
    <n v="6"/>
    <n v="13645854382.4415"/>
    <n v="5036095672.2200003"/>
    <n v="8609758710.2215004"/>
    <n v="2357809963"/>
    <n v="1093248488"/>
    <n v="3451058451"/>
    <n v="0.25290160324739891"/>
    <n v="10194795931.4415"/>
    <n v="8155836745.1532001"/>
    <n v="6116877558.8648996"/>
    <n v="0.68321356954032075"/>
    <n v="0.58815143933117542"/>
    <n v="0.8"/>
    <x v="0"/>
    <n v="1223375511.77298"/>
    <n v="-66818961.362120628"/>
  </r>
  <r>
    <n v="615"/>
    <x v="499"/>
    <d v="2025-05-21T00:00:00"/>
    <x v="70"/>
    <x v="0"/>
    <n v="-75.019109"/>
    <s v="6,485939"/>
    <n v="0"/>
    <n v="0"/>
    <s v=""/>
    <x v="0"/>
    <m/>
    <x v="19"/>
    <s v="Tercer Orden"/>
    <s v="Vías terciarias mejoradas"/>
    <m/>
    <m/>
    <m/>
    <m/>
    <n v="6"/>
    <n v="13645854382.4415"/>
    <n v="5036095672.2200003"/>
    <n v="8609758710.2215004"/>
    <n v="2357809963"/>
    <n v="1093248488"/>
    <n v="3451058451"/>
    <n v="0.25290160324739891"/>
    <n v="10194795931.4415"/>
    <n v="8155836745.1532001"/>
    <n v="6116877558.8648996"/>
    <n v="0.68321356954032075"/>
    <n v="0.58815143933117542"/>
    <n v="0.8"/>
    <x v="0"/>
    <n v="1223375511.77298"/>
    <n v="-66818961.362120628"/>
  </r>
  <r>
    <n v="616"/>
    <x v="500"/>
    <d v="2025-05-21T00:00:00"/>
    <x v="3"/>
    <x v="3"/>
    <n v="-75.567351000000002"/>
    <s v="5,875527"/>
    <n v="0"/>
    <n v="0"/>
    <s v=""/>
    <x v="1"/>
    <n v="800000000"/>
    <x v="19"/>
    <s v="Urbana"/>
    <s v="Vía urbana mejorada"/>
    <s v="Traslado a DAGRAN"/>
    <n v="1"/>
    <m/>
    <m/>
    <n v="6"/>
    <n v="12109127304.486"/>
    <n v="6485076277.8299999"/>
    <n v="5624051026.6560001"/>
    <n v="3662325591"/>
    <n v="0"/>
    <n v="3662325591"/>
    <n v="0.30244339653141139"/>
    <n v="8446801713.4860001"/>
    <n v="6757441370.7888002"/>
    <n v="5068081028.0915995"/>
    <n v="1"/>
    <n v="0.55253262293583549"/>
    <n v="0.8"/>
    <x v="0"/>
    <n v="1013616205.61832"/>
    <n v="5281697233.709919"/>
  </r>
  <r>
    <n v="617"/>
    <x v="204"/>
    <d v="2025-05-21T00:00:00"/>
    <x v="47"/>
    <x v="7"/>
    <n v="-75.826648000000006"/>
    <s v="6,556484"/>
    <n v="0"/>
    <n v="1"/>
    <s v=""/>
    <x v="0"/>
    <m/>
    <x v="16"/>
    <s v="Tercer Orden"/>
    <s v="Vías terciarias mejoradas"/>
    <s v="Mantenimiento puente con valor patrimonial"/>
    <n v="1"/>
    <s v="Recursos propios"/>
    <s v="Mantenimiento"/>
    <n v="5"/>
    <n v="40656193467.687004"/>
    <n v="18778286398.540001"/>
    <n v="21877907069.147003"/>
    <n v="5492975516"/>
    <n v="2014055909"/>
    <n v="7507031425"/>
    <n v="0.18464668688096655"/>
    <n v="33149162042.687004"/>
    <n v="26519329634.149605"/>
    <n v="19889497225.612202"/>
    <n v="0.73171073957506449"/>
    <n v="0.53391906125286837"/>
    <n v="0.8"/>
    <x v="0"/>
    <n v="3977899445.1224403"/>
    <n v="-22304221465.265358"/>
  </r>
  <r>
    <n v="618"/>
    <x v="501"/>
    <d v="2025-05-21T00:00:00"/>
    <x v="20"/>
    <x v="2"/>
    <n v="-75.309595999999999"/>
    <s v="5,714851"/>
    <n v="0"/>
    <n v="1"/>
    <s v="2025010152656"/>
    <x v="1"/>
    <n v="1190884976"/>
    <x v="16"/>
    <s v="Tercer Orden"/>
    <s v="Vías terciarias mejoradas"/>
    <m/>
    <n v="1"/>
    <s v="SGR Regionales 60%"/>
    <s v="Puentes y PAP 2025-1"/>
    <n v="5"/>
    <n v="35695767669.016502"/>
    <n v="13532488388.23"/>
    <n v="22163279280.786503"/>
    <n v="1067761948"/>
    <n v="4932032890"/>
    <n v="5999794838"/>
    <n v="0.16808140655867587"/>
    <n v="29695972831.016502"/>
    <n v="23756778264.813202"/>
    <n v="17817583698.609901"/>
    <n v="0.17796640999076777"/>
    <n v="0.4016729815979605"/>
    <n v="0.8"/>
    <x v="0"/>
    <n v="3563516739.7219806"/>
    <n v="-5870025797.6681175"/>
  </r>
  <r>
    <n v="619"/>
    <x v="502"/>
    <d v="2025-05-21T00:00:00"/>
    <x v="9"/>
    <x v="3"/>
    <n v="-75.714428999999996"/>
    <n v="5.6646450000000002"/>
    <n v="0"/>
    <n v="0"/>
    <s v=""/>
    <x v="3"/>
    <m/>
    <x v="19"/>
    <m/>
    <m/>
    <s v="Muro no puedo ser completado en contrato original existen estudios y diseños pero no existe claridad sobre que se debe hacer especificamente"/>
    <m/>
    <m/>
    <m/>
    <n v="6"/>
    <n v="13939577899.640499"/>
    <n v="5408645166.3600006"/>
    <n v="8530932733.2804985"/>
    <n v="2408239973"/>
    <n v="812109375"/>
    <n v="3220349348"/>
    <n v="0.23102201309001277"/>
    <n v="10719228551.640499"/>
    <n v="8575382841.3123999"/>
    <n v="6431537130.9842997"/>
    <n v="0.74781947942872684"/>
    <n v="0.48148969869574604"/>
    <n v="0.8"/>
    <x v="0"/>
    <n v="1286307426.1968601"/>
    <n v="-10772171787.81884"/>
  </r>
  <r>
    <n v="620"/>
    <x v="503"/>
    <d v="2025-05-21T00:00:00"/>
    <x v="116"/>
    <x v="4"/>
    <n v="-75.692280999999994"/>
    <n v="7.0103280000000003"/>
    <n v="0"/>
    <n v="1"/>
    <s v=""/>
    <x v="0"/>
    <m/>
    <x v="19"/>
    <s v="Tercer Orden"/>
    <s v="Estudios y diseños para proyectos de infraestructura realizados"/>
    <s v="Apoyo para realizacion de EYD"/>
    <m/>
    <m/>
    <m/>
    <n v="6"/>
    <n v="11658945302.2845"/>
    <n v="3873327651.4900002"/>
    <n v="7785617650.7945004"/>
    <n v="358053435"/>
    <n v="0"/>
    <n v="358053435"/>
    <n v="3.0710619675850231E-2"/>
    <n v="11300891867.2845"/>
    <n v="9040713493.8276005"/>
    <n v="6780535120.3706999"/>
    <n v="1"/>
    <n v="0.73337464913949513"/>
    <n v="0.8"/>
    <x v="0"/>
    <n v="1356107024.0741401"/>
    <n v="3200601355.4448395"/>
  </r>
  <r>
    <n v="621"/>
    <x v="504"/>
    <d v="2025-05-21T00:00:00"/>
    <x v="116"/>
    <x v="4"/>
    <n v="-75.692280999999994"/>
    <n v="7.0103280000000003"/>
    <n v="0"/>
    <n v="1"/>
    <s v=""/>
    <x v="0"/>
    <m/>
    <x v="19"/>
    <s v="Tercer Orden"/>
    <s v="Estudios y diseños para proyectos de infraestructura realizados"/>
    <s v="Apoyo para realizacion de EYD"/>
    <m/>
    <m/>
    <m/>
    <n v="6"/>
    <n v="11658945302.2845"/>
    <n v="3873327651.4900002"/>
    <n v="7785617650.7945004"/>
    <n v="358053435"/>
    <n v="0"/>
    <n v="358053435"/>
    <n v="3.0710619675850231E-2"/>
    <n v="11300891867.2845"/>
    <n v="9040713493.8276005"/>
    <n v="6780535120.3706999"/>
    <n v="1"/>
    <n v="0.73337464913949513"/>
    <n v="0.8"/>
    <x v="0"/>
    <n v="1356107024.0741401"/>
    <n v="3200601355.4448395"/>
  </r>
  <r>
    <n v="622"/>
    <x v="505"/>
    <d v="2025-05-21T00:00:00"/>
    <x v="17"/>
    <x v="5"/>
    <n v="-76.728858000000002"/>
    <n v="8.0899289999999997"/>
    <n v="1"/>
    <n v="1"/>
    <s v=""/>
    <x v="0"/>
    <m/>
    <x v="16"/>
    <s v="Tercer Orden"/>
    <s v="Vías terciarias mejoradas"/>
    <s v="Solicitud JAC"/>
    <m/>
    <m/>
    <m/>
    <n v="5"/>
    <n v="57277943756.629501"/>
    <n v="34159399600.959999"/>
    <n v="23118544155.669502"/>
    <n v="3450000000"/>
    <n v="21452083665"/>
    <n v="24902083665"/>
    <n v="0.43475868775610099"/>
    <n v="32375860091.629501"/>
    <n v="25900688073.303604"/>
    <n v="19425516054.977699"/>
    <n v="0.13854262343712995"/>
    <n v="0.87015152665365447"/>
    <n v="0.8"/>
    <x v="1"/>
    <n v="3885103210.9955401"/>
    <n v="-42559571320.026764"/>
  </r>
  <r>
    <n v="623"/>
    <x v="506"/>
    <d v="2025-05-21T00:00:00"/>
    <x v="59"/>
    <x v="4"/>
    <n v="-75.439273999999997"/>
    <n v="7.1651999999999996"/>
    <n v="1"/>
    <n v="1"/>
    <s v=""/>
    <x v="3"/>
    <m/>
    <x v="16"/>
    <s v="Tercer Orden"/>
    <s v="Vías terciarias mejoradas"/>
    <s v="Solo cuenta con un informe topografico"/>
    <m/>
    <m/>
    <m/>
    <n v="6"/>
    <n v="13037566833.207003"/>
    <n v="3869989518.3099999"/>
    <n v="9167577314.8970032"/>
    <n v="3761583922"/>
    <n v="0"/>
    <n v="3761583922"/>
    <n v="0.28851886016178674"/>
    <n v="9275982911.2070026"/>
    <n v="7420786328.9656029"/>
    <n v="5565589746.7242012"/>
    <n v="1"/>
    <n v="0.55776534569064784"/>
    <n v="0.8"/>
    <x v="0"/>
    <n v="1113117949.3448403"/>
    <n v="2421182898.0690413"/>
  </r>
  <r>
    <n v="624"/>
    <x v="507"/>
    <d v="2025-05-21T00:00:00"/>
    <x v="22"/>
    <x v="3"/>
    <n v="-75.624452000000005"/>
    <n v="5.6145550000000002"/>
    <n v="0"/>
    <n v="0"/>
    <s v=""/>
    <x v="0"/>
    <n v="2673683589"/>
    <x v="19"/>
    <s v="Tercer Orden"/>
    <s v="Vías terciarias mejoradas"/>
    <m/>
    <m/>
    <m/>
    <m/>
    <n v="6"/>
    <n v="6485715716.868001"/>
    <n v="3717110032.7600002"/>
    <n v="2768605684.1080008"/>
    <n v="598561755.20000005"/>
    <n v="823222224"/>
    <n v="1421783979.2"/>
    <n v="0.21921774577665112"/>
    <n v="5063931737.6680012"/>
    <n v="4051145390.1344013"/>
    <n v="3038359042.6008005"/>
    <n v="0.42099345889155032"/>
    <n v="0.68598337343648785"/>
    <n v="0.8"/>
    <x v="0"/>
    <n v="607671808.52016008"/>
    <n v="-1701336321.8790393"/>
  </r>
  <r>
    <n v="625"/>
    <x v="508"/>
    <d v="2025-05-21T00:00:00"/>
    <x v="22"/>
    <x v="3"/>
    <n v="-75.624452000000005"/>
    <n v="5.6145550000000002"/>
    <n v="0"/>
    <n v="0"/>
    <s v=""/>
    <x v="0"/>
    <m/>
    <x v="19"/>
    <s v="Tercer Orden"/>
    <s v="Vías terciarias mejoradas"/>
    <s v="Mantenimiento puente con valor patrimonial"/>
    <m/>
    <m/>
    <m/>
    <n v="6"/>
    <n v="6485715716.868001"/>
    <n v="3717110032.7600002"/>
    <n v="2768605684.1080008"/>
    <n v="598561755.20000005"/>
    <n v="823222224"/>
    <n v="1421783979.2"/>
    <n v="0.21921774577665112"/>
    <n v="5063931737.6680012"/>
    <n v="4051145390.1344013"/>
    <n v="3038359042.6008005"/>
    <n v="0.42099345889155032"/>
    <n v="0.68598337343648785"/>
    <n v="0.8"/>
    <x v="0"/>
    <n v="607671808.52016008"/>
    <n v="-1701336321.8790393"/>
  </r>
  <r>
    <n v="626"/>
    <x v="509"/>
    <d v="2025-05-21T00:00:00"/>
    <x v="22"/>
    <x v="3"/>
    <n v="-75.624452000000005"/>
    <n v="5.6145550000000002"/>
    <n v="0"/>
    <n v="0"/>
    <s v=""/>
    <x v="0"/>
    <m/>
    <x v="16"/>
    <s v="Tercer Orden"/>
    <s v="Vías terciarias mejoradas"/>
    <m/>
    <m/>
    <m/>
    <m/>
    <n v="6"/>
    <n v="6485715716.868001"/>
    <n v="3717110032.7600002"/>
    <n v="2768605684.1080008"/>
    <n v="598561755.20000005"/>
    <n v="823222224"/>
    <n v="1421783979.2"/>
    <n v="0.21921774577665112"/>
    <n v="5063931737.6680012"/>
    <n v="4051145390.1344013"/>
    <n v="3038359042.6008005"/>
    <n v="0.42099345889155032"/>
    <n v="0.68598337343648785"/>
    <n v="0.8"/>
    <x v="0"/>
    <n v="607671808.52016008"/>
    <n v="-1701336321.8790393"/>
  </r>
  <r>
    <n v="627"/>
    <x v="510"/>
    <d v="2025-05-21T00:00:00"/>
    <x v="77"/>
    <x v="3"/>
    <n v="-75.735544000000004"/>
    <n v="5.9646929999999996"/>
    <n v="0"/>
    <n v="0"/>
    <s v=""/>
    <x v="3"/>
    <n v="1200000000"/>
    <x v="16"/>
    <s v="Tercer Orden"/>
    <s v="Vías terciarias mejoradas"/>
    <m/>
    <m/>
    <m/>
    <m/>
    <n v="6"/>
    <n v="12522207884.799"/>
    <n v="6810462569.46"/>
    <n v="5711745315.3389997"/>
    <n v="0"/>
    <n v="0"/>
    <n v="0"/>
    <n v="0"/>
    <n v="12522207884.799"/>
    <n v="10017766307.839201"/>
    <n v="7513324730.8793993"/>
    <n v="0"/>
    <n v="0.68767493145996073"/>
    <n v="0.8"/>
    <x v="0"/>
    <n v="1502664946.17588"/>
    <n v="-35504250404.944717"/>
  </r>
  <r>
    <n v="628"/>
    <x v="511"/>
    <d v="2025-05-21T00:00:00"/>
    <x v="77"/>
    <x v="3"/>
    <n v="-75.735544000000004"/>
    <n v="5.9646929999999996"/>
    <n v="0"/>
    <n v="0"/>
    <s v=""/>
    <x v="0"/>
    <m/>
    <x v="16"/>
    <s v="Tercer Orden"/>
    <s v="Vías terciarias mejoradas"/>
    <m/>
    <m/>
    <m/>
    <m/>
    <n v="6"/>
    <n v="12522207884.799"/>
    <n v="6810462569.46"/>
    <n v="5711745315.3389997"/>
    <n v="0"/>
    <n v="0"/>
    <n v="0"/>
    <n v="0"/>
    <n v="12522207884.799"/>
    <n v="10017766307.839201"/>
    <n v="7513324730.8793993"/>
    <n v="0"/>
    <n v="0.68767493145996073"/>
    <n v="0.8"/>
    <x v="0"/>
    <n v="1502664946.17588"/>
    <n v="-35504250404.944717"/>
  </r>
  <r>
    <n v="629"/>
    <x v="512"/>
    <d v="2025-05-21T00:00:00"/>
    <x v="77"/>
    <x v="3"/>
    <n v="-75.735544000000004"/>
    <n v="5.9646929999999996"/>
    <n v="0"/>
    <n v="0"/>
    <s v=""/>
    <x v="0"/>
    <m/>
    <x v="16"/>
    <s v="Tercer Orden"/>
    <s v="Vías terciarias mejoradas"/>
    <m/>
    <m/>
    <m/>
    <m/>
    <n v="6"/>
    <n v="12522207884.799"/>
    <n v="6810462569.46"/>
    <n v="5711745315.3389997"/>
    <n v="0"/>
    <n v="0"/>
    <n v="0"/>
    <n v="0"/>
    <n v="12522207884.799"/>
    <n v="10017766307.839201"/>
    <n v="7513324730.8793993"/>
    <n v="0"/>
    <n v="0.68767493145996073"/>
    <n v="0.8"/>
    <x v="0"/>
    <n v="1502664946.17588"/>
    <n v="-35504250404.944717"/>
  </r>
  <r>
    <n v="630"/>
    <x v="513"/>
    <d v="2025-05-21T00:00:00"/>
    <x v="2"/>
    <x v="2"/>
    <n v="-75.377315999999993"/>
    <s v="6,147148"/>
    <n v="0"/>
    <n v="0"/>
    <s v="2025010134075"/>
    <x v="1"/>
    <n v="5545017268"/>
    <x v="16"/>
    <s v="Urbana"/>
    <s v="Vía urbana mejorada"/>
    <m/>
    <n v="1"/>
    <s v="SGR Regionales 60%"/>
    <s v="Puentes y PAP 2025-1"/>
    <n v="1"/>
    <n v="501236439904.31354"/>
    <n v="112502020079.39"/>
    <n v="388734419824.92352"/>
    <n v="85394840514"/>
    <n v="114109886446.23999"/>
    <n v="199504726960.23999"/>
    <n v="0.39802518547599136"/>
    <n v="301731712944.07355"/>
    <n v="241385370355.25885"/>
    <n v="181039027766.44412"/>
    <n v="0.42803417149619039"/>
    <n v="0.23207277402530038"/>
    <n v="0.65"/>
    <x v="0"/>
    <n v="36207805553.288826"/>
    <n v="195551024159.73294"/>
  </r>
  <r>
    <n v="631"/>
    <x v="514"/>
    <d v="2025-05-21T00:00:00"/>
    <x v="116"/>
    <x v="4"/>
    <n v="-75.692280999999994"/>
    <n v="7.0103280000000003"/>
    <n v="0"/>
    <n v="1"/>
    <s v=""/>
    <x v="1"/>
    <n v="4936040789"/>
    <x v="16"/>
    <s v="Tercer Orden"/>
    <s v="Vías terciarias mejoradas"/>
    <m/>
    <n v="1"/>
    <s v="SGR Regionales 60%"/>
    <s v="Puentes y PAP 2025-1"/>
    <n v="6"/>
    <n v="11658945302.2845"/>
    <n v="3873327651.4900002"/>
    <n v="7785617650.7945004"/>
    <n v="358053435"/>
    <n v="0"/>
    <n v="358053435"/>
    <n v="3.0710619675850231E-2"/>
    <n v="11300891867.2845"/>
    <n v="9040713493.8276005"/>
    <n v="6780535120.3706999"/>
    <n v="1"/>
    <n v="0.73337464913949513"/>
    <n v="0.8"/>
    <x v="0"/>
    <n v="1356107024.0741401"/>
    <n v="3200601355.4448395"/>
  </r>
  <r>
    <n v="632"/>
    <x v="515"/>
    <d v="2025-05-21T00:00:00"/>
    <x v="11"/>
    <x v="4"/>
    <n v="-75.683351999999999"/>
    <s v="6,85009"/>
    <n v="0"/>
    <n v="0"/>
    <s v=""/>
    <x v="1"/>
    <n v="2104630655"/>
    <x v="16"/>
    <s v="Urbana"/>
    <s v="Vía urbana mejorada"/>
    <m/>
    <n v="1"/>
    <s v="SGR Regionales 60%"/>
    <s v="Puentes y PAP 2025-1"/>
    <n v="6"/>
    <n v="5437802568.3275003"/>
    <n v="2195257843.8499999"/>
    <n v="3242544724.4775004"/>
    <n v="1389038990"/>
    <n v="0"/>
    <n v="1389038990"/>
    <n v="0.25544123247329026"/>
    <n v="4048763578.3275003"/>
    <n v="3239010862.6620007"/>
    <n v="2429258146.9965"/>
    <n v="1"/>
    <n v="0.74230580339650343"/>
    <n v="0.8"/>
    <x v="0"/>
    <n v="485851629.39930004"/>
    <n v="-14155936706.6042"/>
  </r>
  <r>
    <n v="633"/>
    <x v="516"/>
    <d v="2025-05-21T00:00:00"/>
    <x v="111"/>
    <x v="0"/>
    <n v="-75.164902999999995"/>
    <s v="6,473032"/>
    <n v="0"/>
    <n v="1"/>
    <s v=""/>
    <x v="1"/>
    <n v="489948882"/>
    <x v="16"/>
    <s v="Tercer Orden"/>
    <s v="Vías terciarias mejoradas"/>
    <m/>
    <n v="1"/>
    <s v="SGR Regionales 60%"/>
    <s v="Puentes y PAP 2025-1"/>
    <n v="6"/>
    <n v="13758623676.126001"/>
    <n v="4170961872.3800001"/>
    <n v="9587661803.7460022"/>
    <n v="5765015946"/>
    <n v="0"/>
    <n v="5765015946"/>
    <n v="0.41901109309381507"/>
    <n v="7993607730.1260014"/>
    <n v="6394886184.1008015"/>
    <n v="4796164638.0756006"/>
    <n v="1"/>
    <n v="0.61660684639206742"/>
    <n v="0.8"/>
    <x v="0"/>
    <n v="959232927.61512017"/>
    <n v="5265448683.6907206"/>
  </r>
  <r>
    <n v="636"/>
    <x v="517"/>
    <d v="2025-05-22T00:00:00"/>
    <x v="51"/>
    <x v="2"/>
    <n v="-75.339344999999994"/>
    <s v="6,173995"/>
    <n v="0"/>
    <n v="0"/>
    <s v="2025010254427, 2025010142672"/>
    <x v="1"/>
    <n v="2104233259"/>
    <x v="3"/>
    <s v="Urbana"/>
    <s v="Vía urbana mejorada"/>
    <s v="Compromiso secretario.Solicitud JAC Las Vegas y alcaldia de Marinilla radica EYD"/>
    <m/>
    <m/>
    <m/>
    <n v="4"/>
    <n v="62016835956.019493"/>
    <n v="25368005936.310001"/>
    <n v="36648830019.709488"/>
    <n v="25635932166"/>
    <n v="7522176280"/>
    <n v="33158108446"/>
    <n v="0.53466301424204787"/>
    <n v="28858727510.019493"/>
    <n v="23086982008.015594"/>
    <n v="17315236506.011696"/>
    <n v="0.77314217750839676"/>
    <n v="0.52777286703387605"/>
    <n v="0.8"/>
    <x v="0"/>
    <n v="3463047301.2023392"/>
    <n v="-1514260574754.7859"/>
  </r>
  <r>
    <n v="637"/>
    <x v="518"/>
    <d v="2025-05-08T00:00:00"/>
    <x v="77"/>
    <x v="3"/>
    <n v="-75.735544000000004"/>
    <n v="5.9646929999999996"/>
    <n v="0"/>
    <n v="0"/>
    <s v="2025010226379"/>
    <x v="1"/>
    <n v="5017797410"/>
    <x v="4"/>
    <s v="Tercer Orden"/>
    <s v="Vías terciarias mejoradas"/>
    <s v="Cuenta con EYD"/>
    <m/>
    <m/>
    <m/>
    <n v="6"/>
    <n v="12522207884.799"/>
    <n v="6810462569.46"/>
    <n v="5711745315.3389997"/>
    <n v="0"/>
    <n v="0"/>
    <n v="0"/>
    <n v="0"/>
    <n v="12522207884.799"/>
    <n v="10017766307.839201"/>
    <n v="7513324730.8793993"/>
    <n v="0"/>
    <n v="0.68767493145996073"/>
    <n v="0.8"/>
    <x v="0"/>
    <n v="1502664946.17588"/>
    <n v="-35504250404.944717"/>
  </r>
  <r>
    <n v="638"/>
    <x v="519"/>
    <d v="2025-05-21T00:00:00"/>
    <x v="57"/>
    <x v="1"/>
    <n v="-75.444237999999999"/>
    <s v="6,379472"/>
    <n v="0"/>
    <n v="0"/>
    <s v="2025010253548"/>
    <x v="1"/>
    <n v="7581205868"/>
    <x v="3"/>
    <s v="Tercer Orden"/>
    <s v="Vías terciarias mejoradas"/>
    <s v="Cuenta con EYD. Ademas del pavimento flexible, contempla pavimento rigido, placahuellas y estabilizacion de taludes."/>
    <m/>
    <m/>
    <m/>
    <n v="2"/>
    <n v="101079829717.10699"/>
    <n v="35923834396.690002"/>
    <n v="65155995320.416992"/>
    <n v="0"/>
    <n v="33364035579"/>
    <n v="33364035579"/>
    <n v="0.33007609601615101"/>
    <n v="67715794138.106995"/>
    <n v="54172635310.485596"/>
    <n v="40629476482.864197"/>
    <n v="0"/>
    <n v="0.39321465077323631"/>
    <n v="0.7"/>
    <x v="0"/>
    <n v="8125895296.5728397"/>
    <n v="-24641831699.562965"/>
  </r>
  <r>
    <n v="639"/>
    <x v="520"/>
    <d v="2025-05-21T00:00:00"/>
    <x v="79"/>
    <x v="4"/>
    <n v="-75.298090999999999"/>
    <s v="6,979771"/>
    <n v="0"/>
    <n v="1"/>
    <s v="2025010252863"/>
    <x v="0"/>
    <m/>
    <x v="4"/>
    <s v="Tercer Orden"/>
    <s v="Vías terciarias mejoradas"/>
    <s v="Es una peticion que pone a consideracion el listado de red terciaria del municipio para ser intervenido. No hay proyecto formulado."/>
    <m/>
    <m/>
    <m/>
    <n v="6"/>
    <n v="8809287720.75"/>
    <n v="2669441983.3800001"/>
    <n v="6139845737.3699999"/>
    <n v="3083047525"/>
    <n v="0"/>
    <n v="3083047525"/>
    <n v="0.34997693601696972"/>
    <n v="5726240195.75"/>
    <n v="4580992156.6000004"/>
    <n v="3435744117.4499998"/>
    <n v="1"/>
    <n v="0.72230003829506451"/>
    <n v="0.8"/>
    <x v="0"/>
    <n v="687148823.49000001"/>
    <n v="-2079909113.0600004"/>
  </r>
  <r>
    <n v="640"/>
    <x v="521"/>
    <d v="2025-03-19T00:00:00"/>
    <x v="57"/>
    <x v="1"/>
    <n v="-75.444237999999999"/>
    <s v="6,379472"/>
    <n v="0"/>
    <n v="0"/>
    <s v="2025010134457, 2025010235401"/>
    <x v="1"/>
    <n v="12339606796"/>
    <x v="3"/>
    <s v="Tercer Orden"/>
    <s v="Vías terciarias mejoradas"/>
    <s v="Adjunta presupuesto y estudios y diseños"/>
    <m/>
    <m/>
    <m/>
    <n v="2"/>
    <n v="101079829717.10699"/>
    <n v="35923834396.690002"/>
    <n v="65155995320.416992"/>
    <n v="0"/>
    <n v="33364035579"/>
    <n v="33364035579"/>
    <n v="0.33007609601615101"/>
    <n v="67715794138.106995"/>
    <n v="54172635310.485596"/>
    <n v="40629476482.864197"/>
    <n v="0"/>
    <n v="0.39321465077323631"/>
    <n v="0.7"/>
    <x v="0"/>
    <n v="8125895296.5728397"/>
    <n v="-24641831699.562965"/>
  </r>
  <r>
    <n v="641"/>
    <x v="522"/>
    <d v="2025-03-20T00:00:00"/>
    <x v="55"/>
    <x v="6"/>
    <n v="-75.352050000000006"/>
    <s v="7,578366"/>
    <n v="1"/>
    <n v="1"/>
    <s v="2025010137905"/>
    <x v="3"/>
    <n v="1408836804"/>
    <x v="6"/>
    <s v="Tercer Orden"/>
    <s v="Vías terciarias mejoradas"/>
    <s v="Adjunta presupuesto y estudios y diseños"/>
    <m/>
    <m/>
    <m/>
    <n v="6"/>
    <n v="16341381522.362501"/>
    <n v="6183321664.5100002"/>
    <n v="10158059857.852501"/>
    <n v="3504148016"/>
    <n v="5476192157"/>
    <n v="8980340173"/>
    <n v="0.54954595856603539"/>
    <n v="7361041349.3625011"/>
    <n v="5888833079.4900017"/>
    <n v="4416624809.6175003"/>
    <n v="0.39020214696715588"/>
    <n v="0.6661172152696142"/>
    <n v="0.8"/>
    <x v="0"/>
    <n v="883324961.92350006"/>
    <n v="-321308282411.45898"/>
  </r>
  <r>
    <n v="642"/>
    <x v="523"/>
    <d v="2025-03-31T00:00:00"/>
    <x v="30"/>
    <x v="4"/>
    <n v="-75.418828000000005"/>
    <n v="6.963832"/>
    <n v="0"/>
    <n v="1"/>
    <s v="2025010147961"/>
    <x v="1"/>
    <n v="1075866409"/>
    <x v="16"/>
    <s v="Tercer Orden"/>
    <s v="Vías terciarias mejoradas"/>
    <s v="Adjunta presupuesto y estudios y diseños"/>
    <n v="1"/>
    <s v="SGR Regionales 60%"/>
    <s v="Puentes y PAP 2025-1"/>
    <n v="5"/>
    <n v="36204719778.619003"/>
    <n v="11082623753.610001"/>
    <n v="25122096025.009003"/>
    <n v="1291156679"/>
    <n v="12320355879.07"/>
    <n v="13611512558.07"/>
    <n v="0.37595961635113639"/>
    <n v="22593207220.549004"/>
    <n v="18074565776.439205"/>
    <n v="13555924332.329401"/>
    <n v="9.4857692963336279E-2"/>
    <n v="0.39053077044629697"/>
    <n v="0.8"/>
    <x v="0"/>
    <n v="2711184866.4658804"/>
    <n v="-1286623972.2047195"/>
  </r>
  <r>
    <n v="643"/>
    <x v="524"/>
    <d v="2025-03-25T00:00:00"/>
    <x v="30"/>
    <x v="4"/>
    <n v="-75.418828000000005"/>
    <n v="6.963832"/>
    <n v="0"/>
    <n v="1"/>
    <s v="2025010142072"/>
    <x v="1"/>
    <n v="6014650718"/>
    <x v="4"/>
    <s v="Tercer Orden"/>
    <s v="Vías terciarias mejoradas"/>
    <s v="Adjunta presupuesto y estudios y diseños"/>
    <m/>
    <m/>
    <m/>
    <n v="5"/>
    <n v="36204719778.619003"/>
    <n v="11082623753.610001"/>
    <n v="25122096025.009003"/>
    <n v="1291156679"/>
    <n v="12320355879.07"/>
    <n v="13611512558.07"/>
    <n v="0.37595961635113639"/>
    <n v="22593207220.549004"/>
    <n v="18074565776.439205"/>
    <n v="13555924332.329401"/>
    <n v="9.4857692963336279E-2"/>
    <n v="0.39053077044629697"/>
    <n v="0.8"/>
    <x v="0"/>
    <n v="2711184866.4658804"/>
    <n v="-1286623972.2047195"/>
  </r>
  <r>
    <n v="644"/>
    <x v="525"/>
    <d v="2025-03-31T00:00:00"/>
    <x v="100"/>
    <x v="7"/>
    <n v="-75.906999999999996"/>
    <s v="6,720759"/>
    <n v="0"/>
    <n v="0"/>
    <s v="2025010155478, 2024010236928"/>
    <x v="1"/>
    <m/>
    <x v="4"/>
    <s v="Tercer Orden"/>
    <s v="Vías terciarias mejoradas"/>
    <s v="Al momento de recuperar informacion el enlace Wetransfer estaba vencido"/>
    <m/>
    <m/>
    <m/>
    <n v="6"/>
    <n v="22970429632.738503"/>
    <n v="4753029850.6400003"/>
    <n v="18217399782.098503"/>
    <n v="1226974981"/>
    <n v="868957450"/>
    <n v="2095932431"/>
    <n v="9.1244807542162021E-2"/>
    <n v="20874497201.738503"/>
    <n v="16699597761.390802"/>
    <n v="12524698321.0431"/>
    <n v="0.58540769867022491"/>
    <n v="0.40516346801716352"/>
    <n v="0.8"/>
    <x v="0"/>
    <n v="2504939664.2086201"/>
    <n v="13376602640.25172"/>
  </r>
  <r>
    <n v="645"/>
    <x v="526"/>
    <d v="2024-05-27T00:00:00"/>
    <x v="100"/>
    <x v="7"/>
    <n v="-75.906999999999996"/>
    <s v="6,720759"/>
    <n v="0"/>
    <n v="0"/>
    <s v="2024101236926"/>
    <x v="1"/>
    <m/>
    <x v="4"/>
    <s v="Tercer Orden"/>
    <s v="Vías terciarias mejoradas"/>
    <s v="Al momento de recuperar informacion el enlace Wetransfer estaba vencido"/>
    <m/>
    <m/>
    <m/>
    <n v="6"/>
    <n v="22970429632.738503"/>
    <n v="4753029850.6400003"/>
    <n v="18217399782.098503"/>
    <n v="1226974981"/>
    <n v="868957450"/>
    <n v="2095932431"/>
    <n v="9.1244807542162021E-2"/>
    <n v="20874497201.738503"/>
    <n v="16699597761.390802"/>
    <n v="12524698321.0431"/>
    <n v="0.58540769867022491"/>
    <n v="0.40516346801716352"/>
    <n v="0.8"/>
    <x v="0"/>
    <n v="2504939664.2086201"/>
    <n v="13376602640.25172"/>
  </r>
  <r>
    <n v="646"/>
    <x v="527"/>
    <d v="2024-06-29T00:00:00"/>
    <x v="100"/>
    <x v="7"/>
    <n v="-75.906999999999996"/>
    <s v="6,720759"/>
    <n v="0"/>
    <n v="0"/>
    <s v="2024010240715"/>
    <x v="1"/>
    <m/>
    <x v="4"/>
    <s v="Tercer Orden"/>
    <s v="Vías terciarias mejoradas"/>
    <s v="Al momento de recuperar informacion el enlace Wetransfer estaba vencido"/>
    <m/>
    <m/>
    <m/>
    <n v="6"/>
    <n v="22970429632.738503"/>
    <n v="4753029850.6400003"/>
    <n v="18217399782.098503"/>
    <n v="1226974981"/>
    <n v="868957450"/>
    <n v="2095932431"/>
    <n v="9.1244807542162021E-2"/>
    <n v="20874497201.738503"/>
    <n v="16699597761.390802"/>
    <n v="12524698321.0431"/>
    <n v="0.58540769867022491"/>
    <n v="0.40516346801716352"/>
    <n v="0.8"/>
    <x v="0"/>
    <n v="2504939664.2086201"/>
    <n v="13376602640.25172"/>
  </r>
  <r>
    <n v="647"/>
    <x v="528"/>
    <d v="2025-04-11T00:00:00"/>
    <x v="61"/>
    <x v="7"/>
    <n v="-75.812837999999999"/>
    <s v="6,677316"/>
    <n v="0"/>
    <n v="0"/>
    <s v="2025010182288"/>
    <x v="0"/>
    <m/>
    <x v="16"/>
    <s v="Tercer Orden"/>
    <s v="Vías terciarias mejoradas"/>
    <s v="Se solicita la construccion de un puente y atencion de varios PAP en vias a cargo del departamento"/>
    <m/>
    <m/>
    <m/>
    <n v="6"/>
    <n v="8030428413.9210014"/>
    <n v="3080588699.4500003"/>
    <n v="4949839714.4710007"/>
    <n v="1577607418.01"/>
    <n v="1800000000"/>
    <n v="3377607418.0100002"/>
    <n v="0.42060114901900014"/>
    <n v="4652820995.9110012"/>
    <n v="3722256796.7288013"/>
    <n v="2791692597.5466008"/>
    <n v="0.46707838501239612"/>
    <n v="0.73590701114566914"/>
    <n v="0.8"/>
    <x v="0"/>
    <n v="558338519.50932014"/>
    <n v="3350031117.0559211"/>
  </r>
  <r>
    <n v="648"/>
    <x v="529"/>
    <d v="2025-05-21T00:00:00"/>
    <x v="100"/>
    <x v="7"/>
    <n v="-75.906999999999996"/>
    <s v="6,720759"/>
    <n v="0"/>
    <n v="0"/>
    <s v="2025010253164"/>
    <x v="1"/>
    <n v="794572080"/>
    <x v="16"/>
    <s v="Tercer Orden"/>
    <s v="Vías terciarias mejoradas"/>
    <s v="Requiere subsanaciones. Puesto en conocimiento de Dir de infraestructura y apoyo territorial"/>
    <n v="1"/>
    <s v="SGR Regionales 60%"/>
    <s v="Puentes y PAP 2025-1"/>
    <n v="6"/>
    <n v="22970429632.738503"/>
    <n v="4753029850.6400003"/>
    <n v="18217399782.098503"/>
    <n v="1226974981"/>
    <n v="868957450"/>
    <n v="2095932431"/>
    <n v="9.1244807542162021E-2"/>
    <n v="20874497201.738503"/>
    <n v="16699597761.390802"/>
    <n v="12524698321.0431"/>
    <n v="0.58540769867022491"/>
    <n v="0.40516346801716352"/>
    <n v="0.8"/>
    <x v="0"/>
    <n v="2504939664.2086201"/>
    <n v="13376602640.25172"/>
  </r>
  <r>
    <n v="649"/>
    <x v="530"/>
    <d v="2025-05-21T00:00:00"/>
    <x v="100"/>
    <x v="7"/>
    <n v="-75.906999999999996"/>
    <s v="6,720759"/>
    <n v="0"/>
    <n v="0"/>
    <s v="2025010253172"/>
    <x v="1"/>
    <n v="858463265"/>
    <x v="16"/>
    <s v="Tercer Orden"/>
    <s v="Vías terciarias mejoradas"/>
    <s v="Requiere subsanaciones. Puesto en conocimiento de Dir de infraestructura y apoyo territorial"/>
    <m/>
    <m/>
    <m/>
    <n v="6"/>
    <n v="22970429632.738503"/>
    <n v="4753029850.6400003"/>
    <n v="18217399782.098503"/>
    <n v="1226974981"/>
    <n v="868957450"/>
    <n v="2095932431"/>
    <n v="9.1244807542162021E-2"/>
    <n v="20874497201.738503"/>
    <n v="16699597761.390802"/>
    <n v="12524698321.0431"/>
    <n v="0.58540769867022491"/>
    <n v="0.40516346801716352"/>
    <n v="0.8"/>
    <x v="0"/>
    <n v="2504939664.2086201"/>
    <n v="13376602640.25172"/>
  </r>
  <r>
    <n v="650"/>
    <x v="531"/>
    <d v="2025-05-23T00:00:00"/>
    <x v="29"/>
    <x v="5"/>
    <n v="-76.681531000000007"/>
    <s v="7,666147"/>
    <n v="1"/>
    <n v="1"/>
    <s v="2025010257039"/>
    <x v="1"/>
    <n v="2121014300"/>
    <x v="16"/>
    <s v="Tercer Orden"/>
    <s v="Vías terciarias mejoradas"/>
    <s v="Puesto en conocimiento de Dir de infraestructura y apoyo territorial"/>
    <m/>
    <m/>
    <m/>
    <n v="6"/>
    <n v="31480625713.601501"/>
    <n v="12012746210.970001"/>
    <n v="19467879502.6315"/>
    <n v="990257688"/>
    <n v="4241046406.5999999"/>
    <n v="5231304094.6000004"/>
    <n v="0.16617535312647125"/>
    <n v="26249321619.001503"/>
    <n v="20999457295.201202"/>
    <n v="15749592971.400902"/>
    <n v="0.18929461375074541"/>
    <n v="0.57128723877428544"/>
    <n v="0.8"/>
    <x v="0"/>
    <n v="3149918594.2801805"/>
    <n v="-8926199522.3189163"/>
  </r>
  <r>
    <n v="651"/>
    <x v="532"/>
    <d v="2025-05-22T00:00:00"/>
    <x v="33"/>
    <x v="1"/>
    <n v="-75.509383999999997"/>
    <s v="6,348557"/>
    <n v="0"/>
    <n v="0"/>
    <s v="2025010256343"/>
    <x v="0"/>
    <n v="1957555874"/>
    <x v="3"/>
    <s v="Tercer Orden"/>
    <s v="Vías terciarias mejoradas"/>
    <s v="Solicitud nueva, municipio solicita apoyo economico para terminacion de mejoramiento de la vía La Balastera por un alcance de 1.64 Km, _x000a_mencian que con el convenio interadministrativo 4600015847 del 2023 entre la Gobernación y el municipio no terminaron la totalidad de la vía. "/>
    <m/>
    <m/>
    <m/>
    <n v="3"/>
    <n v="71418896570.32901"/>
    <n v="21915816653.91"/>
    <n v="49503079916.419006"/>
    <n v="5163365590"/>
    <n v="10000000000"/>
    <n v="15163365590"/>
    <n v="0.21231587602404406"/>
    <n v="56255530980.32901"/>
    <n v="45004424784.263214"/>
    <n v="33753318588.197403"/>
    <n v="0.34051580167698114"/>
    <n v="0.39338076792135007"/>
    <n v="0.7"/>
    <x v="0"/>
    <n v="6750663717.6394806"/>
    <n v="38546426431.836884"/>
  </r>
  <r>
    <n v="652"/>
    <x v="533"/>
    <d v="2025-05-28T00:00:00"/>
    <x v="68"/>
    <x v="2"/>
    <n v="-75.265465000000006"/>
    <s v="6,136871"/>
    <n v="0"/>
    <n v="0"/>
    <s v=""/>
    <x v="0"/>
    <m/>
    <x v="4"/>
    <s v="Tercer Orden"/>
    <s v="Vías terciarias mejoradas"/>
    <s v="A la fecha se esta ejecutando la consultoria"/>
    <m/>
    <m/>
    <m/>
    <n v="6"/>
    <n v="28148489568.315498"/>
    <n v="9574117926.6900005"/>
    <n v="18574371641.625496"/>
    <n v="7165025466"/>
    <n v="0"/>
    <n v="7165025466"/>
    <n v="0.25454386988014788"/>
    <n v="20983464102.315498"/>
    <n v="16786771281.8524"/>
    <n v="12590078461.389299"/>
    <n v="1"/>
    <n v="0.38693852418292884"/>
    <n v="0.8"/>
    <x v="0"/>
    <n v="2518015692.2778602"/>
    <n v="995553183.66716003"/>
  </r>
  <r>
    <n v="653"/>
    <x v="534"/>
    <d v="2025-05-16T00:00:00"/>
    <x v="84"/>
    <x v="7"/>
    <n v="-75.982929999999996"/>
    <s v="6,405607"/>
    <n v="0"/>
    <n v="1"/>
    <s v="2025010242808"/>
    <x v="3"/>
    <n v="209395615"/>
    <x v="19"/>
    <s v="Tercer Orden"/>
    <s v="Vías terciarias mejoradas"/>
    <s v="Muro pantalla en gaviones"/>
    <m/>
    <m/>
    <m/>
    <n v="6"/>
    <n v="8536446221.1044998"/>
    <n v="2840287960.8099999"/>
    <n v="5696158260.2945004"/>
    <n v="1059912604"/>
    <n v="559890374"/>
    <n v="1619802978"/>
    <n v="0.18975144176453554"/>
    <n v="6916643243.1044998"/>
    <n v="5533314594.4836006"/>
    <n v="4149985945.8626995"/>
    <n v="0.65434662017271583"/>
    <n v="0.62730744736284794"/>
    <n v="0.8"/>
    <x v="0"/>
    <n v="829997189.17253995"/>
    <n v="-7956520095.9647608"/>
  </r>
  <r>
    <n v="654"/>
    <x v="535"/>
    <d v="2025-05-22T00:00:00"/>
    <x v="104"/>
    <x v="2"/>
    <n v="-75.332616000000002"/>
    <s v="6,282164"/>
    <n v="0"/>
    <n v="0"/>
    <s v="2025010255172"/>
    <x v="1"/>
    <n v="7716862669"/>
    <x v="4"/>
    <s v="Tercer Orden"/>
    <s v="Vías terciarias mejoradas"/>
    <m/>
    <m/>
    <m/>
    <m/>
    <n v="6"/>
    <n v="18910688140.249004"/>
    <n v="5456011434.4000006"/>
    <n v="13454676705.849003"/>
    <n v="5580933878"/>
    <n v="4737487939"/>
    <n v="10318421817"/>
    <n v="0.5456396795544709"/>
    <n v="8592266323.2490044"/>
    <n v="6873813058.5992041"/>
    <n v="5155359793.9494028"/>
    <n v="0.54087087899480857"/>
    <n v="0.45745893515208286"/>
    <n v="0.8"/>
    <x v="0"/>
    <n v="1031071958.7898806"/>
    <n v="-1530430916.2607164"/>
  </r>
  <r>
    <n v="655"/>
    <x v="536"/>
    <d v="2025-05-26T00:00:00"/>
    <x v="60"/>
    <x v="2"/>
    <n v="-75.333900999999997"/>
    <s v="6,082885"/>
    <n v="0"/>
    <n v="0"/>
    <s v="2025010259919"/>
    <x v="0"/>
    <m/>
    <x v="3"/>
    <s v="Tercer Orden"/>
    <s v="Vías terciarias mejoradas"/>
    <s v="Solicitud hecha por la JAC en conjunto con las alcaldias de Rionegro y El Carmen"/>
    <m/>
    <m/>
    <m/>
    <n v="3"/>
    <n v="70430942311.208496"/>
    <n v="29041990033.869999"/>
    <n v="41388952277.338501"/>
    <n v="14609948257"/>
    <n v="2802411494.09375"/>
    <n v="17412359751.09375"/>
    <n v="0.24722599442379914"/>
    <n v="53018582560.114746"/>
    <n v="42414866048.091797"/>
    <n v="31811149536.068848"/>
    <n v="0.83905619145516919"/>
    <n v="0.45782837875910809"/>
    <n v="0.7"/>
    <x v="0"/>
    <n v="6362229907.2137699"/>
    <n v="28993841225.282616"/>
  </r>
  <r>
    <n v="656"/>
    <x v="537"/>
    <d v="2025-05-27T00:00:00"/>
    <x v="85"/>
    <x v="7"/>
    <n v="-75.910357000000005"/>
    <s v="7,021029"/>
    <n v="0"/>
    <n v="0"/>
    <s v="2025010264999"/>
    <x v="0"/>
    <m/>
    <x v="20"/>
    <s v="Tercer Orden"/>
    <s v="Vías terciarias mejoradas"/>
    <s v="Municipio pone a consideracion 3 puntos criticos que podrian ser atendidos con puentes metalicos"/>
    <m/>
    <m/>
    <m/>
    <n v="6"/>
    <n v="13002660545.618999"/>
    <n v="2851909764.96"/>
    <n v="10150750780.659"/>
    <n v="3580400217"/>
    <n v="0"/>
    <n v="3580400217"/>
    <n v="0.27535904705336234"/>
    <n v="9422260328.6189995"/>
    <n v="7537808262.8951998"/>
    <n v="5653356197.1713991"/>
    <n v="1"/>
    <n v="0.60546314083774588"/>
    <n v="0.8"/>
    <x v="0"/>
    <n v="1130671239.4342799"/>
    <n v="-65295013.394321442"/>
  </r>
  <r>
    <n v="657"/>
    <x v="538"/>
    <d v="2025-05-28T00:00:00"/>
    <x v="117"/>
    <x v="5"/>
    <n v="-76.435874999999996"/>
    <s v="7,242875"/>
    <n v="1"/>
    <n v="1"/>
    <s v="2025101240759"/>
    <x v="3"/>
    <n v="2563705075"/>
    <x v="16"/>
    <s v="Tercer Orden"/>
    <s v="Vías terciarias mejoradas"/>
    <s v="Copia de respuesta de David Gomez a municipio con observaciones para subsanar"/>
    <m/>
    <m/>
    <m/>
    <n v="6"/>
    <n v="16247454785.101002"/>
    <n v="6889489895.2300005"/>
    <n v="9357964889.8710022"/>
    <n v="3366685790"/>
    <n v="1396955129.74"/>
    <n v="4763640919.7399998"/>
    <n v="0.29319305594303191"/>
    <n v="11483813865.361002"/>
    <n v="9187051092.2888012"/>
    <n v="6890288319.2166014"/>
    <n v="0.70674634102852452"/>
    <n v="0.70820805266444298"/>
    <n v="0.8"/>
    <x v="0"/>
    <n v="1378057663.8433204"/>
    <n v="5704640908.0599213"/>
  </r>
  <r>
    <n v="658"/>
    <x v="539"/>
    <d v="2025-05-30T00:00:00"/>
    <x v="51"/>
    <x v="2"/>
    <n v="-75.339344999999994"/>
    <s v="6,173995"/>
    <n v="0"/>
    <n v="0"/>
    <s v="2025010272048"/>
    <x v="3"/>
    <n v="496073552"/>
    <x v="16"/>
    <s v="Tercer Orden"/>
    <s v="Vías terciarias mejoradas"/>
    <m/>
    <m/>
    <m/>
    <m/>
    <n v="4"/>
    <n v="62016835956.019493"/>
    <n v="25368005936.310001"/>
    <n v="36648830019.709488"/>
    <n v="25635932166"/>
    <n v="7522176280"/>
    <n v="33158108446"/>
    <n v="0.53466301424204787"/>
    <n v="28858727510.019493"/>
    <n v="23086982008.015594"/>
    <n v="17315236506.011696"/>
    <n v="0.77314217750839676"/>
    <n v="0.52777286703387605"/>
    <n v="0.8"/>
    <x v="0"/>
    <n v="3463047301.2023392"/>
    <n v="-1514260574754.7859"/>
  </r>
  <r>
    <n v="659"/>
    <x v="540"/>
    <d v="2025-05-27T00:00:00"/>
    <x v="68"/>
    <x v="2"/>
    <n v="-75.265465000000006"/>
    <s v="6,136871"/>
    <n v="0"/>
    <n v="0"/>
    <s v="2025010268331"/>
    <x v="0"/>
    <m/>
    <x v="4"/>
    <s v="Tercer Orden"/>
    <s v="Vías terciarias mejoradas"/>
    <s v="El municipio informa que avanza la consultoria para 4km de placa huellas"/>
    <m/>
    <m/>
    <m/>
    <n v="6"/>
    <n v="28148489568.315498"/>
    <n v="9574117926.6900005"/>
    <n v="18574371641.625496"/>
    <n v="7165025466"/>
    <n v="0"/>
    <n v="7165025466"/>
    <n v="0.25454386988014788"/>
    <n v="20983464102.315498"/>
    <n v="16786771281.8524"/>
    <n v="12590078461.389299"/>
    <n v="1"/>
    <n v="0.38693852418292884"/>
    <n v="0.8"/>
    <x v="0"/>
    <n v="2518015692.2778602"/>
    <n v="995553183.66716003"/>
  </r>
  <r>
    <n v="660"/>
    <x v="541"/>
    <d v="2025-05-30T00:00:00"/>
    <x v="67"/>
    <x v="2"/>
    <n v="-74.988096999999996"/>
    <s v="6,187746"/>
    <n v="0"/>
    <n v="1"/>
    <s v="2025010270907"/>
    <x v="1"/>
    <n v="735547679"/>
    <x v="16"/>
    <s v="Tercer Orden"/>
    <s v="Vías terciarias mejoradas"/>
    <m/>
    <m/>
    <m/>
    <m/>
    <n v="6"/>
    <n v="29325876885.033001"/>
    <n v="5835926728.4000006"/>
    <n v="23489950156.632999"/>
    <n v="5787068508"/>
    <n v="0"/>
    <n v="5787068508"/>
    <n v="0.19733658879791371"/>
    <n v="23538808377.033001"/>
    <n v="18831046701.6264"/>
    <n v="14123285026.219801"/>
    <n v="1"/>
    <n v="0.67595312063685153"/>
    <n v="0.8"/>
    <x v="0"/>
    <n v="2824657005.2439604"/>
    <n v="13840765080.46376"/>
  </r>
  <r>
    <n v="661"/>
    <x v="542"/>
    <d v="2025-05-27T00:00:00"/>
    <x v="29"/>
    <x v="5"/>
    <n v="-76.681531000000007"/>
    <s v="7,666147"/>
    <n v="1"/>
    <n v="1"/>
    <s v="2025010264847"/>
    <x v="1"/>
    <n v="16247543314"/>
    <x v="5"/>
    <s v="Urbana"/>
    <s v="Espacio público adecuado"/>
    <m/>
    <m/>
    <m/>
    <m/>
    <n v="6"/>
    <n v="31480625713.601501"/>
    <n v="12012746210.970001"/>
    <n v="19467879502.6315"/>
    <n v="990257688"/>
    <n v="4241046406.5999999"/>
    <n v="5231304094.6000004"/>
    <n v="0.16617535312647125"/>
    <n v="26249321619.001503"/>
    <n v="20999457295.201202"/>
    <n v="15749592971.400902"/>
    <n v="0.18929461375074541"/>
    <n v="0.57128723877428544"/>
    <n v="0.8"/>
    <x v="0"/>
    <n v="3149918594.2801805"/>
    <n v="-8926199522.3189163"/>
  </r>
  <r>
    <n v="662"/>
    <x v="543"/>
    <d v="2025-05-30T00:00:00"/>
    <x v="38"/>
    <x v="3"/>
    <n v="-75.785499000000002"/>
    <s v="5,789748"/>
    <n v="0"/>
    <n v="0"/>
    <s v="2025010270243"/>
    <x v="1"/>
    <n v="427803841"/>
    <x v="3"/>
    <s v="Urbana"/>
    <s v="Vía urbana mejorada"/>
    <m/>
    <m/>
    <m/>
    <m/>
    <n v="6"/>
    <n v="15694425323.1185"/>
    <n v="6655963089.6100006"/>
    <n v="9038462233.5084991"/>
    <n v="1446596000"/>
    <n v="1500000000"/>
    <n v="2946596000"/>
    <n v="0.1877479384772088"/>
    <n v="12747829323.1185"/>
    <n v="10198263458.494801"/>
    <n v="7648697593.8710995"/>
    <n v="0.49093801797056674"/>
    <n v="0.65417145296340995"/>
    <n v="0.8"/>
    <x v="0"/>
    <n v="1529739518.77422"/>
    <n v="8750633271.645319"/>
  </r>
  <r>
    <n v="663"/>
    <x v="544"/>
    <d v="2025-05-21T00:00:00"/>
    <x v="42"/>
    <x v="5"/>
    <n v="-76.787271000000004"/>
    <s v="8,434526"/>
    <n v="1"/>
    <n v="1"/>
    <s v="2025010251604"/>
    <x v="1"/>
    <n v="910189297"/>
    <x v="7"/>
    <s v="Urbana"/>
    <s v="Equipamientos construidos"/>
    <m/>
    <m/>
    <m/>
    <m/>
    <n v="6"/>
    <n v="30137297790.127998"/>
    <n v="12298726691.530001"/>
    <n v="17838571098.598"/>
    <n v="2369107602"/>
    <n v="13974896585"/>
    <n v="16344004187"/>
    <n v="0.54231817002364979"/>
    <n v="13793293603.127998"/>
    <n v="11034634882.502399"/>
    <n v="8275976161.8767986"/>
    <n v="0.1449527040554961"/>
    <n v="0.58055985759165929"/>
    <n v="0.8"/>
    <x v="0"/>
    <n v="1655195232.3753598"/>
    <n v="-27536564888.747841"/>
  </r>
  <r>
    <n v="664"/>
    <x v="545"/>
    <d v="2025-05-27T00:00:00"/>
    <x v="118"/>
    <x v="4"/>
    <n v="-75.674564000000004"/>
    <s v="6,916676"/>
    <n v="0"/>
    <n v="1"/>
    <s v="2025010265169"/>
    <x v="1"/>
    <n v="172414930"/>
    <x v="4"/>
    <s v="Tercer Orden"/>
    <s v="Vías terciarias mejoradas"/>
    <m/>
    <m/>
    <m/>
    <m/>
    <n v="6"/>
    <n v="8997781405.9869995"/>
    <n v="3426460056.4700003"/>
    <n v="5571321349.5169992"/>
    <n v="1950193992"/>
    <n v="0"/>
    <n v="1950193992"/>
    <n v="0.21674165041421964"/>
    <n v="7047587413.9869995"/>
    <n v="5638069931.1896"/>
    <n v="4228552448.3921995"/>
    <n v="1"/>
    <n v="0.74479628788817998"/>
    <n v="0.8"/>
    <x v="0"/>
    <n v="845710489.67843997"/>
    <n v="-130563065.92936039"/>
  </r>
  <r>
    <n v="665"/>
    <x v="546"/>
    <d v="2025-05-27T00:00:00"/>
    <x v="118"/>
    <x v="4"/>
    <n v="-75.674564000000004"/>
    <s v="6,916676"/>
    <n v="0"/>
    <n v="1"/>
    <s v="2025010265169"/>
    <x v="3"/>
    <n v="4330963851"/>
    <x v="4"/>
    <s v="Tercer Orden"/>
    <s v="Vías terciarias mejoradas"/>
    <m/>
    <n v="1"/>
    <s v="SGR Regionales 60%"/>
    <s v="Placa huellas 2025-2"/>
    <n v="6"/>
    <n v="8997781405.9869995"/>
    <n v="3426460056.4700003"/>
    <n v="5571321349.5169992"/>
    <n v="1950193992"/>
    <n v="0"/>
    <n v="1950193992"/>
    <n v="0.21674165041421964"/>
    <n v="7047587413.9869995"/>
    <n v="5638069931.1896"/>
    <n v="4228552448.3921995"/>
    <n v="1"/>
    <n v="0.74479628788817998"/>
    <n v="0.8"/>
    <x v="0"/>
    <n v="845710489.67843997"/>
    <n v="-130563065.92936039"/>
  </r>
  <r>
    <n v="666"/>
    <x v="547"/>
    <d v="2025-05-27T00:00:00"/>
    <x v="118"/>
    <x v="4"/>
    <n v="-75.674564000000004"/>
    <s v="6,916676"/>
    <n v="0"/>
    <n v="1"/>
    <s v="2025010265169"/>
    <x v="3"/>
    <n v="701447223"/>
    <x v="4"/>
    <s v="Tercer Orden"/>
    <s v="Vías terciarias mejoradas"/>
    <m/>
    <n v="1"/>
    <s v="SGR Regionales 60%"/>
    <s v="Placa huellas 2025-2"/>
    <n v="6"/>
    <n v="8997781405.9869995"/>
    <n v="3426460056.4700003"/>
    <n v="5571321349.5169992"/>
    <n v="1950193992"/>
    <n v="0"/>
    <n v="1950193992"/>
    <n v="0.21674165041421964"/>
    <n v="7047587413.9869995"/>
    <n v="5638069931.1896"/>
    <n v="4228552448.3921995"/>
    <n v="1"/>
    <n v="0.74479628788817998"/>
    <n v="0.8"/>
    <x v="0"/>
    <n v="845710489.67843997"/>
    <n v="-130563065.92936039"/>
  </r>
  <r>
    <n v="667"/>
    <x v="548"/>
    <d v="1899-12-30T00:00:00"/>
    <x v="36"/>
    <x v="4"/>
    <n v="-75.220017999999996"/>
    <s v="6,683269"/>
    <n v="0"/>
    <n v="0"/>
    <s v=""/>
    <x v="1"/>
    <n v="4294044919"/>
    <x v="4"/>
    <s v="Tercer Orden"/>
    <s v="Vías terciarias mejoradas"/>
    <m/>
    <n v="1"/>
    <s v="SGR Regionales 60%"/>
    <s v="Placa huellas 2025-1"/>
    <n v="6"/>
    <n v="12229746381.692001"/>
    <n v="3376878617.9000001"/>
    <n v="8852867763.7920017"/>
    <n v="1494526177.51"/>
    <n v="880381975"/>
    <n v="2374908152.5100002"/>
    <n v="0.19419112043609105"/>
    <n v="9854838229.1820011"/>
    <n v="7883870583.3456011"/>
    <n v="5912902937.5092001"/>
    <n v="0.6292985166312477"/>
    <n v="0.5600857997738885"/>
    <n v="0.8"/>
    <x v="0"/>
    <n v="1182580587.5018401"/>
    <n v="-14890911393.98896"/>
  </r>
  <r>
    <n v="668"/>
    <x v="549"/>
    <d v="1899-12-30T00:00:00"/>
    <x v="18"/>
    <x v="8"/>
    <n v="-74.641189999999995"/>
    <s v="5,871318"/>
    <n v="0"/>
    <n v="0"/>
    <s v=""/>
    <x v="1"/>
    <n v="4237507648"/>
    <x v="4"/>
    <s v="Tercer Orden"/>
    <s v="Vías terciarias mejoradas"/>
    <s v="Decreto firmado . RAD 2025070002471"/>
    <n v="1"/>
    <s v="SGR Regionales 60%"/>
    <s v="Placa huellas 2025-1"/>
    <n v="6"/>
    <n v="22896432570.9105"/>
    <n v="6514105665.9899998"/>
    <n v="16382326904.9205"/>
    <n v="15087488121"/>
    <n v="152370595"/>
    <n v="15239858716"/>
    <n v="0.66559970287082904"/>
    <n v="7656573854.9104996"/>
    <n v="6125259083.9284"/>
    <n v="4593944312.9462996"/>
    <n v="0.99000183677293352"/>
    <n v="0.53987925149269589"/>
    <n v="0.8"/>
    <x v="0"/>
    <n v="918788862.58925998"/>
    <n v="-4671652589.4644403"/>
  </r>
  <r>
    <n v="669"/>
    <x v="550"/>
    <d v="1899-12-30T00:00:00"/>
    <x v="2"/>
    <x v="2"/>
    <n v="-75.377315999999993"/>
    <s v="6,147148"/>
    <n v="0"/>
    <n v="0"/>
    <s v=""/>
    <x v="1"/>
    <n v="2057502613"/>
    <x v="4"/>
    <s v="Tercer Orden"/>
    <s v="Vías terciarias mejoradas"/>
    <m/>
    <n v="1"/>
    <s v="SGR Regionales 60%"/>
    <s v="Placa huellas 2025-1"/>
    <n v="1"/>
    <n v="501236439904.31354"/>
    <n v="112502020079.39"/>
    <n v="388734419824.92352"/>
    <n v="85394840514"/>
    <n v="114109886446.23999"/>
    <n v="199504726960.23999"/>
    <n v="0.39802518547599136"/>
    <n v="301731712944.07355"/>
    <n v="241385370355.25885"/>
    <n v="181039027766.44412"/>
    <n v="0.42803417149619039"/>
    <n v="0.23207277402530038"/>
    <n v="0.65"/>
    <x v="0"/>
    <n v="36207805553.288826"/>
    <n v="195551024159.73294"/>
  </r>
  <r>
    <n v="670"/>
    <x v="551"/>
    <d v="2024-09-24T00:00:00"/>
    <x v="2"/>
    <x v="2"/>
    <n v="-75.377315999999993"/>
    <s v="6,147148"/>
    <n v="0"/>
    <n v="0"/>
    <s v="2024010436683"/>
    <x v="3"/>
    <n v="1460101335"/>
    <x v="10"/>
    <s v="Tercer Orden"/>
    <s v="Vías terciarias mejoradas"/>
    <s v="11/06/2025 Gob y scrt priorizan ejecucion"/>
    <m/>
    <m/>
    <m/>
    <n v="1"/>
    <n v="501236439904.31354"/>
    <n v="112502020079.39"/>
    <n v="388734419824.92352"/>
    <n v="85394840514"/>
    <n v="114109886446.23999"/>
    <n v="199504726960.23999"/>
    <n v="0.39802518547599136"/>
    <n v="301731712944.07355"/>
    <n v="241385370355.25885"/>
    <n v="181039027766.44412"/>
    <n v="0.42803417149619039"/>
    <n v="0.23207277402530038"/>
    <n v="0.65"/>
    <x v="0"/>
    <n v="36207805553.288826"/>
    <n v="195551024159.73294"/>
  </r>
  <r>
    <n v="671"/>
    <x v="552"/>
    <d v="2024-09-24T00:00:00"/>
    <x v="2"/>
    <x v="2"/>
    <n v="-75.377315999999993"/>
    <s v="6,147148"/>
    <n v="0"/>
    <n v="0"/>
    <s v="2024010436683"/>
    <x v="3"/>
    <n v="2459729131"/>
    <x v="16"/>
    <s v="Tercer Orden"/>
    <s v="Vías terciarias mejoradas"/>
    <s v="11/06/2025 Gob y scrt priorizan ejecucion"/>
    <m/>
    <m/>
    <m/>
    <n v="1"/>
    <n v="501236439904.31354"/>
    <n v="112502020079.39"/>
    <n v="388734419824.92352"/>
    <n v="85394840514"/>
    <n v="114109886446.23999"/>
    <n v="199504726960.23999"/>
    <n v="0.39802518547599136"/>
    <n v="301731712944.07355"/>
    <n v="241385370355.25885"/>
    <n v="181039027766.44412"/>
    <n v="0.42803417149619039"/>
    <n v="0.23207277402530038"/>
    <n v="0.65"/>
    <x v="0"/>
    <n v="36207805553.288826"/>
    <n v="195551024159.73294"/>
  </r>
  <r>
    <n v="672"/>
    <x v="553"/>
    <d v="2025-03-06T00:00:00"/>
    <x v="87"/>
    <x v="3"/>
    <n v="-75.711388999999997"/>
    <s v="6,109719"/>
    <n v="0"/>
    <n v="0"/>
    <s v="2025010267513"/>
    <x v="0"/>
    <n v="4959251750"/>
    <x v="4"/>
    <s v="Tercer Orden"/>
    <s v="Vías terciarias mejoradas"/>
    <m/>
    <m/>
    <m/>
    <m/>
    <n v="5"/>
    <n v="7630980393.4579992"/>
    <n v="2836641555.8400002"/>
    <n v="4794338837.6179991"/>
    <n v="46770446.019999996"/>
    <n v="1700000000"/>
    <n v="1746770446.02"/>
    <n v="0.22890511519561726"/>
    <n v="5884209947.4379997"/>
    <n v="4707367957.9504004"/>
    <n v="3530525968.4627995"/>
    <n v="2.6775382035210189E-2"/>
    <n v="0.7580768893854527"/>
    <n v="0.8"/>
    <x v="2"/>
    <n v="706105193.69255996"/>
    <n v="-8074382003.8446407"/>
  </r>
  <r>
    <n v="673"/>
    <x v="554"/>
    <d v="2025-03-06T00:00:00"/>
    <x v="87"/>
    <x v="3"/>
    <n v="-75.711388999999997"/>
    <s v="6,109719"/>
    <n v="0"/>
    <n v="0"/>
    <s v="2025010267513"/>
    <x v="0"/>
    <n v="793480280"/>
    <x v="4"/>
    <s v="Tercer Orden"/>
    <s v="Vías terciarias mejoradas"/>
    <m/>
    <m/>
    <m/>
    <m/>
    <n v="5"/>
    <n v="7630980393.4579992"/>
    <n v="2836641555.8400002"/>
    <n v="4794338837.6179991"/>
    <n v="46770446.019999996"/>
    <n v="1700000000"/>
    <n v="1746770446.02"/>
    <n v="0.22890511519561726"/>
    <n v="5884209947.4379997"/>
    <n v="4707367957.9504004"/>
    <n v="3530525968.4627995"/>
    <n v="2.6775382035210189E-2"/>
    <n v="0.7580768893854527"/>
    <n v="0.8"/>
    <x v="2"/>
    <n v="706105193.69255996"/>
    <n v="-8074382003.8446407"/>
  </r>
  <r>
    <n v="674"/>
    <x v="555"/>
    <d v="2025-03-06T00:00:00"/>
    <x v="87"/>
    <x v="3"/>
    <n v="-75.711388999999997"/>
    <s v="6,109719"/>
    <n v="0"/>
    <n v="0"/>
    <s v="2025010267513"/>
    <x v="0"/>
    <n v="1200000000"/>
    <x v="16"/>
    <s v="Tercer Orden"/>
    <s v="Vías terciarias mejoradas"/>
    <m/>
    <m/>
    <m/>
    <m/>
    <n v="5"/>
    <n v="7630980393.4579992"/>
    <n v="2836641555.8400002"/>
    <n v="4794338837.6179991"/>
    <n v="46770446.019999996"/>
    <n v="1700000000"/>
    <n v="1746770446.02"/>
    <n v="0.22890511519561726"/>
    <n v="5884209947.4379997"/>
    <n v="4707367957.9504004"/>
    <n v="3530525968.4627995"/>
    <n v="2.6775382035210189E-2"/>
    <n v="0.7580768893854527"/>
    <n v="0.8"/>
    <x v="2"/>
    <n v="706105193.69255996"/>
    <n v="-8074382003.8446407"/>
  </r>
  <r>
    <n v="675"/>
    <x v="556"/>
    <d v="2025-06-05T00:00:00"/>
    <x v="17"/>
    <x v="5"/>
    <n v="-76.728858000000002"/>
    <n v="8.0899289999999997"/>
    <n v="1"/>
    <n v="1"/>
    <s v="2025010280945"/>
    <x v="0"/>
    <m/>
    <x v="4"/>
    <s v="Tercer Orden"/>
    <s v="Vías terciarias mejoradas"/>
    <m/>
    <m/>
    <m/>
    <m/>
    <n v="5"/>
    <n v="57277943756.629501"/>
    <n v="34159399600.959999"/>
    <n v="23118544155.669502"/>
    <n v="3450000000"/>
    <n v="21452083665"/>
    <n v="24902083665"/>
    <n v="0.43475868775610099"/>
    <n v="32375860091.629501"/>
    <n v="25900688073.303604"/>
    <n v="19425516054.977699"/>
    <n v="0.13854262343712995"/>
    <n v="0.87015152665365447"/>
    <n v="0.8"/>
    <x v="1"/>
    <n v="3885103210.9955401"/>
    <n v="-42559571320.026764"/>
  </r>
  <r>
    <n v="676"/>
    <x v="557"/>
    <d v="2025-06-05T00:00:00"/>
    <x v="49"/>
    <x v="6"/>
    <n v="-74.799097000000003"/>
    <s v="7,5975"/>
    <n v="1"/>
    <n v="1"/>
    <s v="2025010282894"/>
    <x v="0"/>
    <m/>
    <x v="4"/>
    <s v="Tercer Orden"/>
    <s v="Vías terciarias mejoradas"/>
    <m/>
    <m/>
    <m/>
    <m/>
    <n v="6"/>
    <n v="50634494381.026505"/>
    <n v="15839182742.690001"/>
    <n v="34795311638.336502"/>
    <n v="67652077"/>
    <n v="17477834894.650002"/>
    <n v="17545486971.650002"/>
    <n v="0.34651253431345719"/>
    <n v="33089007409.376503"/>
    <n v="26471205927.501205"/>
    <n v="19853404445.6259"/>
    <n v="3.8558107340829141E-3"/>
    <n v="0.40594992695874271"/>
    <n v="0.8"/>
    <x v="0"/>
    <n v="3970680889.1251802"/>
    <n v="-9892273308.2489204"/>
  </r>
  <r>
    <n v="677"/>
    <x v="558"/>
    <d v="2025-05-28T00:00:00"/>
    <x v="59"/>
    <x v="4"/>
    <n v="-75.439273999999997"/>
    <n v="7.1651999999999996"/>
    <n v="1"/>
    <n v="1"/>
    <s v="2025010266769"/>
    <x v="0"/>
    <m/>
    <x v="16"/>
    <s v="Tercer Orden"/>
    <s v="Vías terciarias mejoradas"/>
    <m/>
    <m/>
    <m/>
    <m/>
    <n v="6"/>
    <n v="13037566833.207003"/>
    <n v="3869989518.3099999"/>
    <n v="9167577314.8970032"/>
    <n v="3761583922"/>
    <n v="0"/>
    <n v="3761583922"/>
    <n v="0.28851886016178674"/>
    <n v="9275982911.2070026"/>
    <n v="7420786328.9656029"/>
    <n v="5565589746.7242012"/>
    <n v="1"/>
    <n v="0.55776534569064784"/>
    <n v="0.8"/>
    <x v="0"/>
    <n v="1113117949.3448403"/>
    <n v="2421182898.0690413"/>
  </r>
  <r>
    <n v="678"/>
    <x v="559"/>
    <d v="2025-06-04T00:00:00"/>
    <x v="57"/>
    <x v="1"/>
    <n v="-75.444237999999999"/>
    <s v="6,379472"/>
    <n v="0"/>
    <n v="0"/>
    <s v="2025010278720"/>
    <x v="1"/>
    <n v="18456429395"/>
    <x v="3"/>
    <s v="Tercer Orden"/>
    <s v="Vías terciarias mejoradas"/>
    <m/>
    <m/>
    <m/>
    <m/>
    <n v="2"/>
    <n v="101079829717.10699"/>
    <n v="35923834396.690002"/>
    <n v="65155995320.416992"/>
    <n v="0"/>
    <n v="33364035579"/>
    <n v="33364035579"/>
    <n v="0.33007609601615101"/>
    <n v="67715794138.106995"/>
    <n v="54172635310.485596"/>
    <n v="40629476482.864197"/>
    <n v="0"/>
    <n v="0.39321465077323631"/>
    <n v="0.7"/>
    <x v="0"/>
    <n v="8125895296.5728397"/>
    <n v="-24641831699.562965"/>
  </r>
  <r>
    <n v="679"/>
    <x v="560"/>
    <d v="2025-06-05T00:00:00"/>
    <x v="37"/>
    <x v="2"/>
    <n v="-75.141069999999999"/>
    <s v="5,731474"/>
    <n v="0"/>
    <n v="1"/>
    <s v="2025010279303"/>
    <x v="3"/>
    <n v="22116602097"/>
    <x v="4"/>
    <s v="Tercer Orden"/>
    <s v="Vías terciarias mejoradas"/>
    <m/>
    <m/>
    <m/>
    <m/>
    <n v="6"/>
    <n v="7397887197.3409996"/>
    <n v="2145550795.75"/>
    <n v="5252336401.5909996"/>
    <n v="913988424"/>
    <n v="0"/>
    <n v="913988424"/>
    <n v="0.12354722363548773"/>
    <n v="6483898773.3409996"/>
    <n v="5187119018.6728001"/>
    <n v="3890339264.0045996"/>
    <n v="1"/>
    <n v="0.55936476249157852"/>
    <n v="0.8"/>
    <x v="0"/>
    <n v="778067852.80092001"/>
    <n v="-57612554588.194481"/>
  </r>
  <r>
    <n v="680"/>
    <x v="561"/>
    <d v="2025-06-10T00:00:00"/>
    <x v="76"/>
    <x v="7"/>
    <n v="-75.811773000000002"/>
    <s v="6,626492"/>
    <n v="0"/>
    <n v="0"/>
    <s v="2025010287731"/>
    <x v="3"/>
    <n v="2300000000"/>
    <x v="4"/>
    <s v="Tercer Orden"/>
    <s v="Vías terciarias mejoradas"/>
    <s v="Valor estimado por tenores. Informacion solo incluye trazado geometrico y levantamiento topografico. Respuesta general"/>
    <m/>
    <m/>
    <m/>
    <n v="6"/>
    <n v="4127448900.7750001"/>
    <n v="1679484660.96"/>
    <n v="2447964239.8150001"/>
    <n v="2175868693"/>
    <n v="0"/>
    <n v="2175868693"/>
    <n v="0.52717035275504998"/>
    <n v="1951580207.7750001"/>
    <n v="1561264166.2200003"/>
    <n v="1170948124.665"/>
    <n v="1"/>
    <n v="0.89586302238809568"/>
    <n v="0.8"/>
    <x v="1"/>
    <n v="234189624.933"/>
    <n v="-5192738357.4020004"/>
  </r>
  <r>
    <m/>
    <x v="562"/>
    <d v="2024-11-12T00:00:00"/>
    <x v="117"/>
    <x v="5"/>
    <n v="-76.435874999999996"/>
    <s v="7,242875"/>
    <n v="1"/>
    <n v="1"/>
    <s v="2024010569913, 2025010098872, 2025010100436, 2025010101072, 2025010169928, 2025050433078"/>
    <x v="2"/>
    <m/>
    <x v="15"/>
    <m/>
    <m/>
    <m/>
    <m/>
    <m/>
    <m/>
    <n v="6"/>
    <n v="16247454785.101002"/>
    <n v="6889489895.2300005"/>
    <n v="9357964889.8710022"/>
    <n v="3366685790"/>
    <n v="1396955129.74"/>
    <n v="4763640919.7399998"/>
    <n v="0.29319305594303191"/>
    <n v="11483813865.361002"/>
    <n v="9187051092.2888012"/>
    <n v="6890288319.2166014"/>
    <n v="0.70674634102852452"/>
    <n v="0.70820805266444298"/>
    <n v="0.8"/>
    <x v="0"/>
    <n v="1378057663.8433204"/>
    <n v="5704640908.0599213"/>
  </r>
  <r>
    <m/>
    <x v="562"/>
    <d v="2024-11-12T00:00:00"/>
    <x v="115"/>
    <x v="0"/>
    <n v="-74.698134999999994"/>
    <s v="7,029424"/>
    <n v="1"/>
    <n v="1"/>
    <m/>
    <x v="2"/>
    <m/>
    <x v="15"/>
    <m/>
    <m/>
    <m/>
    <m/>
    <m/>
    <m/>
    <n v="6"/>
    <n v="31836256303.883995"/>
    <n v="12586903103.25"/>
    <n v="19249353200.633995"/>
    <n v="0"/>
    <n v="0"/>
    <n v="0"/>
    <n v="0"/>
    <n v="31836256303.883995"/>
    <n v="25469005043.107197"/>
    <n v="19101753782.330395"/>
    <n v="0"/>
    <n v="1.3391267531682534"/>
    <n v="0.8"/>
    <x v="1"/>
    <n v="3820350756.4660792"/>
    <n v="22922104538.796474"/>
  </r>
  <r>
    <m/>
    <x v="562"/>
    <d v="2024-11-12T00:00:00"/>
    <x v="119"/>
    <x v="7"/>
    <n v="-75.816644999999994"/>
    <s v="6,850028"/>
    <n v="0"/>
    <n v="0"/>
    <m/>
    <x v="2"/>
    <m/>
    <x v="15"/>
    <m/>
    <m/>
    <m/>
    <m/>
    <m/>
    <m/>
    <n v="6"/>
    <n v="14810352113.535"/>
    <n v="3480047239.2000003"/>
    <n v="11330304874.334999"/>
    <n v="2077277075"/>
    <n v="0"/>
    <n v="2077277075"/>
    <n v="0.1402584529439784"/>
    <n v="12733075038.535"/>
    <n v="10186460030.828001"/>
    <n v="7639845023.1209993"/>
    <n v="1"/>
    <n v="0.71063823778658097"/>
    <n v="0.8"/>
    <x v="0"/>
    <n v="1527969004.6241999"/>
    <n v="9167814027.7451992"/>
  </r>
  <r>
    <m/>
    <x v="562"/>
    <d v="2024-11-12T00:00:00"/>
    <x v="116"/>
    <x v="4"/>
    <n v="-75.692280999999994"/>
    <n v="7.0103280000000003"/>
    <n v="0"/>
    <n v="1"/>
    <m/>
    <x v="2"/>
    <m/>
    <x v="15"/>
    <m/>
    <m/>
    <m/>
    <m/>
    <m/>
    <m/>
    <n v="6"/>
    <n v="11658945302.2845"/>
    <n v="3873327651.4900002"/>
    <n v="7785617650.7945004"/>
    <n v="358053435"/>
    <n v="0"/>
    <n v="358053435"/>
    <n v="3.0710619675850231E-2"/>
    <n v="11300891867.2845"/>
    <n v="9040713493.8276005"/>
    <n v="6780535120.3706999"/>
    <n v="1"/>
    <n v="0.73337464913949513"/>
    <n v="0.8"/>
    <x v="0"/>
    <n v="1356107024.0741401"/>
    <n v="3200601355.44483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A5800E-9A15-4027-A52B-BB1D6A5EB333}"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MUNICIPIOS">
  <location ref="A6:C108" firstHeaderRow="0" firstDataRow="1" firstDataCol="1" rowPageCount="3" colPageCount="1"/>
  <pivotFields count="38">
    <pivotField showAll="0"/>
    <pivotField axis="axisRow" showAll="0">
      <items count="810">
        <item m="1" x="599"/>
        <item m="1" x="799"/>
        <item m="1" x="606"/>
        <item m="1" x="663"/>
        <item m="1" x="605"/>
        <item x="228"/>
        <item m="1" x="699"/>
        <item m="1" x="592"/>
        <item x="69"/>
        <item m="1" x="791"/>
        <item m="1" x="804"/>
        <item x="326"/>
        <item m="1" x="790"/>
        <item x="298"/>
        <item x="295"/>
        <item x="299"/>
        <item x="255"/>
        <item x="263"/>
        <item x="252"/>
        <item x="231"/>
        <item x="249"/>
        <item x="297"/>
        <item x="286"/>
        <item x="284"/>
        <item x="289"/>
        <item x="290"/>
        <item x="315"/>
        <item x="244"/>
        <item x="318"/>
        <item x="304"/>
        <item x="230"/>
        <item x="245"/>
        <item x="235"/>
        <item x="247"/>
        <item x="256"/>
        <item x="287"/>
        <item x="291"/>
        <item x="292"/>
        <item x="300"/>
        <item x="314"/>
        <item x="278"/>
        <item x="265"/>
        <item x="301"/>
        <item x="268"/>
        <item x="234"/>
        <item x="281"/>
        <item x="267"/>
        <item x="246"/>
        <item x="384"/>
        <item x="258"/>
        <item x="257"/>
        <item x="285"/>
        <item x="277"/>
        <item x="242"/>
        <item x="282"/>
        <item x="271"/>
        <item x="232"/>
        <item x="236"/>
        <item x="272"/>
        <item x="262"/>
        <item x="288"/>
        <item x="275"/>
        <item x="310"/>
        <item x="254"/>
        <item x="261"/>
        <item x="269"/>
        <item x="237"/>
        <item x="280"/>
        <item x="253"/>
        <item x="248"/>
        <item x="305"/>
        <item x="273"/>
        <item x="238"/>
        <item x="266"/>
        <item x="241"/>
        <item x="316"/>
        <item x="259"/>
        <item x="233"/>
        <item x="306"/>
        <item x="302"/>
        <item x="260"/>
        <item x="243"/>
        <item x="296"/>
        <item x="307"/>
        <item x="308"/>
        <item x="264"/>
        <item x="240"/>
        <item x="317"/>
        <item x="251"/>
        <item x="283"/>
        <item x="293"/>
        <item x="279"/>
        <item x="311"/>
        <item x="276"/>
        <item x="294"/>
        <item x="274"/>
        <item x="270"/>
        <item x="312"/>
        <item x="309"/>
        <item x="303"/>
        <item x="239"/>
        <item x="313"/>
        <item m="1" x="587"/>
        <item x="130"/>
        <item m="1" x="668"/>
        <item x="107"/>
        <item m="1" x="673"/>
        <item m="1" x="641"/>
        <item m="1" x="789"/>
        <item x="176"/>
        <item x="367"/>
        <item x="83"/>
        <item m="1" x="597"/>
        <item x="31"/>
        <item x="22"/>
        <item x="21"/>
        <item x="39"/>
        <item x="381"/>
        <item m="1" x="609"/>
        <item x="380"/>
        <item m="1" x="563"/>
        <item m="1" x="692"/>
        <item x="84"/>
        <item m="1" x="571"/>
        <item x="112"/>
        <item x="192"/>
        <item x="147"/>
        <item x="135"/>
        <item m="1" x="604"/>
        <item x="120"/>
        <item m="1" x="568"/>
        <item m="1" x="575"/>
        <item m="1" x="602"/>
        <item m="1" x="603"/>
        <item m="1" x="639"/>
        <item x="164"/>
        <item x="145"/>
        <item x="163"/>
        <item x="179"/>
        <item x="58"/>
        <item m="1" x="786"/>
        <item m="1" x="787"/>
        <item x="184"/>
        <item m="1" x="601"/>
        <item m="1" x="635"/>
        <item m="1" x="634"/>
        <item m="1" x="596"/>
        <item m="1" x="617"/>
        <item m="1" x="600"/>
        <item m="1" x="614"/>
        <item m="1" x="589"/>
        <item x="158"/>
        <item m="1" x="637"/>
        <item m="1" x="638"/>
        <item m="1" x="806"/>
        <item m="1" x="629"/>
        <item x="115"/>
        <item x="323"/>
        <item x="322"/>
        <item x="127"/>
        <item x="91"/>
        <item x="26"/>
        <item m="1" x="805"/>
        <item x="32"/>
        <item m="1" x="569"/>
        <item m="1" x="574"/>
        <item m="1" x="803"/>
        <item m="1" x="626"/>
        <item m="1" x="625"/>
        <item m="1" x="572"/>
        <item m="1" x="695"/>
        <item x="383"/>
        <item x="175"/>
        <item x="77"/>
        <item x="92"/>
        <item x="129"/>
        <item x="372"/>
        <item m="1" x="694"/>
        <item m="1" x="588"/>
        <item x="369"/>
        <item x="371"/>
        <item x="370"/>
        <item m="1" x="696"/>
        <item x="375"/>
        <item x="139"/>
        <item m="1" x="593"/>
        <item m="1" x="582"/>
        <item x="382"/>
        <item x="188"/>
        <item m="1" x="619"/>
        <item x="124"/>
        <item x="177"/>
        <item x="378"/>
        <item m="1" x="636"/>
        <item m="1" x="594"/>
        <item x="171"/>
        <item m="1" x="632"/>
        <item m="1" x="631"/>
        <item x="19"/>
        <item m="1" x="640"/>
        <item x="1"/>
        <item m="1" x="577"/>
        <item x="157"/>
        <item x="185"/>
        <item x="23"/>
        <item m="1" x="581"/>
        <item x="66"/>
        <item m="1" x="612"/>
        <item x="35"/>
        <item x="376"/>
        <item m="1" x="620"/>
        <item x="182"/>
        <item x="81"/>
        <item m="1" x="583"/>
        <item x="98"/>
        <item x="161"/>
        <item x="82"/>
        <item x="54"/>
        <item x="12"/>
        <item m="1" x="621"/>
        <item m="1" x="610"/>
        <item m="1" x="618"/>
        <item m="1" x="633"/>
        <item x="109"/>
        <item m="1" x="585"/>
        <item m="1" x="591"/>
        <item x="29"/>
        <item x="160"/>
        <item m="1" x="567"/>
        <item m="1" x="628"/>
        <item x="167"/>
        <item m="1" x="797"/>
        <item m="1" x="579"/>
        <item x="368"/>
        <item m="1" x="698"/>
        <item x="75"/>
        <item m="1" x="627"/>
        <item m="1" x="788"/>
        <item x="97"/>
        <item x="116"/>
        <item m="1" x="578"/>
        <item m="1" x="630"/>
        <item x="156"/>
        <item x="141"/>
        <item x="17"/>
        <item x="136"/>
        <item x="60"/>
        <item x="25"/>
        <item m="1" x="584"/>
        <item x="71"/>
        <item m="1" x="595"/>
        <item m="1" x="615"/>
        <item x="108"/>
        <item x="133"/>
        <item x="30"/>
        <item x="43"/>
        <item x="363"/>
        <item m="1" x="613"/>
        <item x="364"/>
        <item x="122"/>
        <item x="79"/>
        <item m="1" x="801"/>
        <item x="140"/>
        <item x="5"/>
        <item m="1" x="580"/>
        <item x="34"/>
        <item x="49"/>
        <item x="36"/>
        <item x="7"/>
        <item x="3"/>
        <item x="76"/>
        <item x="379"/>
        <item x="51"/>
        <item m="1" x="576"/>
        <item m="1" x="622"/>
        <item m="1" x="607"/>
        <item x="125"/>
        <item x="126"/>
        <item x="24"/>
        <item m="1" x="616"/>
        <item m="1" x="611"/>
        <item m="1" x="667"/>
        <item x="154"/>
        <item x="155"/>
        <item x="153"/>
        <item x="4"/>
        <item x="186"/>
        <item m="1" x="693"/>
        <item x="44"/>
        <item x="187"/>
        <item x="56"/>
        <item x="392"/>
        <item x="151"/>
        <item x="64"/>
        <item x="152"/>
        <item x="394"/>
        <item x="393"/>
        <item x="134"/>
        <item x="33"/>
        <item x="144"/>
        <item m="1" x="623"/>
        <item x="121"/>
        <item m="1" x="624"/>
        <item x="207"/>
        <item x="208"/>
        <item x="209"/>
        <item m="1" x="680"/>
        <item m="1" x="660"/>
        <item m="1" x="653"/>
        <item m="1" x="654"/>
        <item m="1" x="652"/>
        <item x="391"/>
        <item m="1" x="650"/>
        <item m="1" x="651"/>
        <item m="1" x="676"/>
        <item m="1" x="681"/>
        <item x="206"/>
        <item m="1" x="661"/>
        <item m="1" x="642"/>
        <item m="1" x="644"/>
        <item x="225"/>
        <item x="199"/>
        <item m="1" x="679"/>
        <item x="362"/>
        <item x="324"/>
        <item m="1" x="643"/>
        <item m="1" x="662"/>
        <item m="1" x="646"/>
        <item x="338"/>
        <item m="1" x="659"/>
        <item m="1" x="670"/>
        <item m="1" x="671"/>
        <item m="1" x="672"/>
        <item x="334"/>
        <item x="226"/>
        <item m="1" x="675"/>
        <item m="1" x="678"/>
        <item m="1" x="674"/>
        <item m="1" x="684"/>
        <item m="1" x="647"/>
        <item m="1" x="690"/>
        <item x="361"/>
        <item m="1" x="656"/>
        <item x="217"/>
        <item x="215"/>
        <item m="1" x="657"/>
        <item m="1" x="685"/>
        <item m="1" x="648"/>
        <item m="1" x="655"/>
        <item m="1" x="658"/>
        <item x="356"/>
        <item m="1" x="688"/>
        <item x="358"/>
        <item x="354"/>
        <item x="357"/>
        <item m="1" x="666"/>
        <item x="200"/>
        <item x="347"/>
        <item x="203"/>
        <item x="196"/>
        <item m="1" x="649"/>
        <item m="1" x="682"/>
        <item m="1" x="645"/>
        <item m="1" x="691"/>
        <item x="360"/>
        <item m="1" x="687"/>
        <item m="1" x="683"/>
        <item m="1" x="677"/>
        <item m="1" x="689"/>
        <item m="1" x="665"/>
        <item x="197"/>
        <item x="319"/>
        <item m="1" x="686"/>
        <item m="1" x="586"/>
        <item m="1" x="808"/>
        <item m="1" x="565"/>
        <item x="386"/>
        <item x="190"/>
        <item m="1" x="608"/>
        <item x="105"/>
        <item m="1" x="807"/>
        <item m="1" x="598"/>
        <item m="1" x="701"/>
        <item x="189"/>
        <item m="1" x="669"/>
        <item x="90"/>
        <item x="229"/>
        <item x="132"/>
        <item x="6"/>
        <item m="1" x="570"/>
        <item m="1" x="697"/>
        <item m="1" x="798"/>
        <item m="1" x="664"/>
        <item x="41"/>
        <item x="47"/>
        <item m="1" x="566"/>
        <item m="1" x="800"/>
        <item x="72"/>
        <item x="68"/>
        <item x="65"/>
        <item x="333"/>
        <item x="14"/>
        <item m="1" x="700"/>
        <item m="1" x="590"/>
        <item x="395"/>
        <item x="359"/>
        <item x="10"/>
        <item x="388"/>
        <item x="2"/>
        <item m="1" x="564"/>
        <item x="18"/>
        <item x="48"/>
        <item m="1" x="702"/>
        <item m="1" x="792"/>
        <item m="1" x="703"/>
        <item m="1" x="704"/>
        <item m="1" x="705"/>
        <item m="1" x="706"/>
        <item m="1" x="793"/>
        <item m="1" x="794"/>
        <item m="1" x="795"/>
        <item m="1" x="79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x="562"/>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3"/>
        <item m="1" x="764"/>
        <item m="1" x="765"/>
        <item m="1" x="802"/>
        <item m="1" x="767"/>
        <item m="1" x="768"/>
        <item m="1" x="770"/>
        <item m="1" x="772"/>
        <item m="1" x="773"/>
        <item m="1" x="774"/>
        <item m="1" x="775"/>
        <item m="1" x="776"/>
        <item m="1" x="777"/>
        <item m="1" x="778"/>
        <item m="1" x="573"/>
        <item x="117"/>
        <item m="1" x="738"/>
        <item m="1" x="739"/>
        <item m="1" x="762"/>
        <item m="1" x="766"/>
        <item m="1" x="769"/>
        <item m="1" x="771"/>
        <item m="1" x="779"/>
        <item m="1" x="780"/>
        <item m="1" x="781"/>
        <item m="1" x="782"/>
        <item m="1" x="783"/>
        <item m="1" x="784"/>
        <item m="1" x="785"/>
        <item x="0"/>
        <item x="8"/>
        <item x="9"/>
        <item x="11"/>
        <item x="13"/>
        <item x="15"/>
        <item x="16"/>
        <item x="20"/>
        <item x="27"/>
        <item x="28"/>
        <item x="37"/>
        <item x="38"/>
        <item x="40"/>
        <item x="42"/>
        <item x="45"/>
        <item x="46"/>
        <item x="50"/>
        <item x="52"/>
        <item x="53"/>
        <item x="55"/>
        <item x="57"/>
        <item x="59"/>
        <item x="61"/>
        <item x="62"/>
        <item x="63"/>
        <item x="67"/>
        <item x="70"/>
        <item x="73"/>
        <item x="74"/>
        <item x="78"/>
        <item x="80"/>
        <item x="85"/>
        <item x="86"/>
        <item x="87"/>
        <item x="88"/>
        <item x="89"/>
        <item x="93"/>
        <item x="94"/>
        <item x="95"/>
        <item x="96"/>
        <item x="99"/>
        <item x="100"/>
        <item x="101"/>
        <item x="102"/>
        <item x="103"/>
        <item x="104"/>
        <item x="106"/>
        <item x="110"/>
        <item x="111"/>
        <item x="113"/>
        <item x="114"/>
        <item x="118"/>
        <item x="119"/>
        <item x="123"/>
        <item x="128"/>
        <item x="131"/>
        <item x="137"/>
        <item x="138"/>
        <item x="142"/>
        <item x="143"/>
        <item x="146"/>
        <item x="148"/>
        <item x="149"/>
        <item x="150"/>
        <item x="159"/>
        <item x="162"/>
        <item x="165"/>
        <item x="166"/>
        <item x="168"/>
        <item x="169"/>
        <item x="170"/>
        <item x="172"/>
        <item x="173"/>
        <item x="174"/>
        <item x="178"/>
        <item x="180"/>
        <item x="181"/>
        <item x="183"/>
        <item x="191"/>
        <item x="193"/>
        <item x="194"/>
        <item x="195"/>
        <item x="198"/>
        <item x="201"/>
        <item x="202"/>
        <item x="204"/>
        <item x="205"/>
        <item x="210"/>
        <item x="211"/>
        <item x="212"/>
        <item x="213"/>
        <item x="214"/>
        <item x="216"/>
        <item x="218"/>
        <item x="219"/>
        <item x="220"/>
        <item x="221"/>
        <item x="222"/>
        <item x="223"/>
        <item x="224"/>
        <item x="227"/>
        <item x="250"/>
        <item x="320"/>
        <item x="321"/>
        <item x="325"/>
        <item x="327"/>
        <item x="328"/>
        <item x="329"/>
        <item x="330"/>
        <item x="331"/>
        <item x="332"/>
        <item x="335"/>
        <item x="336"/>
        <item x="337"/>
        <item x="339"/>
        <item x="340"/>
        <item x="341"/>
        <item x="342"/>
        <item x="343"/>
        <item x="344"/>
        <item x="345"/>
        <item x="346"/>
        <item x="348"/>
        <item x="349"/>
        <item x="350"/>
        <item x="351"/>
        <item x="352"/>
        <item x="353"/>
        <item x="355"/>
        <item x="365"/>
        <item x="366"/>
        <item x="373"/>
        <item x="374"/>
        <item x="377"/>
        <item x="385"/>
        <item x="387"/>
        <item x="389"/>
        <item x="390"/>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t="default"/>
      </items>
    </pivotField>
    <pivotField numFmtId="14" showAll="0"/>
    <pivotField axis="axisRow" showAll="0">
      <items count="129">
        <item sd="0" x="4"/>
        <item sd="0" x="94"/>
        <item sd="0" x="16"/>
        <item sd="0" x="23"/>
        <item sd="0" x="96"/>
        <item sd="0" x="62"/>
        <item sd="0" x="87"/>
        <item sd="0" x="97"/>
        <item sd="0" x="88"/>
        <item sd="0" x="48"/>
        <item sd="0" x="26"/>
        <item sd="0" x="56"/>
        <item sd="0" x="37"/>
        <item sd="0" x="8"/>
        <item sd="0" x="1"/>
        <item sd="0" x="86"/>
        <item sd="0" x="32"/>
        <item sd="0" x="95"/>
        <item sd="0" x="35"/>
        <item sd="0" x="100"/>
        <item sd="0" x="55"/>
        <item sd="0" x="84"/>
        <item sd="0" x="109"/>
        <item sd="0" x="79"/>
        <item sd="0" x="52"/>
        <item sd="0" x="90"/>
        <item sd="0" x="93"/>
        <item sd="0" x="6"/>
        <item sd="0" x="7"/>
        <item sd="0" x="29"/>
        <item sd="0" x="91"/>
        <item sd="0" x="64"/>
        <item sd="0" x="31"/>
        <item sd="0" x="25"/>
        <item sd="0" x="83"/>
        <item sd="0" x="33"/>
        <item sd="0" x="103"/>
        <item sd="0" x="5"/>
        <item sd="0" x="101"/>
        <item sd="0" x="49"/>
        <item sd="0" x="60"/>
        <item sd="0" x="66"/>
        <item sd="0" x="74"/>
        <item sd="0" x="68"/>
        <item sd="0" x="45"/>
        <item sd="0" x="112"/>
        <item sd="0" x="12"/>
        <item sd="0" x="71"/>
        <item sd="0" x="44"/>
        <item sd="0" x="57"/>
        <item sd="0" x="36"/>
        <item sd="0" x="81"/>
        <item sd="0" x="46"/>
        <item sd="0" x="105"/>
        <item sd="0" x="107"/>
        <item sd="0" x="113"/>
        <item sd="0" x="43"/>
        <item sd="0" x="38"/>
        <item sd="0" x="28"/>
        <item sd="0" x="78"/>
        <item sd="0" x="54"/>
        <item sd="0" x="61"/>
        <item sd="0" x="82"/>
        <item sd="0" x="51"/>
        <item sd="0" x="102"/>
        <item sd="0" x="65"/>
        <item sd="0" x="72"/>
        <item sd="0" x="106"/>
        <item sd="0" x="53"/>
        <item sd="0" x="42"/>
        <item sd="0" x="76"/>
        <item sd="0" x="85"/>
        <item sd="0" x="21"/>
        <item sd="0" x="34"/>
        <item sd="0" x="18"/>
        <item sd="0" x="2"/>
        <item sd="0" x="69"/>
        <item sd="0" x="92"/>
        <item sd="0" x="67"/>
        <item sd="0" x="27"/>
        <item sd="0" x="80"/>
        <item sd="0" x="11"/>
        <item sd="0" x="14"/>
        <item sd="0" x="75"/>
        <item sd="0" x="50"/>
        <item sd="0" x="13"/>
        <item sd="0" x="89"/>
        <item sd="0" x="70"/>
        <item sd="0" m="1" x="127"/>
        <item sd="0" x="104"/>
        <item sd="0" x="3"/>
        <item sd="0" x="47"/>
        <item sd="0" x="19"/>
        <item sd="0" x="111"/>
        <item sd="0" x="41"/>
        <item sd="0" x="20"/>
        <item sd="0" x="24"/>
        <item sd="0" x="9"/>
        <item sd="0" x="110"/>
        <item sd="0" x="10"/>
        <item sd="0" x="39"/>
        <item sd="0" x="17"/>
        <item sd="0" x="73"/>
        <item sd="0" x="63"/>
        <item sd="0" x="59"/>
        <item sd="0" x="22"/>
        <item sd="0" x="0"/>
        <item sd="0" x="77"/>
        <item sd="0" x="40"/>
        <item sd="0" x="108"/>
        <item sd="0" x="30"/>
        <item sd="0" x="15"/>
        <item sd="0" x="99"/>
        <item sd="0" x="58"/>
        <item sd="0" m="1" x="120"/>
        <item sd="0" m="1" x="125"/>
        <item sd="0" m="1" x="126"/>
        <item sd="0" x="98"/>
        <item sd="0" x="114"/>
        <item m="1" x="121"/>
        <item m="1" x="122"/>
        <item m="1" x="123"/>
        <item m="1" x="124"/>
        <item x="117"/>
        <item x="115"/>
        <item x="119"/>
        <item x="118"/>
        <item x="116"/>
        <item t="default" sd="0"/>
      </items>
    </pivotField>
    <pivotField multipleItemSelectionAllowed="1" showAll="0"/>
    <pivotField showAll="0"/>
    <pivotField showAll="0"/>
    <pivotField showAll="0"/>
    <pivotField showAll="0"/>
    <pivotField showAll="0"/>
    <pivotField axis="axisPage" multipleItemSelectionAllowed="1" showAll="0">
      <items count="7">
        <item h="1" x="0"/>
        <item h="1" x="3"/>
        <item x="1"/>
        <item h="1" x="2"/>
        <item h="1" x="4"/>
        <item h="1" x="5"/>
        <item t="default"/>
      </items>
    </pivotField>
    <pivotField showAll="0"/>
    <pivotField axis="axisPage" showAll="0">
      <items count="30">
        <item x="14"/>
        <item x="2"/>
        <item x="7"/>
        <item x="17"/>
        <item x="11"/>
        <item x="1"/>
        <item x="8"/>
        <item x="19"/>
        <item x="5"/>
        <item x="0"/>
        <item x="12"/>
        <item x="3"/>
        <item x="6"/>
        <item x="4"/>
        <item x="9"/>
        <item x="13"/>
        <item x="16"/>
        <item x="10"/>
        <item x="18"/>
        <item x="15"/>
        <item m="1" x="21"/>
        <item m="1" x="22"/>
        <item m="1" x="23"/>
        <item m="1" x="24"/>
        <item m="1" x="28"/>
        <item m="1" x="27"/>
        <item m="1" x="25"/>
        <item m="1" x="26"/>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dataField="1" showAll="0"/>
    <pivotField numFmtId="9" showAll="0"/>
    <pivotField numFmtId="9" showAll="0"/>
    <pivotField numFmtId="9" showAll="0"/>
    <pivotField name="SEMÁFORO LEY 617" axis="axisPage" showAll="0">
      <items count="5">
        <item m="1" x="3"/>
        <item x="0"/>
        <item x="1"/>
        <item x="2"/>
        <item t="default"/>
      </items>
    </pivotField>
    <pivotField showAll="0"/>
    <pivotField showAll="0"/>
    <pivotField dragToRow="0" dragToCol="0" dragToPage="0" showAll="0" defaultSubtotal="0"/>
    <pivotField dataField="1" dragToRow="0" dragToCol="0" dragToPage="0" showAll="0" defaultSubtotal="0"/>
  </pivotFields>
  <rowFields count="2">
    <field x="3"/>
    <field x="1"/>
  </rowFields>
  <rowItems count="102">
    <i>
      <x/>
    </i>
    <i>
      <x v="2"/>
    </i>
    <i>
      <x v="3"/>
    </i>
    <i>
      <x v="5"/>
    </i>
    <i>
      <x v="6"/>
    </i>
    <i>
      <x v="7"/>
    </i>
    <i>
      <x v="8"/>
    </i>
    <i>
      <x v="9"/>
    </i>
    <i>
      <x v="10"/>
    </i>
    <i>
      <x v="11"/>
    </i>
    <i>
      <x v="12"/>
    </i>
    <i>
      <x v="14"/>
    </i>
    <i>
      <x v="15"/>
    </i>
    <i>
      <x v="16"/>
    </i>
    <i>
      <x v="17"/>
    </i>
    <i>
      <x v="18"/>
    </i>
    <i>
      <x v="19"/>
    </i>
    <i>
      <x v="20"/>
    </i>
    <i>
      <x v="21"/>
    </i>
    <i>
      <x v="23"/>
    </i>
    <i>
      <x v="24"/>
    </i>
    <i>
      <x v="26"/>
    </i>
    <i>
      <x v="27"/>
    </i>
    <i>
      <x v="28"/>
    </i>
    <i>
      <x v="29"/>
    </i>
    <i>
      <x v="30"/>
    </i>
    <i>
      <x v="31"/>
    </i>
    <i>
      <x v="32"/>
    </i>
    <i>
      <x v="34"/>
    </i>
    <i>
      <x v="36"/>
    </i>
    <i>
      <x v="37"/>
    </i>
    <i>
      <x v="39"/>
    </i>
    <i>
      <x v="40"/>
    </i>
    <i>
      <x v="41"/>
    </i>
    <i>
      <x v="42"/>
    </i>
    <i>
      <x v="43"/>
    </i>
    <i>
      <x v="44"/>
    </i>
    <i>
      <x v="45"/>
    </i>
    <i>
      <x v="46"/>
    </i>
    <i>
      <x v="47"/>
    </i>
    <i>
      <x v="48"/>
    </i>
    <i>
      <x v="49"/>
    </i>
    <i>
      <x v="50"/>
    </i>
    <i>
      <x v="51"/>
    </i>
    <i>
      <x v="52"/>
    </i>
    <i>
      <x v="54"/>
    </i>
    <i>
      <x v="55"/>
    </i>
    <i>
      <x v="56"/>
    </i>
    <i>
      <x v="57"/>
    </i>
    <i>
      <x v="59"/>
    </i>
    <i>
      <x v="60"/>
    </i>
    <i>
      <x v="62"/>
    </i>
    <i>
      <x v="63"/>
    </i>
    <i>
      <x v="65"/>
    </i>
    <i>
      <x v="66"/>
    </i>
    <i>
      <x v="67"/>
    </i>
    <i>
      <x v="68"/>
    </i>
    <i>
      <x v="69"/>
    </i>
    <i>
      <x v="70"/>
    </i>
    <i>
      <x v="71"/>
    </i>
    <i>
      <x v="72"/>
    </i>
    <i>
      <x v="73"/>
    </i>
    <i>
      <x v="74"/>
    </i>
    <i>
      <x v="75"/>
    </i>
    <i>
      <x v="76"/>
    </i>
    <i>
      <x v="78"/>
    </i>
    <i>
      <x v="79"/>
    </i>
    <i>
      <x v="80"/>
    </i>
    <i>
      <x v="81"/>
    </i>
    <i>
      <x v="82"/>
    </i>
    <i>
      <x v="83"/>
    </i>
    <i>
      <x v="84"/>
    </i>
    <i>
      <x v="85"/>
    </i>
    <i>
      <x v="86"/>
    </i>
    <i>
      <x v="87"/>
    </i>
    <i>
      <x v="89"/>
    </i>
    <i>
      <x v="90"/>
    </i>
    <i>
      <x v="91"/>
    </i>
    <i>
      <x v="93"/>
    </i>
    <i>
      <x v="95"/>
    </i>
    <i>
      <x v="96"/>
    </i>
    <i>
      <x v="97"/>
    </i>
    <i>
      <x v="98"/>
    </i>
    <i>
      <x v="99"/>
    </i>
    <i>
      <x v="100"/>
    </i>
    <i>
      <x v="101"/>
    </i>
    <i>
      <x v="102"/>
    </i>
    <i>
      <x v="103"/>
    </i>
    <i>
      <x v="104"/>
    </i>
    <i>
      <x v="106"/>
    </i>
    <i>
      <x v="107"/>
    </i>
    <i>
      <x v="108"/>
    </i>
    <i>
      <x v="110"/>
    </i>
    <i>
      <x v="111"/>
    </i>
    <i>
      <x v="113"/>
    </i>
    <i>
      <x v="117"/>
    </i>
    <i>
      <x v="118"/>
    </i>
    <i>
      <x v="126"/>
    </i>
    <i r="1">
      <x v="792"/>
    </i>
    <i>
      <x v="127"/>
    </i>
    <i r="1">
      <x v="761"/>
    </i>
    <i t="grand">
      <x/>
    </i>
  </rowItems>
  <colFields count="1">
    <field x="-2"/>
  </colFields>
  <colItems count="2">
    <i>
      <x/>
    </i>
    <i i="1">
      <x v="1"/>
    </i>
  </colItems>
  <pageFields count="3">
    <pageField fld="10" hier="-1"/>
    <pageField fld="33" hier="-1"/>
    <pageField fld="12" hier="-1"/>
  </pageFields>
  <dataFields count="2">
    <dataField name="1 VALOR TOTAL PROYECTOS SIF +SED" fld="37" baseField="0" baseItem="0"/>
    <dataField name="2 CAPACIDAD MAXIMA DE ENDEUDAMIENTO AL 60%" fld="29" subtotal="average" baseField="3" baseItem="0"/>
  </dataFields>
  <formats count="186">
    <format dxfId="244">
      <pivotArea collapsedLevelsAreSubtotals="1" fieldPosition="0">
        <references count="1">
          <reference field="3" count="1">
            <x v="0"/>
          </reference>
        </references>
      </pivotArea>
    </format>
    <format dxfId="243">
      <pivotArea collapsedLevelsAreSubtotals="1" fieldPosition="0">
        <references count="1">
          <reference field="3" count="1">
            <x v="1"/>
          </reference>
        </references>
      </pivotArea>
    </format>
    <format dxfId="242">
      <pivotArea collapsedLevelsAreSubtotals="1" fieldPosition="0">
        <references count="1">
          <reference field="3" count="1">
            <x v="2"/>
          </reference>
        </references>
      </pivotArea>
    </format>
    <format dxfId="241">
      <pivotArea collapsedLevelsAreSubtotals="1" fieldPosition="0">
        <references count="1">
          <reference field="3" count="1">
            <x v="3"/>
          </reference>
        </references>
      </pivotArea>
    </format>
    <format dxfId="240">
      <pivotArea collapsedLevelsAreSubtotals="1" fieldPosition="0">
        <references count="1">
          <reference field="3" count="1">
            <x v="4"/>
          </reference>
        </references>
      </pivotArea>
    </format>
    <format dxfId="239">
      <pivotArea collapsedLevelsAreSubtotals="1" fieldPosition="0">
        <references count="1">
          <reference field="3" count="1">
            <x v="5"/>
          </reference>
        </references>
      </pivotArea>
    </format>
    <format dxfId="238">
      <pivotArea collapsedLevelsAreSubtotals="1" fieldPosition="0">
        <references count="1">
          <reference field="3" count="1">
            <x v="6"/>
          </reference>
        </references>
      </pivotArea>
    </format>
    <format dxfId="237">
      <pivotArea collapsedLevelsAreSubtotals="1" fieldPosition="0">
        <references count="1">
          <reference field="3" count="1">
            <x v="7"/>
          </reference>
        </references>
      </pivotArea>
    </format>
    <format dxfId="236">
      <pivotArea collapsedLevelsAreSubtotals="1" fieldPosition="0">
        <references count="1">
          <reference field="3" count="1">
            <x v="8"/>
          </reference>
        </references>
      </pivotArea>
    </format>
    <format dxfId="235">
      <pivotArea collapsedLevelsAreSubtotals="1" fieldPosition="0">
        <references count="1">
          <reference field="3" count="1">
            <x v="9"/>
          </reference>
        </references>
      </pivotArea>
    </format>
    <format dxfId="234">
      <pivotArea collapsedLevelsAreSubtotals="1" fieldPosition="0">
        <references count="1">
          <reference field="3" count="1">
            <x v="10"/>
          </reference>
        </references>
      </pivotArea>
    </format>
    <format dxfId="233">
      <pivotArea collapsedLevelsAreSubtotals="1" fieldPosition="0">
        <references count="1">
          <reference field="3" count="1">
            <x v="11"/>
          </reference>
        </references>
      </pivotArea>
    </format>
    <format dxfId="232">
      <pivotArea collapsedLevelsAreSubtotals="1" fieldPosition="0">
        <references count="1">
          <reference field="3" count="1">
            <x v="12"/>
          </reference>
        </references>
      </pivotArea>
    </format>
    <format dxfId="231">
      <pivotArea collapsedLevelsAreSubtotals="1" fieldPosition="0">
        <references count="1">
          <reference field="3" count="1">
            <x v="13"/>
          </reference>
        </references>
      </pivotArea>
    </format>
    <format dxfId="230">
      <pivotArea collapsedLevelsAreSubtotals="1" fieldPosition="0">
        <references count="1">
          <reference field="3" count="1">
            <x v="14"/>
          </reference>
        </references>
      </pivotArea>
    </format>
    <format dxfId="229">
      <pivotArea collapsedLevelsAreSubtotals="1" fieldPosition="0">
        <references count="1">
          <reference field="3" count="1">
            <x v="15"/>
          </reference>
        </references>
      </pivotArea>
    </format>
    <format dxfId="228">
      <pivotArea collapsedLevelsAreSubtotals="1" fieldPosition="0">
        <references count="1">
          <reference field="3" count="1">
            <x v="16"/>
          </reference>
        </references>
      </pivotArea>
    </format>
    <format dxfId="227">
      <pivotArea collapsedLevelsAreSubtotals="1" fieldPosition="0">
        <references count="1">
          <reference field="3" count="1">
            <x v="17"/>
          </reference>
        </references>
      </pivotArea>
    </format>
    <format dxfId="226">
      <pivotArea collapsedLevelsAreSubtotals="1" fieldPosition="0">
        <references count="1">
          <reference field="3" count="1">
            <x v="18"/>
          </reference>
        </references>
      </pivotArea>
    </format>
    <format dxfId="225">
      <pivotArea collapsedLevelsAreSubtotals="1" fieldPosition="0">
        <references count="1">
          <reference field="3" count="1">
            <x v="19"/>
          </reference>
        </references>
      </pivotArea>
    </format>
    <format dxfId="224">
      <pivotArea collapsedLevelsAreSubtotals="1" fieldPosition="0">
        <references count="1">
          <reference field="3" count="1">
            <x v="20"/>
          </reference>
        </references>
      </pivotArea>
    </format>
    <format dxfId="223">
      <pivotArea collapsedLevelsAreSubtotals="1" fieldPosition="0">
        <references count="1">
          <reference field="3" count="1">
            <x v="21"/>
          </reference>
        </references>
      </pivotArea>
    </format>
    <format dxfId="222">
      <pivotArea collapsedLevelsAreSubtotals="1" fieldPosition="0">
        <references count="1">
          <reference field="3" count="1">
            <x v="22"/>
          </reference>
        </references>
      </pivotArea>
    </format>
    <format dxfId="221">
      <pivotArea collapsedLevelsAreSubtotals="1" fieldPosition="0">
        <references count="1">
          <reference field="3" count="1">
            <x v="23"/>
          </reference>
        </references>
      </pivotArea>
    </format>
    <format dxfId="220">
      <pivotArea collapsedLevelsAreSubtotals="1" fieldPosition="0">
        <references count="1">
          <reference field="3" count="1">
            <x v="24"/>
          </reference>
        </references>
      </pivotArea>
    </format>
    <format dxfId="219">
      <pivotArea collapsedLevelsAreSubtotals="1" fieldPosition="0">
        <references count="1">
          <reference field="3" count="1">
            <x v="25"/>
          </reference>
        </references>
      </pivotArea>
    </format>
    <format dxfId="218">
      <pivotArea collapsedLevelsAreSubtotals="1" fieldPosition="0">
        <references count="1">
          <reference field="3" count="1">
            <x v="26"/>
          </reference>
        </references>
      </pivotArea>
    </format>
    <format dxfId="217">
      <pivotArea collapsedLevelsAreSubtotals="1" fieldPosition="0">
        <references count="1">
          <reference field="3" count="1">
            <x v="27"/>
          </reference>
        </references>
      </pivotArea>
    </format>
    <format dxfId="216">
      <pivotArea collapsedLevelsAreSubtotals="1" fieldPosition="0">
        <references count="1">
          <reference field="3" count="1">
            <x v="28"/>
          </reference>
        </references>
      </pivotArea>
    </format>
    <format dxfId="215">
      <pivotArea collapsedLevelsAreSubtotals="1" fieldPosition="0">
        <references count="1">
          <reference field="3" count="1">
            <x v="29"/>
          </reference>
        </references>
      </pivotArea>
    </format>
    <format dxfId="214">
      <pivotArea collapsedLevelsAreSubtotals="1" fieldPosition="0">
        <references count="1">
          <reference field="3" count="1">
            <x v="30"/>
          </reference>
        </references>
      </pivotArea>
    </format>
    <format dxfId="213">
      <pivotArea collapsedLevelsAreSubtotals="1" fieldPosition="0">
        <references count="1">
          <reference field="3" count="1">
            <x v="31"/>
          </reference>
        </references>
      </pivotArea>
    </format>
    <format dxfId="212">
      <pivotArea collapsedLevelsAreSubtotals="1" fieldPosition="0">
        <references count="1">
          <reference field="3" count="1">
            <x v="32"/>
          </reference>
        </references>
      </pivotArea>
    </format>
    <format dxfId="211">
      <pivotArea collapsedLevelsAreSubtotals="1" fieldPosition="0">
        <references count="1">
          <reference field="3" count="1">
            <x v="33"/>
          </reference>
        </references>
      </pivotArea>
    </format>
    <format dxfId="210">
      <pivotArea collapsedLevelsAreSubtotals="1" fieldPosition="0">
        <references count="1">
          <reference field="3" count="1">
            <x v="34"/>
          </reference>
        </references>
      </pivotArea>
    </format>
    <format dxfId="209">
      <pivotArea collapsedLevelsAreSubtotals="1" fieldPosition="0">
        <references count="1">
          <reference field="3" count="1">
            <x v="35"/>
          </reference>
        </references>
      </pivotArea>
    </format>
    <format dxfId="208">
      <pivotArea collapsedLevelsAreSubtotals="1" fieldPosition="0">
        <references count="1">
          <reference field="3" count="1">
            <x v="36"/>
          </reference>
        </references>
      </pivotArea>
    </format>
    <format dxfId="207">
      <pivotArea collapsedLevelsAreSubtotals="1" fieldPosition="0">
        <references count="1">
          <reference field="3" count="1">
            <x v="37"/>
          </reference>
        </references>
      </pivotArea>
    </format>
    <format dxfId="206">
      <pivotArea collapsedLevelsAreSubtotals="1" fieldPosition="0">
        <references count="1">
          <reference field="3" count="1">
            <x v="38"/>
          </reference>
        </references>
      </pivotArea>
    </format>
    <format dxfId="205">
      <pivotArea collapsedLevelsAreSubtotals="1" fieldPosition="0">
        <references count="1">
          <reference field="3" count="1">
            <x v="39"/>
          </reference>
        </references>
      </pivotArea>
    </format>
    <format dxfId="204">
      <pivotArea collapsedLevelsAreSubtotals="1" fieldPosition="0">
        <references count="1">
          <reference field="3" count="1">
            <x v="40"/>
          </reference>
        </references>
      </pivotArea>
    </format>
    <format dxfId="203">
      <pivotArea collapsedLevelsAreSubtotals="1" fieldPosition="0">
        <references count="1">
          <reference field="3" count="1">
            <x v="41"/>
          </reference>
        </references>
      </pivotArea>
    </format>
    <format dxfId="202">
      <pivotArea collapsedLevelsAreSubtotals="1" fieldPosition="0">
        <references count="1">
          <reference field="3" count="1">
            <x v="42"/>
          </reference>
        </references>
      </pivotArea>
    </format>
    <format dxfId="201">
      <pivotArea collapsedLevelsAreSubtotals="1" fieldPosition="0">
        <references count="1">
          <reference field="3" count="1">
            <x v="43"/>
          </reference>
        </references>
      </pivotArea>
    </format>
    <format dxfId="200">
      <pivotArea collapsedLevelsAreSubtotals="1" fieldPosition="0">
        <references count="1">
          <reference field="3" count="1">
            <x v="44"/>
          </reference>
        </references>
      </pivotArea>
    </format>
    <format dxfId="199">
      <pivotArea collapsedLevelsAreSubtotals="1" fieldPosition="0">
        <references count="1">
          <reference field="3" count="1">
            <x v="45"/>
          </reference>
        </references>
      </pivotArea>
    </format>
    <format dxfId="198">
      <pivotArea collapsedLevelsAreSubtotals="1" fieldPosition="0">
        <references count="1">
          <reference field="3" count="1">
            <x v="46"/>
          </reference>
        </references>
      </pivotArea>
    </format>
    <format dxfId="197">
      <pivotArea collapsedLevelsAreSubtotals="1" fieldPosition="0">
        <references count="1">
          <reference field="3" count="1">
            <x v="47"/>
          </reference>
        </references>
      </pivotArea>
    </format>
    <format dxfId="196">
      <pivotArea collapsedLevelsAreSubtotals="1" fieldPosition="0">
        <references count="1">
          <reference field="3" count="1">
            <x v="48"/>
          </reference>
        </references>
      </pivotArea>
    </format>
    <format dxfId="195">
      <pivotArea collapsedLevelsAreSubtotals="1" fieldPosition="0">
        <references count="1">
          <reference field="3" count="1">
            <x v="49"/>
          </reference>
        </references>
      </pivotArea>
    </format>
    <format dxfId="194">
      <pivotArea collapsedLevelsAreSubtotals="1" fieldPosition="0">
        <references count="1">
          <reference field="3" count="1">
            <x v="50"/>
          </reference>
        </references>
      </pivotArea>
    </format>
    <format dxfId="193">
      <pivotArea collapsedLevelsAreSubtotals="1" fieldPosition="0">
        <references count="1">
          <reference field="3" count="1">
            <x v="51"/>
          </reference>
        </references>
      </pivotArea>
    </format>
    <format dxfId="192">
      <pivotArea collapsedLevelsAreSubtotals="1" fieldPosition="0">
        <references count="1">
          <reference field="3" count="1">
            <x v="52"/>
          </reference>
        </references>
      </pivotArea>
    </format>
    <format dxfId="191">
      <pivotArea collapsedLevelsAreSubtotals="1" fieldPosition="0">
        <references count="1">
          <reference field="3" count="1">
            <x v="53"/>
          </reference>
        </references>
      </pivotArea>
    </format>
    <format dxfId="190">
      <pivotArea collapsedLevelsAreSubtotals="1" fieldPosition="0">
        <references count="1">
          <reference field="3" count="1">
            <x v="54"/>
          </reference>
        </references>
      </pivotArea>
    </format>
    <format dxfId="189">
      <pivotArea collapsedLevelsAreSubtotals="1" fieldPosition="0">
        <references count="1">
          <reference field="3" count="1">
            <x v="55"/>
          </reference>
        </references>
      </pivotArea>
    </format>
    <format dxfId="188">
      <pivotArea collapsedLevelsAreSubtotals="1" fieldPosition="0">
        <references count="1">
          <reference field="3" count="1">
            <x v="56"/>
          </reference>
        </references>
      </pivotArea>
    </format>
    <format dxfId="187">
      <pivotArea collapsedLevelsAreSubtotals="1" fieldPosition="0">
        <references count="1">
          <reference field="3" count="1">
            <x v="57"/>
          </reference>
        </references>
      </pivotArea>
    </format>
    <format dxfId="186">
      <pivotArea collapsedLevelsAreSubtotals="1" fieldPosition="0">
        <references count="1">
          <reference field="3" count="1">
            <x v="58"/>
          </reference>
        </references>
      </pivotArea>
    </format>
    <format dxfId="185">
      <pivotArea collapsedLevelsAreSubtotals="1" fieldPosition="0">
        <references count="1">
          <reference field="3" count="1">
            <x v="59"/>
          </reference>
        </references>
      </pivotArea>
    </format>
    <format dxfId="184">
      <pivotArea collapsedLevelsAreSubtotals="1" fieldPosition="0">
        <references count="1">
          <reference field="3" count="1">
            <x v="60"/>
          </reference>
        </references>
      </pivotArea>
    </format>
    <format dxfId="183">
      <pivotArea collapsedLevelsAreSubtotals="1" fieldPosition="0">
        <references count="1">
          <reference field="3" count="1">
            <x v="61"/>
          </reference>
        </references>
      </pivotArea>
    </format>
    <format dxfId="182">
      <pivotArea collapsedLevelsAreSubtotals="1" fieldPosition="0">
        <references count="1">
          <reference field="3" count="1">
            <x v="62"/>
          </reference>
        </references>
      </pivotArea>
    </format>
    <format dxfId="181">
      <pivotArea collapsedLevelsAreSubtotals="1" fieldPosition="0">
        <references count="1">
          <reference field="3" count="1">
            <x v="63"/>
          </reference>
        </references>
      </pivotArea>
    </format>
    <format dxfId="180">
      <pivotArea collapsedLevelsAreSubtotals="1" fieldPosition="0">
        <references count="1">
          <reference field="3" count="1">
            <x v="64"/>
          </reference>
        </references>
      </pivotArea>
    </format>
    <format dxfId="179">
      <pivotArea collapsedLevelsAreSubtotals="1" fieldPosition="0">
        <references count="1">
          <reference field="3" count="1">
            <x v="65"/>
          </reference>
        </references>
      </pivotArea>
    </format>
    <format dxfId="178">
      <pivotArea collapsedLevelsAreSubtotals="1" fieldPosition="0">
        <references count="1">
          <reference field="3" count="1">
            <x v="66"/>
          </reference>
        </references>
      </pivotArea>
    </format>
    <format dxfId="177">
      <pivotArea collapsedLevelsAreSubtotals="1" fieldPosition="0">
        <references count="1">
          <reference field="3" count="1">
            <x v="67"/>
          </reference>
        </references>
      </pivotArea>
    </format>
    <format dxfId="176">
      <pivotArea collapsedLevelsAreSubtotals="1" fieldPosition="0">
        <references count="1">
          <reference field="3" count="1">
            <x v="68"/>
          </reference>
        </references>
      </pivotArea>
    </format>
    <format dxfId="175">
      <pivotArea collapsedLevelsAreSubtotals="1" fieldPosition="0">
        <references count="1">
          <reference field="3" count="1">
            <x v="69"/>
          </reference>
        </references>
      </pivotArea>
    </format>
    <format dxfId="174">
      <pivotArea collapsedLevelsAreSubtotals="1" fieldPosition="0">
        <references count="1">
          <reference field="3" count="1">
            <x v="70"/>
          </reference>
        </references>
      </pivotArea>
    </format>
    <format dxfId="173">
      <pivotArea collapsedLevelsAreSubtotals="1" fieldPosition="0">
        <references count="1">
          <reference field="3" count="1">
            <x v="71"/>
          </reference>
        </references>
      </pivotArea>
    </format>
    <format dxfId="172">
      <pivotArea collapsedLevelsAreSubtotals="1" fieldPosition="0">
        <references count="1">
          <reference field="3" count="1">
            <x v="72"/>
          </reference>
        </references>
      </pivotArea>
    </format>
    <format dxfId="171">
      <pivotArea collapsedLevelsAreSubtotals="1" fieldPosition="0">
        <references count="1">
          <reference field="3" count="1">
            <x v="73"/>
          </reference>
        </references>
      </pivotArea>
    </format>
    <format dxfId="170">
      <pivotArea collapsedLevelsAreSubtotals="1" fieldPosition="0">
        <references count="1">
          <reference field="3" count="1">
            <x v="74"/>
          </reference>
        </references>
      </pivotArea>
    </format>
    <format dxfId="169">
      <pivotArea collapsedLevelsAreSubtotals="1" fieldPosition="0">
        <references count="1">
          <reference field="3" count="1">
            <x v="75"/>
          </reference>
        </references>
      </pivotArea>
    </format>
    <format dxfId="168">
      <pivotArea collapsedLevelsAreSubtotals="1" fieldPosition="0">
        <references count="1">
          <reference field="3" count="1">
            <x v="76"/>
          </reference>
        </references>
      </pivotArea>
    </format>
    <format dxfId="167">
      <pivotArea collapsedLevelsAreSubtotals="1" fieldPosition="0">
        <references count="1">
          <reference field="3" count="1">
            <x v="77"/>
          </reference>
        </references>
      </pivotArea>
    </format>
    <format dxfId="166">
      <pivotArea collapsedLevelsAreSubtotals="1" fieldPosition="0">
        <references count="1">
          <reference field="3" count="1">
            <x v="78"/>
          </reference>
        </references>
      </pivotArea>
    </format>
    <format dxfId="165">
      <pivotArea collapsedLevelsAreSubtotals="1" fieldPosition="0">
        <references count="1">
          <reference field="3" count="1">
            <x v="79"/>
          </reference>
        </references>
      </pivotArea>
    </format>
    <format dxfId="164">
      <pivotArea collapsedLevelsAreSubtotals="1" fieldPosition="0">
        <references count="1">
          <reference field="3" count="1">
            <x v="80"/>
          </reference>
        </references>
      </pivotArea>
    </format>
    <format dxfId="163">
      <pivotArea collapsedLevelsAreSubtotals="1" fieldPosition="0">
        <references count="1">
          <reference field="3" count="1">
            <x v="81"/>
          </reference>
        </references>
      </pivotArea>
    </format>
    <format dxfId="162">
      <pivotArea collapsedLevelsAreSubtotals="1" fieldPosition="0">
        <references count="1">
          <reference field="3" count="1">
            <x v="82"/>
          </reference>
        </references>
      </pivotArea>
    </format>
    <format dxfId="161">
      <pivotArea collapsedLevelsAreSubtotals="1" fieldPosition="0">
        <references count="1">
          <reference field="3" count="1">
            <x v="83"/>
          </reference>
        </references>
      </pivotArea>
    </format>
    <format dxfId="160">
      <pivotArea collapsedLevelsAreSubtotals="1" fieldPosition="0">
        <references count="1">
          <reference field="3" count="1">
            <x v="84"/>
          </reference>
        </references>
      </pivotArea>
    </format>
    <format dxfId="159">
      <pivotArea collapsedLevelsAreSubtotals="1" fieldPosition="0">
        <references count="1">
          <reference field="3" count="1">
            <x v="85"/>
          </reference>
        </references>
      </pivotArea>
    </format>
    <format dxfId="158">
      <pivotArea collapsedLevelsAreSubtotals="1" fieldPosition="0">
        <references count="1">
          <reference field="3" count="1">
            <x v="86"/>
          </reference>
        </references>
      </pivotArea>
    </format>
    <format dxfId="157">
      <pivotArea collapsedLevelsAreSubtotals="1" fieldPosition="0">
        <references count="1">
          <reference field="3" count="1">
            <x v="87"/>
          </reference>
        </references>
      </pivotArea>
    </format>
    <format dxfId="156">
      <pivotArea collapsedLevelsAreSubtotals="1" fieldPosition="0">
        <references count="1">
          <reference field="3" count="1">
            <x v="88"/>
          </reference>
        </references>
      </pivotArea>
    </format>
    <format dxfId="155">
      <pivotArea collapsedLevelsAreSubtotals="1" fieldPosition="0">
        <references count="1">
          <reference field="3" count="1">
            <x v="89"/>
          </reference>
        </references>
      </pivotArea>
    </format>
    <format dxfId="154">
      <pivotArea collapsedLevelsAreSubtotals="1" fieldPosition="0">
        <references count="1">
          <reference field="3" count="1">
            <x v="90"/>
          </reference>
        </references>
      </pivotArea>
    </format>
    <format dxfId="153">
      <pivotArea collapsedLevelsAreSubtotals="1" fieldPosition="0">
        <references count="1">
          <reference field="3" count="1">
            <x v="91"/>
          </reference>
        </references>
      </pivotArea>
    </format>
    <format dxfId="152">
      <pivotArea collapsedLevelsAreSubtotals="1" fieldPosition="0">
        <references count="1">
          <reference field="3" count="1">
            <x v="92"/>
          </reference>
        </references>
      </pivotArea>
    </format>
    <format dxfId="151">
      <pivotArea collapsedLevelsAreSubtotals="1" fieldPosition="0">
        <references count="1">
          <reference field="3" count="1">
            <x v="93"/>
          </reference>
        </references>
      </pivotArea>
    </format>
    <format dxfId="150">
      <pivotArea collapsedLevelsAreSubtotals="1" fieldPosition="0">
        <references count="1">
          <reference field="3" count="1">
            <x v="94"/>
          </reference>
        </references>
      </pivotArea>
    </format>
    <format dxfId="149">
      <pivotArea collapsedLevelsAreSubtotals="1" fieldPosition="0">
        <references count="1">
          <reference field="3" count="1">
            <x v="95"/>
          </reference>
        </references>
      </pivotArea>
    </format>
    <format dxfId="148">
      <pivotArea collapsedLevelsAreSubtotals="1" fieldPosition="0">
        <references count="1">
          <reference field="3" count="1">
            <x v="96"/>
          </reference>
        </references>
      </pivotArea>
    </format>
    <format dxfId="147">
      <pivotArea collapsedLevelsAreSubtotals="1" fieldPosition="0">
        <references count="1">
          <reference field="3" count="1">
            <x v="97"/>
          </reference>
        </references>
      </pivotArea>
    </format>
    <format dxfId="146">
      <pivotArea collapsedLevelsAreSubtotals="1" fieldPosition="0">
        <references count="1">
          <reference field="3" count="1">
            <x v="98"/>
          </reference>
        </references>
      </pivotArea>
    </format>
    <format dxfId="145">
      <pivotArea collapsedLevelsAreSubtotals="1" fieldPosition="0">
        <references count="1">
          <reference field="3" count="1">
            <x v="99"/>
          </reference>
        </references>
      </pivotArea>
    </format>
    <format dxfId="144">
      <pivotArea collapsedLevelsAreSubtotals="1" fieldPosition="0">
        <references count="1">
          <reference field="3" count="1">
            <x v="100"/>
          </reference>
        </references>
      </pivotArea>
    </format>
    <format dxfId="143">
      <pivotArea collapsedLevelsAreSubtotals="1" fieldPosition="0">
        <references count="1">
          <reference field="3" count="1">
            <x v="101"/>
          </reference>
        </references>
      </pivotArea>
    </format>
    <format dxfId="142">
      <pivotArea collapsedLevelsAreSubtotals="1" fieldPosition="0">
        <references count="1">
          <reference field="3" count="1">
            <x v="102"/>
          </reference>
        </references>
      </pivotArea>
    </format>
    <format dxfId="141">
      <pivotArea collapsedLevelsAreSubtotals="1" fieldPosition="0">
        <references count="1">
          <reference field="3" count="1">
            <x v="103"/>
          </reference>
        </references>
      </pivotArea>
    </format>
    <format dxfId="140">
      <pivotArea collapsedLevelsAreSubtotals="1" fieldPosition="0">
        <references count="1">
          <reference field="3" count="1">
            <x v="104"/>
          </reference>
        </references>
      </pivotArea>
    </format>
    <format dxfId="139">
      <pivotArea collapsedLevelsAreSubtotals="1" fieldPosition="0">
        <references count="1">
          <reference field="3" count="1">
            <x v="105"/>
          </reference>
        </references>
      </pivotArea>
    </format>
    <format dxfId="138">
      <pivotArea collapsedLevelsAreSubtotals="1" fieldPosition="0">
        <references count="1">
          <reference field="3" count="1">
            <x v="106"/>
          </reference>
        </references>
      </pivotArea>
    </format>
    <format dxfId="137">
      <pivotArea collapsedLevelsAreSubtotals="1" fieldPosition="0">
        <references count="1">
          <reference field="3" count="1">
            <x v="107"/>
          </reference>
        </references>
      </pivotArea>
    </format>
    <format dxfId="136">
      <pivotArea collapsedLevelsAreSubtotals="1" fieldPosition="0">
        <references count="1">
          <reference field="3" count="1">
            <x v="108"/>
          </reference>
        </references>
      </pivotArea>
    </format>
    <format dxfId="135">
      <pivotArea collapsedLevelsAreSubtotals="1" fieldPosition="0">
        <references count="1">
          <reference field="3" count="1">
            <x v="109"/>
          </reference>
        </references>
      </pivotArea>
    </format>
    <format dxfId="134">
      <pivotArea collapsedLevelsAreSubtotals="1" fieldPosition="0">
        <references count="1">
          <reference field="3" count="1">
            <x v="110"/>
          </reference>
        </references>
      </pivotArea>
    </format>
    <format dxfId="133">
      <pivotArea collapsedLevelsAreSubtotals="1" fieldPosition="0">
        <references count="1">
          <reference field="3" count="1">
            <x v="111"/>
          </reference>
        </references>
      </pivotArea>
    </format>
    <format dxfId="132">
      <pivotArea collapsedLevelsAreSubtotals="1" fieldPosition="0">
        <references count="1">
          <reference field="3" count="1">
            <x v="112"/>
          </reference>
        </references>
      </pivotArea>
    </format>
    <format dxfId="131">
      <pivotArea collapsedLevelsAreSubtotals="1" fieldPosition="0">
        <references count="1">
          <reference field="3" count="1">
            <x v="113"/>
          </reference>
        </references>
      </pivotArea>
    </format>
    <format dxfId="130">
      <pivotArea dataOnly="0" labelOnly="1" outline="0" fieldPosition="0">
        <references count="1">
          <reference field="4294967294" count="1">
            <x v="1"/>
          </reference>
        </references>
      </pivotArea>
    </format>
    <format dxfId="129">
      <pivotArea field="3" type="button" dataOnly="0" labelOnly="1" outline="0" axis="axisRow" fieldPosition="0"/>
    </format>
    <format dxfId="128">
      <pivotArea dataOnly="0" labelOnly="1" outline="0" fieldPosition="0">
        <references count="1">
          <reference field="4294967294" count="1">
            <x v="1"/>
          </reference>
        </references>
      </pivotArea>
    </format>
    <format dxfId="127">
      <pivotArea grandRow="1" outline="0" collapsedLevelsAreSubtotals="1" fieldPosition="0"/>
    </format>
    <format dxfId="126">
      <pivotArea field="3" type="button" dataOnly="0" labelOnly="1" outline="0" axis="axisRow" fieldPosition="0"/>
    </format>
    <format dxfId="125">
      <pivotArea dataOnly="0" labelOnly="1" fieldPosition="0">
        <references count="1">
          <reference field="3" count="25">
            <x v="7"/>
            <x v="8"/>
            <x v="15"/>
            <x v="18"/>
            <x v="20"/>
            <x v="23"/>
            <x v="28"/>
            <x v="30"/>
            <x v="37"/>
            <x v="39"/>
            <x v="44"/>
            <x v="50"/>
            <x v="62"/>
            <x v="68"/>
            <x v="73"/>
            <x v="74"/>
            <x v="81"/>
            <x v="84"/>
            <x v="87"/>
            <x v="98"/>
            <x v="104"/>
            <x v="106"/>
            <x v="110"/>
            <x v="111"/>
            <x v="113"/>
          </reference>
        </references>
      </pivotArea>
    </format>
    <format dxfId="124">
      <pivotArea dataOnly="0" labelOnly="1" grandRow="1" outline="0" fieldPosition="0"/>
    </format>
    <format dxfId="123">
      <pivotArea outline="0" collapsedLevelsAreSubtotals="1" fieldPosition="0"/>
    </format>
    <format dxfId="122">
      <pivotArea type="all" dataOnly="0" outline="0" fieldPosition="0"/>
    </format>
    <format dxfId="121">
      <pivotArea outline="0" collapsedLevelsAreSubtotals="1" fieldPosition="0"/>
    </format>
    <format dxfId="120">
      <pivotArea field="3" type="button" dataOnly="0" labelOnly="1" outline="0" axis="axisRow" fieldPosition="0"/>
    </format>
    <format dxfId="119">
      <pivotArea dataOnly="0" labelOnly="1" fieldPosition="0">
        <references count="1">
          <reference field="3" count="25">
            <x v="7"/>
            <x v="8"/>
            <x v="15"/>
            <x v="18"/>
            <x v="20"/>
            <x v="23"/>
            <x v="28"/>
            <x v="30"/>
            <x v="37"/>
            <x v="39"/>
            <x v="44"/>
            <x v="50"/>
            <x v="62"/>
            <x v="68"/>
            <x v="73"/>
            <x v="74"/>
            <x v="81"/>
            <x v="84"/>
            <x v="87"/>
            <x v="98"/>
            <x v="104"/>
            <x v="106"/>
            <x v="110"/>
            <x v="111"/>
            <x v="113"/>
          </reference>
        </references>
      </pivotArea>
    </format>
    <format dxfId="118">
      <pivotArea dataOnly="0" labelOnly="1" grandRow="1" outline="0" fieldPosition="0"/>
    </format>
    <format dxfId="117">
      <pivotArea dataOnly="0" labelOnly="1" outline="0" fieldPosition="0">
        <references count="1">
          <reference field="4294967294" count="1">
            <x v="1"/>
          </reference>
        </references>
      </pivotArea>
    </format>
    <format dxfId="116">
      <pivotArea dataOnly="0" labelOnly="1" outline="0" fieldPosition="0">
        <references count="1">
          <reference field="4294967294" count="1">
            <x v="1"/>
          </reference>
        </references>
      </pivotArea>
    </format>
    <format dxfId="115">
      <pivotArea collapsedLevelsAreSubtotals="1" fieldPosition="0">
        <references count="2">
          <reference field="4294967294" count="1" selected="0">
            <x v="1"/>
          </reference>
          <reference field="3" count="1">
            <x v="7"/>
          </reference>
        </references>
      </pivotArea>
    </format>
    <format dxfId="114">
      <pivotArea collapsedLevelsAreSubtotals="1" fieldPosition="0">
        <references count="2">
          <reference field="4294967294" count="1" selected="0">
            <x v="1"/>
          </reference>
          <reference field="3" count="1">
            <x v="8"/>
          </reference>
        </references>
      </pivotArea>
    </format>
    <format dxfId="113">
      <pivotArea collapsedLevelsAreSubtotals="1" fieldPosition="0">
        <references count="2">
          <reference field="4294967294" count="1" selected="0">
            <x v="1"/>
          </reference>
          <reference field="3" count="1">
            <x v="15"/>
          </reference>
        </references>
      </pivotArea>
    </format>
    <format dxfId="112">
      <pivotArea collapsedLevelsAreSubtotals="1" fieldPosition="0">
        <references count="2">
          <reference field="4294967294" count="1" selected="0">
            <x v="1"/>
          </reference>
          <reference field="3" count="1">
            <x v="18"/>
          </reference>
        </references>
      </pivotArea>
    </format>
    <format dxfId="111">
      <pivotArea collapsedLevelsAreSubtotals="1" fieldPosition="0">
        <references count="2">
          <reference field="4294967294" count="1" selected="0">
            <x v="1"/>
          </reference>
          <reference field="3" count="1">
            <x v="20"/>
          </reference>
        </references>
      </pivotArea>
    </format>
    <format dxfId="110">
      <pivotArea collapsedLevelsAreSubtotals="1" fieldPosition="0">
        <references count="2">
          <reference field="4294967294" count="1" selected="0">
            <x v="1"/>
          </reference>
          <reference field="3" count="1">
            <x v="23"/>
          </reference>
        </references>
      </pivotArea>
    </format>
    <format dxfId="109">
      <pivotArea collapsedLevelsAreSubtotals="1" fieldPosition="0">
        <references count="2">
          <reference field="4294967294" count="1" selected="0">
            <x v="1"/>
          </reference>
          <reference field="3" count="1">
            <x v="28"/>
          </reference>
        </references>
      </pivotArea>
    </format>
    <format dxfId="108">
      <pivotArea collapsedLevelsAreSubtotals="1" fieldPosition="0">
        <references count="2">
          <reference field="4294967294" count="1" selected="0">
            <x v="1"/>
          </reference>
          <reference field="3" count="1">
            <x v="30"/>
          </reference>
        </references>
      </pivotArea>
    </format>
    <format dxfId="107">
      <pivotArea collapsedLevelsAreSubtotals="1" fieldPosition="0">
        <references count="2">
          <reference field="4294967294" count="1" selected="0">
            <x v="1"/>
          </reference>
          <reference field="3" count="1">
            <x v="37"/>
          </reference>
        </references>
      </pivotArea>
    </format>
    <format dxfId="106">
      <pivotArea collapsedLevelsAreSubtotals="1" fieldPosition="0">
        <references count="2">
          <reference field="4294967294" count="1" selected="0">
            <x v="1"/>
          </reference>
          <reference field="3" count="1">
            <x v="39"/>
          </reference>
        </references>
      </pivotArea>
    </format>
    <format dxfId="105">
      <pivotArea collapsedLevelsAreSubtotals="1" fieldPosition="0">
        <references count="2">
          <reference field="4294967294" count="1" selected="0">
            <x v="1"/>
          </reference>
          <reference field="3" count="1">
            <x v="44"/>
          </reference>
        </references>
      </pivotArea>
    </format>
    <format dxfId="104">
      <pivotArea collapsedLevelsAreSubtotals="1" fieldPosition="0">
        <references count="2">
          <reference field="4294967294" count="1" selected="0">
            <x v="1"/>
          </reference>
          <reference field="3" count="1">
            <x v="50"/>
          </reference>
        </references>
      </pivotArea>
    </format>
    <format dxfId="103">
      <pivotArea collapsedLevelsAreSubtotals="1" fieldPosition="0">
        <references count="2">
          <reference field="4294967294" count="1" selected="0">
            <x v="1"/>
          </reference>
          <reference field="3" count="1">
            <x v="62"/>
          </reference>
        </references>
      </pivotArea>
    </format>
    <format dxfId="102">
      <pivotArea collapsedLevelsAreSubtotals="1" fieldPosition="0">
        <references count="2">
          <reference field="4294967294" count="1" selected="0">
            <x v="1"/>
          </reference>
          <reference field="3" count="1">
            <x v="68"/>
          </reference>
        </references>
      </pivotArea>
    </format>
    <format dxfId="101">
      <pivotArea collapsedLevelsAreSubtotals="1" fieldPosition="0">
        <references count="2">
          <reference field="4294967294" count="1" selected="0">
            <x v="1"/>
          </reference>
          <reference field="3" count="1">
            <x v="73"/>
          </reference>
        </references>
      </pivotArea>
    </format>
    <format dxfId="100">
      <pivotArea collapsedLevelsAreSubtotals="1" fieldPosition="0">
        <references count="2">
          <reference field="4294967294" count="1" selected="0">
            <x v="1"/>
          </reference>
          <reference field="3" count="1">
            <x v="74"/>
          </reference>
        </references>
      </pivotArea>
    </format>
    <format dxfId="99">
      <pivotArea collapsedLevelsAreSubtotals="1" fieldPosition="0">
        <references count="2">
          <reference field="4294967294" count="1" selected="0">
            <x v="1"/>
          </reference>
          <reference field="3" count="1">
            <x v="81"/>
          </reference>
        </references>
      </pivotArea>
    </format>
    <format dxfId="98">
      <pivotArea collapsedLevelsAreSubtotals="1" fieldPosition="0">
        <references count="2">
          <reference field="4294967294" count="1" selected="0">
            <x v="1"/>
          </reference>
          <reference field="3" count="1">
            <x v="84"/>
          </reference>
        </references>
      </pivotArea>
    </format>
    <format dxfId="97">
      <pivotArea collapsedLevelsAreSubtotals="1" fieldPosition="0">
        <references count="2">
          <reference field="4294967294" count="1" selected="0">
            <x v="1"/>
          </reference>
          <reference field="3" count="1">
            <x v="87"/>
          </reference>
        </references>
      </pivotArea>
    </format>
    <format dxfId="96">
      <pivotArea collapsedLevelsAreSubtotals="1" fieldPosition="0">
        <references count="2">
          <reference field="4294967294" count="1" selected="0">
            <x v="1"/>
          </reference>
          <reference field="3" count="1">
            <x v="98"/>
          </reference>
        </references>
      </pivotArea>
    </format>
    <format dxfId="95">
      <pivotArea collapsedLevelsAreSubtotals="1" fieldPosition="0">
        <references count="2">
          <reference field="4294967294" count="1" selected="0">
            <x v="1"/>
          </reference>
          <reference field="3" count="1">
            <x v="104"/>
          </reference>
        </references>
      </pivotArea>
    </format>
    <format dxfId="94">
      <pivotArea collapsedLevelsAreSubtotals="1" fieldPosition="0">
        <references count="2">
          <reference field="4294967294" count="1" selected="0">
            <x v="1"/>
          </reference>
          <reference field="3" count="1">
            <x v="106"/>
          </reference>
        </references>
      </pivotArea>
    </format>
    <format dxfId="93">
      <pivotArea collapsedLevelsAreSubtotals="1" fieldPosition="0">
        <references count="2">
          <reference field="4294967294" count="1" selected="0">
            <x v="1"/>
          </reference>
          <reference field="3" count="1">
            <x v="110"/>
          </reference>
        </references>
      </pivotArea>
    </format>
    <format dxfId="92">
      <pivotArea collapsedLevelsAreSubtotals="1" fieldPosition="0">
        <references count="2">
          <reference field="4294967294" count="1" selected="0">
            <x v="1"/>
          </reference>
          <reference field="3" count="1">
            <x v="111"/>
          </reference>
        </references>
      </pivotArea>
    </format>
    <format dxfId="91">
      <pivotArea collapsedLevelsAreSubtotals="1" fieldPosition="0">
        <references count="2">
          <reference field="4294967294" count="1" selected="0">
            <x v="1"/>
          </reference>
          <reference field="3" count="1">
            <x v="113"/>
          </reference>
        </references>
      </pivotArea>
    </format>
    <format dxfId="90">
      <pivotArea field="3" type="button" dataOnly="0" labelOnly="1" outline="0" axis="axisRow" fieldPosition="0"/>
    </format>
    <format dxfId="89">
      <pivotArea dataOnly="0" labelOnly="1" fieldPosition="0">
        <references count="1">
          <reference field="3" count="25">
            <x v="0"/>
            <x v="2"/>
            <x v="3"/>
            <x v="5"/>
            <x v="6"/>
            <x v="7"/>
            <x v="8"/>
            <x v="9"/>
            <x v="11"/>
            <x v="12"/>
            <x v="15"/>
            <x v="16"/>
            <x v="18"/>
            <x v="20"/>
            <x v="21"/>
            <x v="23"/>
            <x v="24"/>
            <x v="27"/>
            <x v="28"/>
            <x v="29"/>
            <x v="30"/>
            <x v="32"/>
            <x v="36"/>
            <x v="37"/>
            <x v="39"/>
          </reference>
        </references>
      </pivotArea>
    </format>
    <format dxfId="88">
      <pivotArea dataOnly="0" labelOnly="1" fieldPosition="0">
        <references count="1">
          <reference field="3" count="25" defaultSubtotal="1">
            <x v="0"/>
            <x v="2"/>
            <x v="3"/>
            <x v="5"/>
            <x v="6"/>
            <x v="7"/>
            <x v="8"/>
            <x v="9"/>
            <x v="11"/>
            <x v="12"/>
            <x v="15"/>
            <x v="16"/>
            <x v="18"/>
            <x v="20"/>
            <x v="21"/>
            <x v="23"/>
            <x v="24"/>
            <x v="27"/>
            <x v="28"/>
            <x v="29"/>
            <x v="30"/>
            <x v="32"/>
            <x v="36"/>
            <x v="37"/>
            <x v="39"/>
          </reference>
        </references>
      </pivotArea>
    </format>
    <format dxfId="87">
      <pivotArea dataOnly="0" labelOnly="1" fieldPosition="0">
        <references count="1">
          <reference field="3" count="25">
            <x v="40"/>
            <x v="41"/>
            <x v="42"/>
            <x v="43"/>
            <x v="44"/>
            <x v="45"/>
            <x v="47"/>
            <x v="48"/>
            <x v="49"/>
            <x v="50"/>
            <x v="51"/>
            <x v="52"/>
            <x v="53"/>
            <x v="54"/>
            <x v="56"/>
            <x v="59"/>
            <x v="60"/>
            <x v="61"/>
            <x v="62"/>
            <x v="63"/>
            <x v="66"/>
            <x v="68"/>
            <x v="69"/>
            <x v="70"/>
            <x v="71"/>
          </reference>
        </references>
      </pivotArea>
    </format>
    <format dxfId="86">
      <pivotArea dataOnly="0" labelOnly="1" fieldPosition="0">
        <references count="1">
          <reference field="3" count="25" defaultSubtotal="1">
            <x v="40"/>
            <x v="41"/>
            <x v="42"/>
            <x v="43"/>
            <x v="44"/>
            <x v="45"/>
            <x v="47"/>
            <x v="48"/>
            <x v="49"/>
            <x v="50"/>
            <x v="51"/>
            <x v="52"/>
            <x v="53"/>
            <x v="54"/>
            <x v="56"/>
            <x v="59"/>
            <x v="60"/>
            <x v="61"/>
            <x v="62"/>
            <x v="63"/>
            <x v="66"/>
            <x v="68"/>
            <x v="69"/>
            <x v="70"/>
            <x v="71"/>
          </reference>
        </references>
      </pivotArea>
    </format>
    <format dxfId="85">
      <pivotArea dataOnly="0" labelOnly="1" fieldPosition="0">
        <references count="1">
          <reference field="3" count="25">
            <x v="73"/>
            <x v="74"/>
            <x v="75"/>
            <x v="76"/>
            <x v="78"/>
            <x v="79"/>
            <x v="80"/>
            <x v="81"/>
            <x v="82"/>
            <x v="83"/>
            <x v="84"/>
            <x v="85"/>
            <x v="86"/>
            <x v="87"/>
            <x v="89"/>
            <x v="91"/>
            <x v="95"/>
            <x v="96"/>
            <x v="97"/>
            <x v="98"/>
            <x v="100"/>
            <x v="101"/>
            <x v="102"/>
            <x v="103"/>
            <x v="104"/>
          </reference>
        </references>
      </pivotArea>
    </format>
    <format dxfId="84">
      <pivotArea dataOnly="0" labelOnly="1" fieldPosition="0">
        <references count="1">
          <reference field="3" count="25" defaultSubtotal="1">
            <x v="73"/>
            <x v="74"/>
            <x v="75"/>
            <x v="76"/>
            <x v="78"/>
            <x v="79"/>
            <x v="80"/>
            <x v="81"/>
            <x v="82"/>
            <x v="83"/>
            <x v="84"/>
            <x v="85"/>
            <x v="86"/>
            <x v="87"/>
            <x v="89"/>
            <x v="91"/>
            <x v="95"/>
            <x v="96"/>
            <x v="97"/>
            <x v="98"/>
            <x v="100"/>
            <x v="101"/>
            <x v="102"/>
            <x v="103"/>
            <x v="104"/>
          </reference>
        </references>
      </pivotArea>
    </format>
    <format dxfId="83">
      <pivotArea dataOnly="0" labelOnly="1" fieldPosition="0">
        <references count="1">
          <reference field="3" count="8">
            <x v="105"/>
            <x v="106"/>
            <x v="107"/>
            <x v="108"/>
            <x v="110"/>
            <x v="111"/>
            <x v="113"/>
            <x v="115"/>
          </reference>
        </references>
      </pivotArea>
    </format>
    <format dxfId="82">
      <pivotArea dataOnly="0" labelOnly="1" fieldPosition="0">
        <references count="1">
          <reference field="3" count="8" defaultSubtotal="1">
            <x v="105"/>
            <x v="106"/>
            <x v="107"/>
            <x v="108"/>
            <x v="110"/>
            <x v="111"/>
            <x v="113"/>
            <x v="115"/>
          </reference>
        </references>
      </pivotArea>
    </format>
    <format dxfId="81">
      <pivotArea dataOnly="0" labelOnly="1" grandRow="1" outline="0" fieldPosition="0"/>
    </format>
    <format dxfId="80">
      <pivotArea dataOnly="0" labelOnly="1" outline="0" fieldPosition="0">
        <references count="1">
          <reference field="4294967294" count="1">
            <x v="1"/>
          </reference>
        </references>
      </pivotArea>
    </format>
    <format dxfId="79">
      <pivotArea field="3" type="button" dataOnly="0" labelOnly="1" outline="0" axis="axisRow" fieldPosition="0"/>
    </format>
    <format dxfId="78">
      <pivotArea dataOnly="0" labelOnly="1" outline="0" fieldPosition="0">
        <references count="1">
          <reference field="4294967294" count="1">
            <x v="1"/>
          </reference>
        </references>
      </pivotArea>
    </format>
    <format dxfId="77">
      <pivotArea outline="0" collapsedLevelsAreSubtotals="1" fieldPosition="0">
        <references count="1">
          <reference field="4294967294" count="1" selected="0">
            <x v="1"/>
          </reference>
        </references>
      </pivotArea>
    </format>
    <format dxfId="76">
      <pivotArea dataOnly="0" labelOnly="1" outline="0" fieldPosition="0">
        <references count="1">
          <reference field="4294967294" count="1">
            <x v="0"/>
          </reference>
        </references>
      </pivotArea>
    </format>
    <format dxfId="75">
      <pivotArea dataOnly="0" labelOnly="1" outline="0" fieldPosition="0">
        <references count="1">
          <reference field="4294967294" count="1">
            <x v="0"/>
          </reference>
        </references>
      </pivotArea>
    </format>
    <format dxfId="74">
      <pivotArea dataOnly="0" labelOnly="1" outline="0" fieldPosition="0">
        <references count="1">
          <reference field="4294967294" count="2">
            <x v="0"/>
            <x v="1"/>
          </reference>
        </references>
      </pivotArea>
    </format>
    <format dxfId="73">
      <pivotArea dataOnly="0" labelOnly="1" fieldPosition="0">
        <references count="1">
          <reference field="3" count="12">
            <x v="5"/>
            <x v="6"/>
            <x v="16"/>
            <x v="29"/>
            <x v="30"/>
            <x v="39"/>
            <x v="49"/>
            <x v="56"/>
            <x v="66"/>
            <x v="69"/>
            <x v="82"/>
            <x v="111"/>
          </reference>
        </references>
      </pivotArea>
    </format>
    <format dxfId="72">
      <pivotArea dataOnly="0" labelOnly="1" grandRow="1" outline="0" fieldPosition="0"/>
    </format>
    <format dxfId="71">
      <pivotArea dataOnly="0" labelOnly="1" fieldPosition="0">
        <references count="2">
          <reference field="1" count="1">
            <x v="424"/>
          </reference>
          <reference field="3" count="1" selected="0">
            <x v="3"/>
          </reference>
        </references>
      </pivotArea>
    </format>
    <format dxfId="70">
      <pivotArea dataOnly="0" labelOnly="1" fieldPosition="0">
        <references count="2">
          <reference field="1" count="1">
            <x v="426"/>
          </reference>
          <reference field="3" count="1" selected="0">
            <x v="5"/>
          </reference>
        </references>
      </pivotArea>
    </format>
    <format dxfId="69">
      <pivotArea dataOnly="0" labelOnly="1" fieldPosition="0">
        <references count="2">
          <reference field="1" count="1">
            <x v="418"/>
          </reference>
          <reference field="3" count="1" selected="0">
            <x v="6"/>
          </reference>
        </references>
      </pivotArea>
    </format>
    <format dxfId="68">
      <pivotArea dataOnly="0" labelOnly="1" fieldPosition="0">
        <references count="2">
          <reference field="1" count="1">
            <x v="422"/>
          </reference>
          <reference field="3" count="1" selected="0">
            <x v="16"/>
          </reference>
        </references>
      </pivotArea>
    </format>
    <format dxfId="67">
      <pivotArea dataOnly="0" labelOnly="1" fieldPosition="0">
        <references count="2">
          <reference field="1" count="1">
            <x v="420"/>
          </reference>
          <reference field="3" count="1" selected="0">
            <x v="29"/>
          </reference>
        </references>
      </pivotArea>
    </format>
    <format dxfId="66">
      <pivotArea dataOnly="0" labelOnly="1" fieldPosition="0">
        <references count="2">
          <reference field="1" count="1">
            <x v="427"/>
          </reference>
          <reference field="3" count="1" selected="0">
            <x v="30"/>
          </reference>
        </references>
      </pivotArea>
    </format>
    <format dxfId="65">
      <pivotArea dataOnly="0" labelOnly="1" fieldPosition="0">
        <references count="2">
          <reference field="1" count="1">
            <x v="421"/>
          </reference>
          <reference field="3" count="1" selected="0">
            <x v="39"/>
          </reference>
        </references>
      </pivotArea>
    </format>
    <format dxfId="64">
      <pivotArea dataOnly="0" labelOnly="1" fieldPosition="0">
        <references count="2">
          <reference field="1" count="1">
            <x v="414"/>
          </reference>
          <reference field="3" count="1" selected="0">
            <x v="49"/>
          </reference>
        </references>
      </pivotArea>
    </format>
    <format dxfId="63">
      <pivotArea dataOnly="0" labelOnly="1" fieldPosition="0">
        <references count="2">
          <reference field="1" count="1">
            <x v="430"/>
          </reference>
          <reference field="3" count="1" selected="0">
            <x v="56"/>
          </reference>
        </references>
      </pivotArea>
    </format>
    <format dxfId="62">
      <pivotArea dataOnly="0" labelOnly="1" fieldPosition="0">
        <references count="2">
          <reference field="1" count="1">
            <x v="423"/>
          </reference>
          <reference field="3" count="1" selected="0">
            <x v="66"/>
          </reference>
        </references>
      </pivotArea>
    </format>
    <format dxfId="61">
      <pivotArea dataOnly="0" labelOnly="1" fieldPosition="0">
        <references count="2">
          <reference field="1" count="1">
            <x v="428"/>
          </reference>
          <reference field="3" count="1" selected="0">
            <x v="69"/>
          </reference>
        </references>
      </pivotArea>
    </format>
    <format dxfId="60">
      <pivotArea dataOnly="0" labelOnly="1" fieldPosition="0">
        <references count="2">
          <reference field="1" count="1">
            <x v="419"/>
          </reference>
          <reference field="3" count="1" selected="0">
            <x v="82"/>
          </reference>
        </references>
      </pivotArea>
    </format>
    <format dxfId="59">
      <pivotArea dataOnly="0" labelOnly="1" fieldPosition="0">
        <references count="2">
          <reference field="1" count="1">
            <x v="425"/>
          </reference>
          <reference field="3" count="1" selected="0">
            <x v="111"/>
          </reference>
        </references>
      </pivotArea>
    </format>
  </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adicados" displayName="radicados" ref="A1:K499" totalsRowShown="0" dataDxfId="371" headerRowBorderDxfId="372" tableBorderDxfId="370" totalsRowBorderDxfId="369">
  <autoFilter ref="A1:K499" xr:uid="{00000000-0009-0000-0100-000003000000}"/>
  <tableColumns count="11">
    <tableColumn id="1" xr3:uid="{00000000-0010-0000-0200-000001000000}" name="ID_RADICADOS" dataDxfId="368">
      <calculatedColumnFormula>ROW() - ROW(radicados[[#Headers],[ID_RADICADOS]])</calculatedColumnFormula>
    </tableColumn>
    <tableColumn id="2" xr3:uid="{00000000-0010-0000-0200-000002000000}" name="RADICADO" dataDxfId="367"/>
    <tableColumn id="15" xr3:uid="{00000000-0010-0000-0200-00000F000000}" name="FECHA" dataDxfId="366"/>
    <tableColumn id="16" xr3:uid="{00000000-0010-0000-0200-000010000000}" name="DIAS TRANSCURRIDOS" dataDxfId="365">
      <calculatedColumnFormula>+TODAY()-radicados[[#This Row],[FECHA]]</calculatedColumnFormula>
    </tableColumn>
    <tableColumn id="3" xr3:uid="{00000000-0010-0000-0200-000003000000}" name="SUBREGIÓN (BLOQUEAR)" dataDxfId="364">
      <calculatedColumnFormula>+LOOKUP(radicados[[#This Row],[MUNICIPIO]],Table1[Municipio],Table1[Sub region])</calculatedColumnFormula>
    </tableColumn>
    <tableColumn id="4" xr3:uid="{00000000-0010-0000-0200-000004000000}" name="MUNICIPIO" dataDxfId="363"/>
    <tableColumn id="17" xr3:uid="{00000000-0010-0000-0200-000011000000}" name="ID PROYECTOS" dataDxfId="362"/>
    <tableColumn id="5" xr3:uid="{00000000-0010-0000-0200-000005000000}" name="PROYECTOS" dataDxfId="361"/>
    <tableColumn id="6" xr3:uid="{00000000-0010-0000-0200-000006000000}" name="TIPO DE SOLICITUD" dataDxfId="360"/>
    <tableColumn id="7" xr3:uid="{00000000-0010-0000-0200-000007000000}" name="PRESUPUESTO (ELIMINAR)" dataDxfId="359"/>
    <tableColumn id="20" xr3:uid="{00000000-0010-0000-0200-000014000000}" name="OBSERVACIONES" dataDxfId="35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PROYECTOS" displayName="PROYECTOS" ref="A1:AJ702" totalsRowShown="0" headerRowDxfId="357" dataDxfId="355" headerRowBorderDxfId="356" tableBorderDxfId="354">
  <autoFilter ref="A1:AJ702" xr:uid="{00000000-0009-0000-0100-000005000000}"/>
  <sortState xmlns:xlrd2="http://schemas.microsoft.com/office/spreadsheetml/2017/richdata2" ref="A2:AJ702">
    <sortCondition ref="A1:A702"/>
  </sortState>
  <tableColumns count="36">
    <tableColumn id="1" xr3:uid="{6653981B-1504-4FF4-9037-01BFCF9B78ED}" name="ID_NECESIDAD" dataDxfId="353"/>
    <tableColumn id="2" xr3:uid="{00000000-0010-0000-0100-000002000000}" name="NECESIDAD" dataDxfId="352"/>
    <tableColumn id="8" xr3:uid="{8B088807-F767-4578-880C-ED6AC1C4792B}" name="FECHA RECEPCION NECESIDAD" dataDxfId="351">
      <calculatedColumnFormula>+_xlfn.XLOOKUP(PROYECTOS[[#This Row],[ID_NECESIDAD]],'1.RADICADOS'!G:G,'1.RADICADOS'!C:C,0,0,1)*1</calculatedColumnFormula>
    </tableColumn>
    <tableColumn id="3" xr3:uid="{00000000-0010-0000-0100-000003000000}" name="MUNICIPIO" dataDxfId="350"/>
    <tableColumn id="4" xr3:uid="{00000000-0010-0000-0100-000004000000}" name="SUBREGION" dataDxfId="349">
      <calculatedColumnFormula>+_xlfn.XLOOKUP(PROYECTOS[[#This Row],[MUNICIPIO]],MUNICIPIOS!A:A,MUNICIPIOS!E:E,0,0,1)</calculatedColumnFormula>
    </tableColumn>
    <tableColumn id="22" xr3:uid="{1D61147C-16CB-4768-AFAA-768EBB75EF1A}" name="LONGITUD" dataDxfId="348">
      <calculatedColumnFormula array="1">+_xlfn.XLOOKUP(PROYECTOS[[#This Row],[MUNICIPIO]],Table1[Municipio],MUNICIPIOS!F:F,0,0,1)</calculatedColumnFormula>
    </tableColumn>
    <tableColumn id="23" xr3:uid="{D1E0CAD6-FF0B-4FBE-A719-F83AEB88AA78}" name="LATITUD" dataDxfId="347">
      <calculatedColumnFormula>+LOOKUP(PROYECTOS[[#This Row],[MUNICIPIO]],Table1[Municipio],Table1[Latitud])</calculatedColumnFormula>
    </tableColumn>
    <tableColumn id="17" xr3:uid="{00000000-0010-0000-0100-000011000000}" name="PDET" dataDxfId="346">
      <calculatedColumnFormula>+LOOKUP(PROYECTOS[[#This Row],[MUNICIPIO]],Table1[Municipio],Table1[PDET])</calculatedColumnFormula>
    </tableColumn>
    <tableColumn id="13" xr3:uid="{E3778A08-2D61-4E69-A96C-B7723272E5F6}" name="ZOMAC" dataDxfId="345">
      <calculatedColumnFormula>+LOOKUP(PROYECTOS[[#This Row],[MUNICIPIO]],Table1[Municipio],Table1[ZOMAC])</calculatedColumnFormula>
    </tableColumn>
    <tableColumn id="15" xr3:uid="{54E88795-B705-4546-A951-2BF41E0ECAC9}" name="RADICADOS ASOCIADOS" dataDxfId="344">
      <calculatedColumnFormula array="1">_xlfn.TEXTJOIN(", ", TRUE, IF(radicados[ID PROYECTOS]=A2, radicados[RADICADO], ""))</calculatedColumnFormula>
    </tableColumn>
    <tableColumn id="19" xr3:uid="{00000000-0010-0000-0100-000013000000}" name="FASE PROYECTO" dataDxfId="343"/>
    <tableColumn id="7" xr3:uid="{00000000-0010-0000-0100-000007000000}" name="VALOR NECESIDAD SIF" dataDxfId="342"/>
    <tableColumn id="24" xr3:uid="{4FD6C229-36A5-4852-AB42-03ADFAE821C3}" name="TIPOLOGIA" dataDxfId="341"/>
    <tableColumn id="25" xr3:uid="{82D3CCB5-0BDC-4D61-AA33-004E4CB97570}" name="ORDEN VIAL" dataDxfId="340"/>
    <tableColumn id="26" xr3:uid="{840FAD88-A257-4E21-814A-8D7D28069ACC}" name="ASOCIACION AL PD" dataDxfId="339"/>
    <tableColumn id="20" xr3:uid="{00000000-0010-0000-0100-000014000000}" name="OBSERVACION" dataDxfId="338"/>
    <tableColumn id="11" xr3:uid="{55BFDA2B-E66F-4C6A-89E2-2918453D23BE}" name="PRIORIZADO" dataDxfId="337"/>
    <tableColumn id="6" xr3:uid="{00000000-0010-0000-0100-000006000000}" name="POSIBLE FUENTE FINANCIACION" dataDxfId="336"/>
    <tableColumn id="5" xr3:uid="{51ED750C-8743-4A9E-86C1-09318F96E917}" name="PROGRAMA" dataDxfId="335"/>
    <tableColumn id="21" xr3:uid="{D685ADC6-AEA6-45D3-94D0-9C481567A629}" name="CATEGORÍA" dataDxfId="334">
      <calculatedColumnFormula>+_xlfn.XLOOKUP(PROYECTOS[[#This Row],[MUNICIPIO]],'4.CAP_ENDMNT'!B:B,'4.CAP_ENDMNT'!C:C,0,0,1)</calculatedColumnFormula>
    </tableColumn>
    <tableColumn id="28" xr3:uid="{EDBC9439-8352-4CD2-BE98-6ABB0BE23919}" name="INGRESOS EJECUTADOS 2024_x000a_PROYECTADOS 2025" dataDxfId="333">
      <calculatedColumnFormula>+_xlfn.XLOOKUP(PROYECTOS[[#This Row],[MUNICIPIO]],'4.CAP_ENDMNT'!B:B,'4.CAP_ENDMNT'!D:D,0,0,1)</calculatedColumnFormula>
    </tableColumn>
    <tableColumn id="29" xr3:uid="{60829C91-D040-49A2-8D98-776069520F21}" name="GASTOS EJECUTADOS 2024_x000a_PROYECTADOS 2025" dataDxfId="332">
      <calculatedColumnFormula>+_xlfn.XLOOKUP(PROYECTOS[[#This Row],[MUNICIPIO]],'4.CAP_ENDMNT'!B:B,'4.CAP_ENDMNT'!E:E,0,0,1)</calculatedColumnFormula>
    </tableColumn>
    <tableColumn id="30" xr3:uid="{BAB67518-4502-4CC8-99F6-DCB089EBEFCB}" name="AHORRO OPERACIONAL" dataDxfId="331">
      <calculatedColumnFormula>+_xlfn.XLOOKUP(PROYECTOS[[#This Row],[MUNICIPIO]],'4.CAP_ENDMNT'!B:B,'4.CAP_ENDMNT'!F:F,0,0,1)</calculatedColumnFormula>
    </tableColumn>
    <tableColumn id="31" xr3:uid="{80E74CA4-ADC4-4928-8CDB-1E56AD9D2CA2}" name="DEUDA IDEA_x000a_Incluye por desembolsar" dataDxfId="330">
      <calculatedColumnFormula>+_xlfn.XLOOKUP(PROYECTOS[[#This Row],[MUNICIPIO]],'4.CAP_ENDMNT'!B:B,'4.CAP_ENDMNT'!G:G,0,0,1)</calculatedColumnFormula>
    </tableColumn>
    <tableColumn id="32" xr3:uid="{877ED491-0B8B-45EE-8149-B24C9FBCFE3B}" name="DEUDAS CON OTROS BANCOS _x000a_Incluye por desembolsar" dataDxfId="329">
      <calculatedColumnFormula>+_xlfn.XLOOKUP(PROYECTOS[[#This Row],[MUNICIPIO]],'4.CAP_ENDMNT'!B:B,'4.CAP_ENDMNT'!H:H,0,0,1)</calculatedColumnFormula>
    </tableColumn>
    <tableColumn id="33" xr3:uid="{6D4D48E8-76E7-4213-AC93-8808560CACB8}" name="SALDO TOTAL DEUDA PROYECTADA" dataDxfId="328">
      <calculatedColumnFormula>+_xlfn.XLOOKUP(PROYECTOS[[#This Row],[MUNICIPIO]],'4.CAP_ENDMNT'!B:B,'4.CAP_ENDMNT'!I:I,0,0,1)</calculatedColumnFormula>
    </tableColumn>
    <tableColumn id="34" xr3:uid="{82FB5738-645D-4484-8DE9-9C3A0ADED6E6}" name="INDICADOR DE CAPACIDAD _x000a_LEY 358 DE 1997" dataDxfId="327">
      <calculatedColumnFormula>+_xlfn.XLOOKUP(PROYECTOS[[#This Row],[MUNICIPIO]],'4.CAP_ENDMNT'!B:B,'4.CAP_ENDMNT'!J:J,0,0,1)</calculatedColumnFormula>
    </tableColumn>
    <tableColumn id="35" xr3:uid="{1BDA27C8-A277-427D-8E32-4924FC3091EF}" name="CAPACIDAD MAXIMA DE ENDEUDAMIENTO AL 100%" dataDxfId="326">
      <calculatedColumnFormula>+_xlfn.XLOOKUP(PROYECTOS[[#This Row],[MUNICIPIO]],'4.CAP_ENDMNT'!B:B,'4.CAP_ENDMNT'!K:K,0,0,1)</calculatedColumnFormula>
    </tableColumn>
    <tableColumn id="36" xr3:uid="{F62D2BC0-082E-47CC-9E0C-74282986F8C7}" name="CAPACIDAD MAXIMA DE ENDEUDAMIENTO AL 80%" dataDxfId="325">
      <calculatedColumnFormula>+_xlfn.XLOOKUP(PROYECTOS[[#This Row],[MUNICIPIO]],'4.CAP_ENDMNT'!B:B,'4.CAP_ENDMNT'!L:L,0,0,1)</calculatedColumnFormula>
    </tableColumn>
    <tableColumn id="37" xr3:uid="{8C162C49-4D14-4356-9018-300DCFB515A0}" name="CAPACIDAD MAXIMA DE ENDEUDAMIENTO AL 60%" dataDxfId="324">
      <calculatedColumnFormula>+_xlfn.XLOOKUP(PROYECTOS[[#This Row],[MUNICIPIO]],'4.CAP_ENDMNT'!B:B,'4.CAP_ENDMNT'!M:M,0,0,1)</calculatedColumnFormula>
    </tableColumn>
    <tableColumn id="38" xr3:uid="{1247F01E-CEF8-4B95-97CF-DDBA51723DBA}" name="Deuda del IDEA sobre el total" dataDxfId="323">
      <calculatedColumnFormula>+_xlfn.XLOOKUP(PROYECTOS[[#This Row],[MUNICIPIO]],'4.CAP_ENDMNT'!B:B,'4.CAP_ENDMNT'!N:N,0,0,1)</calculatedColumnFormula>
    </tableColumn>
    <tableColumn id="39" xr3:uid="{54CDE312-3D0D-44DF-8463-FD0203D09703}" name="INDICADOR LEY 617" dataDxfId="322">
      <calculatedColumnFormula>+_xlfn.XLOOKUP(PROYECTOS[[#This Row],[MUNICIPIO]],'4.CAP_ENDMNT'!B:B,'4.CAP_ENDMNT'!O:O,0,0,1)</calculatedColumnFormula>
    </tableColumn>
    <tableColumn id="40" xr3:uid="{F512C7DF-44FE-4D66-A1E4-F7B09C0E41B5}" name="LÍMITE 617" dataDxfId="321">
      <calculatedColumnFormula>+_xlfn.XLOOKUP(PROYECTOS[[#This Row],[MUNICIPIO]],'4.CAP_ENDMNT'!B:B,'4.CAP_ENDMNT'!P:P,0,0,1)</calculatedColumnFormula>
    </tableColumn>
    <tableColumn id="41" xr3:uid="{399D6FEC-F2DD-41E6-97C4-E75B2B837687}" name="SEMÁFORO" dataDxfId="320">
      <calculatedColumnFormula>+_xlfn.XLOOKUP(PROYECTOS[[#This Row],[MUNICIPIO]],'4.CAP_ENDMNT'!B:B,'4.CAP_ENDMNT'!Q:Q,0,0,1)</calculatedColumnFormula>
    </tableColumn>
    <tableColumn id="10" xr3:uid="{455E6D13-A0F7-4BF8-8F61-83E0A861240B}" name="APORTE GOB" dataDxfId="319">
      <calculatedColumnFormula>+_xlfn.XLOOKUP(PROYECTOS[[#This Row],[MUNICIPIO]],'4.CAP_ENDMNT'!B:B,'4.CAP_ENDMNT'!V:V,0,0,1)</calculatedColumnFormula>
    </tableColumn>
    <tableColumn id="14" xr3:uid="{B7CC9CCC-E347-41B2-99D3-2A4A9ACB0D55}" name="SOBRANTE FALTANTE" dataDxfId="318">
      <calculatedColumnFormula>+_xlfn.XLOOKUP(PROYECTOS[[#This Row],[MUNICIPIO]],'4.CAP_ENDMNT'!B:B,'4.CAP_ENDMNT'!Y:Y,0,0,1)</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668B6A-18C7-4141-84C5-7485546E950F}" name="PROYECTOS2" displayName="PROYECTOS2" ref="A1:AJ478" totalsRowShown="0" headerRowDxfId="317" dataDxfId="315" headerRowBorderDxfId="316" tableBorderDxfId="314">
  <autoFilter ref="A1:AJ478" xr:uid="{00000000-0009-0000-0100-000005000000}"/>
  <sortState xmlns:xlrd2="http://schemas.microsoft.com/office/spreadsheetml/2017/richdata2" ref="A2:U383">
    <sortCondition ref="A1:A383"/>
  </sortState>
  <tableColumns count="36">
    <tableColumn id="1" xr3:uid="{CE28C24B-7528-4A53-A73C-1C07289C9697}" name="ID_NECESIDAD" dataDxfId="313"/>
    <tableColumn id="2" xr3:uid="{A5386CA1-704F-41F1-9C47-5A33658154DB}" name="NECESIDAD" dataDxfId="312"/>
    <tableColumn id="8" xr3:uid="{A16CBCB0-7D42-4990-A80C-DE3F07FD51E6}" name="FECHA RECEPCION NECESIDAD" dataDxfId="311">
      <calculatedColumnFormula>+_xlfn.XLOOKUP(PROYECTOS2[[#This Row],[ID_NECESIDAD]],'1.RADICADOS'!G:G,'1.RADICADOS'!C:C,0,0,1)*1</calculatedColumnFormula>
    </tableColumn>
    <tableColumn id="3" xr3:uid="{28D2531A-5E68-44C4-9888-3ECE19E4EE8D}" name="MUNICIPIO" dataDxfId="310"/>
    <tableColumn id="4" xr3:uid="{2AEA366C-681F-420C-B4B0-3F0A93A2DF21}" name="SUBREGION" dataDxfId="309">
      <calculatedColumnFormula>+_xlfn.XLOOKUP(PROYECTOS2[[#This Row],[MUNICIPIO]],MUNICIPIOS!A:A,MUNICIPIOS!E:E,0,0,1)</calculatedColumnFormula>
    </tableColumn>
    <tableColumn id="22" xr3:uid="{C60D0DBB-780C-41A3-AF70-ECD614CABD56}" name="LONGITUD" dataDxfId="308">
      <calculatedColumnFormula array="1">+_xlfn.XLOOKUP(PROYECTOS2[[#This Row],[MUNICIPIO]],Table1[Municipio],MUNICIPIOS!F:F,0,0,1)</calculatedColumnFormula>
    </tableColumn>
    <tableColumn id="23" xr3:uid="{45FEE1F1-8D48-448C-A316-FFF37B085331}" name="LATITUD" dataDxfId="307">
      <calculatedColumnFormula>+LOOKUP(PROYECTOS2[[#This Row],[MUNICIPIO]],Table1[Municipio],Table1[Latitud])</calculatedColumnFormula>
    </tableColumn>
    <tableColumn id="17" xr3:uid="{2ED6E5CA-6FAD-4921-92EB-DFED4B400733}" name="PDET" dataDxfId="306">
      <calculatedColumnFormula>+LOOKUP(PROYECTOS2[[#This Row],[MUNICIPIO]],Table1[Municipio],Table1[PDET])</calculatedColumnFormula>
    </tableColumn>
    <tableColumn id="13" xr3:uid="{E5C88670-E08C-4074-96E8-188CB673D7C8}" name="ZOMAC" dataDxfId="305">
      <calculatedColumnFormula>+LOOKUP(PROYECTOS2[[#This Row],[MUNICIPIO]],Table1[Municipio],Table1[ZOMAC])</calculatedColumnFormula>
    </tableColumn>
    <tableColumn id="15" xr3:uid="{4EF29DF2-68C1-472A-B6C9-3FCA2768F08C}" name="RADICADOS ASOCIADOS" dataDxfId="304">
      <calculatedColumnFormula array="1">_xlfn.TEXTJOIN(", ", TRUE, IF(radicados[ID PROYECTOS]=A2, radicados[RADICADO], ""))</calculatedColumnFormula>
    </tableColumn>
    <tableColumn id="19" xr3:uid="{F929B45C-13B8-491D-8B5F-82B77D5EAE08}" name="FASE PROYECTO" dataDxfId="303"/>
    <tableColumn id="11" xr3:uid="{1AB4CC66-5510-44BF-B15F-58F65FF33A2B}" name="PRIORIDAD" dataDxfId="302"/>
    <tableColumn id="6" xr3:uid="{FEFE5C9F-087B-40D6-A8F5-D77B578E6A8C}" name="POSIBLE FUENTE FINANCIACION" dataDxfId="301"/>
    <tableColumn id="7" xr3:uid="{99A85CB5-AED7-431B-86BA-A4B7606F08B7}" name="VALOR NECESIDAD SIF" dataDxfId="300"/>
    <tableColumn id="5" xr3:uid="{B044CC8B-E27A-41CE-9527-0451EFAAE60D}" name="VALOR NECESIDAD SED" dataDxfId="299"/>
    <tableColumn id="9" xr3:uid="{D69B7C06-6490-4E60-A0B4-E0088B512946}" name="APORTE GOBERNACION" dataDxfId="298"/>
    <tableColumn id="12" xr3:uid="{DA5C97FC-F6B6-43FE-8E1C-E46432E9E008}" name="SECRETARIA" dataDxfId="297"/>
    <tableColumn id="24" xr3:uid="{1B3AFBA1-42ED-4887-9830-DDFEE70E6A99}" name="TIPOLOGIA" dataDxfId="296"/>
    <tableColumn id="25" xr3:uid="{2DE760BB-7661-4D05-8586-99EC9B486FC8}" name="ORDEN VIAL" dataDxfId="295"/>
    <tableColumn id="26" xr3:uid="{BEDFF8FA-3699-4FD7-9202-D01F294D41C7}" name="ASOCIACION AL PD" dataDxfId="294"/>
    <tableColumn id="20" xr3:uid="{F1F5D993-DC73-4BDA-A19B-25C456F8156F}" name="OBSERVACION" dataDxfId="293"/>
    <tableColumn id="21" xr3:uid="{2A31C595-0985-47BF-89F2-F7FC62F3E710}" name="CATEGORÍA" dataDxfId="292">
      <calculatedColumnFormula>+_xlfn.XLOOKUP(PROYECTOS2[[#This Row],[MUNICIPIO]],'4.CAP_ENDMNT'!B:B,'4.CAP_ENDMNT'!C:C,0,0,1)</calculatedColumnFormula>
    </tableColumn>
    <tableColumn id="28" xr3:uid="{C01BEAC0-C815-43F8-AF76-8CF6EE590D5E}" name="INGRESOS EJECUTADOS 2024_x000a_PROYECTADOS 2025" dataDxfId="291">
      <calculatedColumnFormula>+_xlfn.XLOOKUP(PROYECTOS2[[#This Row],[MUNICIPIO]],'4.CAP_ENDMNT'!B:B,'4.CAP_ENDMNT'!D:D,0,0,1)</calculatedColumnFormula>
    </tableColumn>
    <tableColumn id="29" xr3:uid="{F5B91978-B57B-4F76-AEEE-CAA567C2BCC8}" name="GASTOS EJECUTADOS 2024_x000a_PROYECTADOS 2025" dataDxfId="290">
      <calculatedColumnFormula>+_xlfn.XLOOKUP(PROYECTOS2[[#This Row],[MUNICIPIO]],'4.CAP_ENDMNT'!B:B,'4.CAP_ENDMNT'!E:E,0,0,1)</calculatedColumnFormula>
    </tableColumn>
    <tableColumn id="30" xr3:uid="{F4C28CAC-67F4-4DD8-BDB3-B33BA2FB234D}" name="AHORRO OPERACIONAL" dataDxfId="289">
      <calculatedColumnFormula>+_xlfn.XLOOKUP(PROYECTOS2[[#This Row],[MUNICIPIO]],'4.CAP_ENDMNT'!B:B,'4.CAP_ENDMNT'!F:F,0,0,1)</calculatedColumnFormula>
    </tableColumn>
    <tableColumn id="31" xr3:uid="{8EECA10E-03BE-431D-89C8-A26BCD8B281E}" name="DEUDA IDEA_x000a_Incluye por desembolsar" dataDxfId="288">
      <calculatedColumnFormula>+_xlfn.XLOOKUP(PROYECTOS2[[#This Row],[MUNICIPIO]],'4.CAP_ENDMNT'!B:B,'4.CAP_ENDMNT'!G:G,0,0,1)</calculatedColumnFormula>
    </tableColumn>
    <tableColumn id="32" xr3:uid="{32BCD616-BEFB-416F-B8C6-8F8E423A83D1}" name="DEUDAS CON OTROS BANCOS _x000a_Incluye por desembolsar" dataDxfId="287">
      <calculatedColumnFormula>+_xlfn.XLOOKUP(PROYECTOS2[[#This Row],[MUNICIPIO]],'4.CAP_ENDMNT'!B:B,'4.CAP_ENDMNT'!H:H,0,0,1)</calculatedColumnFormula>
    </tableColumn>
    <tableColumn id="33" xr3:uid="{8D986B08-89C0-4575-B1CD-C2FA663CFE46}" name="SALDO TOTAL DEUDA PROYECTADA" dataDxfId="286">
      <calculatedColumnFormula>+_xlfn.XLOOKUP(PROYECTOS2[[#This Row],[MUNICIPIO]],'4.CAP_ENDMNT'!B:B,'4.CAP_ENDMNT'!I:I,0,0,1)</calculatedColumnFormula>
    </tableColumn>
    <tableColumn id="34" xr3:uid="{59759BD9-F507-4873-8DBE-630ECDDA0DE8}" name="INDICADOR DE CAPACIDAD _x000a_LEY 358 DE 1997" dataDxfId="285">
      <calculatedColumnFormula>+_xlfn.XLOOKUP(PROYECTOS2[[#This Row],[MUNICIPIO]],'4.CAP_ENDMNT'!B:B,'4.CAP_ENDMNT'!J:J,0,0,1)</calculatedColumnFormula>
    </tableColumn>
    <tableColumn id="35" xr3:uid="{EA224000-37EB-4E7F-9498-8FDCC986BC9A}" name="CAPACIDAD MAXIMA DE ENDEUDAMIENTO AL 100%" dataDxfId="284">
      <calculatedColumnFormula>+_xlfn.XLOOKUP(PROYECTOS2[[#This Row],[MUNICIPIO]],'4.CAP_ENDMNT'!B:B,'4.CAP_ENDMNT'!K:K,0,0,1)</calculatedColumnFormula>
    </tableColumn>
    <tableColumn id="36" xr3:uid="{BD4BCE8D-7E86-4A90-9EC1-35A33E4B4910}" name="CAPACIDAD MAXIMA DE ENDEUDAMIENTO AL 80%" dataDxfId="283">
      <calculatedColumnFormula>+_xlfn.XLOOKUP(PROYECTOS2[[#This Row],[MUNICIPIO]],'4.CAP_ENDMNT'!B:B,'4.CAP_ENDMNT'!L:L,0,0,1)</calculatedColumnFormula>
    </tableColumn>
    <tableColumn id="37" xr3:uid="{DD8286C6-E81B-4236-A417-0DC964C7E918}" name="CAPACIDAD MAXIMA DE ENDEUDAMIENTO AL 60%" dataDxfId="282">
      <calculatedColumnFormula>+_xlfn.XLOOKUP(PROYECTOS2[[#This Row],[MUNICIPIO]],'4.CAP_ENDMNT'!B:B,'4.CAP_ENDMNT'!M:M,0,0,1)</calculatedColumnFormula>
    </tableColumn>
    <tableColumn id="38" xr3:uid="{F3466E26-6B50-43A2-9261-6E4FA35D5628}" name="Deuda del IDEA sobre el total" dataDxfId="281">
      <calculatedColumnFormula>+_xlfn.XLOOKUP(PROYECTOS2[[#This Row],[MUNICIPIO]],'4.CAP_ENDMNT'!B:B,'4.CAP_ENDMNT'!N:N,0,0,1)</calculatedColumnFormula>
    </tableColumn>
    <tableColumn id="39" xr3:uid="{91F72B6C-EF5E-4E81-A546-7E8BD1813BC7}" name="INDICADOR LEY 617" dataDxfId="280">
      <calculatedColumnFormula>+_xlfn.XLOOKUP(PROYECTOS2[[#This Row],[MUNICIPIO]],'4.CAP_ENDMNT'!B:B,'4.CAP_ENDMNT'!O:O,0,0,1)</calculatedColumnFormula>
    </tableColumn>
    <tableColumn id="40" xr3:uid="{77C47D55-24D7-4001-A509-5544EF29A490}" name="LÍMITE 617" dataDxfId="279">
      <calculatedColumnFormula>+_xlfn.XLOOKUP(PROYECTOS2[[#This Row],[MUNICIPIO]],'4.CAP_ENDMNT'!B:B,'4.CAP_ENDMNT'!P:P,0,0,1)</calculatedColumnFormula>
    </tableColumn>
    <tableColumn id="41" xr3:uid="{D6465415-A284-49ED-B5CB-DD965C253E5C}" name="SEMÁFORO" dataDxfId="278">
      <calculatedColumnFormula>+_xlfn.XLOOKUP(PROYECTOS2[[#This Row],[MUNICIPIO]],'4.CAP_ENDMNT'!B:B,'4.CAP_ENDMNT'!Q:Q,0,0,1)</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1" displayName="Table1" ref="A1:G127" totalsRowShown="0">
  <autoFilter ref="A1:G127" xr:uid="{00000000-0009-0000-0100-000006000000}"/>
  <sortState xmlns:xlrd2="http://schemas.microsoft.com/office/spreadsheetml/2017/richdata2" ref="A2:G127">
    <sortCondition ref="E1:E127"/>
  </sortState>
  <tableColumns count="7">
    <tableColumn id="1" xr3:uid="{00000000-0010-0000-0300-000001000000}" name="Municipio" dataDxfId="277"/>
    <tableColumn id="5" xr3:uid="{00000000-0010-0000-0300-000005000000}" name="PDET" dataDxfId="276"/>
    <tableColumn id="6" xr3:uid="{4F972D19-EE08-4012-9EFD-BCA6190B5BE3}" name="ZOMAC" dataDxfId="275"/>
    <tableColumn id="7" xr3:uid="{250689DD-1FB4-4AA6-B80B-E5BCEB4A8665}" name="Categoria" dataDxfId="274"/>
    <tableColumn id="2" xr3:uid="{00000000-0010-0000-0300-000002000000}" name="Sub region" dataDxfId="273"/>
    <tableColumn id="3" xr3:uid="{00000000-0010-0000-0300-000003000000}" name="Longitud" dataDxfId="272"/>
    <tableColumn id="4" xr3:uid="{00000000-0010-0000-0300-000004000000}" name="Latitud" dataDxfId="271"/>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1CC9DEC-9A05-466C-9CD0-CAE5A4534AA0}" name="Table8" displayName="Table8" ref="A1:Y126" totalsRowShown="0" tableBorderDxfId="270">
  <tableColumns count="25">
    <tableColumn id="1" xr3:uid="{31C6CA48-DEE2-4F20-8CB1-82CE1961B7B5}" name="REGIÓN" dataDxfId="269"/>
    <tableColumn id="2" xr3:uid="{CDCF7999-7C3D-472E-83CA-907BE3E2501D}" name="MUNICIPIO" dataDxfId="268"/>
    <tableColumn id="3" xr3:uid="{3E8BDA13-5F42-436F-8528-2C714766A889}" name="CATEGORÍA" dataDxfId="267"/>
    <tableColumn id="4" xr3:uid="{15BE172E-1332-4AC1-BF3A-41D56B37EA17}" name="INGRESOS EJECUTADOS 2024_x000a_PROYECTADOS 2025" dataDxfId="266"/>
    <tableColumn id="5" xr3:uid="{EF3FB61C-A78E-4742-A31F-89E817A67220}" name="GASTOS EJECUTADOS 2024_x000a_PROYECTADOS 2025" dataDxfId="265"/>
    <tableColumn id="6" xr3:uid="{778DE7E4-0326-4BFE-86A1-045E3578F84B}" name="AHORRO OPERACIONAL" dataDxfId="264">
      <calculatedColumnFormula>D2-E2</calculatedColumnFormula>
    </tableColumn>
    <tableColumn id="7" xr3:uid="{8C1FB452-904E-4B0D-9B46-A67F82E2B32A}" name="DEUDA IDEA_x000a_Incluye por desembolsar" dataDxfId="263"/>
    <tableColumn id="8" xr3:uid="{E4C451DE-5874-418C-920A-FB959A1FC99D}" name="DEUDAS CON OTROS BANCOS _x000a_Incluye por desembolsar" dataDxfId="262"/>
    <tableColumn id="9" xr3:uid="{F735BA46-2B52-4BFA-9773-4337F2E7F97C}" name="SALDO TOTAL DEUDA PROYECTADA" dataDxfId="261">
      <calculatedColumnFormula>G2+H2</calculatedColumnFormula>
    </tableColumn>
    <tableColumn id="10" xr3:uid="{F7CD1779-F230-492E-A81D-26AB00EE5F0F}" name="INDICADOR DE CAPACIDAD _x000a_LEY 358 DE 1997" dataDxfId="260">
      <calculatedColumnFormula>I2/D2</calculatedColumnFormula>
    </tableColumn>
    <tableColumn id="11" xr3:uid="{98E59927-345E-4B58-A116-7F710B8EC00C}" name="CAPACIDAD MAXIMA DE ENDEUDAMIENTO AL 100%" dataDxfId="259">
      <calculatedColumnFormula>D2-I2</calculatedColumnFormula>
    </tableColumn>
    <tableColumn id="12" xr3:uid="{C6D94C38-3203-4985-8078-0A650DD70B1D}" name="CAPACIDAD MAXIMA DE ENDEUDAMIENTO AL 80%" dataDxfId="258">
      <calculatedColumnFormula>K2*80%</calculatedColumnFormula>
    </tableColumn>
    <tableColumn id="13" xr3:uid="{804E3D03-997A-41B8-A455-FC3BD552DF86}" name="CAPACIDAD MAXIMA DE ENDEUDAMIENTO AL 60%" dataDxfId="257">
      <calculatedColumnFormula>K2*60%</calculatedColumnFormula>
    </tableColumn>
    <tableColumn id="14" xr3:uid="{B79C7A2E-4A2B-486C-B48B-B1E769695A67}" name="Deuda del IDEA sobre el total" dataDxfId="256">
      <calculatedColumnFormula>IFERROR(G2/I2,0%)</calculatedColumnFormula>
    </tableColumn>
    <tableColumn id="15" xr3:uid="{439E427B-B71A-4853-A818-6587261923C9}" name="INDICADOR LEY 617" dataDxfId="255"/>
    <tableColumn id="16" xr3:uid="{7B4495C7-7AB3-415F-A859-2683D941D0A5}" name="LÍMITE 617" dataDxfId="254">
      <calculatedColumnFormula>_xlfn.XLOOKUP(C2,Z:Z,AA:AA)</calculatedColumnFormula>
    </tableColumn>
    <tableColumn id="17" xr3:uid="{E617FB53-7101-40C7-B3FD-3E0F886ED5AD}" name="SEMÁFORO" dataDxfId="253">
      <calculatedColumnFormula>IF(AND(OR(C2=4,C2=5,C2=6),O2&gt;=75%,O2&lt;80%),"Riesgo",IF(O2&gt;P2,"Incumple","Cumple"))</calculatedColumnFormula>
    </tableColumn>
    <tableColumn id="18" xr3:uid="{CEE98175-950C-4B2F-80C4-C31A16BE9871}" name="SUMATORIA DE PROYECTOS SIF" dataDxfId="252">
      <calculatedColumnFormula>+SUMIF('2.BDN'!D:D,Table8[[#This Row],[MUNICIPIO]],'2.BDN'!L:L)</calculatedColumnFormula>
    </tableColumn>
    <tableColumn id="19" xr3:uid="{8BB17ABB-AB4A-479D-9C60-72E9A0B86B99}" name="SUMATORIA DE PROYECTOS SED" dataDxfId="251">
      <calculatedColumnFormula>+SUMIF('2.BDN'!D:D,Table8[[#This Row],[MUNICIPIO]],'2.BDN'!O:O)</calculatedColumnFormula>
    </tableColumn>
    <tableColumn id="20" xr3:uid="{1085B2DC-5BF1-4DBF-8819-EDBE54E3B0BE}" name="SUMA TOTAL" dataDxfId="250">
      <calculatedColumnFormula>+Table8[[#This Row],[SUMATORIA DE PROYECTOS SIF]]+Table8[[#This Row],[SUMATORIA DE PROYECTOS SED]]</calculatedColumnFormula>
    </tableColumn>
    <tableColumn id="21" xr3:uid="{A698C64B-2311-412A-A928-8334BC6870B0}" name="SUMA TOTAL 2" dataDxfId="249"/>
    <tableColumn id="22" xr3:uid="{7DEBD027-A51C-47A1-A765-DBD33F918C6D}" name="APORTE GOB" dataDxfId="248">
      <calculatedColumnFormula>+Table8[[#This Row],[CAPACIDAD MAXIMA DE ENDEUDAMIENTO AL 60%]]*0.2</calculatedColumnFormula>
    </tableColumn>
    <tableColumn id="23" xr3:uid="{E95F72BF-BC70-452B-B585-4EC6F3AB74C6}" name="APORTE GOB2" dataDxfId="247"/>
    <tableColumn id="24" xr3:uid="{CE782210-9566-4B22-B3D3-0FD2185627C7}" name="APORTE TOTAL IDEA + GOB" dataDxfId="246">
      <calculatedColumnFormula>+Table8[[#This Row],[APORTE GOB2]]+Table8[[#This Row],[CAPACIDAD MAXIMA DE ENDEUDAMIENTO AL 60%]]</calculatedColumnFormula>
    </tableColumn>
    <tableColumn id="25" xr3:uid="{82484D40-98C6-4CF5-94D7-299B354F39EC}" name="SOBRANTE O FALTANTE" dataDxfId="245">
      <calculatedColumnFormula>+Table8[[#This Row],[CAPACIDAD MAXIMA DE ENDEUDAMIENTO AL 60%]]+Table8[[#This Row],[APORTE GOB]]-Table8[[#This Row],[SUMA TOTAL]]</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ercurio.antioquia.gov.co/mercurio/servlet/ControllerMercurio?command=radrecibido&amp;tipoRadicacion=abrir&amp;firma=0&amp;bolCopia=N&amp;idDocumento=2024010528004" TargetMode="External"/><Relationship Id="rId13" Type="http://schemas.openxmlformats.org/officeDocument/2006/relationships/table" Target="../tables/table1.xml"/><Relationship Id="rId3" Type="http://schemas.openxmlformats.org/officeDocument/2006/relationships/hyperlink" Target="https://mercurio.antioquia.gov.co/mercurio/servlet/ControllerMercurio?command=radrecibido&amp;tipoRadicacion=abrir&amp;firma=0&amp;bolCopia=N&amp;idDocumento=2024010502109" TargetMode="External"/><Relationship Id="rId7" Type="http://schemas.openxmlformats.org/officeDocument/2006/relationships/hyperlink" Target="https://mercurio.antioquia.gov.co/mercurio/servlet/ControllerMercurio?command=radrecibido&amp;tipoRadicacion=abrir&amp;firma=0&amp;bolCopia=N&amp;idDocumento=2025010098088" TargetMode="External"/><Relationship Id="rId12" Type="http://schemas.openxmlformats.org/officeDocument/2006/relationships/hyperlink" Target="https://mercurio.antioquia.gov.co/mercurio/servlet/ControllerMercurio?command=radrecibido&amp;tipoRadicacion=abrir&amp;firma=0&amp;bolCopia=N&amp;idDocumento=2025010234385" TargetMode="External"/><Relationship Id="rId2" Type="http://schemas.openxmlformats.org/officeDocument/2006/relationships/hyperlink" Target="https://mercurio.antioquia.gov.co/mercurio/servlet/ControllerMercurio?command=radrecibido&amp;tipoRadicacion=abrir&amp;firma=0&amp;idDocumento=2024010464862" TargetMode="External"/><Relationship Id="rId1" Type="http://schemas.openxmlformats.org/officeDocument/2006/relationships/hyperlink" Target="javascript:VentanaEmergenteDocs('../servlet/ControllerMercurio?command=radrecibido&amp;tipoRadicacion=abrir&amp;idDocumento=2024010361554&amp;ventanaEmergente=S%27,%27VisualizarRecibido%27);" TargetMode="External"/><Relationship Id="rId6" Type="http://schemas.openxmlformats.org/officeDocument/2006/relationships/hyperlink" Target="https://mercurio.antioquia.gov.co/mercurio/servlet/ControllerMercurio?command=radrecibido&amp;tipoRadicacion=abrir&amp;firma=0&amp;bolCopia=N&amp;idDocumento=2024010584314" TargetMode="External"/><Relationship Id="rId11" Type="http://schemas.openxmlformats.org/officeDocument/2006/relationships/hyperlink" Target="https://mercurio.antioquia.gov.co/mercurio/servlet/ControllerMercurio?command=radrecibido&amp;tipoRadicacion=abrir&amp;firma=0&amp;bolCopia=N&amp;idDocumento=2025010235401" TargetMode="External"/><Relationship Id="rId5" Type="http://schemas.openxmlformats.org/officeDocument/2006/relationships/hyperlink" Target="https://mercurio.antioquia.gov.co/mercurio/servlet/ControllerMercurio?command=radrecibido&amp;tipoRadicacion=abrir&amp;firma=0&amp;bolCopia=N&amp;idDocumento=2024010569332" TargetMode="External"/><Relationship Id="rId10" Type="http://schemas.openxmlformats.org/officeDocument/2006/relationships/hyperlink" Target="https://mercurio.antioquia.gov.co/mercurio/servlet/ControllerMercurio?command=radrecibido&amp;tipoRadicacion=abrir&amp;firma=0&amp;bolCopia=N&amp;idDocumento=2025010230047" TargetMode="External"/><Relationship Id="rId4" Type="http://schemas.openxmlformats.org/officeDocument/2006/relationships/hyperlink" Target="https://mercurio.antioquia.gov.co/mercurio/servlet/ControllerMercurio?command=radinterno&amp;tipoRadicacion=abrir&amp;firma=-1&amp;bolCopia=N&amp;idDocumento=2024020054785" TargetMode="External"/><Relationship Id="rId9" Type="http://schemas.openxmlformats.org/officeDocument/2006/relationships/hyperlink" Target="https://mercurio.antioquia.gov.co/mercurio/servlet/ControllerMercurio?command=radrecibido&amp;tipoRadicacion=abrir&amp;firma=0&amp;bolCopia=N&amp;idDocumento=2024010528004"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5" tint="0.79998168889431442"/>
  </sheetPr>
  <dimension ref="A1:K499"/>
  <sheetViews>
    <sheetView zoomScale="90" zoomScaleNormal="90" workbookViewId="0">
      <pane ySplit="1" topLeftCell="A466" activePane="bottomLeft" state="frozen"/>
      <selection pane="bottomLeft" activeCell="K499" sqref="K499"/>
    </sheetView>
  </sheetViews>
  <sheetFormatPr baseColWidth="10" defaultColWidth="9.140625" defaultRowHeight="15" customHeight="1"/>
  <cols>
    <col min="1" max="1" width="20.7109375" customWidth="1"/>
    <col min="2" max="2" width="17.7109375" customWidth="1"/>
    <col min="3" max="3" width="16.7109375" style="3" customWidth="1"/>
    <col min="4" max="4" width="19.7109375" customWidth="1"/>
    <col min="5" max="5" width="17.7109375" customWidth="1"/>
    <col min="6" max="6" width="22.140625" bestFit="1" customWidth="1"/>
    <col min="7" max="7" width="16" style="3" customWidth="1"/>
    <col min="8" max="8" width="93.7109375" customWidth="1"/>
    <col min="9" max="9" width="16.28515625" customWidth="1"/>
    <col min="10" max="10" width="22.42578125" bestFit="1" customWidth="1"/>
    <col min="11" max="11" width="21" style="3" bestFit="1" customWidth="1"/>
    <col min="12" max="12" width="22" bestFit="1" customWidth="1"/>
  </cols>
  <sheetData>
    <row r="1" spans="1:11" ht="45">
      <c r="A1" s="4" t="s">
        <v>313</v>
      </c>
      <c r="B1" s="5" t="s">
        <v>0</v>
      </c>
      <c r="C1" s="6" t="s">
        <v>1</v>
      </c>
      <c r="D1" s="6" t="s">
        <v>314</v>
      </c>
      <c r="E1" s="6" t="s">
        <v>315</v>
      </c>
      <c r="F1" s="6" t="s">
        <v>2</v>
      </c>
      <c r="G1" s="41" t="s">
        <v>316</v>
      </c>
      <c r="H1" s="6" t="s">
        <v>317</v>
      </c>
      <c r="I1" s="6" t="s">
        <v>318</v>
      </c>
      <c r="J1" s="7" t="s">
        <v>319</v>
      </c>
      <c r="K1" s="6" t="s">
        <v>320</v>
      </c>
    </row>
    <row r="2" spans="1:11">
      <c r="A2" s="9">
        <f>ROW() - ROW(radicados[[#Headers],[ID_RADICADOS]])</f>
        <v>1</v>
      </c>
      <c r="B2" s="10">
        <v>2024010048235</v>
      </c>
      <c r="C2" s="11">
        <v>45327</v>
      </c>
      <c r="D2" s="10">
        <f ca="1">+TODAY()-radicados[[#This Row],[FECHA]]</f>
        <v>669</v>
      </c>
      <c r="E2" s="32" t="str">
        <f>+_xlfn.XLOOKUP(radicados[[#This Row],[MUNICIPIO]],MUNICIPIOS!A:A,MUNICIPIOS!E:E,0,0,1)</f>
        <v>Nordeste</v>
      </c>
      <c r="F2" s="34" t="s">
        <v>4</v>
      </c>
      <c r="G2" s="3">
        <v>1</v>
      </c>
      <c r="H2" t="s">
        <v>5</v>
      </c>
      <c r="I2" t="s">
        <v>6</v>
      </c>
      <c r="J2" s="12">
        <v>666322545</v>
      </c>
      <c r="K2" s="13"/>
    </row>
    <row r="3" spans="1:11">
      <c r="A3" s="9">
        <f>ROW() - ROW(radicados[[#Headers],[ID_RADICADOS]])</f>
        <v>2</v>
      </c>
      <c r="B3" s="10">
        <v>2024010031666</v>
      </c>
      <c r="C3" s="30">
        <v>45316</v>
      </c>
      <c r="D3" s="10">
        <f ca="1">+TODAY()-radicados[[#This Row],[FECHA]]</f>
        <v>680</v>
      </c>
      <c r="E3" s="32" t="str">
        <f>+_xlfn.XLOOKUP(radicados[[#This Row],[MUNICIPIO]],MUNICIPIOS!A:A,MUNICIPIOS!E:E,0,0,1)</f>
        <v>Magdalena Medio</v>
      </c>
      <c r="F3" s="34" t="s">
        <v>11</v>
      </c>
      <c r="G3" s="3">
        <v>2</v>
      </c>
      <c r="H3" t="s">
        <v>12</v>
      </c>
      <c r="I3" t="s">
        <v>6</v>
      </c>
      <c r="J3" s="12">
        <v>496406918</v>
      </c>
      <c r="K3" s="13"/>
    </row>
    <row r="4" spans="1:11">
      <c r="A4" s="9">
        <f>ROW() - ROW(radicados[[#Headers],[ID_RADICADOS]])</f>
        <v>3</v>
      </c>
      <c r="B4" s="10">
        <v>2024010111694</v>
      </c>
      <c r="C4" s="11">
        <v>45629</v>
      </c>
      <c r="D4" s="10">
        <f ca="1">+TODAY()-radicados[[#This Row],[FECHA]]</f>
        <v>367</v>
      </c>
      <c r="E4" s="32" t="str">
        <f>+_xlfn.XLOOKUP(radicados[[#This Row],[MUNICIPIO]],MUNICIPIOS!A:A,MUNICIPIOS!E:E,0,0,1)</f>
        <v>Valle de Aburrá</v>
      </c>
      <c r="F4" s="34" t="s">
        <v>15</v>
      </c>
      <c r="G4" s="3">
        <v>3</v>
      </c>
      <c r="H4" t="s">
        <v>16</v>
      </c>
      <c r="I4" t="s">
        <v>17</v>
      </c>
      <c r="J4" s="12">
        <v>54654511129</v>
      </c>
      <c r="K4" s="13"/>
    </row>
    <row r="5" spans="1:11">
      <c r="A5" s="9">
        <f>ROW() - ROW(radicados[[#Headers],[ID_RADICADOS]])</f>
        <v>4</v>
      </c>
      <c r="B5" s="10">
        <v>2024010110440</v>
      </c>
      <c r="C5" s="11">
        <v>45599</v>
      </c>
      <c r="D5" s="10">
        <f ca="1">+TODAY()-radicados[[#This Row],[FECHA]]</f>
        <v>397</v>
      </c>
      <c r="E5" s="32" t="str">
        <f>+_xlfn.XLOOKUP(radicados[[#This Row],[MUNICIPIO]],MUNICIPIOS!A:A,MUNICIPIOS!E:E,0,0,1)</f>
        <v>Oriente</v>
      </c>
      <c r="F5" s="34" t="s">
        <v>323</v>
      </c>
      <c r="G5" s="3">
        <v>145</v>
      </c>
      <c r="H5" t="s">
        <v>21</v>
      </c>
      <c r="I5" t="s">
        <v>17</v>
      </c>
      <c r="J5" s="12">
        <v>20074758933</v>
      </c>
      <c r="K5" s="13"/>
    </row>
    <row r="6" spans="1:11">
      <c r="A6" s="9">
        <f>ROW() - ROW(radicados[[#Headers],[ID_RADICADOS]])</f>
        <v>5</v>
      </c>
      <c r="B6" s="10">
        <v>2024010118992</v>
      </c>
      <c r="C6" s="11">
        <v>45366</v>
      </c>
      <c r="D6" s="10">
        <f ca="1">+TODAY()-radicados[[#This Row],[FECHA]]</f>
        <v>630</v>
      </c>
      <c r="E6" s="32" t="str">
        <f>+_xlfn.XLOOKUP(radicados[[#This Row],[MUNICIPIO]],MUNICIPIOS!A:A,MUNICIPIOS!E:E,0,0,1)</f>
        <v>Suroeste</v>
      </c>
      <c r="F6" s="34" t="s">
        <v>23</v>
      </c>
      <c r="G6" s="3">
        <v>109</v>
      </c>
      <c r="H6" t="s">
        <v>24</v>
      </c>
      <c r="I6" t="s">
        <v>17</v>
      </c>
      <c r="J6" s="12">
        <v>0</v>
      </c>
      <c r="K6" s="13"/>
    </row>
    <row r="7" spans="1:11">
      <c r="A7" s="9">
        <f>ROW() - ROW(radicados[[#Headers],[ID_RADICADOS]])</f>
        <v>6</v>
      </c>
      <c r="B7" s="10">
        <v>2024010105045</v>
      </c>
      <c r="C7" s="11">
        <v>45476</v>
      </c>
      <c r="D7" s="10">
        <f ca="1">+TODAY()-radicados[[#This Row],[FECHA]]</f>
        <v>520</v>
      </c>
      <c r="E7" s="32" t="str">
        <f>+_xlfn.XLOOKUP(radicados[[#This Row],[MUNICIPIO]],MUNICIPIOS!A:A,MUNICIPIOS!E:E,0,0,1)</f>
        <v>Oriente</v>
      </c>
      <c r="F7" s="34" t="s">
        <v>27</v>
      </c>
      <c r="G7" s="3">
        <v>4</v>
      </c>
      <c r="H7" t="s">
        <v>28</v>
      </c>
      <c r="I7" t="s">
        <v>6</v>
      </c>
      <c r="J7" s="12">
        <v>8594513471</v>
      </c>
      <c r="K7" s="13"/>
    </row>
    <row r="8" spans="1:11">
      <c r="A8" s="9">
        <f>ROW() - ROW(radicados[[#Headers],[ID_RADICADOS]])</f>
        <v>7</v>
      </c>
      <c r="B8" s="10">
        <v>2024010070587</v>
      </c>
      <c r="C8" s="30">
        <v>45338</v>
      </c>
      <c r="D8" s="10">
        <f ca="1">+TODAY()-radicados[[#This Row],[FECHA]]</f>
        <v>658</v>
      </c>
      <c r="E8" s="32" t="str">
        <f>+_xlfn.XLOOKUP(radicados[[#This Row],[MUNICIPIO]],MUNICIPIOS!A:A,MUNICIPIOS!E:E,0,0,1)</f>
        <v>Suroeste</v>
      </c>
      <c r="F8" s="34" t="s">
        <v>30</v>
      </c>
      <c r="G8" s="3">
        <v>5</v>
      </c>
      <c r="H8" t="s">
        <v>31</v>
      </c>
      <c r="I8" t="s">
        <v>17</v>
      </c>
      <c r="J8" s="12">
        <v>0</v>
      </c>
      <c r="K8" s="13"/>
    </row>
    <row r="9" spans="1:11">
      <c r="A9" s="9">
        <f>ROW() - ROW(radicados[[#Headers],[ID_RADICADOS]])</f>
        <v>8</v>
      </c>
      <c r="B9" s="10">
        <v>2024010071479</v>
      </c>
      <c r="C9" s="11">
        <v>45341</v>
      </c>
      <c r="D9" s="10">
        <f ca="1">+TODAY()-radicados[[#This Row],[FECHA]]</f>
        <v>655</v>
      </c>
      <c r="E9" s="32" t="str">
        <f>+_xlfn.XLOOKUP(radicados[[#This Row],[MUNICIPIO]],MUNICIPIOS!A:A,MUNICIPIOS!E:E,0,0,1)</f>
        <v>Oriente</v>
      </c>
      <c r="F9" s="34" t="s">
        <v>32</v>
      </c>
      <c r="G9" s="3">
        <v>6</v>
      </c>
      <c r="H9" t="s">
        <v>33</v>
      </c>
      <c r="I9" t="s">
        <v>17</v>
      </c>
      <c r="J9" s="12">
        <v>6800000000</v>
      </c>
      <c r="K9" s="13"/>
    </row>
    <row r="10" spans="1:11">
      <c r="A10" s="9">
        <f>ROW() - ROW(radicados[[#Headers],[ID_RADICADOS]])</f>
        <v>9</v>
      </c>
      <c r="B10" s="10">
        <v>2024010019030</v>
      </c>
      <c r="C10" s="11">
        <v>45308</v>
      </c>
      <c r="D10" s="10">
        <f ca="1">+TODAY()-radicados[[#This Row],[FECHA]]</f>
        <v>688</v>
      </c>
      <c r="E10" s="32" t="str">
        <f>+_xlfn.XLOOKUP(radicados[[#This Row],[MUNICIPIO]],MUNICIPIOS!A:A,MUNICIPIOS!E:E,0,0,1)</f>
        <v>Norte</v>
      </c>
      <c r="F10" s="34" t="s">
        <v>35</v>
      </c>
      <c r="G10" s="3">
        <v>7</v>
      </c>
      <c r="H10" t="s">
        <v>36</v>
      </c>
      <c r="I10" t="s">
        <v>17</v>
      </c>
      <c r="J10" s="12">
        <v>0</v>
      </c>
      <c r="K10" s="13"/>
    </row>
    <row r="11" spans="1:11">
      <c r="A11" s="9">
        <f>ROW() - ROW(radicados[[#Headers],[ID_RADICADOS]])</f>
        <v>10</v>
      </c>
      <c r="B11" s="10">
        <v>2024010020020</v>
      </c>
      <c r="C11" s="11">
        <v>45308</v>
      </c>
      <c r="D11" s="10">
        <f ca="1">+TODAY()-radicados[[#This Row],[FECHA]]</f>
        <v>688</v>
      </c>
      <c r="E11" s="32" t="str">
        <f>+_xlfn.XLOOKUP(radicados[[#This Row],[MUNICIPIO]],MUNICIPIOS!A:A,MUNICIPIOS!E:E,0,0,1)</f>
        <v>Urabá</v>
      </c>
      <c r="F11" s="34" t="s">
        <v>38</v>
      </c>
      <c r="G11" s="3">
        <v>8</v>
      </c>
      <c r="H11" t="s">
        <v>39</v>
      </c>
      <c r="J11" s="12">
        <v>0</v>
      </c>
      <c r="K11" s="13"/>
    </row>
    <row r="12" spans="1:11">
      <c r="A12" s="9">
        <f>ROW() - ROW(radicados[[#Headers],[ID_RADICADOS]])</f>
        <v>11</v>
      </c>
      <c r="B12" s="10">
        <v>2024010048752</v>
      </c>
      <c r="C12" s="11">
        <v>45414</v>
      </c>
      <c r="D12" s="10">
        <f ca="1">+TODAY()-radicados[[#This Row],[FECHA]]</f>
        <v>582</v>
      </c>
      <c r="E12" s="32" t="str">
        <f>+_xlfn.XLOOKUP(radicados[[#This Row],[MUNICIPIO]],MUNICIPIOS!A:A,MUNICIPIOS!E:E,0,0,1)</f>
        <v>Nordeste</v>
      </c>
      <c r="F12" s="34" t="s">
        <v>4</v>
      </c>
      <c r="G12" s="3">
        <v>9</v>
      </c>
      <c r="H12" t="s">
        <v>42</v>
      </c>
      <c r="I12" t="s">
        <v>17</v>
      </c>
      <c r="J12" s="12">
        <v>0</v>
      </c>
      <c r="K12" s="13"/>
    </row>
    <row r="13" spans="1:11">
      <c r="A13" s="9">
        <f>ROW() - ROW(radicados[[#Headers],[ID_RADICADOS]])</f>
        <v>12</v>
      </c>
      <c r="B13" s="10">
        <v>2024010043395</v>
      </c>
      <c r="C13" s="11">
        <v>45293</v>
      </c>
      <c r="D13" s="10">
        <f ca="1">+TODAY()-radicados[[#This Row],[FECHA]]</f>
        <v>703</v>
      </c>
      <c r="E13" s="32" t="str">
        <f>+_xlfn.XLOOKUP(radicados[[#This Row],[MUNICIPIO]],MUNICIPIOS!A:A,MUNICIPIOS!E:E,0,0,1)</f>
        <v>Bajo Cauca</v>
      </c>
      <c r="F13" s="34" t="s">
        <v>45</v>
      </c>
      <c r="G13" s="3">
        <v>10</v>
      </c>
      <c r="H13" t="s">
        <v>46</v>
      </c>
      <c r="I13" t="s">
        <v>17</v>
      </c>
      <c r="J13" s="12">
        <v>0</v>
      </c>
      <c r="K13" s="13"/>
    </row>
    <row r="14" spans="1:11">
      <c r="A14" s="9">
        <f>ROW() - ROW(radicados[[#Headers],[ID_RADICADOS]])</f>
        <v>13</v>
      </c>
      <c r="B14" s="10">
        <v>2024010068835</v>
      </c>
      <c r="C14" s="11">
        <v>45338</v>
      </c>
      <c r="D14" s="10">
        <f ca="1">+TODAY()-radicados[[#This Row],[FECHA]]</f>
        <v>658</v>
      </c>
      <c r="E14" s="32" t="str">
        <f>+_xlfn.XLOOKUP(radicados[[#This Row],[MUNICIPIO]],MUNICIPIOS!A:A,MUNICIPIOS!E:E,0,0,1)</f>
        <v>Occidente</v>
      </c>
      <c r="F14" s="34" t="s">
        <v>48</v>
      </c>
      <c r="G14" s="3">
        <v>11</v>
      </c>
      <c r="H14" t="s">
        <v>49</v>
      </c>
      <c r="J14" s="12">
        <v>0</v>
      </c>
      <c r="K14" s="13"/>
    </row>
    <row r="15" spans="1:11">
      <c r="A15" s="9">
        <f>ROW() - ROW(radicados[[#Headers],[ID_RADICADOS]])</f>
        <v>14</v>
      </c>
      <c r="B15" s="10">
        <v>2024010033632</v>
      </c>
      <c r="C15" s="11">
        <v>45316</v>
      </c>
      <c r="D15" s="10">
        <f ca="1">+TODAY()-radicados[[#This Row],[FECHA]]</f>
        <v>680</v>
      </c>
      <c r="E15" s="32">
        <f>+_xlfn.XLOOKUP(radicados[[#This Row],[MUNICIPIO]],MUNICIPIOS!A:A,MUNICIPIOS!E:E,0,0,1)</f>
        <v>0</v>
      </c>
      <c r="F15" s="34"/>
      <c r="G15" s="3">
        <v>12</v>
      </c>
      <c r="H15" t="s">
        <v>50</v>
      </c>
      <c r="I15" t="s">
        <v>51</v>
      </c>
      <c r="J15" s="12">
        <v>0</v>
      </c>
      <c r="K15" s="13"/>
    </row>
    <row r="16" spans="1:11">
      <c r="A16" s="9">
        <f>ROW() - ROW(radicados[[#Headers],[ID_RADICADOS]])</f>
        <v>15</v>
      </c>
      <c r="B16" s="10">
        <v>2024010078784</v>
      </c>
      <c r="C16" s="11">
        <v>45344</v>
      </c>
      <c r="D16" s="10">
        <f ca="1">+TODAY()-radicados[[#This Row],[FECHA]]</f>
        <v>652</v>
      </c>
      <c r="E16" s="32" t="str">
        <f>+_xlfn.XLOOKUP(radicados[[#This Row],[MUNICIPIO]],MUNICIPIOS!A:A,MUNICIPIOS!E:E,0,0,1)</f>
        <v>Suroeste</v>
      </c>
      <c r="F16" s="34" t="s">
        <v>52</v>
      </c>
      <c r="G16" s="3">
        <v>54</v>
      </c>
      <c r="H16" t="s">
        <v>53</v>
      </c>
      <c r="I16" t="s">
        <v>17</v>
      </c>
      <c r="J16" s="12">
        <v>0</v>
      </c>
      <c r="K16" s="13"/>
    </row>
    <row r="17" spans="1:11">
      <c r="A17" s="9">
        <f>ROW() - ROW(radicados[[#Headers],[ID_RADICADOS]])</f>
        <v>16</v>
      </c>
      <c r="B17" s="10">
        <v>2024010084216</v>
      </c>
      <c r="C17" s="11">
        <v>45348</v>
      </c>
      <c r="D17" s="10">
        <f ca="1">+TODAY()-radicados[[#This Row],[FECHA]]</f>
        <v>648</v>
      </c>
      <c r="E17" s="32" t="str">
        <f>+_xlfn.XLOOKUP(radicados[[#This Row],[MUNICIPIO]],MUNICIPIOS!A:A,MUNICIPIOS!E:E,0,0,1)</f>
        <v>Suroeste</v>
      </c>
      <c r="F17" s="34" t="s">
        <v>54</v>
      </c>
      <c r="G17" s="3">
        <v>14</v>
      </c>
      <c r="H17" t="s">
        <v>55</v>
      </c>
      <c r="I17" t="s">
        <v>51</v>
      </c>
      <c r="J17" s="12">
        <v>51682398</v>
      </c>
      <c r="K17" s="13"/>
    </row>
    <row r="18" spans="1:11">
      <c r="A18" s="9">
        <f>ROW() - ROW(radicados[[#Headers],[ID_RADICADOS]])</f>
        <v>17</v>
      </c>
      <c r="B18" s="10">
        <v>2024010041849</v>
      </c>
      <c r="C18" s="11">
        <v>45322</v>
      </c>
      <c r="D18" s="10">
        <f ca="1">+TODAY()-radicados[[#This Row],[FECHA]]</f>
        <v>674</v>
      </c>
      <c r="E18" s="32" t="str">
        <f>+_xlfn.XLOOKUP(radicados[[#This Row],[MUNICIPIO]],MUNICIPIOS!A:A,MUNICIPIOS!E:E,0,0,1)</f>
        <v>Norte</v>
      </c>
      <c r="F18" s="34" t="s">
        <v>57</v>
      </c>
      <c r="G18" s="3">
        <v>15</v>
      </c>
      <c r="H18" t="s">
        <v>58</v>
      </c>
      <c r="I18" t="s">
        <v>6</v>
      </c>
      <c r="J18" s="12">
        <v>294694981</v>
      </c>
      <c r="K18" s="13"/>
    </row>
    <row r="19" spans="1:11">
      <c r="A19" s="9">
        <f>ROW() - ROW(radicados[[#Headers],[ID_RADICADOS]])</f>
        <v>18</v>
      </c>
      <c r="B19" s="10">
        <v>2024010054228</v>
      </c>
      <c r="C19" s="11">
        <v>45475</v>
      </c>
      <c r="D19" s="10">
        <f ca="1">+TODAY()-radicados[[#This Row],[FECHA]]</f>
        <v>521</v>
      </c>
      <c r="E19" s="32" t="str">
        <f>+_xlfn.XLOOKUP(radicados[[#This Row],[MUNICIPIO]],MUNICIPIOS!A:A,MUNICIPIOS!E:E,0,0,1)</f>
        <v>Norte</v>
      </c>
      <c r="F19" s="34" t="s">
        <v>57</v>
      </c>
      <c r="G19" s="3">
        <v>16</v>
      </c>
      <c r="H19" t="s">
        <v>60</v>
      </c>
      <c r="I19" t="s">
        <v>17</v>
      </c>
      <c r="J19" s="12">
        <v>3142000000</v>
      </c>
      <c r="K19" s="13"/>
    </row>
    <row r="20" spans="1:11">
      <c r="A20" s="9">
        <f>ROW() - ROW(radicados[[#Headers],[ID_RADICADOS]])</f>
        <v>19</v>
      </c>
      <c r="B20" s="10">
        <v>2024010013378</v>
      </c>
      <c r="C20" s="11">
        <v>45306</v>
      </c>
      <c r="D20" s="10">
        <f ca="1">+TODAY()-radicados[[#This Row],[FECHA]]</f>
        <v>690</v>
      </c>
      <c r="E20" s="32" t="str">
        <f>+_xlfn.XLOOKUP(radicados[[#This Row],[MUNICIPIO]],MUNICIPIOS!A:A,MUNICIPIOS!E:E,0,0,1)</f>
        <v>Suroeste</v>
      </c>
      <c r="F20" s="34" t="s">
        <v>61</v>
      </c>
      <c r="G20" s="3">
        <v>17</v>
      </c>
      <c r="H20" t="s">
        <v>62</v>
      </c>
      <c r="I20" t="s">
        <v>17</v>
      </c>
      <c r="J20" s="12">
        <v>0</v>
      </c>
      <c r="K20" s="13"/>
    </row>
    <row r="21" spans="1:11">
      <c r="A21" s="9">
        <f>ROW() - ROW(radicados[[#Headers],[ID_RADICADOS]])</f>
        <v>20</v>
      </c>
      <c r="B21" s="10">
        <v>2024010179553</v>
      </c>
      <c r="C21" s="11">
        <v>45406</v>
      </c>
      <c r="D21" s="10">
        <f ca="1">+TODAY()-radicados[[#This Row],[FECHA]]</f>
        <v>590</v>
      </c>
      <c r="E21" s="32" t="str">
        <f>+_xlfn.XLOOKUP(radicados[[#This Row],[MUNICIPIO]],MUNICIPIOS!A:A,MUNICIPIOS!E:E,0,0,1)</f>
        <v>Urabá</v>
      </c>
      <c r="F21" s="34" t="s">
        <v>63</v>
      </c>
      <c r="G21" s="3">
        <v>18</v>
      </c>
      <c r="H21" t="s">
        <v>64</v>
      </c>
      <c r="I21" t="s">
        <v>17</v>
      </c>
      <c r="J21" s="12">
        <v>0</v>
      </c>
      <c r="K21" s="13"/>
    </row>
    <row r="22" spans="1:11">
      <c r="A22" s="9">
        <f>ROW() - ROW(radicados[[#Headers],[ID_RADICADOS]])</f>
        <v>21</v>
      </c>
      <c r="B22" s="10">
        <v>2024010178436</v>
      </c>
      <c r="C22" s="11">
        <v>45405</v>
      </c>
      <c r="D22" s="10">
        <f ca="1">+TODAY()-radicados[[#This Row],[FECHA]]</f>
        <v>591</v>
      </c>
      <c r="E22" s="32" t="str">
        <f>+_xlfn.XLOOKUP(radicados[[#This Row],[MUNICIPIO]],MUNICIPIOS!A:A,MUNICIPIOS!E:E,0,0,1)</f>
        <v>Urabá</v>
      </c>
      <c r="F22" s="34" t="s">
        <v>65</v>
      </c>
      <c r="G22" s="3">
        <v>19</v>
      </c>
      <c r="H22" t="s">
        <v>66</v>
      </c>
      <c r="I22" t="s">
        <v>17</v>
      </c>
      <c r="J22" s="12">
        <v>2139964660</v>
      </c>
      <c r="K22" s="13"/>
    </row>
    <row r="23" spans="1:11">
      <c r="A23" s="9">
        <f>ROW() - ROW(radicados[[#Headers],[ID_RADICADOS]])</f>
        <v>22</v>
      </c>
      <c r="B23" s="10">
        <v>2024010178733</v>
      </c>
      <c r="C23" s="11">
        <v>45405</v>
      </c>
      <c r="D23" s="10">
        <f ca="1">+TODAY()-radicados[[#This Row],[FECHA]]</f>
        <v>591</v>
      </c>
      <c r="E23" s="32" t="str">
        <f>+_xlfn.XLOOKUP(radicados[[#This Row],[MUNICIPIO]],MUNICIPIOS!A:A,MUNICIPIOS!E:E,0,0,1)</f>
        <v>Nordeste</v>
      </c>
      <c r="F23" s="34" t="s">
        <v>67</v>
      </c>
      <c r="G23" s="3">
        <v>20</v>
      </c>
      <c r="H23" t="s">
        <v>68</v>
      </c>
      <c r="I23" t="s">
        <v>6</v>
      </c>
      <c r="J23" s="12">
        <v>750000000</v>
      </c>
      <c r="K23" s="13"/>
    </row>
    <row r="24" spans="1:11">
      <c r="A24" s="9">
        <f>ROW() - ROW(radicados[[#Headers],[ID_RADICADOS]])</f>
        <v>23</v>
      </c>
      <c r="B24" s="10">
        <v>2024020016404</v>
      </c>
      <c r="C24" s="11">
        <v>45398</v>
      </c>
      <c r="D24" s="10">
        <f ca="1">+TODAY()-radicados[[#This Row],[FECHA]]</f>
        <v>598</v>
      </c>
      <c r="E24" s="32" t="str">
        <f>+_xlfn.XLOOKUP(radicados[[#This Row],[MUNICIPIO]],MUNICIPIOS!A:A,MUNICIPIOS!E:E,0,0,1)</f>
        <v>Oriente</v>
      </c>
      <c r="F24" s="34" t="s">
        <v>27</v>
      </c>
      <c r="G24" s="3">
        <v>21</v>
      </c>
      <c r="H24" t="s">
        <v>69</v>
      </c>
      <c r="I24" t="s">
        <v>6</v>
      </c>
      <c r="J24" s="12">
        <v>1578945342</v>
      </c>
      <c r="K24" s="13"/>
    </row>
    <row r="25" spans="1:11">
      <c r="A25" s="9">
        <f>ROW() - ROW(radicados[[#Headers],[ID_RADICADOS]])</f>
        <v>24</v>
      </c>
      <c r="B25" s="10">
        <v>2024010171235</v>
      </c>
      <c r="C25" s="11">
        <v>45400</v>
      </c>
      <c r="D25" s="10">
        <f ca="1">+TODAY()-radicados[[#This Row],[FECHA]]</f>
        <v>596</v>
      </c>
      <c r="E25" s="32" t="str">
        <f>+_xlfn.XLOOKUP(radicados[[#This Row],[MUNICIPIO]],MUNICIPIOS!A:A,MUNICIPIOS!E:E,0,0,1)</f>
        <v>Oriente</v>
      </c>
      <c r="F25" s="34" t="s">
        <v>70</v>
      </c>
      <c r="G25" s="3">
        <v>22</v>
      </c>
      <c r="H25" t="s">
        <v>71</v>
      </c>
      <c r="I25" t="s">
        <v>17</v>
      </c>
      <c r="J25" s="12">
        <v>112000000</v>
      </c>
      <c r="K25" s="13"/>
    </row>
    <row r="26" spans="1:11">
      <c r="A26" s="9">
        <f>ROW() - ROW(radicados[[#Headers],[ID_RADICADOS]])</f>
        <v>25</v>
      </c>
      <c r="B26" s="10">
        <v>2024010153392</v>
      </c>
      <c r="C26" s="11">
        <v>45569</v>
      </c>
      <c r="D26" s="10">
        <f ca="1">+TODAY()-radicados[[#This Row],[FECHA]]</f>
        <v>427</v>
      </c>
      <c r="E26" s="32" t="str">
        <f>+_xlfn.XLOOKUP(radicados[[#This Row],[MUNICIPIO]],MUNICIPIOS!A:A,MUNICIPIOS!E:E,0,0,1)</f>
        <v>Norte</v>
      </c>
      <c r="F26" s="34" t="s">
        <v>35</v>
      </c>
      <c r="G26" s="3">
        <v>23</v>
      </c>
      <c r="H26" t="s">
        <v>73</v>
      </c>
      <c r="I26" t="s">
        <v>6</v>
      </c>
      <c r="J26" s="12">
        <v>764624487</v>
      </c>
      <c r="K26" s="13"/>
    </row>
    <row r="27" spans="1:11">
      <c r="A27" s="9">
        <f>ROW() - ROW(radicados[[#Headers],[ID_RADICADOS]])</f>
        <v>26</v>
      </c>
      <c r="B27" s="10">
        <v>2024010207402</v>
      </c>
      <c r="C27" s="11">
        <v>45509</v>
      </c>
      <c r="D27" s="10">
        <f ca="1">+TODAY()-radicados[[#This Row],[FECHA]]</f>
        <v>487</v>
      </c>
      <c r="E27" s="32" t="str">
        <f>+_xlfn.XLOOKUP(radicados[[#This Row],[MUNICIPIO]],MUNICIPIOS!A:A,MUNICIPIOS!E:E,0,0,1)</f>
        <v>Urabá</v>
      </c>
      <c r="F27" s="34" t="s">
        <v>74</v>
      </c>
      <c r="G27" s="3">
        <v>24</v>
      </c>
      <c r="H27" t="s">
        <v>75</v>
      </c>
      <c r="I27" t="s">
        <v>17</v>
      </c>
      <c r="J27" s="12">
        <v>0</v>
      </c>
      <c r="K27" s="13"/>
    </row>
    <row r="28" spans="1:11">
      <c r="A28" s="9">
        <f>ROW() - ROW(radicados[[#Headers],[ID_RADICADOS]])</f>
        <v>27</v>
      </c>
      <c r="B28" s="10">
        <v>2024010237994</v>
      </c>
      <c r="C28" s="11">
        <v>45440</v>
      </c>
      <c r="D28" s="10">
        <f ca="1">+TODAY()-radicados[[#This Row],[FECHA]]</f>
        <v>556</v>
      </c>
      <c r="E28" s="32" t="str">
        <f>+_xlfn.XLOOKUP(radicados[[#This Row],[MUNICIPIO]],MUNICIPIOS!A:A,MUNICIPIOS!E:E,0,0,1)</f>
        <v>Valle de Aburrá</v>
      </c>
      <c r="F28" s="34" t="s">
        <v>76</v>
      </c>
      <c r="G28" s="3">
        <v>25</v>
      </c>
      <c r="H28" t="s">
        <v>77</v>
      </c>
      <c r="I28" t="s">
        <v>51</v>
      </c>
      <c r="J28" s="12">
        <v>27000000000</v>
      </c>
      <c r="K28" s="13"/>
    </row>
    <row r="29" spans="1:11">
      <c r="A29" s="9">
        <f>ROW() - ROW(radicados[[#Headers],[ID_RADICADOS]])</f>
        <v>28</v>
      </c>
      <c r="B29" s="10">
        <v>2024010232610</v>
      </c>
      <c r="C29" s="11">
        <v>45436</v>
      </c>
      <c r="D29" s="10">
        <f ca="1">+TODAY()-radicados[[#This Row],[FECHA]]</f>
        <v>560</v>
      </c>
      <c r="E29" s="32" t="str">
        <f>+_xlfn.XLOOKUP(radicados[[#This Row],[MUNICIPIO]],MUNICIPIOS!A:A,MUNICIPIOS!E:E,0,0,1)</f>
        <v>Oriente</v>
      </c>
      <c r="F29" s="34" t="s">
        <v>70</v>
      </c>
      <c r="G29" s="3">
        <v>26</v>
      </c>
      <c r="H29" t="s">
        <v>79</v>
      </c>
      <c r="I29" t="s">
        <v>17</v>
      </c>
      <c r="J29" s="12">
        <v>4805691053</v>
      </c>
      <c r="K29" s="13"/>
    </row>
    <row r="30" spans="1:11">
      <c r="A30" s="9">
        <f>ROW() - ROW(radicados[[#Headers],[ID_RADICADOS]])</f>
        <v>29</v>
      </c>
      <c r="B30" s="10">
        <v>2024010233575</v>
      </c>
      <c r="C30" s="11">
        <v>45436</v>
      </c>
      <c r="D30" s="10">
        <f ca="1">+TODAY()-radicados[[#This Row],[FECHA]]</f>
        <v>560</v>
      </c>
      <c r="E30" s="32" t="str">
        <f>+_xlfn.XLOOKUP(radicados[[#This Row],[MUNICIPIO]],MUNICIPIOS!A:A,MUNICIPIOS!E:E,0,0,1)</f>
        <v>Magdalena Medio</v>
      </c>
      <c r="F30" s="34" t="s">
        <v>11</v>
      </c>
      <c r="G30" s="3">
        <v>27</v>
      </c>
      <c r="H30" t="s">
        <v>80</v>
      </c>
      <c r="I30" t="s">
        <v>6</v>
      </c>
      <c r="J30" s="12">
        <v>1500000000</v>
      </c>
      <c r="K30" s="13"/>
    </row>
    <row r="31" spans="1:11">
      <c r="A31" s="9">
        <f>ROW() - ROW(radicados[[#Headers],[ID_RADICADOS]])</f>
        <v>30</v>
      </c>
      <c r="B31" s="10">
        <v>2024010201559</v>
      </c>
      <c r="C31" s="11">
        <v>45448</v>
      </c>
      <c r="D31" s="10">
        <f ca="1">+TODAY()-radicados[[#This Row],[FECHA]]</f>
        <v>548</v>
      </c>
      <c r="E31" s="32" t="str">
        <f>+_xlfn.XLOOKUP(radicados[[#This Row],[MUNICIPIO]],MUNICIPIOS!A:A,MUNICIPIOS!E:E,0,0,1)</f>
        <v>Valle de Aburrá</v>
      </c>
      <c r="F31" s="34" t="s">
        <v>15</v>
      </c>
      <c r="G31" s="3">
        <v>28</v>
      </c>
      <c r="H31" t="s">
        <v>81</v>
      </c>
      <c r="I31" t="s">
        <v>17</v>
      </c>
      <c r="J31" s="12">
        <v>0</v>
      </c>
      <c r="K31" s="13"/>
    </row>
    <row r="32" spans="1:11">
      <c r="A32" s="9">
        <f>ROW() - ROW(radicados[[#Headers],[ID_RADICADOS]])</f>
        <v>31</v>
      </c>
      <c r="B32" s="10">
        <v>2024010209802</v>
      </c>
      <c r="C32" s="11">
        <v>45540</v>
      </c>
      <c r="D32" s="10">
        <f ca="1">+TODAY()-radicados[[#This Row],[FECHA]]</f>
        <v>456</v>
      </c>
      <c r="E32" s="32" t="str">
        <f>+_xlfn.XLOOKUP(radicados[[#This Row],[MUNICIPIO]],MUNICIPIOS!A:A,MUNICIPIOS!E:E,0,0,1)</f>
        <v>Norte</v>
      </c>
      <c r="F32" s="34" t="s">
        <v>324</v>
      </c>
      <c r="G32" s="3">
        <v>29</v>
      </c>
      <c r="H32" t="s">
        <v>83</v>
      </c>
      <c r="I32" t="s">
        <v>17</v>
      </c>
      <c r="J32" s="12">
        <v>0</v>
      </c>
      <c r="K32" s="13"/>
    </row>
    <row r="33" spans="1:11">
      <c r="A33" s="9">
        <f>ROW() - ROW(radicados[[#Headers],[ID_RADICADOS]])</f>
        <v>32</v>
      </c>
      <c r="B33" s="10">
        <v>2024010224714</v>
      </c>
      <c r="C33" s="11">
        <v>45432</v>
      </c>
      <c r="D33" s="10">
        <f ca="1">+TODAY()-radicados[[#This Row],[FECHA]]</f>
        <v>564</v>
      </c>
      <c r="E33" s="32" t="str">
        <f>+_xlfn.XLOOKUP(radicados[[#This Row],[MUNICIPIO]],MUNICIPIOS!A:A,MUNICIPIOS!E:E,0,0,1)</f>
        <v>Oriente</v>
      </c>
      <c r="F33" s="34" t="s">
        <v>84</v>
      </c>
      <c r="G33" s="3">
        <v>30</v>
      </c>
      <c r="H33" t="s">
        <v>85</v>
      </c>
      <c r="I33" t="s">
        <v>17</v>
      </c>
      <c r="J33" s="12">
        <v>4281286508</v>
      </c>
      <c r="K33" s="13"/>
    </row>
    <row r="34" spans="1:11">
      <c r="A34" s="9">
        <f>ROW() - ROW(radicados[[#Headers],[ID_RADICADOS]])</f>
        <v>33</v>
      </c>
      <c r="B34" s="10">
        <v>2024010233254</v>
      </c>
      <c r="C34" s="11">
        <v>45436</v>
      </c>
      <c r="D34" s="10">
        <f ca="1">+TODAY()-radicados[[#This Row],[FECHA]]</f>
        <v>560</v>
      </c>
      <c r="E34" s="32" t="str">
        <f>+_xlfn.XLOOKUP(radicados[[#This Row],[MUNICIPIO]],MUNICIPIOS!A:A,MUNICIPIOS!E:E,0,0,1)</f>
        <v>Valle de Aburrá</v>
      </c>
      <c r="F34" s="34" t="s">
        <v>15</v>
      </c>
      <c r="G34" s="3">
        <v>31</v>
      </c>
      <c r="H34" t="s">
        <v>86</v>
      </c>
      <c r="I34" t="s">
        <v>51</v>
      </c>
      <c r="J34" s="12">
        <v>0</v>
      </c>
      <c r="K34" s="13"/>
    </row>
    <row r="35" spans="1:11">
      <c r="A35" s="9">
        <f>ROW() - ROW(radicados[[#Headers],[ID_RADICADOS]])</f>
        <v>34</v>
      </c>
      <c r="B35" s="10">
        <v>2024010246827</v>
      </c>
      <c r="C35" s="11">
        <v>45388</v>
      </c>
      <c r="D35" s="10">
        <f ca="1">+TODAY()-radicados[[#This Row],[FECHA]]</f>
        <v>608</v>
      </c>
      <c r="E35" s="32" t="str">
        <f>+_xlfn.XLOOKUP(radicados[[#This Row],[MUNICIPIO]],MUNICIPIOS!A:A,MUNICIPIOS!E:E,0,0,1)</f>
        <v>Urabá</v>
      </c>
      <c r="F35" s="34" t="s">
        <v>63</v>
      </c>
      <c r="G35" s="3">
        <v>32</v>
      </c>
      <c r="H35" t="s">
        <v>87</v>
      </c>
      <c r="I35" t="s">
        <v>17</v>
      </c>
      <c r="J35" s="12">
        <v>2256305783</v>
      </c>
      <c r="K35" s="13"/>
    </row>
    <row r="36" spans="1:11">
      <c r="A36" s="9">
        <f>ROW() - ROW(radicados[[#Headers],[ID_RADICADOS]])</f>
        <v>35</v>
      </c>
      <c r="B36" s="10">
        <v>2024010258317</v>
      </c>
      <c r="C36" s="11">
        <v>45602</v>
      </c>
      <c r="D36" s="10">
        <f ca="1">+TODAY()-radicados[[#This Row],[FECHA]]</f>
        <v>394</v>
      </c>
      <c r="E36" s="32" t="str">
        <f>+_xlfn.XLOOKUP(radicados[[#This Row],[MUNICIPIO]],MUNICIPIOS!A:A,MUNICIPIOS!E:E,0,0,1)</f>
        <v>Suroeste</v>
      </c>
      <c r="F36" s="34" t="s">
        <v>88</v>
      </c>
      <c r="G36" s="3">
        <v>33</v>
      </c>
      <c r="H36" t="s">
        <v>89</v>
      </c>
      <c r="I36" t="s">
        <v>17</v>
      </c>
      <c r="J36" s="12">
        <v>4943542014</v>
      </c>
      <c r="K36" s="13"/>
    </row>
    <row r="37" spans="1:11">
      <c r="A37" s="9">
        <f>ROW() - ROW(radicados[[#Headers],[ID_RADICADOS]])</f>
        <v>36</v>
      </c>
      <c r="B37" s="10">
        <v>2024010152199</v>
      </c>
      <c r="C37" s="11">
        <v>45539</v>
      </c>
      <c r="D37" s="10">
        <f ca="1">+TODAY()-radicados[[#This Row],[FECHA]]</f>
        <v>457</v>
      </c>
      <c r="E37" s="32" t="str">
        <f>+_xlfn.XLOOKUP(radicados[[#This Row],[MUNICIPIO]],MUNICIPIOS!A:A,MUNICIPIOS!E:E,0,0,1)</f>
        <v>Suroeste</v>
      </c>
      <c r="F37" s="34" t="s">
        <v>90</v>
      </c>
      <c r="G37" s="3">
        <v>34</v>
      </c>
      <c r="H37" t="s">
        <v>91</v>
      </c>
      <c r="I37" t="s">
        <v>17</v>
      </c>
      <c r="J37" s="12">
        <v>0</v>
      </c>
      <c r="K37" s="13"/>
    </row>
    <row r="38" spans="1:11">
      <c r="A38" s="9">
        <f>ROW() - ROW(radicados[[#Headers],[ID_RADICADOS]])</f>
        <v>37</v>
      </c>
      <c r="B38" s="10">
        <v>2024010159071</v>
      </c>
      <c r="C38" s="11">
        <v>45630</v>
      </c>
      <c r="D38" s="10">
        <f ca="1">+TODAY()-radicados[[#This Row],[FECHA]]</f>
        <v>366</v>
      </c>
      <c r="E38" s="32" t="str">
        <f>+_xlfn.XLOOKUP(radicados[[#This Row],[MUNICIPIO]],MUNICIPIOS!A:A,MUNICIPIOS!E:E,0,0,1)</f>
        <v>Suroeste</v>
      </c>
      <c r="F38" s="34" t="s">
        <v>92</v>
      </c>
      <c r="G38" s="3">
        <v>35</v>
      </c>
      <c r="H38" t="s">
        <v>93</v>
      </c>
      <c r="I38" t="s">
        <v>51</v>
      </c>
      <c r="J38" s="12">
        <v>0</v>
      </c>
      <c r="K38" s="13"/>
    </row>
    <row r="39" spans="1:11">
      <c r="A39" s="9">
        <f>ROW() - ROW(radicados[[#Headers],[ID_RADICADOS]])</f>
        <v>38</v>
      </c>
      <c r="B39" s="10">
        <v>2024010163837</v>
      </c>
      <c r="C39" s="11">
        <v>45398</v>
      </c>
      <c r="D39" s="10">
        <f ca="1">+TODAY()-radicados[[#This Row],[FECHA]]</f>
        <v>598</v>
      </c>
      <c r="E39" s="32" t="str">
        <f>+_xlfn.XLOOKUP(radicados[[#This Row],[MUNICIPIO]],MUNICIPIOS!A:A,MUNICIPIOS!E:E,0,0,1)</f>
        <v>Urabá</v>
      </c>
      <c r="F39" s="34" t="s">
        <v>63</v>
      </c>
      <c r="G39" s="3">
        <v>36</v>
      </c>
      <c r="H39" t="s">
        <v>94</v>
      </c>
      <c r="I39" t="s">
        <v>17</v>
      </c>
      <c r="J39" s="12">
        <v>2500751722</v>
      </c>
      <c r="K39" s="13"/>
    </row>
    <row r="40" spans="1:11">
      <c r="A40" s="9">
        <f>ROW() - ROW(radicados[[#Headers],[ID_RADICADOS]])</f>
        <v>39</v>
      </c>
      <c r="B40" s="10">
        <v>2024010238427</v>
      </c>
      <c r="C40" s="11">
        <v>45440</v>
      </c>
      <c r="D40" s="10">
        <f ca="1">+TODAY()-radicados[[#This Row],[FECHA]]</f>
        <v>556</v>
      </c>
      <c r="E40" s="32" t="str">
        <f>+_xlfn.XLOOKUP(radicados[[#This Row],[MUNICIPIO]],MUNICIPIOS!A:A,MUNICIPIOS!E:E,0,0,1)</f>
        <v>Norte</v>
      </c>
      <c r="F40" s="34" t="s">
        <v>35</v>
      </c>
      <c r="G40" s="3">
        <v>23</v>
      </c>
      <c r="H40" t="s">
        <v>73</v>
      </c>
      <c r="I40" t="s">
        <v>6</v>
      </c>
      <c r="J40" s="12">
        <v>426248730</v>
      </c>
      <c r="K40" s="13"/>
    </row>
    <row r="41" spans="1:11">
      <c r="A41" s="9">
        <f>ROW() - ROW(radicados[[#Headers],[ID_RADICADOS]])</f>
        <v>40</v>
      </c>
      <c r="B41" s="10">
        <v>2024010238039</v>
      </c>
      <c r="C41" s="11">
        <v>45440</v>
      </c>
      <c r="D41" s="10">
        <f ca="1">+TODAY()-radicados[[#This Row],[FECHA]]</f>
        <v>556</v>
      </c>
      <c r="E41" s="32" t="str">
        <f>+_xlfn.XLOOKUP(radicados[[#This Row],[MUNICIPIO]],MUNICIPIOS!A:A,MUNICIPIOS!E:E,0,0,1)</f>
        <v>Occidente</v>
      </c>
      <c r="F41" s="34" t="s">
        <v>95</v>
      </c>
      <c r="G41" s="3">
        <v>37</v>
      </c>
      <c r="H41" t="s">
        <v>96</v>
      </c>
      <c r="I41" t="s">
        <v>17</v>
      </c>
      <c r="J41" s="12">
        <v>16955817824</v>
      </c>
      <c r="K41" s="13"/>
    </row>
    <row r="42" spans="1:11">
      <c r="A42" s="9">
        <f>ROW() - ROW(radicados[[#Headers],[ID_RADICADOS]])</f>
        <v>41</v>
      </c>
      <c r="B42" s="10">
        <v>2024010257155</v>
      </c>
      <c r="C42" s="11">
        <v>45602</v>
      </c>
      <c r="D42" s="10">
        <f ca="1">+TODAY()-radicados[[#This Row],[FECHA]]</f>
        <v>394</v>
      </c>
      <c r="E42" s="32" t="str">
        <f>+_xlfn.XLOOKUP(radicados[[#This Row],[MUNICIPIO]],MUNICIPIOS!A:A,MUNICIPIOS!E:E,0,0,1)</f>
        <v>Oriente</v>
      </c>
      <c r="F42" s="34" t="s">
        <v>97</v>
      </c>
      <c r="G42" s="3">
        <v>38</v>
      </c>
      <c r="H42" t="s">
        <v>98</v>
      </c>
      <c r="I42" t="s">
        <v>17</v>
      </c>
      <c r="J42" s="12">
        <v>5930233558</v>
      </c>
      <c r="K42" s="13"/>
    </row>
    <row r="43" spans="1:11">
      <c r="A43" s="9">
        <f>ROW() - ROW(radicados[[#Headers],[ID_RADICADOS]])</f>
        <v>42</v>
      </c>
      <c r="B43" s="10">
        <v>2024010273696</v>
      </c>
      <c r="C43" s="11">
        <v>45554</v>
      </c>
      <c r="D43" s="10">
        <f ca="1">+TODAY()-radicados[[#This Row],[FECHA]]</f>
        <v>442</v>
      </c>
      <c r="E43" s="32" t="str">
        <f>+_xlfn.XLOOKUP(radicados[[#This Row],[MUNICIPIO]],MUNICIPIOS!A:A,MUNICIPIOS!E:E,0,0,1)</f>
        <v>Norte</v>
      </c>
      <c r="F43" s="34" t="s">
        <v>35</v>
      </c>
      <c r="G43" s="3">
        <v>39</v>
      </c>
      <c r="H43" t="s">
        <v>99</v>
      </c>
      <c r="I43" t="s">
        <v>51</v>
      </c>
      <c r="J43" s="12">
        <v>7948407205</v>
      </c>
      <c r="K43" s="13"/>
    </row>
    <row r="44" spans="1:11">
      <c r="A44" s="9">
        <f>ROW() - ROW(radicados[[#Headers],[ID_RADICADOS]])</f>
        <v>43</v>
      </c>
      <c r="B44" s="10">
        <v>2024010429631</v>
      </c>
      <c r="C44" s="11">
        <v>45464</v>
      </c>
      <c r="D44" s="10">
        <f ca="1">+TODAY()-radicados[[#This Row],[FECHA]]</f>
        <v>532</v>
      </c>
      <c r="E44" s="32" t="str">
        <f>+_xlfn.XLOOKUP(radicados[[#This Row],[MUNICIPIO]],MUNICIPIOS!A:A,MUNICIPIOS!E:E,0,0,1)</f>
        <v>Norte</v>
      </c>
      <c r="F44" s="34" t="s">
        <v>35</v>
      </c>
      <c r="G44" s="3">
        <v>39</v>
      </c>
      <c r="H44" t="s">
        <v>99</v>
      </c>
      <c r="I44" t="s">
        <v>51</v>
      </c>
      <c r="J44" s="12">
        <v>7948407205</v>
      </c>
      <c r="K44" s="13"/>
    </row>
    <row r="45" spans="1:11">
      <c r="A45" s="9">
        <f>ROW() - ROW(radicados[[#Headers],[ID_RADICADOS]])</f>
        <v>44</v>
      </c>
      <c r="B45" s="10">
        <v>2024010277200</v>
      </c>
      <c r="C45" s="11">
        <v>45464</v>
      </c>
      <c r="D45" s="10">
        <f ca="1">+TODAY()-radicados[[#This Row],[FECHA]]</f>
        <v>532</v>
      </c>
      <c r="E45" s="32" t="str">
        <f>+_xlfn.XLOOKUP(radicados[[#This Row],[MUNICIPIO]],MUNICIPIOS!A:A,MUNICIPIOS!E:E,0,0,1)</f>
        <v>Suroeste</v>
      </c>
      <c r="F45" s="34" t="s">
        <v>88</v>
      </c>
      <c r="G45" s="3">
        <v>40</v>
      </c>
      <c r="H45" t="s">
        <v>100</v>
      </c>
      <c r="I45" t="s">
        <v>17</v>
      </c>
      <c r="J45" s="12">
        <v>4106423860</v>
      </c>
      <c r="K45" s="13"/>
    </row>
    <row r="46" spans="1:11">
      <c r="A46" s="9">
        <f>ROW() - ROW(radicados[[#Headers],[ID_RADICADOS]])</f>
        <v>45</v>
      </c>
      <c r="B46" s="10">
        <v>2024010277294</v>
      </c>
      <c r="C46" s="11">
        <v>45467</v>
      </c>
      <c r="D46" s="10">
        <f ca="1">+TODAY()-radicados[[#This Row],[FECHA]]</f>
        <v>529</v>
      </c>
      <c r="E46" s="32" t="str">
        <f>+_xlfn.XLOOKUP(radicados[[#This Row],[MUNICIPIO]],MUNICIPIOS!A:A,MUNICIPIOS!E:E,0,0,1)</f>
        <v>Suroeste</v>
      </c>
      <c r="F46" s="34" t="s">
        <v>101</v>
      </c>
      <c r="G46" s="3">
        <v>41</v>
      </c>
      <c r="H46" t="s">
        <v>102</v>
      </c>
      <c r="I46" t="s">
        <v>17</v>
      </c>
      <c r="J46" s="12">
        <v>846169923</v>
      </c>
      <c r="K46" s="13"/>
    </row>
    <row r="47" spans="1:11">
      <c r="A47" s="9">
        <f>ROW() - ROW(radicados[[#Headers],[ID_RADICADOS]])</f>
        <v>46</v>
      </c>
      <c r="B47" s="10">
        <v>2024010279803</v>
      </c>
      <c r="C47" s="11">
        <v>45429</v>
      </c>
      <c r="D47" s="10">
        <f ca="1">+TODAY()-radicados[[#This Row],[FECHA]]</f>
        <v>567</v>
      </c>
      <c r="E47" s="32" t="str">
        <f>+_xlfn.XLOOKUP(radicados[[#This Row],[MUNICIPIO]],MUNICIPIOS!A:A,MUNICIPIOS!E:E,0,0,1)</f>
        <v>Oriente</v>
      </c>
      <c r="F47" s="34" t="s">
        <v>103</v>
      </c>
      <c r="G47" s="3">
        <v>42</v>
      </c>
      <c r="H47" t="s">
        <v>104</v>
      </c>
      <c r="I47" t="s">
        <v>51</v>
      </c>
      <c r="J47" s="12">
        <v>0</v>
      </c>
      <c r="K47" s="13"/>
    </row>
    <row r="48" spans="1:11">
      <c r="A48" s="9">
        <f>ROW() - ROW(radicados[[#Headers],[ID_RADICADOS]])</f>
        <v>47</v>
      </c>
      <c r="B48" s="10">
        <v>2024010220650</v>
      </c>
      <c r="C48" s="11">
        <v>45442</v>
      </c>
      <c r="D48" s="10">
        <f ca="1">+TODAY()-radicados[[#This Row],[FECHA]]</f>
        <v>554</v>
      </c>
      <c r="E48" s="32" t="str">
        <f>+_xlfn.XLOOKUP(radicados[[#This Row],[MUNICIPIO]],MUNICIPIOS!A:A,MUNICIPIOS!E:E,0,0,1)</f>
        <v>Oriente</v>
      </c>
      <c r="F48" s="34" t="s">
        <v>84</v>
      </c>
      <c r="G48" s="3">
        <v>43</v>
      </c>
      <c r="H48" t="s">
        <v>105</v>
      </c>
      <c r="I48" t="s">
        <v>17</v>
      </c>
      <c r="J48" s="12">
        <v>11094609252</v>
      </c>
      <c r="K48" s="13"/>
    </row>
    <row r="49" spans="1:11">
      <c r="A49" s="9">
        <f>ROW() - ROW(radicados[[#Headers],[ID_RADICADOS]])</f>
        <v>48</v>
      </c>
      <c r="B49" s="10">
        <v>2024010242499</v>
      </c>
      <c r="C49" s="11">
        <v>45464</v>
      </c>
      <c r="D49" s="10">
        <f ca="1">+TODAY()-radicados[[#This Row],[FECHA]]</f>
        <v>532</v>
      </c>
      <c r="E49" s="32" t="str">
        <f>+_xlfn.XLOOKUP(radicados[[#This Row],[MUNICIPIO]],MUNICIPIOS!A:A,MUNICIPIOS!E:E,0,0,1)</f>
        <v>Suroeste</v>
      </c>
      <c r="F49" s="34" t="s">
        <v>54</v>
      </c>
      <c r="G49" s="3">
        <v>44</v>
      </c>
      <c r="H49" t="s">
        <v>106</v>
      </c>
      <c r="I49" t="s">
        <v>6</v>
      </c>
      <c r="J49" s="12">
        <v>288779865</v>
      </c>
      <c r="K49" s="13"/>
    </row>
    <row r="50" spans="1:11">
      <c r="A50" s="9">
        <f>ROW() - ROW(radicados[[#Headers],[ID_RADICADOS]])</f>
        <v>49</v>
      </c>
      <c r="B50" s="10">
        <v>2024010278154</v>
      </c>
      <c r="C50" s="11">
        <v>45441</v>
      </c>
      <c r="D50" s="10">
        <f ca="1">+TODAY()-radicados[[#This Row],[FECHA]]</f>
        <v>555</v>
      </c>
      <c r="E50" s="32" t="str">
        <f>+_xlfn.XLOOKUP(radicados[[#This Row],[MUNICIPIO]],MUNICIPIOS!A:A,MUNICIPIOS!E:E,0,0,1)</f>
        <v>Oriente</v>
      </c>
      <c r="F50" s="34" t="s">
        <v>27</v>
      </c>
      <c r="G50" s="3">
        <v>45</v>
      </c>
      <c r="H50" t="s">
        <v>107</v>
      </c>
      <c r="I50" t="s">
        <v>51</v>
      </c>
      <c r="J50" s="12">
        <v>0</v>
      </c>
      <c r="K50" s="13"/>
    </row>
    <row r="51" spans="1:11">
      <c r="A51" s="9">
        <f>ROW() - ROW(radicados[[#Headers],[ID_RADICADOS]])</f>
        <v>50</v>
      </c>
      <c r="B51" s="10">
        <v>2024010240568</v>
      </c>
      <c r="C51" s="11">
        <v>45441</v>
      </c>
      <c r="D51" s="10">
        <f ca="1">+TODAY()-radicados[[#This Row],[FECHA]]</f>
        <v>555</v>
      </c>
      <c r="E51" s="32" t="str">
        <f>+_xlfn.XLOOKUP(radicados[[#This Row],[MUNICIPIO]],MUNICIPIOS!A:A,MUNICIPIOS!E:E,0,0,1)</f>
        <v>Urabá</v>
      </c>
      <c r="F51" s="34" t="s">
        <v>63</v>
      </c>
      <c r="G51" s="3">
        <v>46</v>
      </c>
      <c r="H51" t="s">
        <v>109</v>
      </c>
      <c r="I51" t="s">
        <v>17</v>
      </c>
      <c r="J51" s="12">
        <v>883515930</v>
      </c>
      <c r="K51" s="13"/>
    </row>
    <row r="52" spans="1:11">
      <c r="A52" s="9">
        <f>ROW() - ROW(radicados[[#Headers],[ID_RADICADOS]])</f>
        <v>51</v>
      </c>
      <c r="B52" s="10">
        <v>2024010240685</v>
      </c>
      <c r="C52" s="11">
        <v>45542</v>
      </c>
      <c r="D52" s="10">
        <f ca="1">+TODAY()-radicados[[#This Row],[FECHA]]</f>
        <v>454</v>
      </c>
      <c r="E52" s="32" t="str">
        <f>+_xlfn.XLOOKUP(radicados[[#This Row],[MUNICIPIO]],MUNICIPIOS!A:A,MUNICIPIOS!E:E,0,0,1)</f>
        <v>Urabá</v>
      </c>
      <c r="F52" s="34" t="s">
        <v>63</v>
      </c>
      <c r="G52" s="3">
        <v>47</v>
      </c>
      <c r="H52" t="s">
        <v>110</v>
      </c>
      <c r="I52" t="s">
        <v>51</v>
      </c>
      <c r="J52" s="12">
        <v>0</v>
      </c>
      <c r="K52" s="13"/>
    </row>
    <row r="53" spans="1:11">
      <c r="A53" s="9">
        <f>ROW() - ROW(radicados[[#Headers],[ID_RADICADOS]])</f>
        <v>52</v>
      </c>
      <c r="B53" s="10">
        <v>2024010304650</v>
      </c>
      <c r="C53" s="11">
        <v>45602</v>
      </c>
      <c r="D53" s="10">
        <f ca="1">+TODAY()-radicados[[#This Row],[FECHA]]</f>
        <v>394</v>
      </c>
      <c r="E53" s="32" t="str">
        <f>+_xlfn.XLOOKUP(radicados[[#This Row],[MUNICIPIO]],MUNICIPIOS!A:A,MUNICIPIOS!E:E,0,0,1)</f>
        <v>Urabá</v>
      </c>
      <c r="F53" s="34" t="s">
        <v>111</v>
      </c>
      <c r="G53" s="3">
        <v>48</v>
      </c>
      <c r="H53" t="s">
        <v>112</v>
      </c>
      <c r="I53" t="s">
        <v>17</v>
      </c>
      <c r="J53" s="12">
        <v>7999391717</v>
      </c>
      <c r="K53" s="13"/>
    </row>
    <row r="54" spans="1:11">
      <c r="A54" s="9">
        <f>ROW() - ROW(radicados[[#Headers],[ID_RADICADOS]])</f>
        <v>53</v>
      </c>
      <c r="B54" s="10">
        <v>2024010258944</v>
      </c>
      <c r="C54" s="11">
        <v>45572</v>
      </c>
      <c r="D54" s="10">
        <f ca="1">+TODAY()-radicados[[#This Row],[FECHA]]</f>
        <v>424</v>
      </c>
      <c r="E54" s="32" t="str">
        <f>+_xlfn.XLOOKUP(radicados[[#This Row],[MUNICIPIO]],MUNICIPIOS!A:A,MUNICIPIOS!E:E,0,0,1)</f>
        <v>Oriente</v>
      </c>
      <c r="F54" s="34" t="s">
        <v>113</v>
      </c>
      <c r="G54" s="3">
        <v>49</v>
      </c>
      <c r="H54" s="28" t="s">
        <v>114</v>
      </c>
      <c r="I54" t="s">
        <v>17</v>
      </c>
      <c r="J54" s="12">
        <v>2927424697</v>
      </c>
      <c r="K54" s="13"/>
    </row>
    <row r="55" spans="1:11">
      <c r="A55" s="9">
        <f>ROW() - ROW(radicados[[#Headers],[ID_RADICADOS]])</f>
        <v>54</v>
      </c>
      <c r="B55" s="10">
        <v>2024010308663</v>
      </c>
      <c r="C55" s="11">
        <v>45490</v>
      </c>
      <c r="D55" s="10">
        <f ca="1">+TODAY()-radicados[[#This Row],[FECHA]]</f>
        <v>506</v>
      </c>
      <c r="E55" s="32" t="str">
        <f>+_xlfn.XLOOKUP(radicados[[#This Row],[MUNICIPIO]],MUNICIPIOS!A:A,MUNICIPIOS!E:E,0,0,1)</f>
        <v>Oriente</v>
      </c>
      <c r="F55" s="34" t="s">
        <v>115</v>
      </c>
      <c r="G55" s="3">
        <v>50</v>
      </c>
      <c r="H55" t="s">
        <v>116</v>
      </c>
      <c r="I55" t="s">
        <v>6</v>
      </c>
      <c r="J55" s="12">
        <v>2999920775</v>
      </c>
      <c r="K55" s="13"/>
    </row>
    <row r="56" spans="1:11">
      <c r="A56" s="9">
        <f>ROW() - ROW(radicados[[#Headers],[ID_RADICADOS]])</f>
        <v>55</v>
      </c>
      <c r="B56" s="10">
        <v>2024010319676</v>
      </c>
      <c r="C56" s="11">
        <v>45572</v>
      </c>
      <c r="D56" s="10">
        <f ca="1">+TODAY()-radicados[[#This Row],[FECHA]]</f>
        <v>424</v>
      </c>
      <c r="E56" s="32" t="str">
        <f>+_xlfn.XLOOKUP(radicados[[#This Row],[MUNICIPIO]],MUNICIPIOS!A:A,MUNICIPIOS!E:E,0,0,1)</f>
        <v>Suroeste</v>
      </c>
      <c r="F56" s="34" t="s">
        <v>101</v>
      </c>
      <c r="G56" s="3">
        <v>41</v>
      </c>
      <c r="H56" t="s">
        <v>102</v>
      </c>
      <c r="I56" t="s">
        <v>17</v>
      </c>
      <c r="J56" s="12">
        <v>846169923</v>
      </c>
      <c r="K56" s="13"/>
    </row>
    <row r="57" spans="1:11">
      <c r="A57" s="9">
        <f>ROW() - ROW(radicados[[#Headers],[ID_RADICADOS]])</f>
        <v>56</v>
      </c>
      <c r="B57" s="10">
        <v>2024010308857</v>
      </c>
      <c r="C57" s="11">
        <v>45633</v>
      </c>
      <c r="D57" s="10">
        <f ca="1">+TODAY()-radicados[[#This Row],[FECHA]]</f>
        <v>363</v>
      </c>
      <c r="E57" s="32" t="str">
        <f>+_xlfn.XLOOKUP(radicados[[#This Row],[MUNICIPIO]],MUNICIPIOS!A:A,MUNICIPIOS!E:E,0,0,1)</f>
        <v>Urabá</v>
      </c>
      <c r="F57" s="34" t="s">
        <v>118</v>
      </c>
      <c r="G57" s="3">
        <v>51</v>
      </c>
      <c r="H57" t="s">
        <v>119</v>
      </c>
      <c r="I57" t="s">
        <v>17</v>
      </c>
      <c r="J57" s="12">
        <v>4215630027</v>
      </c>
      <c r="K57" s="13"/>
    </row>
    <row r="58" spans="1:11">
      <c r="A58" s="9">
        <f>ROW() - ROW(radicados[[#Headers],[ID_RADICADOS]])</f>
        <v>57</v>
      </c>
      <c r="B58" s="10">
        <v>2024010313514</v>
      </c>
      <c r="C58" s="11">
        <v>45358</v>
      </c>
      <c r="D58" s="10">
        <f ca="1">+TODAY()-radicados[[#This Row],[FECHA]]</f>
        <v>638</v>
      </c>
      <c r="E58" s="32" t="str">
        <f>+_xlfn.XLOOKUP(radicados[[#This Row],[MUNICIPIO]],MUNICIPIOS!A:A,MUNICIPIOS!E:E,0,0,1)</f>
        <v>Norte</v>
      </c>
      <c r="F58" s="34" t="s">
        <v>120</v>
      </c>
      <c r="G58" s="3">
        <v>52</v>
      </c>
      <c r="H58" t="s">
        <v>121</v>
      </c>
      <c r="J58" s="12">
        <v>0</v>
      </c>
      <c r="K58" s="13"/>
    </row>
    <row r="59" spans="1:11">
      <c r="A59" s="9">
        <f>ROW() - ROW(radicados[[#Headers],[ID_RADICADOS]])</f>
        <v>58</v>
      </c>
      <c r="B59" s="10">
        <v>2024010295409</v>
      </c>
      <c r="C59" s="11">
        <v>45603</v>
      </c>
      <c r="D59" s="10">
        <f ca="1">+TODAY()-radicados[[#This Row],[FECHA]]</f>
        <v>393</v>
      </c>
      <c r="E59" s="32" t="str">
        <f>+_xlfn.XLOOKUP(radicados[[#This Row],[MUNICIPIO]],MUNICIPIOS!A:A,MUNICIPIOS!E:E,0,0,1)</f>
        <v>Occidente</v>
      </c>
      <c r="F59" s="34" t="s">
        <v>95</v>
      </c>
      <c r="G59" s="3">
        <v>53</v>
      </c>
      <c r="H59" t="s">
        <v>122</v>
      </c>
      <c r="I59" t="s">
        <v>51</v>
      </c>
      <c r="J59" s="12">
        <v>0</v>
      </c>
      <c r="K59" s="13"/>
    </row>
    <row r="60" spans="1:11">
      <c r="A60" s="9">
        <f>ROW() - ROW(radicados[[#Headers],[ID_RADICADOS]])</f>
        <v>59</v>
      </c>
      <c r="B60" s="10">
        <v>2024010309743</v>
      </c>
      <c r="C60" s="11">
        <v>45490</v>
      </c>
      <c r="D60" s="10">
        <f ca="1">+TODAY()-radicados[[#This Row],[FECHA]]</f>
        <v>506</v>
      </c>
      <c r="E60" s="32" t="str">
        <f>+_xlfn.XLOOKUP(radicados[[#This Row],[MUNICIPIO]],MUNICIPIOS!A:A,MUNICIPIOS!E:E,0,0,1)</f>
        <v>Suroeste</v>
      </c>
      <c r="F60" s="34" t="s">
        <v>52</v>
      </c>
      <c r="G60" s="3">
        <v>54</v>
      </c>
      <c r="H60" t="s">
        <v>123</v>
      </c>
      <c r="I60" t="s">
        <v>17</v>
      </c>
      <c r="J60" s="12">
        <v>3539562399</v>
      </c>
      <c r="K60" s="13"/>
    </row>
    <row r="61" spans="1:11">
      <c r="A61" s="9">
        <f>ROW() - ROW(radicados[[#Headers],[ID_RADICADOS]])</f>
        <v>60</v>
      </c>
      <c r="B61" s="10">
        <v>2024010319437</v>
      </c>
      <c r="C61" s="11">
        <v>45634</v>
      </c>
      <c r="D61" s="10">
        <f ca="1">+TODAY()-radicados[[#This Row],[FECHA]]</f>
        <v>362</v>
      </c>
      <c r="E61" s="32" t="str">
        <f>+_xlfn.XLOOKUP(radicados[[#This Row],[MUNICIPIO]],MUNICIPIOS!A:A,MUNICIPIOS!E:E,0,0,1)</f>
        <v>Oriente</v>
      </c>
      <c r="F61" s="34" t="s">
        <v>84</v>
      </c>
      <c r="G61" s="3">
        <v>55</v>
      </c>
      <c r="H61" t="s">
        <v>124</v>
      </c>
      <c r="I61" t="s">
        <v>17</v>
      </c>
      <c r="J61" s="12">
        <v>684345500</v>
      </c>
      <c r="K61" s="13"/>
    </row>
    <row r="62" spans="1:11">
      <c r="A62" s="9">
        <f>ROW() - ROW(radicados[[#Headers],[ID_RADICADOS]])</f>
        <v>61</v>
      </c>
      <c r="B62" s="10">
        <v>2024010361194</v>
      </c>
      <c r="C62" s="11">
        <v>45634</v>
      </c>
      <c r="D62" s="10">
        <f ca="1">+TODAY()-radicados[[#This Row],[FECHA]]</f>
        <v>362</v>
      </c>
      <c r="E62" s="32" t="str">
        <f>+_xlfn.XLOOKUP(radicados[[#This Row],[MUNICIPIO]],MUNICIPIOS!A:A,MUNICIPIOS!E:E,0,0,1)</f>
        <v>Oriente</v>
      </c>
      <c r="F62" s="34" t="s">
        <v>125</v>
      </c>
      <c r="G62" s="3">
        <v>56</v>
      </c>
      <c r="H62" t="s">
        <v>126</v>
      </c>
      <c r="I62" t="s">
        <v>17</v>
      </c>
      <c r="J62" s="12">
        <v>0</v>
      </c>
      <c r="K62" s="13"/>
    </row>
    <row r="63" spans="1:11">
      <c r="A63" s="9">
        <f>ROW() - ROW(radicados[[#Headers],[ID_RADICADOS]])</f>
        <v>62</v>
      </c>
      <c r="B63" s="10">
        <v>2024010361554</v>
      </c>
      <c r="C63" s="11">
        <v>45504</v>
      </c>
      <c r="D63" s="10">
        <f ca="1">+TODAY()-radicados[[#This Row],[FECHA]]</f>
        <v>492</v>
      </c>
      <c r="E63" s="32" t="str">
        <f>+_xlfn.XLOOKUP(radicados[[#This Row],[MUNICIPIO]],MUNICIPIOS!A:A,MUNICIPIOS!E:E,0,0,1)</f>
        <v>Suroeste</v>
      </c>
      <c r="F63" s="34" t="s">
        <v>127</v>
      </c>
      <c r="G63" s="3">
        <v>57</v>
      </c>
      <c r="H63" t="s">
        <v>128</v>
      </c>
      <c r="I63" t="s">
        <v>17</v>
      </c>
      <c r="J63" s="12">
        <v>4172739792</v>
      </c>
      <c r="K63" s="13"/>
    </row>
    <row r="64" spans="1:11">
      <c r="A64" s="9">
        <f>ROW() - ROW(radicados[[#Headers],[ID_RADICADOS]])</f>
        <v>63</v>
      </c>
      <c r="B64" s="10">
        <v>2024010344153</v>
      </c>
      <c r="C64" s="11">
        <v>45512</v>
      </c>
      <c r="D64" s="10">
        <f ca="1">+TODAY()-radicados[[#This Row],[FECHA]]</f>
        <v>484</v>
      </c>
      <c r="E64" s="32" t="str">
        <f>+_xlfn.XLOOKUP(radicados[[#This Row],[MUNICIPIO]],MUNICIPIOS!A:A,MUNICIPIOS!E:E,0,0,1)</f>
        <v>Urabá</v>
      </c>
      <c r="F64" s="34" t="s">
        <v>111</v>
      </c>
      <c r="G64" s="3">
        <v>48</v>
      </c>
      <c r="H64" t="s">
        <v>129</v>
      </c>
      <c r="I64" t="s">
        <v>17</v>
      </c>
      <c r="J64" s="12">
        <v>7999391717</v>
      </c>
      <c r="K64" s="13"/>
    </row>
    <row r="65" spans="1:11">
      <c r="A65" s="9">
        <f>ROW() - ROW(radicados[[#Headers],[ID_RADICADOS]])</f>
        <v>64</v>
      </c>
      <c r="B65" s="10">
        <v>2024010356273</v>
      </c>
      <c r="C65" s="11">
        <v>45451</v>
      </c>
      <c r="D65" s="10">
        <f ca="1">+TODAY()-radicados[[#This Row],[FECHA]]</f>
        <v>545</v>
      </c>
      <c r="E65" s="32" t="str">
        <f>+_xlfn.XLOOKUP(radicados[[#This Row],[MUNICIPIO]],MUNICIPIOS!A:A,MUNICIPIOS!E:E,0,0,1)</f>
        <v>Urabá</v>
      </c>
      <c r="F65" s="34" t="s">
        <v>111</v>
      </c>
      <c r="G65" s="3">
        <v>58</v>
      </c>
      <c r="H65" t="s">
        <v>130</v>
      </c>
      <c r="I65" t="s">
        <v>17</v>
      </c>
      <c r="J65" s="12">
        <v>7500000000</v>
      </c>
      <c r="K65" s="13"/>
    </row>
    <row r="66" spans="1:11">
      <c r="A66" s="9">
        <f>ROW() - ROW(radicados[[#Headers],[ID_RADICADOS]])</f>
        <v>65</v>
      </c>
      <c r="B66" s="10">
        <v>2024010354533</v>
      </c>
      <c r="C66" s="11">
        <v>45518</v>
      </c>
      <c r="D66" s="10">
        <f ca="1">+TODAY()-radicados[[#This Row],[FECHA]]</f>
        <v>478</v>
      </c>
      <c r="E66" s="32" t="str">
        <f>+_xlfn.XLOOKUP(radicados[[#This Row],[MUNICIPIO]],MUNICIPIOS!A:A,MUNICIPIOS!E:E,0,0,1)</f>
        <v>Valle de Aburrá</v>
      </c>
      <c r="F66" s="34" t="s">
        <v>131</v>
      </c>
      <c r="G66" s="3">
        <v>59</v>
      </c>
      <c r="H66" t="s">
        <v>132</v>
      </c>
      <c r="I66" t="s">
        <v>17</v>
      </c>
      <c r="J66" s="12">
        <v>5661013100</v>
      </c>
      <c r="K66" s="13"/>
    </row>
    <row r="67" spans="1:11">
      <c r="A67" s="9">
        <f>ROW() - ROW(radicados[[#Headers],[ID_RADICADOS]])</f>
        <v>66</v>
      </c>
      <c r="B67" s="10">
        <v>2024010366485</v>
      </c>
      <c r="C67" s="11">
        <v>45451</v>
      </c>
      <c r="D67" s="10">
        <f ca="1">+TODAY()-radicados[[#This Row],[FECHA]]</f>
        <v>545</v>
      </c>
      <c r="E67" s="32" t="str">
        <f>+_xlfn.XLOOKUP(radicados[[#This Row],[MUNICIPIO]],MUNICIPIOS!A:A,MUNICIPIOS!E:E,0,0,1)</f>
        <v>Occidente</v>
      </c>
      <c r="F67" s="34" t="s">
        <v>95</v>
      </c>
      <c r="G67" s="3">
        <v>60</v>
      </c>
      <c r="H67" t="s">
        <v>133</v>
      </c>
      <c r="I67" t="s">
        <v>17</v>
      </c>
      <c r="J67" s="12">
        <v>3468415702</v>
      </c>
      <c r="K67" s="13"/>
    </row>
    <row r="68" spans="1:11">
      <c r="A68" s="9">
        <f>ROW() - ROW(radicados[[#Headers],[ID_RADICADOS]])</f>
        <v>67</v>
      </c>
      <c r="B68" s="10">
        <v>2024010353885</v>
      </c>
      <c r="C68" s="11">
        <v>45326</v>
      </c>
      <c r="D68" s="10">
        <f ca="1">+TODAY()-radicados[[#This Row],[FECHA]]</f>
        <v>670</v>
      </c>
      <c r="E68" s="32" t="str">
        <f>+_xlfn.XLOOKUP(radicados[[#This Row],[MUNICIPIO]],MUNICIPIOS!A:A,MUNICIPIOS!E:E,0,0,1)</f>
        <v>Magdalena Medio</v>
      </c>
      <c r="F68" s="34" t="s">
        <v>134</v>
      </c>
      <c r="G68" s="3">
        <v>61</v>
      </c>
      <c r="H68" t="s">
        <v>135</v>
      </c>
      <c r="I68" t="s">
        <v>17</v>
      </c>
      <c r="J68" s="12">
        <v>1500000000</v>
      </c>
      <c r="K68" s="13"/>
    </row>
    <row r="69" spans="1:11">
      <c r="A69" s="9">
        <f>ROW() - ROW(radicados[[#Headers],[ID_RADICADOS]])</f>
        <v>68</v>
      </c>
      <c r="B69" s="10">
        <v>2024010141962</v>
      </c>
      <c r="C69" s="11">
        <v>45525</v>
      </c>
      <c r="D69" s="10">
        <f ca="1">+TODAY()-radicados[[#This Row],[FECHA]]</f>
        <v>471</v>
      </c>
      <c r="E69" s="32" t="str">
        <f>+_xlfn.XLOOKUP(radicados[[#This Row],[MUNICIPIO]],MUNICIPIOS!A:A,MUNICIPIOS!E:E,0,0,1)</f>
        <v>Norte</v>
      </c>
      <c r="F69" s="34" t="s">
        <v>136</v>
      </c>
      <c r="G69" s="3">
        <v>62</v>
      </c>
      <c r="H69" t="s">
        <v>137</v>
      </c>
      <c r="I69" t="s">
        <v>17</v>
      </c>
      <c r="J69" s="12">
        <v>1104890715</v>
      </c>
      <c r="K69" s="13"/>
    </row>
    <row r="70" spans="1:11">
      <c r="A70" s="9">
        <f>ROW() - ROW(radicados[[#Headers],[ID_RADICADOS]])</f>
        <v>69</v>
      </c>
      <c r="B70" s="10">
        <v>2024010387133</v>
      </c>
      <c r="C70" s="11">
        <v>45512</v>
      </c>
      <c r="D70" s="10">
        <f ca="1">+TODAY()-radicados[[#This Row],[FECHA]]</f>
        <v>484</v>
      </c>
      <c r="E70" s="32" t="str">
        <f>+_xlfn.XLOOKUP(radicados[[#This Row],[MUNICIPIO]],MUNICIPIOS!A:A,MUNICIPIOS!E:E,0,0,1)</f>
        <v>Norte</v>
      </c>
      <c r="F70" s="34" t="s">
        <v>136</v>
      </c>
      <c r="G70" s="3">
        <v>62</v>
      </c>
      <c r="H70" t="s">
        <v>137</v>
      </c>
      <c r="I70" t="s">
        <v>17</v>
      </c>
      <c r="J70" s="12">
        <v>1104890715</v>
      </c>
      <c r="K70" s="13"/>
    </row>
    <row r="71" spans="1:11">
      <c r="A71" s="9">
        <f>ROW() - ROW(radicados[[#Headers],[ID_RADICADOS]])</f>
        <v>70</v>
      </c>
      <c r="B71" s="10">
        <v>2024010356085</v>
      </c>
      <c r="C71" s="11">
        <v>45358</v>
      </c>
      <c r="D71" s="10">
        <f ca="1">+TODAY()-radicados[[#This Row],[FECHA]]</f>
        <v>638</v>
      </c>
      <c r="E71" s="32" t="str">
        <f>+_xlfn.XLOOKUP(radicados[[#This Row],[MUNICIPIO]],MUNICIPIOS!A:A,MUNICIPIOS!E:E,0,0,1)</f>
        <v>Norte</v>
      </c>
      <c r="F71" s="34" t="s">
        <v>138</v>
      </c>
      <c r="G71" s="3">
        <v>63</v>
      </c>
      <c r="H71" t="s">
        <v>139</v>
      </c>
      <c r="I71" t="s">
        <v>17</v>
      </c>
      <c r="J71" s="12">
        <v>3273913847</v>
      </c>
      <c r="K71" s="13"/>
    </row>
    <row r="72" spans="1:11">
      <c r="A72" s="9">
        <f>ROW() - ROW(radicados[[#Headers],[ID_RADICADOS]])</f>
        <v>71</v>
      </c>
      <c r="B72" s="10">
        <v>2024010293827</v>
      </c>
      <c r="C72" s="11">
        <v>45518</v>
      </c>
      <c r="D72" s="10">
        <f ca="1">+TODAY()-radicados[[#This Row],[FECHA]]</f>
        <v>478</v>
      </c>
      <c r="E72" s="32" t="str">
        <f>+_xlfn.XLOOKUP(radicados[[#This Row],[MUNICIPIO]],MUNICIPIOS!A:A,MUNICIPIOS!E:E,0,0,1)</f>
        <v>Suroeste</v>
      </c>
      <c r="F72" s="34" t="s">
        <v>61</v>
      </c>
      <c r="G72" s="3">
        <v>64</v>
      </c>
      <c r="H72" t="s">
        <v>140</v>
      </c>
      <c r="I72" t="s">
        <v>17</v>
      </c>
      <c r="J72" s="12">
        <v>1500000000</v>
      </c>
      <c r="K72" s="13"/>
    </row>
    <row r="73" spans="1:11">
      <c r="A73" s="9">
        <f>ROW() - ROW(radicados[[#Headers],[ID_RADICADOS]])</f>
        <v>72</v>
      </c>
      <c r="B73" s="10">
        <v>2024010367165</v>
      </c>
      <c r="C73" s="11">
        <v>45519</v>
      </c>
      <c r="D73" s="10">
        <f ca="1">+TODAY()-radicados[[#This Row],[FECHA]]</f>
        <v>477</v>
      </c>
      <c r="E73" s="32" t="str">
        <f>+_xlfn.XLOOKUP(radicados[[#This Row],[MUNICIPIO]],MUNICIPIOS!A:A,MUNICIPIOS!E:E,0,0,1)</f>
        <v>Oriente</v>
      </c>
      <c r="F73" s="34" t="s">
        <v>141</v>
      </c>
      <c r="G73" s="3">
        <v>65</v>
      </c>
      <c r="H73" t="s">
        <v>142</v>
      </c>
      <c r="I73" t="s">
        <v>17</v>
      </c>
      <c r="J73" s="12">
        <v>4177881112</v>
      </c>
      <c r="K73" s="13"/>
    </row>
    <row r="74" spans="1:11">
      <c r="A74" s="9">
        <f>ROW() - ROW(radicados[[#Headers],[ID_RADICADOS]])</f>
        <v>73</v>
      </c>
      <c r="B74" s="10">
        <v>2024010369050</v>
      </c>
      <c r="C74" s="11">
        <v>45532</v>
      </c>
      <c r="D74" s="10">
        <f ca="1">+TODAY()-radicados[[#This Row],[FECHA]]</f>
        <v>464</v>
      </c>
      <c r="E74" s="32" t="str">
        <f>+_xlfn.XLOOKUP(radicados[[#This Row],[MUNICIPIO]],MUNICIPIOS!A:A,MUNICIPIOS!E:E,0,0,1)</f>
        <v>Oriente</v>
      </c>
      <c r="F74" s="34" t="s">
        <v>70</v>
      </c>
      <c r="G74" s="3">
        <v>66</v>
      </c>
      <c r="H74" t="s">
        <v>143</v>
      </c>
      <c r="I74" t="s">
        <v>17</v>
      </c>
      <c r="J74" s="12">
        <v>1742934834</v>
      </c>
      <c r="K74" s="13"/>
    </row>
    <row r="75" spans="1:11">
      <c r="A75" s="9">
        <f>ROW() - ROW(radicados[[#Headers],[ID_RADICADOS]])</f>
        <v>74</v>
      </c>
      <c r="B75" s="10">
        <v>2024010389321</v>
      </c>
      <c r="C75" s="11">
        <v>45531</v>
      </c>
      <c r="D75" s="10">
        <f ca="1">+TODAY()-radicados[[#This Row],[FECHA]]</f>
        <v>465</v>
      </c>
      <c r="E75" s="32" t="str">
        <f>+_xlfn.XLOOKUP(radicados[[#This Row],[MUNICIPIO]],MUNICIPIOS!A:A,MUNICIPIOS!E:E,0,0,1)</f>
        <v>Suroeste</v>
      </c>
      <c r="F75" s="34" t="s">
        <v>144</v>
      </c>
      <c r="G75" s="3">
        <v>67</v>
      </c>
      <c r="H75" t="s">
        <v>145</v>
      </c>
      <c r="I75" t="s">
        <v>6</v>
      </c>
      <c r="J75" s="12">
        <v>200000000</v>
      </c>
      <c r="K75" s="13"/>
    </row>
    <row r="76" spans="1:11">
      <c r="A76" s="9">
        <f>ROW() - ROW(radicados[[#Headers],[ID_RADICADOS]])</f>
        <v>75</v>
      </c>
      <c r="B76" s="10">
        <v>2024010382454</v>
      </c>
      <c r="C76" s="11">
        <v>45533</v>
      </c>
      <c r="D76" s="10">
        <f ca="1">+TODAY()-radicados[[#This Row],[FECHA]]</f>
        <v>463</v>
      </c>
      <c r="E76" s="32" t="str">
        <f>+_xlfn.XLOOKUP(radicados[[#This Row],[MUNICIPIO]],MUNICIPIOS!A:A,MUNICIPIOS!E:E,0,0,1)</f>
        <v>Suroeste</v>
      </c>
      <c r="F76" s="34" t="s">
        <v>146</v>
      </c>
      <c r="G76" s="3">
        <v>68</v>
      </c>
      <c r="H76" t="s">
        <v>147</v>
      </c>
      <c r="I76" t="s">
        <v>17</v>
      </c>
      <c r="J76" s="12">
        <v>10271751951</v>
      </c>
      <c r="K76" s="13"/>
    </row>
    <row r="77" spans="1:11">
      <c r="A77" s="9">
        <f>ROW() - ROW(radicados[[#Headers],[ID_RADICADOS]])</f>
        <v>76</v>
      </c>
      <c r="B77" s="10">
        <v>2024010387865</v>
      </c>
      <c r="C77" s="11">
        <v>45491</v>
      </c>
      <c r="D77" s="10">
        <f ca="1">+TODAY()-radicados[[#This Row],[FECHA]]</f>
        <v>505</v>
      </c>
      <c r="E77" s="32" t="str">
        <f>+_xlfn.XLOOKUP(radicados[[#This Row],[MUNICIPIO]],MUNICIPIOS!A:A,MUNICIPIOS!E:E,0,0,1)</f>
        <v>Urabá</v>
      </c>
      <c r="F77" s="34" t="s">
        <v>148</v>
      </c>
      <c r="G77" s="3">
        <v>69</v>
      </c>
      <c r="H77" t="s">
        <v>149</v>
      </c>
      <c r="I77" t="s">
        <v>17</v>
      </c>
      <c r="J77" s="12">
        <v>6511188508</v>
      </c>
      <c r="K77" s="13"/>
    </row>
    <row r="78" spans="1:11">
      <c r="A78" s="9">
        <f>ROW() - ROW(radicados[[#Headers],[ID_RADICADOS]])</f>
        <v>77</v>
      </c>
      <c r="B78" s="10">
        <v>2024020033317</v>
      </c>
      <c r="C78" s="11">
        <v>45496</v>
      </c>
      <c r="D78" s="10">
        <f ca="1">+TODAY()-radicados[[#This Row],[FECHA]]</f>
        <v>500</v>
      </c>
      <c r="E78" s="32" t="str">
        <f>+_xlfn.XLOOKUP(radicados[[#This Row],[MUNICIPIO]],MUNICIPIOS!A:A,MUNICIPIOS!E:E,0,0,1)</f>
        <v>Suroeste</v>
      </c>
      <c r="F78" s="34" t="s">
        <v>146</v>
      </c>
      <c r="G78" s="3">
        <v>70</v>
      </c>
      <c r="H78" t="s">
        <v>150</v>
      </c>
      <c r="I78" t="s">
        <v>51</v>
      </c>
      <c r="J78" s="12">
        <v>1300000000</v>
      </c>
      <c r="K78" s="13"/>
    </row>
    <row r="79" spans="1:11">
      <c r="A79" s="9">
        <f>ROW() - ROW(radicados[[#Headers],[ID_RADICADOS]])</f>
        <v>78</v>
      </c>
      <c r="B79" s="10">
        <v>2024010329159</v>
      </c>
      <c r="C79" s="11">
        <v>45518</v>
      </c>
      <c r="D79" s="10">
        <f ca="1">+TODAY()-radicados[[#This Row],[FECHA]]</f>
        <v>478</v>
      </c>
      <c r="E79" s="32" t="str">
        <f>+_xlfn.XLOOKUP(radicados[[#This Row],[MUNICIPIO]],MUNICIPIOS!A:A,MUNICIPIOS!E:E,0,0,1)</f>
        <v>Nordeste</v>
      </c>
      <c r="F79" s="34" t="s">
        <v>151</v>
      </c>
      <c r="G79" s="3">
        <v>71</v>
      </c>
      <c r="H79" t="s">
        <v>152</v>
      </c>
      <c r="I79" t="s">
        <v>51</v>
      </c>
      <c r="J79" s="12">
        <v>7618024161</v>
      </c>
      <c r="K79" s="13"/>
    </row>
    <row r="80" spans="1:11">
      <c r="A80" s="9">
        <f>ROW() - ROW(radicados[[#Headers],[ID_RADICADOS]])</f>
        <v>79</v>
      </c>
      <c r="B80" s="14">
        <v>20240410367581</v>
      </c>
      <c r="C80" s="11">
        <v>45520</v>
      </c>
      <c r="D80" s="10">
        <f ca="1">+TODAY()-radicados[[#This Row],[FECHA]]</f>
        <v>476</v>
      </c>
      <c r="E80" s="32" t="str">
        <f>+_xlfn.XLOOKUP(radicados[[#This Row],[MUNICIPIO]],MUNICIPIOS!A:A,MUNICIPIOS!E:E,0,0,1)</f>
        <v>Urabá</v>
      </c>
      <c r="F80" s="34" t="s">
        <v>153</v>
      </c>
      <c r="G80" s="3">
        <v>72</v>
      </c>
      <c r="H80" t="s">
        <v>154</v>
      </c>
      <c r="I80" t="s">
        <v>17</v>
      </c>
      <c r="J80" s="12">
        <v>0</v>
      </c>
      <c r="K80" s="13"/>
    </row>
    <row r="81" spans="1:11">
      <c r="A81" s="9">
        <f>ROW() - ROW(radicados[[#Headers],[ID_RADICADOS]])</f>
        <v>80</v>
      </c>
      <c r="B81" s="10">
        <v>2024010371189</v>
      </c>
      <c r="C81" s="11">
        <v>45520</v>
      </c>
      <c r="D81" s="10">
        <f ca="1">+TODAY()-radicados[[#This Row],[FECHA]]</f>
        <v>476</v>
      </c>
      <c r="E81" s="32" t="str">
        <f>+_xlfn.XLOOKUP(radicados[[#This Row],[MUNICIPIO]],MUNICIPIOS!A:A,MUNICIPIOS!E:E,0,0,1)</f>
        <v>Suroeste</v>
      </c>
      <c r="F81" s="34" t="s">
        <v>52</v>
      </c>
      <c r="G81" s="3">
        <v>101</v>
      </c>
      <c r="H81" t="s">
        <v>155</v>
      </c>
      <c r="I81" t="s">
        <v>51</v>
      </c>
      <c r="J81" s="12">
        <v>2880000000</v>
      </c>
      <c r="K81" s="13"/>
    </row>
    <row r="82" spans="1:11">
      <c r="A82" s="9">
        <f>ROW() - ROW(radicados[[#Headers],[ID_RADICADOS]])</f>
        <v>81</v>
      </c>
      <c r="B82" s="10">
        <v>2024010372894</v>
      </c>
      <c r="C82" s="11">
        <v>45527</v>
      </c>
      <c r="D82" s="10">
        <f ca="1">+TODAY()-radicados[[#This Row],[FECHA]]</f>
        <v>469</v>
      </c>
      <c r="E82" s="32" t="str">
        <f>+_xlfn.XLOOKUP(radicados[[#This Row],[MUNICIPIO]],MUNICIPIOS!A:A,MUNICIPIOS!E:E,0,0,1)</f>
        <v>Suroeste</v>
      </c>
      <c r="F82" s="34" t="s">
        <v>156</v>
      </c>
      <c r="G82" s="3">
        <v>73</v>
      </c>
      <c r="H82" t="s">
        <v>157</v>
      </c>
      <c r="I82" t="s">
        <v>17</v>
      </c>
      <c r="J82" s="12">
        <v>275976999</v>
      </c>
      <c r="K82" s="13"/>
    </row>
    <row r="83" spans="1:11">
      <c r="A83" s="9">
        <f>ROW() - ROW(radicados[[#Headers],[ID_RADICADOS]])</f>
        <v>82</v>
      </c>
      <c r="B83" s="10">
        <v>2024010382614</v>
      </c>
      <c r="C83" s="11">
        <v>45530</v>
      </c>
      <c r="D83" s="10">
        <f ca="1">+TODAY()-radicados[[#This Row],[FECHA]]</f>
        <v>466</v>
      </c>
      <c r="E83" s="32" t="str">
        <f>+_xlfn.XLOOKUP(radicados[[#This Row],[MUNICIPIO]],MUNICIPIOS!A:A,MUNICIPIOS!E:E,0,0,1)</f>
        <v>Suroeste</v>
      </c>
      <c r="F83" s="34" t="s">
        <v>54</v>
      </c>
      <c r="G83" s="3">
        <v>74</v>
      </c>
      <c r="H83" t="s">
        <v>158</v>
      </c>
      <c r="I83" t="s">
        <v>17</v>
      </c>
      <c r="J83" s="12">
        <v>6680518300</v>
      </c>
      <c r="K83" s="13"/>
    </row>
    <row r="84" spans="1:11">
      <c r="A84" s="9">
        <f>ROW() - ROW(radicados[[#Headers],[ID_RADICADOS]])</f>
        <v>83</v>
      </c>
      <c r="B84" s="10">
        <v>2024010384269</v>
      </c>
      <c r="C84" s="11">
        <v>45533</v>
      </c>
      <c r="D84" s="10">
        <f ca="1">+TODAY()-radicados[[#This Row],[FECHA]]</f>
        <v>463</v>
      </c>
      <c r="E84" s="32" t="str">
        <f>+_xlfn.XLOOKUP(radicados[[#This Row],[MUNICIPIO]],MUNICIPIOS!A:A,MUNICIPIOS!E:E,0,0,1)</f>
        <v>Suroeste</v>
      </c>
      <c r="F84" s="34" t="s">
        <v>156</v>
      </c>
      <c r="G84" s="3">
        <v>75</v>
      </c>
      <c r="H84" t="s">
        <v>159</v>
      </c>
      <c r="I84" t="s">
        <v>17</v>
      </c>
      <c r="J84" s="12">
        <v>0</v>
      </c>
      <c r="K84" s="13"/>
    </row>
    <row r="85" spans="1:11">
      <c r="A85" s="9">
        <f>ROW() - ROW(radicados[[#Headers],[ID_RADICADOS]])</f>
        <v>84</v>
      </c>
      <c r="B85" s="10">
        <v>2024010390658</v>
      </c>
      <c r="C85" s="11">
        <v>45391</v>
      </c>
      <c r="D85" s="10">
        <f ca="1">+TODAY()-radicados[[#This Row],[FECHA]]</f>
        <v>605</v>
      </c>
      <c r="E85" s="32" t="str">
        <f>+_xlfn.XLOOKUP(radicados[[#This Row],[MUNICIPIO]],MUNICIPIOS!A:A,MUNICIPIOS!E:E,0,0,1)</f>
        <v>Occidente</v>
      </c>
      <c r="F85" s="34" t="s">
        <v>160</v>
      </c>
      <c r="G85" s="3">
        <v>76</v>
      </c>
      <c r="H85" t="s">
        <v>161</v>
      </c>
      <c r="I85" t="s">
        <v>17</v>
      </c>
      <c r="J85" s="12">
        <v>0</v>
      </c>
      <c r="K85" s="13"/>
    </row>
    <row r="86" spans="1:11">
      <c r="A86" s="9">
        <f>ROW() - ROW(radicados[[#Headers],[ID_RADICADOS]])</f>
        <v>85</v>
      </c>
      <c r="B86" s="10">
        <v>2024010402872</v>
      </c>
      <c r="C86" s="11">
        <v>45421</v>
      </c>
      <c r="D86" s="10">
        <f ca="1">+TODAY()-radicados[[#This Row],[FECHA]]</f>
        <v>575</v>
      </c>
      <c r="E86" s="32" t="str">
        <f>+_xlfn.XLOOKUP(radicados[[#This Row],[MUNICIPIO]],MUNICIPIOS!A:A,MUNICIPIOS!E:E,0,0,1)</f>
        <v>Norte</v>
      </c>
      <c r="F86" s="34" t="s">
        <v>326</v>
      </c>
      <c r="G86" s="3">
        <v>77</v>
      </c>
      <c r="H86" t="s">
        <v>162</v>
      </c>
      <c r="I86" t="s">
        <v>17</v>
      </c>
      <c r="J86" s="12">
        <v>2246385541</v>
      </c>
      <c r="K86" s="13"/>
    </row>
    <row r="87" spans="1:11">
      <c r="A87" s="9">
        <f>ROW() - ROW(radicados[[#Headers],[ID_RADICADOS]])</f>
        <v>86</v>
      </c>
      <c r="B87" s="10">
        <v>2024010404290</v>
      </c>
      <c r="C87" s="11">
        <v>45421</v>
      </c>
      <c r="D87" s="10">
        <f ca="1">+TODAY()-radicados[[#This Row],[FECHA]]</f>
        <v>575</v>
      </c>
      <c r="E87" s="32" t="str">
        <f>+_xlfn.XLOOKUP(radicados[[#This Row],[MUNICIPIO]],MUNICIPIOS!A:A,MUNICIPIOS!E:E,0,0,1)</f>
        <v>Oriente</v>
      </c>
      <c r="F87" s="34" t="s">
        <v>163</v>
      </c>
      <c r="G87" s="3">
        <v>78</v>
      </c>
      <c r="H87" t="s">
        <v>164</v>
      </c>
      <c r="I87" t="s">
        <v>17</v>
      </c>
      <c r="J87" s="12">
        <v>33225479908</v>
      </c>
      <c r="K87" s="13"/>
    </row>
    <row r="88" spans="1:11">
      <c r="A88" s="9">
        <f>ROW() - ROW(radicados[[#Headers],[ID_RADICADOS]])</f>
        <v>87</v>
      </c>
      <c r="B88" s="10">
        <v>2024010404411</v>
      </c>
      <c r="C88" s="11">
        <v>45391</v>
      </c>
      <c r="D88" s="10">
        <f ca="1">+TODAY()-radicados[[#This Row],[FECHA]]</f>
        <v>605</v>
      </c>
      <c r="E88" s="32" t="str">
        <f>+_xlfn.XLOOKUP(radicados[[#This Row],[MUNICIPIO]],MUNICIPIOS!A:A,MUNICIPIOS!E:E,0,0,1)</f>
        <v>Nordeste</v>
      </c>
      <c r="F88" s="34" t="s">
        <v>327</v>
      </c>
      <c r="G88" s="3">
        <v>161</v>
      </c>
      <c r="H88" t="s">
        <v>165</v>
      </c>
      <c r="I88" t="s">
        <v>17</v>
      </c>
      <c r="J88" s="12">
        <v>349987467</v>
      </c>
      <c r="K88" s="13"/>
    </row>
    <row r="89" spans="1:11">
      <c r="A89" s="9">
        <f>ROW() - ROW(radicados[[#Headers],[ID_RADICADOS]])</f>
        <v>88</v>
      </c>
      <c r="B89" s="10">
        <v>2024010402574</v>
      </c>
      <c r="C89" s="11">
        <v>45527</v>
      </c>
      <c r="D89" s="10">
        <f ca="1">+TODAY()-radicados[[#This Row],[FECHA]]</f>
        <v>469</v>
      </c>
      <c r="E89" s="32" t="str">
        <f>+_xlfn.XLOOKUP(radicados[[#This Row],[MUNICIPIO]],MUNICIPIOS!A:A,MUNICIPIOS!E:E,0,0,1)</f>
        <v>Occidente</v>
      </c>
      <c r="F89" s="34" t="s">
        <v>166</v>
      </c>
      <c r="G89" s="3">
        <v>80</v>
      </c>
      <c r="H89" t="s">
        <v>167</v>
      </c>
      <c r="I89" t="s">
        <v>17</v>
      </c>
      <c r="J89" s="12">
        <v>12667832858</v>
      </c>
      <c r="K89" s="13"/>
    </row>
    <row r="90" spans="1:11">
      <c r="A90" s="9">
        <f>ROW() - ROW(radicados[[#Headers],[ID_RADICADOS]])</f>
        <v>89</v>
      </c>
      <c r="B90" s="10">
        <v>2024010402813</v>
      </c>
      <c r="C90" s="11">
        <v>45527</v>
      </c>
      <c r="D90" s="10">
        <f ca="1">+TODAY()-radicados[[#This Row],[FECHA]]</f>
        <v>469</v>
      </c>
      <c r="E90" s="32" t="str">
        <f>+_xlfn.XLOOKUP(radicados[[#This Row],[MUNICIPIO]],MUNICIPIOS!A:A,MUNICIPIOS!E:E,0,0,1)</f>
        <v>Occidente</v>
      </c>
      <c r="F90" s="34" t="s">
        <v>166</v>
      </c>
      <c r="G90" s="3">
        <v>183</v>
      </c>
      <c r="H90" t="s">
        <v>167</v>
      </c>
      <c r="I90" t="s">
        <v>17</v>
      </c>
      <c r="J90" s="12">
        <v>12667832858</v>
      </c>
      <c r="K90" s="13"/>
    </row>
    <row r="91" spans="1:11">
      <c r="A91" s="9">
        <f>ROW() - ROW(radicados[[#Headers],[ID_RADICADOS]])</f>
        <v>90</v>
      </c>
      <c r="B91" s="10">
        <v>2024010403496</v>
      </c>
      <c r="C91" s="11">
        <v>45421</v>
      </c>
      <c r="D91" s="10">
        <f ca="1">+TODAY()-radicados[[#This Row],[FECHA]]</f>
        <v>575</v>
      </c>
      <c r="E91" s="32" t="str">
        <f>+_xlfn.XLOOKUP(radicados[[#This Row],[MUNICIPIO]],MUNICIPIOS!A:A,MUNICIPIOS!E:E,0,0,1)</f>
        <v>Occidente</v>
      </c>
      <c r="F91" s="34" t="s">
        <v>168</v>
      </c>
      <c r="G91" s="3">
        <v>81</v>
      </c>
      <c r="H91" t="s">
        <v>169</v>
      </c>
      <c r="I91" t="s">
        <v>17</v>
      </c>
      <c r="J91" s="12">
        <v>6508964304</v>
      </c>
      <c r="K91" s="13"/>
    </row>
    <row r="92" spans="1:11">
      <c r="A92" s="9">
        <f>ROW() - ROW(radicados[[#Headers],[ID_RADICADOS]])</f>
        <v>91</v>
      </c>
      <c r="B92" s="10">
        <v>2024010403421</v>
      </c>
      <c r="C92" s="11">
        <v>45421</v>
      </c>
      <c r="D92" s="10">
        <f ca="1">+TODAY()-radicados[[#This Row],[FECHA]]</f>
        <v>575</v>
      </c>
      <c r="E92" s="32" t="str">
        <f>+_xlfn.XLOOKUP(radicados[[#This Row],[MUNICIPIO]],MUNICIPIOS!A:A,MUNICIPIOS!E:E,0,0,1)</f>
        <v>Bajo Cauca</v>
      </c>
      <c r="F92" s="34" t="s">
        <v>170</v>
      </c>
      <c r="G92" s="3">
        <v>82</v>
      </c>
      <c r="H92" t="s">
        <v>171</v>
      </c>
      <c r="I92" t="s">
        <v>51</v>
      </c>
      <c r="J92" s="12">
        <v>30439233612</v>
      </c>
      <c r="K92" s="13"/>
    </row>
    <row r="93" spans="1:11">
      <c r="A93" s="9">
        <f>ROW() - ROW(radicados[[#Headers],[ID_RADICADOS]])</f>
        <v>92</v>
      </c>
      <c r="B93" s="10">
        <v>2024010402790</v>
      </c>
      <c r="C93" s="11">
        <v>45391</v>
      </c>
      <c r="D93" s="10">
        <f ca="1">+TODAY()-radicados[[#This Row],[FECHA]]</f>
        <v>605</v>
      </c>
      <c r="E93" s="32" t="str">
        <f>+_xlfn.XLOOKUP(radicados[[#This Row],[MUNICIPIO]],MUNICIPIOS!A:A,MUNICIPIOS!E:E,0,0,1)</f>
        <v>Suroeste</v>
      </c>
      <c r="F93" s="34" t="s">
        <v>52</v>
      </c>
      <c r="G93" s="3">
        <v>54</v>
      </c>
      <c r="H93" t="s">
        <v>328</v>
      </c>
      <c r="I93" t="s">
        <v>17</v>
      </c>
      <c r="J93" s="12">
        <v>3540000000</v>
      </c>
      <c r="K93" s="13"/>
    </row>
    <row r="94" spans="1:11">
      <c r="A94" s="9">
        <f>ROW() - ROW(radicados[[#Headers],[ID_RADICADOS]])</f>
        <v>93</v>
      </c>
      <c r="B94" s="10">
        <v>2024010402559</v>
      </c>
      <c r="C94" s="11">
        <v>45391</v>
      </c>
      <c r="D94" s="10">
        <f ca="1">+TODAY()-radicados[[#This Row],[FECHA]]</f>
        <v>605</v>
      </c>
      <c r="E94" s="32" t="str">
        <f>+_xlfn.XLOOKUP(radicados[[#This Row],[MUNICIPIO]],MUNICIPIOS!A:A,MUNICIPIOS!E:E,0,0,1)</f>
        <v>Suroeste</v>
      </c>
      <c r="F94" s="34" t="s">
        <v>52</v>
      </c>
      <c r="G94" s="3">
        <v>178</v>
      </c>
      <c r="H94" t="s">
        <v>172</v>
      </c>
      <c r="I94" t="s">
        <v>17</v>
      </c>
      <c r="J94" s="12">
        <v>2695000000</v>
      </c>
      <c r="K94" s="13"/>
    </row>
    <row r="95" spans="1:11">
      <c r="A95" s="9">
        <f>ROW() - ROW(radicados[[#Headers],[ID_RADICADOS]])</f>
        <v>94</v>
      </c>
      <c r="B95" s="10">
        <v>2024010402559</v>
      </c>
      <c r="C95" s="11">
        <v>45391</v>
      </c>
      <c r="D95" s="10">
        <f ca="1">+TODAY()-radicados[[#This Row],[FECHA]]</f>
        <v>605</v>
      </c>
      <c r="E95" s="32" t="str">
        <f>+_xlfn.XLOOKUP(radicados[[#This Row],[MUNICIPIO]],MUNICIPIOS!A:A,MUNICIPIOS!E:E,0,0,1)</f>
        <v>Suroeste</v>
      </c>
      <c r="F95" s="34" t="s">
        <v>52</v>
      </c>
      <c r="G95" s="3">
        <v>177</v>
      </c>
      <c r="H95" t="s">
        <v>173</v>
      </c>
      <c r="I95" t="s">
        <v>17</v>
      </c>
      <c r="J95" s="12">
        <v>3301000000</v>
      </c>
      <c r="K95" s="13"/>
    </row>
    <row r="96" spans="1:11">
      <c r="A96" s="9">
        <f>ROW() - ROW(radicados[[#Headers],[ID_RADICADOS]])</f>
        <v>95</v>
      </c>
      <c r="B96" s="10">
        <v>2024010402557</v>
      </c>
      <c r="C96" s="11">
        <v>45391</v>
      </c>
      <c r="D96" s="10">
        <f ca="1">+TODAY()-radicados[[#This Row],[FECHA]]</f>
        <v>605</v>
      </c>
      <c r="E96" s="32" t="str">
        <f>+_xlfn.XLOOKUP(radicados[[#This Row],[MUNICIPIO]],MUNICIPIOS!A:A,MUNICIPIOS!E:E,0,0,1)</f>
        <v>Norte</v>
      </c>
      <c r="F96" s="34" t="s">
        <v>174</v>
      </c>
      <c r="G96" s="3">
        <v>83</v>
      </c>
      <c r="H96" t="s">
        <v>175</v>
      </c>
      <c r="I96" t="s">
        <v>17</v>
      </c>
      <c r="J96" s="12">
        <v>9952000000</v>
      </c>
      <c r="K96" s="13"/>
    </row>
    <row r="97" spans="1:11">
      <c r="A97" s="9">
        <f>ROW() - ROW(radicados[[#Headers],[ID_RADICADOS]])</f>
        <v>96</v>
      </c>
      <c r="B97" s="10">
        <v>2024010387444</v>
      </c>
      <c r="C97" s="11">
        <v>45391</v>
      </c>
      <c r="D97" s="10">
        <f ca="1">+TODAY()-radicados[[#This Row],[FECHA]]</f>
        <v>605</v>
      </c>
      <c r="E97" s="32" t="str">
        <f>+_xlfn.XLOOKUP(radicados[[#This Row],[MUNICIPIO]],MUNICIPIOS!A:A,MUNICIPIOS!E:E,0,0,1)</f>
        <v>Oriente</v>
      </c>
      <c r="F97" s="34" t="s">
        <v>32</v>
      </c>
      <c r="G97" s="3">
        <v>149</v>
      </c>
      <c r="H97" t="s">
        <v>176</v>
      </c>
      <c r="I97" t="s">
        <v>17</v>
      </c>
      <c r="J97" s="12">
        <v>5203000000</v>
      </c>
      <c r="K97" s="13"/>
    </row>
    <row r="98" spans="1:11">
      <c r="A98" s="9">
        <f>ROW() - ROW(radicados[[#Headers],[ID_RADICADOS]])</f>
        <v>97</v>
      </c>
      <c r="B98" s="10">
        <v>2024010318370</v>
      </c>
      <c r="C98" s="11">
        <v>45531</v>
      </c>
      <c r="D98" s="10">
        <f ca="1">+TODAY()-radicados[[#This Row],[FECHA]]</f>
        <v>465</v>
      </c>
      <c r="E98" s="32" t="str">
        <f>+_xlfn.XLOOKUP(radicados[[#This Row],[MUNICIPIO]],MUNICIPIOS!A:A,MUNICIPIOS!E:E,0,0,1)</f>
        <v>Oriente</v>
      </c>
      <c r="F98" s="34" t="s">
        <v>177</v>
      </c>
      <c r="G98" s="3">
        <v>84</v>
      </c>
      <c r="H98" t="s">
        <v>178</v>
      </c>
      <c r="I98" t="s">
        <v>17</v>
      </c>
      <c r="J98" s="12">
        <v>5957178575</v>
      </c>
      <c r="K98" s="13"/>
    </row>
    <row r="99" spans="1:11">
      <c r="A99" s="9">
        <f>ROW() - ROW(radicados[[#Headers],[ID_RADICADOS]])</f>
        <v>98</v>
      </c>
      <c r="B99" s="10">
        <v>2024010414368</v>
      </c>
      <c r="C99" s="11">
        <v>45489</v>
      </c>
      <c r="D99" s="10">
        <f ca="1">+TODAY()-radicados[[#This Row],[FECHA]]</f>
        <v>507</v>
      </c>
      <c r="E99" s="32" t="str">
        <f>+_xlfn.XLOOKUP(radicados[[#This Row],[MUNICIPIO]],MUNICIPIOS!A:A,MUNICIPIOS!E:E,0,0,1)</f>
        <v>Suroeste</v>
      </c>
      <c r="F99" s="34" t="s">
        <v>54</v>
      </c>
      <c r="G99" s="3">
        <v>85</v>
      </c>
      <c r="H99" t="s">
        <v>180</v>
      </c>
      <c r="I99" t="s">
        <v>17</v>
      </c>
      <c r="J99" s="12"/>
      <c r="K99" s="13"/>
    </row>
    <row r="100" spans="1:11">
      <c r="A100" s="9">
        <f>ROW() - ROW(radicados[[#Headers],[ID_RADICADOS]])</f>
        <v>99</v>
      </c>
      <c r="B100" s="10">
        <v>2024010398307</v>
      </c>
      <c r="C100" s="11">
        <v>45605</v>
      </c>
      <c r="D100" s="10">
        <f ca="1">+TODAY()-radicados[[#This Row],[FECHA]]</f>
        <v>391</v>
      </c>
      <c r="E100" s="32" t="str">
        <f>+_xlfn.XLOOKUP(radicados[[#This Row],[MUNICIPIO]],MUNICIPIOS!A:A,MUNICIPIOS!E:E,0,0,1)</f>
        <v>Suroeste</v>
      </c>
      <c r="F100" s="34" t="s">
        <v>54</v>
      </c>
      <c r="G100" s="3">
        <v>85</v>
      </c>
      <c r="H100" t="s">
        <v>181</v>
      </c>
      <c r="I100" t="s">
        <v>17</v>
      </c>
      <c r="J100" s="12"/>
      <c r="K100" s="13"/>
    </row>
    <row r="101" spans="1:11">
      <c r="A101" s="9">
        <f>ROW() - ROW(radicados[[#Headers],[ID_RADICADOS]])</f>
        <v>100</v>
      </c>
      <c r="B101" s="10">
        <v>2024010400738</v>
      </c>
      <c r="C101" s="11">
        <v>45360</v>
      </c>
      <c r="D101" s="10">
        <f ca="1">+TODAY()-radicados[[#This Row],[FECHA]]</f>
        <v>636</v>
      </c>
      <c r="E101" s="32" t="str">
        <f>+_xlfn.XLOOKUP(radicados[[#This Row],[MUNICIPIO]],MUNICIPIOS!A:A,MUNICIPIOS!E:E,0,0,1)</f>
        <v>Occidente</v>
      </c>
      <c r="F101" s="34" t="s">
        <v>182</v>
      </c>
      <c r="G101" s="3">
        <v>86</v>
      </c>
      <c r="H101" t="s">
        <v>183</v>
      </c>
      <c r="I101" t="s">
        <v>17</v>
      </c>
      <c r="J101" s="12">
        <v>1555256653.3699999</v>
      </c>
      <c r="K101" s="13"/>
    </row>
    <row r="102" spans="1:11">
      <c r="A102" s="9">
        <f>ROW() - ROW(radicados[[#Headers],[ID_RADICADOS]])</f>
        <v>101</v>
      </c>
      <c r="B102" s="10">
        <v>2024010415684</v>
      </c>
      <c r="C102" s="11">
        <v>45538</v>
      </c>
      <c r="D102" s="10">
        <f ca="1">+TODAY()-radicados[[#This Row],[FECHA]]</f>
        <v>458</v>
      </c>
      <c r="E102" s="32" t="str">
        <f>+_xlfn.XLOOKUP(radicados[[#This Row],[MUNICIPIO]],MUNICIPIOS!A:A,MUNICIPIOS!E:E,0,0,1)</f>
        <v>Bajo Cauca</v>
      </c>
      <c r="F102" s="34" t="s">
        <v>329</v>
      </c>
      <c r="G102" s="3">
        <v>87</v>
      </c>
      <c r="H102" t="s">
        <v>184</v>
      </c>
      <c r="I102" t="s">
        <v>17</v>
      </c>
      <c r="J102" s="12">
        <v>4104136826</v>
      </c>
      <c r="K102" s="13"/>
    </row>
    <row r="103" spans="1:11">
      <c r="A103" s="9">
        <f>ROW() - ROW(radicados[[#Headers],[ID_RADICADOS]])</f>
        <v>102</v>
      </c>
      <c r="B103" s="10">
        <v>2024010415525</v>
      </c>
      <c r="C103" s="11">
        <v>45605</v>
      </c>
      <c r="D103" s="10">
        <f ca="1">+TODAY()-radicados[[#This Row],[FECHA]]</f>
        <v>391</v>
      </c>
      <c r="E103" s="32" t="str">
        <f>+_xlfn.XLOOKUP(radicados[[#This Row],[MUNICIPIO]],MUNICIPIOS!A:A,MUNICIPIOS!E:E,0,0,1)</f>
        <v>Occidente</v>
      </c>
      <c r="F103" s="34" t="s">
        <v>166</v>
      </c>
      <c r="G103" s="3">
        <v>88</v>
      </c>
      <c r="H103" t="s">
        <v>185</v>
      </c>
      <c r="I103" t="s">
        <v>17</v>
      </c>
      <c r="J103" s="12">
        <v>8647258157</v>
      </c>
      <c r="K103" s="13"/>
    </row>
    <row r="104" spans="1:11">
      <c r="A104" s="9">
        <f>ROW() - ROW(radicados[[#Headers],[ID_RADICADOS]])</f>
        <v>103</v>
      </c>
      <c r="B104" s="10">
        <v>2024010404422</v>
      </c>
      <c r="C104" s="11">
        <v>45605</v>
      </c>
      <c r="D104" s="10">
        <f ca="1">+TODAY()-radicados[[#This Row],[FECHA]]</f>
        <v>391</v>
      </c>
      <c r="E104" s="32" t="str">
        <f>+_xlfn.XLOOKUP(radicados[[#This Row],[MUNICIPIO]],MUNICIPIOS!A:A,MUNICIPIOS!E:E,0,0,1)</f>
        <v>Oriente</v>
      </c>
      <c r="F104" s="34" t="s">
        <v>186</v>
      </c>
      <c r="G104" s="3">
        <v>89</v>
      </c>
      <c r="H104" t="s">
        <v>187</v>
      </c>
      <c r="I104" t="s">
        <v>17</v>
      </c>
      <c r="J104" s="12">
        <v>11889457188.450001</v>
      </c>
      <c r="K104" s="13"/>
    </row>
    <row r="105" spans="1:11">
      <c r="A105" s="9">
        <f>ROW() - ROW(radicados[[#Headers],[ID_RADICADOS]])</f>
        <v>104</v>
      </c>
      <c r="B105" s="10">
        <v>2024010429627</v>
      </c>
      <c r="C105" s="11">
        <v>45421</v>
      </c>
      <c r="D105" s="10">
        <f ca="1">+TODAY()-radicados[[#This Row],[FECHA]]</f>
        <v>575</v>
      </c>
      <c r="E105" s="32" t="str">
        <f>+_xlfn.XLOOKUP(radicados[[#This Row],[MUNICIPIO]],MUNICIPIOS!A:A,MUNICIPIOS!E:E,0,0,1)</f>
        <v>Norte</v>
      </c>
      <c r="F105" s="34" t="s">
        <v>35</v>
      </c>
      <c r="G105" s="3">
        <v>90</v>
      </c>
      <c r="H105" t="s">
        <v>188</v>
      </c>
      <c r="I105" t="s">
        <v>17</v>
      </c>
      <c r="J105" s="12">
        <v>5823881298</v>
      </c>
      <c r="K105" s="13"/>
    </row>
    <row r="106" spans="1:11">
      <c r="A106" s="9">
        <f>ROW() - ROW(radicados[[#Headers],[ID_RADICADOS]])</f>
        <v>105</v>
      </c>
      <c r="B106" s="10">
        <v>2024010419609</v>
      </c>
      <c r="C106" s="11">
        <v>45554</v>
      </c>
      <c r="D106" s="10">
        <f ca="1">+TODAY()-radicados[[#This Row],[FECHA]]</f>
        <v>442</v>
      </c>
      <c r="E106" s="32" t="str">
        <f>+_xlfn.XLOOKUP(radicados[[#This Row],[MUNICIPIO]],MUNICIPIOS!A:A,MUNICIPIOS!E:E,0,0,1)</f>
        <v>Urabá</v>
      </c>
      <c r="F106" s="34" t="s">
        <v>148</v>
      </c>
      <c r="G106" s="3">
        <v>91</v>
      </c>
      <c r="H106" t="s">
        <v>189</v>
      </c>
      <c r="I106" t="s">
        <v>17</v>
      </c>
      <c r="J106" s="12">
        <v>3060251962</v>
      </c>
      <c r="K106" s="13"/>
    </row>
    <row r="107" spans="1:11">
      <c r="A107" s="9">
        <f>ROW() - ROW(radicados[[#Headers],[ID_RADICADOS]])</f>
        <v>106</v>
      </c>
      <c r="B107" s="10">
        <v>2024010430044</v>
      </c>
      <c r="C107" s="11">
        <v>45548</v>
      </c>
      <c r="D107" s="10">
        <f ca="1">+TODAY()-radicados[[#This Row],[FECHA]]</f>
        <v>448</v>
      </c>
      <c r="E107" s="32" t="str">
        <f>+_xlfn.XLOOKUP(radicados[[#This Row],[MUNICIPIO]],MUNICIPIOS!A:A,MUNICIPIOS!E:E,0,0,1)</f>
        <v>Bajo Cauca</v>
      </c>
      <c r="F107" s="34" t="s">
        <v>191</v>
      </c>
      <c r="G107" s="3">
        <v>92</v>
      </c>
      <c r="H107" t="s">
        <v>192</v>
      </c>
      <c r="I107" t="s">
        <v>17</v>
      </c>
      <c r="J107" s="12">
        <v>5048456575</v>
      </c>
      <c r="K107" s="13"/>
    </row>
    <row r="108" spans="1:11">
      <c r="A108" s="9">
        <f>ROW() - ROW(radicados[[#Headers],[ID_RADICADOS]])</f>
        <v>107</v>
      </c>
      <c r="B108" s="10">
        <v>2024010442066</v>
      </c>
      <c r="C108" s="11">
        <v>45554</v>
      </c>
      <c r="D108" s="10">
        <f ca="1">+TODAY()-radicados[[#This Row],[FECHA]]</f>
        <v>442</v>
      </c>
      <c r="E108" s="32" t="str">
        <f>+_xlfn.XLOOKUP(radicados[[#This Row],[MUNICIPIO]],MUNICIPIOS!A:A,MUNICIPIOS!E:E,0,0,1)</f>
        <v>Urabá</v>
      </c>
      <c r="F108" s="34" t="s">
        <v>193</v>
      </c>
      <c r="G108" s="3">
        <v>93</v>
      </c>
      <c r="H108" t="s">
        <v>194</v>
      </c>
      <c r="I108" t="s">
        <v>17</v>
      </c>
      <c r="J108" s="12">
        <v>10681457198</v>
      </c>
      <c r="K108" s="13"/>
    </row>
    <row r="109" spans="1:11">
      <c r="A109" s="9">
        <f>ROW() - ROW(radicados[[#Headers],[ID_RADICADOS]])</f>
        <v>108</v>
      </c>
      <c r="B109" s="10">
        <v>2024010446070</v>
      </c>
      <c r="C109" s="11">
        <v>45562</v>
      </c>
      <c r="D109" s="10">
        <f ca="1">+TODAY()-radicados[[#This Row],[FECHA]]</f>
        <v>434</v>
      </c>
      <c r="E109" s="32" t="str">
        <f>+_xlfn.XLOOKUP(radicados[[#This Row],[MUNICIPIO]],MUNICIPIOS!A:A,MUNICIPIOS!E:E,0,0,1)</f>
        <v>Norte</v>
      </c>
      <c r="F109" s="34" t="s">
        <v>136</v>
      </c>
      <c r="G109" s="3">
        <v>94</v>
      </c>
      <c r="H109" t="s">
        <v>195</v>
      </c>
      <c r="I109" t="s">
        <v>17</v>
      </c>
      <c r="J109" s="12">
        <v>2753990112</v>
      </c>
      <c r="K109" s="13"/>
    </row>
    <row r="110" spans="1:11">
      <c r="A110" s="9">
        <f>ROW() - ROW(radicados[[#Headers],[ID_RADICADOS]])</f>
        <v>109</v>
      </c>
      <c r="B110" s="10">
        <v>2024010449385</v>
      </c>
      <c r="C110" s="11">
        <v>45565</v>
      </c>
      <c r="D110" s="10">
        <f ca="1">+TODAY()-radicados[[#This Row],[FECHA]]</f>
        <v>431</v>
      </c>
      <c r="E110" s="32" t="str">
        <f>+_xlfn.XLOOKUP(radicados[[#This Row],[MUNICIPIO]],MUNICIPIOS!A:A,MUNICIPIOS!E:E,0,0,1)</f>
        <v>Valle de Aburrá</v>
      </c>
      <c r="F110" s="34" t="s">
        <v>196</v>
      </c>
      <c r="G110" s="3">
        <v>114</v>
      </c>
      <c r="H110" t="s">
        <v>197</v>
      </c>
      <c r="I110" t="s">
        <v>17</v>
      </c>
      <c r="J110" s="12">
        <v>17008905677</v>
      </c>
      <c r="K110" s="13"/>
    </row>
    <row r="111" spans="1:11">
      <c r="A111" s="9">
        <f>ROW() - ROW(radicados[[#Headers],[ID_RADICADOS]])</f>
        <v>110</v>
      </c>
      <c r="B111" s="10">
        <v>2024010427693</v>
      </c>
      <c r="C111" s="11">
        <v>45332</v>
      </c>
      <c r="D111" s="10">
        <f ca="1">+TODAY()-radicados[[#This Row],[FECHA]]</f>
        <v>664</v>
      </c>
      <c r="E111" s="32" t="str">
        <f>+_xlfn.XLOOKUP(radicados[[#This Row],[MUNICIPIO]],MUNICIPIOS!A:A,MUNICIPIOS!E:E,0,0,1)</f>
        <v>Valle de Aburrá</v>
      </c>
      <c r="F111" s="34" t="s">
        <v>196</v>
      </c>
      <c r="G111" s="3">
        <v>95</v>
      </c>
      <c r="H111" t="s">
        <v>198</v>
      </c>
      <c r="I111" t="s">
        <v>17</v>
      </c>
      <c r="J111" s="12">
        <v>18011055743</v>
      </c>
      <c r="K111" s="13"/>
    </row>
    <row r="112" spans="1:11">
      <c r="A112" s="9">
        <f>ROW() - ROW(radicados[[#Headers],[ID_RADICADOS]])</f>
        <v>111</v>
      </c>
      <c r="B112" s="10">
        <v>2024010423384</v>
      </c>
      <c r="C112" s="11">
        <v>45554</v>
      </c>
      <c r="D112" s="10">
        <f ca="1">+TODAY()-radicados[[#This Row],[FECHA]]</f>
        <v>442</v>
      </c>
      <c r="E112" s="32" t="str">
        <f>+_xlfn.XLOOKUP(radicados[[#This Row],[MUNICIPIO]],MUNICIPIOS!A:A,MUNICIPIOS!E:E,0,0,1)</f>
        <v>Urabá</v>
      </c>
      <c r="F112" s="34" t="s">
        <v>193</v>
      </c>
      <c r="G112" s="3">
        <v>96</v>
      </c>
      <c r="H112" t="s">
        <v>199</v>
      </c>
      <c r="I112" t="s">
        <v>17</v>
      </c>
      <c r="J112" s="12">
        <v>4441184458</v>
      </c>
      <c r="K112" s="13"/>
    </row>
    <row r="113" spans="1:11">
      <c r="A113" s="9">
        <f>ROW() - ROW(radicados[[#Headers],[ID_RADICADOS]])</f>
        <v>112</v>
      </c>
      <c r="B113" s="10">
        <v>2024010421395</v>
      </c>
      <c r="C113" s="11">
        <v>45552</v>
      </c>
      <c r="D113" s="10">
        <f ca="1">+TODAY()-radicados[[#This Row],[FECHA]]</f>
        <v>444</v>
      </c>
      <c r="E113" s="32" t="str">
        <f>+_xlfn.XLOOKUP(radicados[[#This Row],[MUNICIPIO]],MUNICIPIOS!A:A,MUNICIPIOS!E:E,0,0,1)</f>
        <v>Bajo Cauca</v>
      </c>
      <c r="F113" s="34" t="s">
        <v>200</v>
      </c>
      <c r="G113" s="3">
        <v>97</v>
      </c>
      <c r="H113" t="s">
        <v>201</v>
      </c>
      <c r="I113" t="s">
        <v>17</v>
      </c>
      <c r="J113" s="12">
        <v>12658885829</v>
      </c>
      <c r="K113" s="13"/>
    </row>
    <row r="114" spans="1:11">
      <c r="A114" s="9">
        <f>ROW() - ROW(radicados[[#Headers],[ID_RADICADOS]])</f>
        <v>113</v>
      </c>
      <c r="B114" s="10">
        <v>2024010423359</v>
      </c>
      <c r="C114" s="11">
        <v>45551</v>
      </c>
      <c r="D114" s="10">
        <f ca="1">+TODAY()-radicados[[#This Row],[FECHA]]</f>
        <v>445</v>
      </c>
      <c r="E114" s="32" t="str">
        <f>+_xlfn.XLOOKUP(radicados[[#This Row],[MUNICIPIO]],MUNICIPIOS!A:A,MUNICIPIOS!E:E,0,0,1)</f>
        <v>Norte</v>
      </c>
      <c r="F114" s="34" t="s">
        <v>120</v>
      </c>
      <c r="G114" s="3">
        <v>98</v>
      </c>
      <c r="H114" t="s">
        <v>202</v>
      </c>
      <c r="I114" t="s">
        <v>17</v>
      </c>
      <c r="J114" s="12">
        <v>2934846978</v>
      </c>
      <c r="K114" s="13"/>
    </row>
    <row r="115" spans="1:11">
      <c r="A115" s="9">
        <f>ROW() - ROW(radicados[[#Headers],[ID_RADICADOS]])</f>
        <v>114</v>
      </c>
      <c r="B115" s="10">
        <v>2024010426012</v>
      </c>
      <c r="C115" s="11">
        <v>45552</v>
      </c>
      <c r="D115" s="10">
        <f ca="1">+TODAY()-radicados[[#This Row],[FECHA]]</f>
        <v>444</v>
      </c>
      <c r="E115" s="32" t="str">
        <f>+_xlfn.XLOOKUP(radicados[[#This Row],[MUNICIPIO]],MUNICIPIOS!A:A,MUNICIPIOS!E:E,0,0,1)</f>
        <v>Oriente</v>
      </c>
      <c r="F115" s="34" t="s">
        <v>177</v>
      </c>
      <c r="G115" s="3">
        <v>99</v>
      </c>
      <c r="H115" t="s">
        <v>203</v>
      </c>
      <c r="I115" t="s">
        <v>17</v>
      </c>
      <c r="J115" s="12">
        <v>3418472753</v>
      </c>
      <c r="K115" s="13"/>
    </row>
    <row r="116" spans="1:11">
      <c r="A116" s="9">
        <f>ROW() - ROW(radicados[[#Headers],[ID_RADICADOS]])</f>
        <v>115</v>
      </c>
      <c r="B116" s="10">
        <v>2024020045696</v>
      </c>
      <c r="C116" s="11">
        <v>45553</v>
      </c>
      <c r="D116" s="10">
        <f ca="1">+TODAY()-radicados[[#This Row],[FECHA]]</f>
        <v>443</v>
      </c>
      <c r="E116" s="32" t="str">
        <f>+_xlfn.XLOOKUP(radicados[[#This Row],[MUNICIPIO]],MUNICIPIOS!A:A,MUNICIPIOS!E:E,0,0,1)</f>
        <v>Suroeste</v>
      </c>
      <c r="F116" s="34" t="s">
        <v>146</v>
      </c>
      <c r="G116" s="3">
        <v>70</v>
      </c>
      <c r="H116" t="s">
        <v>204</v>
      </c>
      <c r="I116" t="s">
        <v>51</v>
      </c>
      <c r="J116" s="12">
        <v>1300000000</v>
      </c>
      <c r="K116" s="13"/>
    </row>
    <row r="117" spans="1:11">
      <c r="A117" s="9">
        <f>ROW() - ROW(radicados[[#Headers],[ID_RADICADOS]])</f>
        <v>116</v>
      </c>
      <c r="B117" s="10">
        <v>2024010445837</v>
      </c>
      <c r="C117" s="11">
        <v>45560</v>
      </c>
      <c r="D117" s="10">
        <f ca="1">+TODAY()-radicados[[#This Row],[FECHA]]</f>
        <v>436</v>
      </c>
      <c r="E117" s="32" t="str">
        <f>+_xlfn.XLOOKUP(radicados[[#This Row],[MUNICIPIO]],MUNICIPIOS!A:A,MUNICIPIOS!E:E,0,0,1)</f>
        <v>Bajo Cauca</v>
      </c>
      <c r="F117" s="34" t="s">
        <v>170</v>
      </c>
      <c r="G117" s="3">
        <v>100</v>
      </c>
      <c r="H117" t="s">
        <v>205</v>
      </c>
      <c r="I117" t="s">
        <v>17</v>
      </c>
      <c r="J117" s="12">
        <v>3277125031</v>
      </c>
      <c r="K117" s="13"/>
    </row>
    <row r="118" spans="1:11">
      <c r="A118" s="9">
        <f>ROW() - ROW(radicados[[#Headers],[ID_RADICADOS]])</f>
        <v>117</v>
      </c>
      <c r="B118" s="10">
        <v>2024010432714</v>
      </c>
      <c r="C118" s="11">
        <v>45565</v>
      </c>
      <c r="D118" s="10">
        <f ca="1">+TODAY()-radicados[[#This Row],[FECHA]]</f>
        <v>431</v>
      </c>
      <c r="E118" s="32" t="str">
        <f>+_xlfn.XLOOKUP(radicados[[#This Row],[MUNICIPIO]],MUNICIPIOS!A:A,MUNICIPIOS!E:E,0,0,1)</f>
        <v>Suroeste</v>
      </c>
      <c r="F118" s="34" t="s">
        <v>52</v>
      </c>
      <c r="G118" s="3">
        <v>101</v>
      </c>
      <c r="H118" t="s">
        <v>206</v>
      </c>
      <c r="I118" t="s">
        <v>17</v>
      </c>
      <c r="J118" s="12">
        <v>2882732416</v>
      </c>
      <c r="K118" s="13"/>
    </row>
    <row r="119" spans="1:11" ht="30">
      <c r="A119" s="9">
        <f>ROW() - ROW(radicados[[#Headers],[ID_RADICADOS]])</f>
        <v>118</v>
      </c>
      <c r="B119" s="10">
        <v>2024010444377</v>
      </c>
      <c r="C119" s="11">
        <v>45558</v>
      </c>
      <c r="D119" s="10">
        <f ca="1">+TODAY()-radicados[[#This Row],[FECHA]]</f>
        <v>438</v>
      </c>
      <c r="E119" s="32" t="str">
        <f>+_xlfn.XLOOKUP(radicados[[#This Row],[MUNICIPIO]],MUNICIPIOS!A:A,MUNICIPIOS!E:E,0,0,1)</f>
        <v>Oriente</v>
      </c>
      <c r="F119" s="34" t="s">
        <v>113</v>
      </c>
      <c r="G119" s="3">
        <v>102</v>
      </c>
      <c r="H119" s="28" t="s">
        <v>207</v>
      </c>
      <c r="I119" t="s">
        <v>17</v>
      </c>
      <c r="J119" s="12">
        <v>6559849123</v>
      </c>
      <c r="K119" s="13"/>
    </row>
    <row r="120" spans="1:11">
      <c r="A120" s="9">
        <f>ROW() - ROW(radicados[[#Headers],[ID_RADICADOS]])</f>
        <v>119</v>
      </c>
      <c r="B120" s="10">
        <v>2024010444750</v>
      </c>
      <c r="C120" s="11">
        <v>45565</v>
      </c>
      <c r="D120" s="10">
        <f ca="1">+TODAY()-radicados[[#This Row],[FECHA]]</f>
        <v>431</v>
      </c>
      <c r="E120" s="32" t="str">
        <f>+_xlfn.XLOOKUP(radicados[[#This Row],[MUNICIPIO]],MUNICIPIOS!A:A,MUNICIPIOS!E:E,0,0,1)</f>
        <v>Oriente</v>
      </c>
      <c r="F120" s="34" t="s">
        <v>208</v>
      </c>
      <c r="G120" s="3">
        <v>129</v>
      </c>
      <c r="H120" t="s">
        <v>330</v>
      </c>
      <c r="I120" t="s">
        <v>17</v>
      </c>
      <c r="J120" s="12">
        <v>24884839438</v>
      </c>
      <c r="K120" s="13"/>
    </row>
    <row r="121" spans="1:11">
      <c r="A121" s="9">
        <f>ROW() - ROW(radicados[[#Headers],[ID_RADICADOS]])</f>
        <v>120</v>
      </c>
      <c r="B121" s="10">
        <v>2024010445251</v>
      </c>
      <c r="C121" s="11">
        <v>45565</v>
      </c>
      <c r="D121" s="10">
        <f ca="1">+TODAY()-radicados[[#This Row],[FECHA]]</f>
        <v>431</v>
      </c>
      <c r="E121" s="32" t="str">
        <f>+_xlfn.XLOOKUP(radicados[[#This Row],[MUNICIPIO]],MUNICIPIOS!A:A,MUNICIPIOS!E:E,0,0,1)</f>
        <v>Norte</v>
      </c>
      <c r="F121" s="34" t="s">
        <v>209</v>
      </c>
      <c r="G121" s="3">
        <v>103</v>
      </c>
      <c r="H121" t="s">
        <v>210</v>
      </c>
      <c r="I121" t="s">
        <v>17</v>
      </c>
      <c r="J121" s="12">
        <v>2715816249</v>
      </c>
      <c r="K121" s="13"/>
    </row>
    <row r="122" spans="1:11">
      <c r="A122" s="9">
        <f>ROW() - ROW(radicados[[#Headers],[ID_RADICADOS]])</f>
        <v>121</v>
      </c>
      <c r="B122" s="10">
        <v>2024010446606</v>
      </c>
      <c r="C122" s="11">
        <v>45565</v>
      </c>
      <c r="D122" s="10">
        <f ca="1">+TODAY()-radicados[[#This Row],[FECHA]]</f>
        <v>431</v>
      </c>
      <c r="E122" s="32" t="str">
        <f>+_xlfn.XLOOKUP(radicados[[#This Row],[MUNICIPIO]],MUNICIPIOS!A:A,MUNICIPIOS!E:E,0,0,1)</f>
        <v>Oriente</v>
      </c>
      <c r="F122" s="34" t="s">
        <v>211</v>
      </c>
      <c r="G122" s="3">
        <v>104</v>
      </c>
      <c r="H122" t="s">
        <v>212</v>
      </c>
      <c r="I122" t="s">
        <v>17</v>
      </c>
      <c r="J122" s="12">
        <v>2747763151</v>
      </c>
      <c r="K122" s="13"/>
    </row>
    <row r="123" spans="1:11">
      <c r="A123" s="9">
        <f>ROW() - ROW(radicados[[#Headers],[ID_RADICADOS]])</f>
        <v>122</v>
      </c>
      <c r="B123" s="10">
        <v>2024010463584</v>
      </c>
      <c r="C123" s="11">
        <v>45301</v>
      </c>
      <c r="D123" s="10">
        <f ca="1">+TODAY()-radicados[[#This Row],[FECHA]]</f>
        <v>695</v>
      </c>
      <c r="E123" s="32" t="str">
        <f>+_xlfn.XLOOKUP(radicados[[#This Row],[MUNICIPIO]],MUNICIPIOS!A:A,MUNICIPIOS!E:E,0,0,1)</f>
        <v>Bajo Cauca</v>
      </c>
      <c r="F123" s="34" t="s">
        <v>191</v>
      </c>
      <c r="G123" s="3">
        <v>105</v>
      </c>
      <c r="H123" t="s">
        <v>213</v>
      </c>
      <c r="I123" t="s">
        <v>17</v>
      </c>
      <c r="J123" s="12">
        <v>3201509388.04</v>
      </c>
      <c r="K123" s="13"/>
    </row>
    <row r="124" spans="1:11">
      <c r="A124" s="9">
        <f>ROW() - ROW(radicados[[#Headers],[ID_RADICADOS]])</f>
        <v>123</v>
      </c>
      <c r="B124" s="10">
        <v>2024010467704</v>
      </c>
      <c r="C124" s="11">
        <v>45545</v>
      </c>
      <c r="D124" s="10">
        <f ca="1">+TODAY()-radicados[[#This Row],[FECHA]]</f>
        <v>451</v>
      </c>
      <c r="E124" s="32" t="str">
        <f>+_xlfn.XLOOKUP(radicados[[#This Row],[MUNICIPIO]],MUNICIPIOS!A:A,MUNICIPIOS!E:E,0,0,1)</f>
        <v>Suroeste</v>
      </c>
      <c r="F124" s="34" t="s">
        <v>54</v>
      </c>
      <c r="G124" s="3">
        <v>85</v>
      </c>
      <c r="H124" t="s">
        <v>180</v>
      </c>
      <c r="I124" t="s">
        <v>17</v>
      </c>
      <c r="J124" s="12"/>
      <c r="K124" s="13"/>
    </row>
    <row r="125" spans="1:11">
      <c r="A125" s="9">
        <f>ROW() - ROW(radicados[[#Headers],[ID_RADICADOS]])</f>
        <v>124</v>
      </c>
      <c r="B125" s="10">
        <v>2024010464392</v>
      </c>
      <c r="C125" s="11">
        <v>45606</v>
      </c>
      <c r="D125" s="10">
        <f ca="1">+TODAY()-radicados[[#This Row],[FECHA]]</f>
        <v>390</v>
      </c>
      <c r="E125" s="32" t="str">
        <f>+_xlfn.XLOOKUP(radicados[[#This Row],[MUNICIPIO]],MUNICIPIOS!A:A,MUNICIPIOS!E:E,0,0,1)</f>
        <v>Occidente</v>
      </c>
      <c r="F125" s="34" t="s">
        <v>214</v>
      </c>
      <c r="G125" s="3">
        <v>106</v>
      </c>
      <c r="H125" t="s">
        <v>215</v>
      </c>
      <c r="I125" t="s">
        <v>17</v>
      </c>
      <c r="J125" s="12">
        <v>3000000000</v>
      </c>
      <c r="K125" s="13"/>
    </row>
    <row r="126" spans="1:11">
      <c r="A126" s="9">
        <f>ROW() - ROW(radicados[[#Headers],[ID_RADICADOS]])</f>
        <v>125</v>
      </c>
      <c r="B126" s="10">
        <v>2024010477292</v>
      </c>
      <c r="C126" s="11">
        <v>45545</v>
      </c>
      <c r="D126" s="10">
        <f ca="1">+TODAY()-radicados[[#This Row],[FECHA]]</f>
        <v>451</v>
      </c>
      <c r="E126" s="32" t="str">
        <f>+_xlfn.XLOOKUP(radicados[[#This Row],[MUNICIPIO]],MUNICIPIOS!A:A,MUNICIPIOS!E:E,0,0,1)</f>
        <v>Suroeste</v>
      </c>
      <c r="F126" s="34" t="s">
        <v>216</v>
      </c>
      <c r="G126" s="3">
        <v>107</v>
      </c>
      <c r="H126" t="s">
        <v>217</v>
      </c>
      <c r="I126" t="s">
        <v>17</v>
      </c>
      <c r="J126" s="12">
        <v>27306608479</v>
      </c>
      <c r="K126" s="13"/>
    </row>
    <row r="127" spans="1:11">
      <c r="A127" s="9">
        <f>ROW() - ROW(radicados[[#Headers],[ID_RADICADOS]])</f>
        <v>126</v>
      </c>
      <c r="B127" s="10">
        <v>2024010477263</v>
      </c>
      <c r="C127" s="11">
        <v>45586</v>
      </c>
      <c r="D127" s="10">
        <f ca="1">+TODAY()-radicados[[#This Row],[FECHA]]</f>
        <v>410</v>
      </c>
      <c r="E127" s="32" t="str">
        <f>+_xlfn.XLOOKUP(radicados[[#This Row],[MUNICIPIO]],MUNICIPIOS!A:A,MUNICIPIOS!E:E,0,0,1)</f>
        <v>Suroeste</v>
      </c>
      <c r="F127" s="34" t="s">
        <v>216</v>
      </c>
      <c r="G127" s="3">
        <v>107</v>
      </c>
      <c r="H127" t="s">
        <v>217</v>
      </c>
      <c r="I127" t="s">
        <v>17</v>
      </c>
      <c r="J127" s="12">
        <v>27306608479</v>
      </c>
      <c r="K127" s="13"/>
    </row>
    <row r="128" spans="1:11">
      <c r="A128" s="9">
        <f>ROW() - ROW(radicados[[#Headers],[ID_RADICADOS]])</f>
        <v>127</v>
      </c>
      <c r="B128" s="10">
        <v>2024010464862</v>
      </c>
      <c r="C128" s="11">
        <v>45575</v>
      </c>
      <c r="D128" s="10">
        <f ca="1">+TODAY()-radicados[[#This Row],[FECHA]]</f>
        <v>421</v>
      </c>
      <c r="E128" s="32" t="str">
        <f>+_xlfn.XLOOKUP(radicados[[#This Row],[MUNICIPIO]],MUNICIPIOS!A:A,MUNICIPIOS!E:E,0,0,1)</f>
        <v>Urabá</v>
      </c>
      <c r="F128" s="34" t="s">
        <v>38</v>
      </c>
      <c r="G128" s="3">
        <v>108</v>
      </c>
      <c r="H128" t="s">
        <v>218</v>
      </c>
      <c r="I128" t="s">
        <v>17</v>
      </c>
      <c r="J128" s="12">
        <v>7789949678</v>
      </c>
      <c r="K128" s="13"/>
    </row>
    <row r="129" spans="1:11">
      <c r="A129" s="9">
        <f>ROW() - ROW(radicados[[#Headers],[ID_RADICADOS]])</f>
        <v>128</v>
      </c>
      <c r="B129" s="10">
        <v>2024010467655</v>
      </c>
      <c r="C129" s="11">
        <v>45607</v>
      </c>
      <c r="D129" s="10">
        <f ca="1">+TODAY()-radicados[[#This Row],[FECHA]]</f>
        <v>389</v>
      </c>
      <c r="E129" s="32" t="str">
        <f>+_xlfn.XLOOKUP(radicados[[#This Row],[MUNICIPIO]],MUNICIPIOS!A:A,MUNICIPIOS!E:E,0,0,1)</f>
        <v>Suroeste</v>
      </c>
      <c r="F129" s="34" t="s">
        <v>23</v>
      </c>
      <c r="G129" s="3">
        <v>109</v>
      </c>
      <c r="H129" t="s">
        <v>219</v>
      </c>
      <c r="I129" t="s">
        <v>17</v>
      </c>
      <c r="J129" s="12">
        <v>4999509465</v>
      </c>
      <c r="K129" s="13"/>
    </row>
    <row r="130" spans="1:11">
      <c r="A130" s="9">
        <f>ROW() - ROW(radicados[[#Headers],[ID_RADICADOS]])</f>
        <v>129</v>
      </c>
      <c r="B130" s="10">
        <v>2024010500511</v>
      </c>
      <c r="C130" s="11">
        <v>45596</v>
      </c>
      <c r="D130" s="10">
        <f ca="1">+TODAY()-radicados[[#This Row],[FECHA]]</f>
        <v>400</v>
      </c>
      <c r="E130" s="32" t="str">
        <f>+_xlfn.XLOOKUP(radicados[[#This Row],[MUNICIPIO]],MUNICIPIOS!A:A,MUNICIPIOS!E:E,0,0,1)</f>
        <v>Bajo Cauca</v>
      </c>
      <c r="F130" s="34" t="s">
        <v>45</v>
      </c>
      <c r="G130" s="3">
        <v>110</v>
      </c>
      <c r="H130" t="s">
        <v>220</v>
      </c>
      <c r="I130" t="s">
        <v>17</v>
      </c>
      <c r="J130" s="12">
        <v>1956684978</v>
      </c>
      <c r="K130" s="13"/>
    </row>
    <row r="131" spans="1:11">
      <c r="A131" s="9">
        <f>ROW() - ROW(radicados[[#Headers],[ID_RADICADOS]])</f>
        <v>130</v>
      </c>
      <c r="B131" s="10">
        <v>2024010499529</v>
      </c>
      <c r="C131" s="11">
        <v>45596</v>
      </c>
      <c r="D131" s="10">
        <f ca="1">+TODAY()-radicados[[#This Row],[FECHA]]</f>
        <v>400</v>
      </c>
      <c r="E131" s="32" t="str">
        <f>+_xlfn.XLOOKUP(radicados[[#This Row],[MUNICIPIO]],MUNICIPIOS!A:A,MUNICIPIOS!E:E,0,0,1)</f>
        <v>Oriente</v>
      </c>
      <c r="F131" s="34" t="s">
        <v>163</v>
      </c>
      <c r="G131" s="3">
        <v>111</v>
      </c>
      <c r="H131" t="s">
        <v>221</v>
      </c>
      <c r="I131" t="s">
        <v>17</v>
      </c>
      <c r="J131" s="12">
        <v>400000000</v>
      </c>
      <c r="K131" s="13"/>
    </row>
    <row r="132" spans="1:11">
      <c r="A132" s="9">
        <f>ROW() - ROW(radicados[[#Headers],[ID_RADICADOS]])</f>
        <v>131</v>
      </c>
      <c r="B132" s="10">
        <v>2024010490524</v>
      </c>
      <c r="C132" s="11">
        <v>45590</v>
      </c>
      <c r="D132" s="10">
        <f ca="1">+TODAY()-radicados[[#This Row],[FECHA]]</f>
        <v>406</v>
      </c>
      <c r="E132" s="32" t="str">
        <f>+_xlfn.XLOOKUP(radicados[[#This Row],[MUNICIPIO]],MUNICIPIOS!A:A,MUNICIPIOS!E:E,0,0,1)</f>
        <v>Urabá</v>
      </c>
      <c r="F132" s="34" t="s">
        <v>74</v>
      </c>
      <c r="G132" s="3">
        <v>112</v>
      </c>
      <c r="H132" t="s">
        <v>222</v>
      </c>
      <c r="I132" t="s">
        <v>17</v>
      </c>
      <c r="J132" s="12">
        <v>2775714198</v>
      </c>
      <c r="K132" s="13"/>
    </row>
    <row r="133" spans="1:11">
      <c r="A133" s="9">
        <f>ROW() - ROW(radicados[[#Headers],[ID_RADICADOS]])</f>
        <v>132</v>
      </c>
      <c r="B133" s="10">
        <v>2024010502109</v>
      </c>
      <c r="C133" s="11">
        <v>45302</v>
      </c>
      <c r="D133" s="10">
        <f ca="1">+TODAY()-radicados[[#This Row],[FECHA]]</f>
        <v>694</v>
      </c>
      <c r="E133" s="32" t="str">
        <f>+_xlfn.XLOOKUP(radicados[[#This Row],[MUNICIPIO]],MUNICIPIOS!A:A,MUNICIPIOS!E:E,0,0,1)</f>
        <v>Suroeste</v>
      </c>
      <c r="F133" s="34" t="s">
        <v>223</v>
      </c>
      <c r="G133" s="3">
        <v>113</v>
      </c>
      <c r="H133" t="s">
        <v>224</v>
      </c>
      <c r="I133" t="s">
        <v>17</v>
      </c>
      <c r="J133" s="12">
        <v>39324539081.5</v>
      </c>
      <c r="K133" s="13"/>
    </row>
    <row r="134" spans="1:11">
      <c r="A134" s="9">
        <f>ROW() - ROW(radicados[[#Headers],[ID_RADICADOS]])</f>
        <v>133</v>
      </c>
      <c r="B134" s="10">
        <v>2024010513281</v>
      </c>
      <c r="C134" s="11">
        <v>45515</v>
      </c>
      <c r="D134" s="10">
        <f ca="1">+TODAY()-radicados[[#This Row],[FECHA]]</f>
        <v>481</v>
      </c>
      <c r="E134" s="32" t="str">
        <f>+_xlfn.XLOOKUP(radicados[[#This Row],[MUNICIPIO]],MUNICIPIOS!A:A,MUNICIPIOS!E:E,0,0,1)</f>
        <v>Valle de Aburrá</v>
      </c>
      <c r="F134" s="34" t="s">
        <v>196</v>
      </c>
      <c r="G134" s="3">
        <v>114</v>
      </c>
      <c r="H134" t="s">
        <v>225</v>
      </c>
      <c r="I134" t="s">
        <v>17</v>
      </c>
      <c r="J134" s="12">
        <v>17008905667.6</v>
      </c>
      <c r="K134" s="13"/>
    </row>
    <row r="135" spans="1:11">
      <c r="A135" s="9">
        <f>ROW() - ROW(radicados[[#Headers],[ID_RADICADOS]])</f>
        <v>134</v>
      </c>
      <c r="B135" s="10">
        <v>2024010513286</v>
      </c>
      <c r="C135" s="11">
        <v>45515</v>
      </c>
      <c r="D135" s="10">
        <f ca="1">+TODAY()-radicados[[#This Row],[FECHA]]</f>
        <v>481</v>
      </c>
      <c r="E135" s="32" t="str">
        <f>+_xlfn.XLOOKUP(radicados[[#This Row],[MUNICIPIO]],MUNICIPIOS!A:A,MUNICIPIOS!E:E,0,0,1)</f>
        <v>Valle de Aburrá</v>
      </c>
      <c r="F135" s="34" t="s">
        <v>196</v>
      </c>
      <c r="G135" s="3">
        <v>114</v>
      </c>
      <c r="H135" t="s">
        <v>225</v>
      </c>
      <c r="I135" t="s">
        <v>17</v>
      </c>
      <c r="J135" s="12">
        <v>17008905667.6</v>
      </c>
      <c r="K135" s="13"/>
    </row>
    <row r="136" spans="1:11">
      <c r="A136" s="9">
        <f>ROW() - ROW(radicados[[#Headers],[ID_RADICADOS]])</f>
        <v>135</v>
      </c>
      <c r="B136" s="10">
        <v>2024010520677</v>
      </c>
      <c r="C136" s="11">
        <v>45610</v>
      </c>
      <c r="D136" s="10">
        <f ca="1">+TODAY()-radicados[[#This Row],[FECHA]]</f>
        <v>386</v>
      </c>
      <c r="E136" s="32" t="str">
        <f>+_xlfn.XLOOKUP(radicados[[#This Row],[MUNICIPIO]],MUNICIPIOS!A:A,MUNICIPIOS!E:E,0,0,1)</f>
        <v>Suroeste</v>
      </c>
      <c r="F136" s="34" t="s">
        <v>223</v>
      </c>
      <c r="G136" s="3">
        <v>115</v>
      </c>
      <c r="H136" t="s">
        <v>226</v>
      </c>
      <c r="I136" t="s">
        <v>17</v>
      </c>
      <c r="J136" s="12">
        <v>2177618498</v>
      </c>
      <c r="K136" s="13"/>
    </row>
    <row r="137" spans="1:11" ht="45">
      <c r="A137" s="9">
        <f>ROW() - ROW(radicados[[#Headers],[ID_RADICADOS]])</f>
        <v>136</v>
      </c>
      <c r="B137" s="10">
        <v>2024010520939</v>
      </c>
      <c r="C137" s="11">
        <v>45610</v>
      </c>
      <c r="D137" s="10">
        <f ca="1">+TODAY()-radicados[[#This Row],[FECHA]]</f>
        <v>386</v>
      </c>
      <c r="E137" s="32" t="str">
        <f>+_xlfn.XLOOKUP(radicados[[#This Row],[MUNICIPIO]],MUNICIPIOS!A:A,MUNICIPIOS!E:E,0,0,1)</f>
        <v>Oriente</v>
      </c>
      <c r="F137" s="34" t="s">
        <v>227</v>
      </c>
      <c r="G137" s="3">
        <v>172</v>
      </c>
      <c r="H137" s="28" t="s">
        <v>228</v>
      </c>
      <c r="I137" t="s">
        <v>17</v>
      </c>
      <c r="J137" s="12">
        <v>13451049120</v>
      </c>
      <c r="K137" s="13"/>
    </row>
    <row r="138" spans="1:11">
      <c r="A138" s="9">
        <f>ROW() - ROW(radicados[[#Headers],[ID_RADICADOS]])</f>
        <v>137</v>
      </c>
      <c r="B138" s="10">
        <v>2024010506674</v>
      </c>
      <c r="C138" s="11">
        <v>45454</v>
      </c>
      <c r="D138" s="10">
        <f ca="1">+TODAY()-radicados[[#This Row],[FECHA]]</f>
        <v>542</v>
      </c>
      <c r="E138" s="32" t="str">
        <f>+_xlfn.XLOOKUP(radicados[[#This Row],[MUNICIPIO]],MUNICIPIOS!A:A,MUNICIPIOS!E:E,0,0,1)</f>
        <v>Oriente</v>
      </c>
      <c r="F138" s="34" t="s">
        <v>125</v>
      </c>
      <c r="G138" s="3">
        <v>116</v>
      </c>
      <c r="H138" t="s">
        <v>229</v>
      </c>
      <c r="I138" t="s">
        <v>17</v>
      </c>
      <c r="J138" s="12">
        <v>3721767433</v>
      </c>
      <c r="K138" s="13"/>
    </row>
    <row r="139" spans="1:11">
      <c r="A139" s="9">
        <f>ROW() - ROW(radicados[[#Headers],[ID_RADICADOS]])</f>
        <v>138</v>
      </c>
      <c r="B139" s="10">
        <v>2024010512526</v>
      </c>
      <c r="C139" s="11">
        <v>45515</v>
      </c>
      <c r="D139" s="10">
        <f ca="1">+TODAY()-radicados[[#This Row],[FECHA]]</f>
        <v>481</v>
      </c>
      <c r="E139" s="32" t="str">
        <f>+_xlfn.XLOOKUP(radicados[[#This Row],[MUNICIPIO]],MUNICIPIOS!A:A,MUNICIPIOS!E:E,0,0,1)</f>
        <v>Suroeste</v>
      </c>
      <c r="F139" s="34" t="s">
        <v>230</v>
      </c>
      <c r="G139" s="3">
        <v>397</v>
      </c>
      <c r="H139" t="s">
        <v>231</v>
      </c>
      <c r="I139" t="s">
        <v>17</v>
      </c>
      <c r="J139" s="12">
        <v>3893893959</v>
      </c>
      <c r="K139" s="13"/>
    </row>
    <row r="140" spans="1:11">
      <c r="A140" s="9">
        <f>ROW() - ROW(radicados[[#Headers],[ID_RADICADOS]])</f>
        <v>139</v>
      </c>
      <c r="B140" s="10">
        <v>2024010515296</v>
      </c>
      <c r="C140" s="11">
        <v>45637</v>
      </c>
      <c r="D140" s="10">
        <f ca="1">+TODAY()-radicados[[#This Row],[FECHA]]</f>
        <v>359</v>
      </c>
      <c r="E140" s="32" t="str">
        <f>+_xlfn.XLOOKUP(radicados[[#This Row],[MUNICIPIO]],MUNICIPIOS!A:A,MUNICIPIOS!E:E,0,0,1)</f>
        <v>Suroeste</v>
      </c>
      <c r="F140" s="34" t="s">
        <v>232</v>
      </c>
      <c r="G140" s="3">
        <v>117</v>
      </c>
      <c r="H140" t="s">
        <v>233</v>
      </c>
      <c r="I140" t="s">
        <v>17</v>
      </c>
      <c r="J140" s="12">
        <v>2999057314</v>
      </c>
      <c r="K140" s="13"/>
    </row>
    <row r="141" spans="1:11">
      <c r="A141" s="9">
        <f>ROW() - ROW(radicados[[#Headers],[ID_RADICADOS]])</f>
        <v>140</v>
      </c>
      <c r="B141" s="10">
        <v>2024010519763</v>
      </c>
      <c r="C141" s="11">
        <v>45609</v>
      </c>
      <c r="D141" s="10">
        <f ca="1">+TODAY()-radicados[[#This Row],[FECHA]]</f>
        <v>387</v>
      </c>
      <c r="E141" s="32" t="str">
        <f>+_xlfn.XLOOKUP(radicados[[#This Row],[MUNICIPIO]],MUNICIPIOS!A:A,MUNICIPIOS!E:E,0,0,1)</f>
        <v>Urabá</v>
      </c>
      <c r="F141" s="34" t="s">
        <v>38</v>
      </c>
      <c r="G141" s="3">
        <v>118</v>
      </c>
      <c r="H141" t="s">
        <v>234</v>
      </c>
      <c r="I141" t="s">
        <v>17</v>
      </c>
      <c r="J141" s="12">
        <v>800000000</v>
      </c>
      <c r="K141" s="13"/>
    </row>
    <row r="142" spans="1:11">
      <c r="A142" s="9">
        <f>ROW() - ROW(radicados[[#Headers],[ID_RADICADOS]])</f>
        <v>141</v>
      </c>
      <c r="B142" s="10">
        <v>2024020054785</v>
      </c>
      <c r="C142" s="11">
        <v>45637</v>
      </c>
      <c r="D142" s="10">
        <f ca="1">+TODAY()-radicados[[#This Row],[FECHA]]</f>
        <v>359</v>
      </c>
      <c r="E142" s="32" t="str">
        <f>+_xlfn.XLOOKUP(radicados[[#This Row],[MUNICIPIO]],MUNICIPIOS!A:A,MUNICIPIOS!E:E,0,0,1)</f>
        <v>Bajo Cauca</v>
      </c>
      <c r="F142" s="34" t="s">
        <v>200</v>
      </c>
      <c r="G142" s="3">
        <v>119</v>
      </c>
      <c r="H142" t="s">
        <v>235</v>
      </c>
      <c r="I142" t="s">
        <v>6</v>
      </c>
      <c r="J142" s="12">
        <v>3347941547</v>
      </c>
      <c r="K142" s="13"/>
    </row>
    <row r="143" spans="1:11">
      <c r="A143" s="9">
        <f>ROW() - ROW(radicados[[#Headers],[ID_RADICADOS]])</f>
        <v>142</v>
      </c>
      <c r="B143" s="10">
        <v>2024010499742</v>
      </c>
      <c r="C143" s="11">
        <v>45483</v>
      </c>
      <c r="D143" s="10">
        <f ca="1">+TODAY()-radicados[[#This Row],[FECHA]]</f>
        <v>513</v>
      </c>
      <c r="E143" s="32" t="str">
        <f>+_xlfn.XLOOKUP(radicados[[#This Row],[MUNICIPIO]],MUNICIPIOS!A:A,MUNICIPIOS!E:E,0,0,1)</f>
        <v>Oriente</v>
      </c>
      <c r="F143" s="34" t="s">
        <v>141</v>
      </c>
      <c r="G143" s="3">
        <v>120</v>
      </c>
      <c r="H143" t="s">
        <v>331</v>
      </c>
      <c r="I143" t="s">
        <v>6</v>
      </c>
      <c r="J143" s="12">
        <v>175062094</v>
      </c>
      <c r="K143" s="13"/>
    </row>
    <row r="144" spans="1:11">
      <c r="A144" s="9">
        <f>ROW() - ROW(radicados[[#Headers],[ID_RADICADOS]])</f>
        <v>143</v>
      </c>
      <c r="B144" s="10">
        <v>2024010518399</v>
      </c>
      <c r="C144" s="11">
        <v>45596</v>
      </c>
      <c r="D144" s="10">
        <f ca="1">+TODAY()-radicados[[#This Row],[FECHA]]</f>
        <v>400</v>
      </c>
      <c r="E144" s="32" t="str">
        <f>+_xlfn.XLOOKUP(radicados[[#This Row],[MUNICIPIO]],MUNICIPIOS!A:A,MUNICIPIOS!E:E,0,0,1)</f>
        <v>Oriente</v>
      </c>
      <c r="F144" s="34" t="s">
        <v>332</v>
      </c>
      <c r="G144" s="3">
        <v>121</v>
      </c>
      <c r="H144" t="s">
        <v>237</v>
      </c>
      <c r="I144" t="s">
        <v>17</v>
      </c>
      <c r="J144" s="12">
        <v>5206425813</v>
      </c>
      <c r="K144" s="13"/>
    </row>
    <row r="145" spans="1:11">
      <c r="A145" s="9">
        <f>ROW() - ROW(radicados[[#Headers],[ID_RADICADOS]])</f>
        <v>144</v>
      </c>
      <c r="B145" s="10">
        <v>2024010523151</v>
      </c>
      <c r="C145" s="11">
        <v>45609</v>
      </c>
      <c r="D145" s="10">
        <f ca="1">+TODAY()-radicados[[#This Row],[FECHA]]</f>
        <v>387</v>
      </c>
      <c r="E145" s="32" t="str">
        <f>+_xlfn.XLOOKUP(radicados[[#This Row],[MUNICIPIO]],MUNICIPIOS!A:A,MUNICIPIOS!E:E,0,0,1)</f>
        <v>Oriente</v>
      </c>
      <c r="F145" s="34" t="s">
        <v>97</v>
      </c>
      <c r="G145" s="3">
        <v>122</v>
      </c>
      <c r="H145" t="s">
        <v>239</v>
      </c>
      <c r="I145" t="s">
        <v>17</v>
      </c>
      <c r="J145" s="12">
        <v>2371629272</v>
      </c>
      <c r="K145" s="13" t="s">
        <v>333</v>
      </c>
    </row>
    <row r="146" spans="1:11">
      <c r="A146" s="9">
        <f>ROW() - ROW(radicados[[#Headers],[ID_RADICADOS]])</f>
        <v>145</v>
      </c>
      <c r="B146" s="10">
        <v>2024010524340</v>
      </c>
      <c r="C146" s="11">
        <v>45611</v>
      </c>
      <c r="D146" s="10">
        <f ca="1">+TODAY()-radicados[[#This Row],[FECHA]]</f>
        <v>385</v>
      </c>
      <c r="E146" s="32" t="str">
        <f>+_xlfn.XLOOKUP(radicados[[#This Row],[MUNICIPIO]],MUNICIPIOS!A:A,MUNICIPIOS!E:E,0,0,1)</f>
        <v>Oriente</v>
      </c>
      <c r="F146" s="34" t="s">
        <v>84</v>
      </c>
      <c r="G146" s="3">
        <v>123</v>
      </c>
      <c r="H146" t="s">
        <v>240</v>
      </c>
      <c r="I146" t="s">
        <v>17</v>
      </c>
      <c r="J146" s="12">
        <v>10000000000</v>
      </c>
      <c r="K146" s="13"/>
    </row>
    <row r="147" spans="1:11">
      <c r="A147" s="9">
        <f>ROW() - ROW(radicados[[#Headers],[ID_RADICADOS]])</f>
        <v>146</v>
      </c>
      <c r="B147" s="10">
        <v>2024010528792</v>
      </c>
      <c r="C147" s="11">
        <v>45611</v>
      </c>
      <c r="D147" s="10">
        <f ca="1">+TODAY()-radicados[[#This Row],[FECHA]]</f>
        <v>385</v>
      </c>
      <c r="E147" s="32" t="str">
        <f>+_xlfn.XLOOKUP(radicados[[#This Row],[MUNICIPIO]],MUNICIPIOS!A:A,MUNICIPIOS!E:E,0,0,1)</f>
        <v>Oriente</v>
      </c>
      <c r="F147" s="34" t="s">
        <v>115</v>
      </c>
      <c r="G147" s="3">
        <v>124</v>
      </c>
      <c r="H147" t="s">
        <v>241</v>
      </c>
      <c r="I147" t="s">
        <v>17</v>
      </c>
      <c r="J147" s="12">
        <v>9902922492</v>
      </c>
      <c r="K147" s="13"/>
    </row>
    <row r="148" spans="1:11">
      <c r="A148" s="9">
        <f>ROW() - ROW(radicados[[#Headers],[ID_RADICADOS]])</f>
        <v>147</v>
      </c>
      <c r="B148" s="10">
        <v>2024010535795</v>
      </c>
      <c r="C148" s="11">
        <v>45615</v>
      </c>
      <c r="D148" s="10">
        <f ca="1">+TODAY()-radicados[[#This Row],[FECHA]]</f>
        <v>381</v>
      </c>
      <c r="E148" s="32" t="str">
        <f>+_xlfn.XLOOKUP(radicados[[#This Row],[MUNICIPIO]],MUNICIPIOS!A:A,MUNICIPIOS!E:E,0,0,1)</f>
        <v>Oriente</v>
      </c>
      <c r="F148" s="34" t="s">
        <v>332</v>
      </c>
      <c r="G148" s="3">
        <v>125</v>
      </c>
      <c r="H148" t="s">
        <v>242</v>
      </c>
      <c r="I148" t="s">
        <v>17</v>
      </c>
      <c r="J148" s="12">
        <v>4155687169</v>
      </c>
      <c r="K148" s="13"/>
    </row>
    <row r="149" spans="1:11">
      <c r="A149" s="9">
        <f>ROW() - ROW(radicados[[#Headers],[ID_RADICADOS]])</f>
        <v>148</v>
      </c>
      <c r="B149" s="10">
        <v>2024010538367</v>
      </c>
      <c r="C149" s="11">
        <v>45618</v>
      </c>
      <c r="D149" s="10">
        <f ca="1">+TODAY()-radicados[[#This Row],[FECHA]]</f>
        <v>378</v>
      </c>
      <c r="E149" s="32" t="str">
        <f>+_xlfn.XLOOKUP(radicados[[#This Row],[MUNICIPIO]],MUNICIPIOS!A:A,MUNICIPIOS!E:E,0,0,1)</f>
        <v>Suroeste</v>
      </c>
      <c r="F149" s="34" t="s">
        <v>232</v>
      </c>
      <c r="G149" s="3">
        <v>126</v>
      </c>
      <c r="H149" t="s">
        <v>243</v>
      </c>
      <c r="I149" t="s">
        <v>51</v>
      </c>
      <c r="J149" s="12"/>
      <c r="K149" s="13"/>
    </row>
    <row r="150" spans="1:11">
      <c r="A150" s="9">
        <f>ROW() - ROW(radicados[[#Headers],[ID_RADICADOS]])</f>
        <v>149</v>
      </c>
      <c r="B150" s="10">
        <v>2024010544598</v>
      </c>
      <c r="C150" s="11">
        <v>45622</v>
      </c>
      <c r="D150" s="10">
        <f ca="1">+TODAY()-radicados[[#This Row],[FECHA]]</f>
        <v>374</v>
      </c>
      <c r="E150" s="32" t="str">
        <f>+_xlfn.XLOOKUP(radicados[[#This Row],[MUNICIPIO]],MUNICIPIOS!A:A,MUNICIPIOS!E:E,0,0,1)</f>
        <v>Nordeste</v>
      </c>
      <c r="F150" s="34" t="s">
        <v>244</v>
      </c>
      <c r="G150" s="3">
        <v>127</v>
      </c>
      <c r="H150" t="s">
        <v>245</v>
      </c>
      <c r="I150" t="s">
        <v>17</v>
      </c>
      <c r="J150" s="29">
        <v>7365388005</v>
      </c>
      <c r="K150" s="13"/>
    </row>
    <row r="151" spans="1:11">
      <c r="A151" s="9">
        <f>ROW() - ROW(radicados[[#Headers],[ID_RADICADOS]])</f>
        <v>150</v>
      </c>
      <c r="B151" s="10">
        <v>2024010552957</v>
      </c>
      <c r="C151" s="11">
        <v>45624</v>
      </c>
      <c r="D151" s="10">
        <f ca="1">+TODAY()-radicados[[#This Row],[FECHA]]</f>
        <v>372</v>
      </c>
      <c r="E151" s="32" t="str">
        <f>+_xlfn.XLOOKUP(radicados[[#This Row],[MUNICIPIO]],MUNICIPIOS!A:A,MUNICIPIOS!E:E,0,0,1)</f>
        <v>Norte</v>
      </c>
      <c r="F151" s="34" t="s">
        <v>35</v>
      </c>
      <c r="G151" s="3">
        <v>128</v>
      </c>
      <c r="H151" t="s">
        <v>246</v>
      </c>
      <c r="I151" t="s">
        <v>17</v>
      </c>
      <c r="J151" s="12">
        <v>5716669019</v>
      </c>
      <c r="K151" s="13"/>
    </row>
    <row r="152" spans="1:11">
      <c r="A152" s="9">
        <f>ROW() - ROW(radicados[[#Headers],[ID_RADICADOS]])</f>
        <v>151</v>
      </c>
      <c r="B152" s="10">
        <v>2024010556193</v>
      </c>
      <c r="C152" s="11">
        <v>45363</v>
      </c>
      <c r="D152" s="10">
        <f ca="1">+TODAY()-radicados[[#This Row],[FECHA]]</f>
        <v>633</v>
      </c>
      <c r="E152" s="32" t="str">
        <f>+_xlfn.XLOOKUP(radicados[[#This Row],[MUNICIPIO]],MUNICIPIOS!A:A,MUNICIPIOS!E:E,0,0,1)</f>
        <v>Suroeste</v>
      </c>
      <c r="F152" s="34" t="s">
        <v>127</v>
      </c>
      <c r="G152" s="3">
        <v>159</v>
      </c>
      <c r="H152" t="s">
        <v>247</v>
      </c>
      <c r="I152" t="s">
        <v>17</v>
      </c>
      <c r="J152" s="12">
        <v>2299954496</v>
      </c>
      <c r="K152" s="13"/>
    </row>
    <row r="153" spans="1:11">
      <c r="A153" s="9">
        <f>ROW() - ROW(radicados[[#Headers],[ID_RADICADOS]])</f>
        <v>152</v>
      </c>
      <c r="B153" s="10">
        <v>2024010559100</v>
      </c>
      <c r="C153" s="11">
        <v>45424</v>
      </c>
      <c r="D153" s="10">
        <f ca="1">+TODAY()-radicados[[#This Row],[FECHA]]</f>
        <v>572</v>
      </c>
      <c r="E153" s="32" t="str">
        <f>+_xlfn.XLOOKUP(radicados[[#This Row],[MUNICIPIO]],MUNICIPIOS!A:A,MUNICIPIOS!E:E,0,0,1)</f>
        <v>Oriente</v>
      </c>
      <c r="F153" s="34" t="s">
        <v>208</v>
      </c>
      <c r="G153" s="3">
        <v>129</v>
      </c>
      <c r="H153" t="s">
        <v>248</v>
      </c>
      <c r="I153" t="s">
        <v>17</v>
      </c>
      <c r="J153" s="12">
        <v>2482841960</v>
      </c>
      <c r="K153" s="13"/>
    </row>
    <row r="154" spans="1:11">
      <c r="A154" s="9">
        <f>ROW() - ROW(radicados[[#Headers],[ID_RADICADOS]])</f>
        <v>153</v>
      </c>
      <c r="B154" s="10">
        <v>2024010559910</v>
      </c>
      <c r="C154" s="11">
        <v>45424</v>
      </c>
      <c r="D154" s="10">
        <f ca="1">+TODAY()-radicados[[#This Row],[FECHA]]</f>
        <v>572</v>
      </c>
      <c r="E154" s="32" t="str">
        <f>+_xlfn.XLOOKUP(radicados[[#This Row],[MUNICIPIO]],MUNICIPIOS!A:A,MUNICIPIOS!E:E,0,0,1)</f>
        <v>Bajo Cauca</v>
      </c>
      <c r="F154" s="34" t="s">
        <v>45</v>
      </c>
      <c r="G154" s="3">
        <v>130</v>
      </c>
      <c r="H154" t="s">
        <v>249</v>
      </c>
      <c r="I154" t="s">
        <v>17</v>
      </c>
      <c r="J154" s="12">
        <v>1614250889</v>
      </c>
      <c r="K154" s="13"/>
    </row>
    <row r="155" spans="1:11">
      <c r="A155" s="9">
        <f>ROW() - ROW(radicados[[#Headers],[ID_RADICADOS]])</f>
        <v>154</v>
      </c>
      <c r="B155" s="10">
        <v>2024010562218</v>
      </c>
      <c r="C155" s="11">
        <v>45455</v>
      </c>
      <c r="D155" s="10">
        <f ca="1">+TODAY()-radicados[[#This Row],[FECHA]]</f>
        <v>541</v>
      </c>
      <c r="E155" s="32" t="str">
        <f>+_xlfn.XLOOKUP(radicados[[#This Row],[MUNICIPIO]],MUNICIPIOS!A:A,MUNICIPIOS!E:E,0,0,1)</f>
        <v>Valle de Aburrá</v>
      </c>
      <c r="F155" s="34" t="s">
        <v>250</v>
      </c>
      <c r="G155" s="3">
        <v>131</v>
      </c>
      <c r="H155" t="s">
        <v>251</v>
      </c>
      <c r="I155" t="s">
        <v>17</v>
      </c>
      <c r="J155" s="12">
        <v>16755097970</v>
      </c>
      <c r="K155" s="13"/>
    </row>
    <row r="156" spans="1:11">
      <c r="A156" s="9">
        <f>ROW() - ROW(radicados[[#Headers],[ID_RADICADOS]])</f>
        <v>155</v>
      </c>
      <c r="B156" s="10">
        <v>2024010569332</v>
      </c>
      <c r="C156" s="11">
        <v>45455</v>
      </c>
      <c r="D156" s="10">
        <f ca="1">+TODAY()-radicados[[#This Row],[FECHA]]</f>
        <v>541</v>
      </c>
      <c r="E156" s="32" t="str">
        <f>+_xlfn.XLOOKUP(radicados[[#This Row],[MUNICIPIO]],MUNICIPIOS!A:A,MUNICIPIOS!E:E,0,0,1)</f>
        <v>Magdalena Medio</v>
      </c>
      <c r="F156" s="34" t="s">
        <v>11</v>
      </c>
      <c r="G156" s="3">
        <v>132</v>
      </c>
      <c r="H156" t="s">
        <v>252</v>
      </c>
      <c r="I156" t="s">
        <v>17</v>
      </c>
      <c r="J156" s="12">
        <v>5766878117</v>
      </c>
      <c r="K156" s="13"/>
    </row>
    <row r="157" spans="1:11">
      <c r="A157" s="9">
        <f>ROW() - ROW(radicados[[#Headers],[ID_RADICADOS]])</f>
        <v>156</v>
      </c>
      <c r="B157" s="10">
        <v>2024010572157</v>
      </c>
      <c r="C157" s="11">
        <v>45608</v>
      </c>
      <c r="D157" s="10">
        <f ca="1">+TODAY()-radicados[[#This Row],[FECHA]]</f>
        <v>388</v>
      </c>
      <c r="E157" s="32" t="str">
        <f>+_xlfn.XLOOKUP(radicados[[#This Row],[MUNICIPIO]],MUNICIPIOS!A:A,MUNICIPIOS!E:E,0,0,1)</f>
        <v>Nordeste</v>
      </c>
      <c r="F157" s="34" t="s">
        <v>327</v>
      </c>
      <c r="G157" s="3">
        <v>133</v>
      </c>
      <c r="H157" t="s">
        <v>253</v>
      </c>
      <c r="I157" t="s">
        <v>17</v>
      </c>
      <c r="J157" s="12">
        <v>1955624022</v>
      </c>
      <c r="K157" s="13"/>
    </row>
    <row r="158" spans="1:11">
      <c r="A158" s="9">
        <f>ROW() - ROW(radicados[[#Headers],[ID_RADICADOS]])</f>
        <v>157</v>
      </c>
      <c r="B158" s="10">
        <v>2024010575640</v>
      </c>
      <c r="C158" s="11">
        <v>45638</v>
      </c>
      <c r="D158" s="10">
        <f ca="1">+TODAY()-radicados[[#This Row],[FECHA]]</f>
        <v>358</v>
      </c>
      <c r="E158" s="32" t="str">
        <f>+_xlfn.XLOOKUP(radicados[[#This Row],[MUNICIPIO]],MUNICIPIOS!A:A,MUNICIPIOS!E:E,0,0,1)</f>
        <v>Oriente</v>
      </c>
      <c r="F158" s="34" t="s">
        <v>208</v>
      </c>
      <c r="G158" s="3">
        <v>134</v>
      </c>
      <c r="H158" t="s">
        <v>254</v>
      </c>
      <c r="I158" t="s">
        <v>51</v>
      </c>
      <c r="J158" s="12">
        <v>9804796414</v>
      </c>
      <c r="K158" s="13"/>
    </row>
    <row r="159" spans="1:11">
      <c r="A159" s="9">
        <f>ROW() - ROW(radicados[[#Headers],[ID_RADICADOS]])</f>
        <v>158</v>
      </c>
      <c r="B159" s="10">
        <v>2024010435914</v>
      </c>
      <c r="C159" s="11">
        <v>45639</v>
      </c>
      <c r="D159" s="10">
        <f ca="1">+TODAY()-radicados[[#This Row],[FECHA]]</f>
        <v>357</v>
      </c>
      <c r="E159" s="32" t="str">
        <f>+_xlfn.XLOOKUP(radicados[[#This Row],[MUNICIPIO]],MUNICIPIOS!A:A,MUNICIPIOS!E:E,0,0,1)</f>
        <v>Norte</v>
      </c>
      <c r="F159" s="34" t="s">
        <v>35</v>
      </c>
      <c r="G159" s="3">
        <v>135</v>
      </c>
      <c r="H159" t="s">
        <v>255</v>
      </c>
      <c r="I159" t="s">
        <v>17</v>
      </c>
      <c r="J159" s="12">
        <v>2405517156</v>
      </c>
      <c r="K159" s="13"/>
    </row>
    <row r="160" spans="1:11">
      <c r="A160" s="9">
        <f>ROW() - ROW(radicados[[#Headers],[ID_RADICADOS]])</f>
        <v>159</v>
      </c>
      <c r="B160" s="10">
        <v>2024010435573</v>
      </c>
      <c r="C160" s="11">
        <v>45559</v>
      </c>
      <c r="D160" s="10">
        <f ca="1">+TODAY()-radicados[[#This Row],[FECHA]]</f>
        <v>437</v>
      </c>
      <c r="E160" s="32" t="str">
        <f>+_xlfn.XLOOKUP(radicados[[#This Row],[MUNICIPIO]],MUNICIPIOS!A:A,MUNICIPIOS!E:E,0,0,1)</f>
        <v>Occidente</v>
      </c>
      <c r="F160" s="34" t="s">
        <v>256</v>
      </c>
      <c r="G160" s="3">
        <v>136</v>
      </c>
      <c r="H160" t="s">
        <v>257</v>
      </c>
      <c r="I160" t="s">
        <v>51</v>
      </c>
      <c r="J160" s="12">
        <v>18933645714</v>
      </c>
      <c r="K160" s="13"/>
    </row>
    <row r="161" spans="1:11">
      <c r="A161" s="9">
        <f>ROW() - ROW(radicados[[#Headers],[ID_RADICADOS]])</f>
        <v>160</v>
      </c>
      <c r="B161" s="10">
        <v>2024010432919</v>
      </c>
      <c r="C161" s="11">
        <v>45559</v>
      </c>
      <c r="D161" s="10">
        <f ca="1">+TODAY()-radicados[[#This Row],[FECHA]]</f>
        <v>437</v>
      </c>
      <c r="E161" s="32" t="str">
        <f>+_xlfn.XLOOKUP(radicados[[#This Row],[MUNICIPIO]],MUNICIPIOS!A:A,MUNICIPIOS!E:E,0,0,1)</f>
        <v>Urabá</v>
      </c>
      <c r="F161" s="34" t="s">
        <v>258</v>
      </c>
      <c r="G161" s="3">
        <v>137</v>
      </c>
      <c r="H161" t="s">
        <v>259</v>
      </c>
      <c r="I161" t="s">
        <v>17</v>
      </c>
      <c r="J161" s="12"/>
      <c r="K161" s="13"/>
    </row>
    <row r="162" spans="1:11">
      <c r="A162" s="9">
        <f>ROW() - ROW(radicados[[#Headers],[ID_RADICADOS]])</f>
        <v>161</v>
      </c>
      <c r="B162" s="10">
        <v>2024010575497</v>
      </c>
      <c r="C162" s="11">
        <v>45558</v>
      </c>
      <c r="D162" s="10">
        <f ca="1">+TODAY()-radicados[[#This Row],[FECHA]]</f>
        <v>438</v>
      </c>
      <c r="E162" s="32" t="str">
        <f>+_xlfn.XLOOKUP(radicados[[#This Row],[MUNICIPIO]],MUNICIPIOS!A:A,MUNICIPIOS!E:E,0,0,1)</f>
        <v>Occidente</v>
      </c>
      <c r="F162" s="34" t="s">
        <v>260</v>
      </c>
      <c r="G162" s="3">
        <v>138</v>
      </c>
      <c r="H162" t="s">
        <v>261</v>
      </c>
      <c r="I162" t="s">
        <v>17</v>
      </c>
      <c r="J162" s="12">
        <v>1958822896</v>
      </c>
      <c r="K162" s="13"/>
    </row>
    <row r="163" spans="1:11">
      <c r="A163" s="9">
        <f>ROW() - ROW(radicados[[#Headers],[ID_RADICADOS]])</f>
        <v>162</v>
      </c>
      <c r="B163" s="10">
        <v>2024020058554</v>
      </c>
      <c r="C163" s="11">
        <v>45639</v>
      </c>
      <c r="D163" s="10">
        <f ca="1">+TODAY()-radicados[[#This Row],[FECHA]]</f>
        <v>357</v>
      </c>
      <c r="E163" s="32" t="str">
        <f>+_xlfn.XLOOKUP(radicados[[#This Row],[MUNICIPIO]],MUNICIPIOS!A:A,MUNICIPIOS!E:E,0,0,1)</f>
        <v>Suroeste</v>
      </c>
      <c r="F163" s="34" t="s">
        <v>92</v>
      </c>
      <c r="G163" s="3">
        <v>35</v>
      </c>
      <c r="H163" t="s">
        <v>262</v>
      </c>
      <c r="I163" t="s">
        <v>51</v>
      </c>
      <c r="J163" s="23">
        <v>1499125132.96</v>
      </c>
      <c r="K163" s="13"/>
    </row>
    <row r="164" spans="1:11">
      <c r="A164" s="9">
        <f>ROW() - ROW(radicados[[#Headers],[ID_RADICADOS]])</f>
        <v>163</v>
      </c>
      <c r="B164" s="10">
        <v>2024010569315</v>
      </c>
      <c r="C164" s="11">
        <v>45552</v>
      </c>
      <c r="D164" s="10">
        <f ca="1">+TODAY()-radicados[[#This Row],[FECHA]]</f>
        <v>444</v>
      </c>
      <c r="E164" s="32" t="str">
        <f>+_xlfn.XLOOKUP(radicados[[#This Row],[MUNICIPIO]],MUNICIPIOS!A:A,MUNICIPIOS!E:E,0,0,1)</f>
        <v>Magdalena Medio</v>
      </c>
      <c r="F164" s="34" t="s">
        <v>11</v>
      </c>
      <c r="G164" s="3">
        <v>140</v>
      </c>
      <c r="H164" t="s">
        <v>263</v>
      </c>
      <c r="I164" t="s">
        <v>51</v>
      </c>
      <c r="J164" s="12">
        <v>0</v>
      </c>
      <c r="K164" s="13"/>
    </row>
    <row r="165" spans="1:11">
      <c r="A165" s="9">
        <f>ROW() - ROW(radicados[[#Headers],[ID_RADICADOS]])</f>
        <v>164</v>
      </c>
      <c r="B165" s="10">
        <v>2024010572114</v>
      </c>
      <c r="C165" s="11">
        <v>45394</v>
      </c>
      <c r="D165" s="10">
        <f ca="1">+TODAY()-radicados[[#This Row],[FECHA]]</f>
        <v>602</v>
      </c>
      <c r="E165" s="32" t="str">
        <f>+_xlfn.XLOOKUP(radicados[[#This Row],[MUNICIPIO]],MUNICIPIOS!A:A,MUNICIPIOS!E:E,0,0,1)</f>
        <v>Oriente</v>
      </c>
      <c r="F165" s="34" t="s">
        <v>177</v>
      </c>
      <c r="G165" s="3">
        <v>141</v>
      </c>
      <c r="H165" t="s">
        <v>264</v>
      </c>
      <c r="I165" t="s">
        <v>51</v>
      </c>
      <c r="J165" s="12">
        <v>15180146478.83</v>
      </c>
      <c r="K165" s="13"/>
    </row>
    <row r="166" spans="1:11">
      <c r="A166" s="9">
        <f>ROW() - ROW(radicados[[#Headers],[ID_RADICADOS]])</f>
        <v>165</v>
      </c>
      <c r="B166" s="10">
        <v>2024010596746</v>
      </c>
      <c r="C166" s="11">
        <v>45577</v>
      </c>
      <c r="D166" s="10">
        <f ca="1">+TODAY()-radicados[[#This Row],[FECHA]]</f>
        <v>419</v>
      </c>
      <c r="E166" s="32" t="str">
        <f>+_xlfn.XLOOKUP(radicados[[#This Row],[MUNICIPIO]],MUNICIPIOS!A:A,MUNICIPIOS!E:E,0,0,1)</f>
        <v>Occidente</v>
      </c>
      <c r="F166" s="34" t="s">
        <v>214</v>
      </c>
      <c r="G166" s="3">
        <v>142</v>
      </c>
      <c r="H166" t="s">
        <v>265</v>
      </c>
      <c r="I166" t="s">
        <v>17</v>
      </c>
      <c r="J166" s="12"/>
      <c r="K166" s="13"/>
    </row>
    <row r="167" spans="1:11">
      <c r="A167" s="9">
        <f>ROW() - ROW(radicados[[#Headers],[ID_RADICADOS]])</f>
        <v>166</v>
      </c>
      <c r="B167" s="10">
        <v>2024010596745</v>
      </c>
      <c r="C167" s="11">
        <v>45608</v>
      </c>
      <c r="D167" s="10">
        <f ca="1">+TODAY()-radicados[[#This Row],[FECHA]]</f>
        <v>388</v>
      </c>
      <c r="E167" s="32" t="str">
        <f>+_xlfn.XLOOKUP(radicados[[#This Row],[MUNICIPIO]],MUNICIPIOS!A:A,MUNICIPIOS!E:E,0,0,1)</f>
        <v>Occidente</v>
      </c>
      <c r="F167" s="34" t="s">
        <v>214</v>
      </c>
      <c r="G167" s="3">
        <v>142</v>
      </c>
      <c r="H167" t="s">
        <v>265</v>
      </c>
      <c r="I167" t="s">
        <v>17</v>
      </c>
      <c r="J167" s="12"/>
      <c r="K167" s="13"/>
    </row>
    <row r="168" spans="1:11">
      <c r="A168" s="9">
        <f>ROW() - ROW(radicados[[#Headers],[ID_RADICADOS]])</f>
        <v>167</v>
      </c>
      <c r="B168" s="10">
        <v>2024010584314</v>
      </c>
      <c r="C168" s="11">
        <v>45656</v>
      </c>
      <c r="D168" s="10">
        <f ca="1">+TODAY()-radicados[[#This Row],[FECHA]]</f>
        <v>340</v>
      </c>
      <c r="E168" s="32" t="str">
        <f>+_xlfn.XLOOKUP(radicados[[#This Row],[MUNICIPIO]],MUNICIPIOS!A:A,MUNICIPIOS!E:E,0,0,1)</f>
        <v>Suroeste</v>
      </c>
      <c r="F168" s="34" t="s">
        <v>127</v>
      </c>
      <c r="G168" s="3">
        <v>173</v>
      </c>
      <c r="H168" t="s">
        <v>266</v>
      </c>
      <c r="I168" t="s">
        <v>17</v>
      </c>
      <c r="J168" s="12">
        <v>1985764409</v>
      </c>
      <c r="K168" s="13"/>
    </row>
    <row r="169" spans="1:11">
      <c r="A169" s="9">
        <f>ROW() - ROW(radicados[[#Headers],[ID_RADICADOS]])</f>
        <v>168</v>
      </c>
      <c r="B169" s="10">
        <v>2025010011836</v>
      </c>
      <c r="C169" s="11">
        <v>45644</v>
      </c>
      <c r="D169" s="10">
        <f ca="1">+TODAY()-radicados[[#This Row],[FECHA]]</f>
        <v>352</v>
      </c>
      <c r="E169" s="32" t="str">
        <f>+_xlfn.XLOOKUP(radicados[[#This Row],[MUNICIPIO]],MUNICIPIOS!A:A,MUNICIPIOS!E:E,0,0,1)</f>
        <v>Norte</v>
      </c>
      <c r="F169" s="34" t="s">
        <v>120</v>
      </c>
      <c r="G169" s="3">
        <v>144</v>
      </c>
      <c r="H169" t="s">
        <v>267</v>
      </c>
      <c r="I169" t="s">
        <v>51</v>
      </c>
      <c r="J169" s="12">
        <v>5541310263</v>
      </c>
      <c r="K169" s="13"/>
    </row>
    <row r="170" spans="1:11">
      <c r="A170" s="9">
        <f>ROW() - ROW(radicados[[#Headers],[ID_RADICADOS]])</f>
        <v>169</v>
      </c>
      <c r="B170" s="10">
        <v>2024010518216</v>
      </c>
      <c r="C170" s="11">
        <v>45670</v>
      </c>
      <c r="D170" s="10">
        <f ca="1">+TODAY()-radicados[[#This Row],[FECHA]]</f>
        <v>326</v>
      </c>
      <c r="E170" s="32" t="str">
        <f>+_xlfn.XLOOKUP(radicados[[#This Row],[MUNICIPIO]],MUNICIPIOS!A:A,MUNICIPIOS!E:E,0,0,1)</f>
        <v>Oriente</v>
      </c>
      <c r="F170" s="34" t="s">
        <v>323</v>
      </c>
      <c r="G170" s="3">
        <v>145</v>
      </c>
      <c r="H170" t="s">
        <v>269</v>
      </c>
      <c r="I170" t="s">
        <v>17</v>
      </c>
      <c r="J170" s="12">
        <v>21621443440</v>
      </c>
      <c r="K170" s="13"/>
    </row>
    <row r="171" spans="1:11">
      <c r="A171" s="9">
        <f>ROW() - ROW(radicados[[#Headers],[ID_RADICADOS]])</f>
        <v>170</v>
      </c>
      <c r="B171" s="10">
        <v>2025010002774</v>
      </c>
      <c r="C171" s="11">
        <v>45394</v>
      </c>
      <c r="D171" s="10">
        <f ca="1">+TODAY()-radicados[[#This Row],[FECHA]]</f>
        <v>602</v>
      </c>
      <c r="E171" s="32" t="str">
        <f>+_xlfn.XLOOKUP(radicados[[#This Row],[MUNICIPIO]],MUNICIPIOS!A:A,MUNICIPIOS!E:E,0,0,1)</f>
        <v>Oriente</v>
      </c>
      <c r="F171" s="34" t="s">
        <v>270</v>
      </c>
      <c r="G171" s="3">
        <v>146</v>
      </c>
      <c r="H171" t="s">
        <v>271</v>
      </c>
      <c r="I171" t="s">
        <v>17</v>
      </c>
      <c r="J171" s="12">
        <v>78158511470</v>
      </c>
      <c r="K171" s="13"/>
    </row>
    <row r="172" spans="1:11">
      <c r="A172" s="9">
        <f>ROW() - ROW(radicados[[#Headers],[ID_RADICADOS]])</f>
        <v>171</v>
      </c>
      <c r="B172" s="10">
        <v>2025010013911</v>
      </c>
      <c r="C172" s="11">
        <v>45609</v>
      </c>
      <c r="D172" s="10">
        <f ca="1">+TODAY()-radicados[[#This Row],[FECHA]]</f>
        <v>387</v>
      </c>
      <c r="E172" s="32" t="str">
        <f>+_xlfn.XLOOKUP(radicados[[#This Row],[MUNICIPIO]],MUNICIPIOS!A:A,MUNICIPIOS!E:E,0,0,1)</f>
        <v>Occidente</v>
      </c>
      <c r="F172" s="34" t="s">
        <v>273</v>
      </c>
      <c r="G172" s="3">
        <v>147</v>
      </c>
      <c r="H172" t="s">
        <v>274</v>
      </c>
      <c r="I172" t="s">
        <v>17</v>
      </c>
      <c r="J172" s="12">
        <v>4297876107</v>
      </c>
      <c r="K172" s="13"/>
    </row>
    <row r="173" spans="1:11">
      <c r="A173" s="9">
        <f>ROW() - ROW(radicados[[#Headers],[ID_RADICADOS]])</f>
        <v>172</v>
      </c>
      <c r="B173" s="15">
        <v>2024010353894</v>
      </c>
      <c r="C173" s="11">
        <v>45510</v>
      </c>
      <c r="D173" s="10">
        <f ca="1">+TODAY()-radicados[[#This Row],[FECHA]]</f>
        <v>486</v>
      </c>
      <c r="E173" s="32" t="str">
        <f>+_xlfn.XLOOKUP(radicados[[#This Row],[MUNICIPIO]],MUNICIPIOS!A:A,MUNICIPIOS!E:E,0,0,1)</f>
        <v>Magdalena Medio</v>
      </c>
      <c r="F173" s="34" t="s">
        <v>134</v>
      </c>
      <c r="G173" s="3">
        <v>61</v>
      </c>
      <c r="H173" t="s">
        <v>275</v>
      </c>
      <c r="I173" t="s">
        <v>17</v>
      </c>
      <c r="J173" s="12">
        <v>1653399856</v>
      </c>
      <c r="K173" s="13"/>
    </row>
    <row r="174" spans="1:11">
      <c r="A174" s="9">
        <f>ROW() - ROW(radicados[[#Headers],[ID_RADICADOS]])</f>
        <v>173</v>
      </c>
      <c r="B174" s="10">
        <v>2025010030512</v>
      </c>
      <c r="C174" s="11">
        <v>45671</v>
      </c>
      <c r="D174" s="10">
        <f ca="1">+TODAY()-radicados[[#This Row],[FECHA]]</f>
        <v>325</v>
      </c>
      <c r="E174" s="32" t="str">
        <f>+_xlfn.XLOOKUP(radicados[[#This Row],[MUNICIPIO]],MUNICIPIOS!A:A,MUNICIPIOS!E:E,0,0,1)</f>
        <v>Urabá</v>
      </c>
      <c r="F174" s="34" t="s">
        <v>74</v>
      </c>
      <c r="G174" s="3">
        <v>148</v>
      </c>
      <c r="H174" t="s">
        <v>276</v>
      </c>
      <c r="I174" t="s">
        <v>17</v>
      </c>
      <c r="J174" s="12">
        <v>40010655318</v>
      </c>
      <c r="K174" s="13"/>
    </row>
    <row r="175" spans="1:11">
      <c r="A175" s="9">
        <f>ROW() - ROW(radicados[[#Headers],[ID_RADICADOS]])</f>
        <v>174</v>
      </c>
      <c r="B175" s="10">
        <v>2025010030805</v>
      </c>
      <c r="C175" s="11">
        <v>45519</v>
      </c>
      <c r="D175" s="10">
        <f ca="1">+TODAY()-radicados[[#This Row],[FECHA]]</f>
        <v>477</v>
      </c>
      <c r="E175" s="32" t="str">
        <f>+_xlfn.XLOOKUP(radicados[[#This Row],[MUNICIPIO]],MUNICIPIOS!A:A,MUNICIPIOS!E:E,0,0,1)</f>
        <v>Urabá</v>
      </c>
      <c r="F175" s="34" t="s">
        <v>74</v>
      </c>
      <c r="G175" s="3">
        <v>148</v>
      </c>
      <c r="H175" t="s">
        <v>276</v>
      </c>
      <c r="I175" t="s">
        <v>17</v>
      </c>
      <c r="J175" s="12">
        <v>40010655318</v>
      </c>
      <c r="K175" s="13"/>
    </row>
    <row r="176" spans="1:11">
      <c r="A176" s="9">
        <f>ROW() - ROW(radicados[[#Headers],[ID_RADICADOS]])</f>
        <v>175</v>
      </c>
      <c r="B176" s="10">
        <v>2025010035548</v>
      </c>
      <c r="C176" s="11">
        <v>45680</v>
      </c>
      <c r="D176" s="10">
        <f ca="1">+TODAY()-radicados[[#This Row],[FECHA]]</f>
        <v>316</v>
      </c>
      <c r="E176" s="32" t="str">
        <f>+_xlfn.XLOOKUP(radicados[[#This Row],[MUNICIPIO]],MUNICIPIOS!A:A,MUNICIPIOS!E:E,0,0,1)</f>
        <v>Oriente</v>
      </c>
      <c r="F176" s="34" t="s">
        <v>32</v>
      </c>
      <c r="G176" s="3">
        <v>149</v>
      </c>
      <c r="H176" t="s">
        <v>277</v>
      </c>
      <c r="I176" t="s">
        <v>17</v>
      </c>
      <c r="J176" s="12">
        <v>5202752628</v>
      </c>
      <c r="K176" s="13"/>
    </row>
    <row r="177" spans="1:11">
      <c r="A177" s="9">
        <f>ROW() - ROW(radicados[[#Headers],[ID_RADICADOS]])</f>
        <v>176</v>
      </c>
      <c r="B177" s="10">
        <v>2025010046351</v>
      </c>
      <c r="C177" s="11">
        <v>45684</v>
      </c>
      <c r="D177" s="10">
        <f ca="1">+TODAY()-radicados[[#This Row],[FECHA]]</f>
        <v>312</v>
      </c>
      <c r="E177" s="32" t="str">
        <f>+_xlfn.XLOOKUP(radicados[[#This Row],[MUNICIPIO]],MUNICIPIOS!A:A,MUNICIPIOS!E:E,0,0,1)</f>
        <v>Suroeste</v>
      </c>
      <c r="F177" s="34" t="s">
        <v>156</v>
      </c>
      <c r="G177" s="3">
        <v>73</v>
      </c>
      <c r="H177" t="s">
        <v>278</v>
      </c>
      <c r="I177" t="s">
        <v>17</v>
      </c>
      <c r="J177" s="12"/>
      <c r="K177" s="13"/>
    </row>
    <row r="178" spans="1:11">
      <c r="A178" s="9">
        <f>ROW() - ROW(radicados[[#Headers],[ID_RADICADOS]])</f>
        <v>177</v>
      </c>
      <c r="B178" s="15">
        <v>2024010496207</v>
      </c>
      <c r="C178" s="11">
        <v>45688</v>
      </c>
      <c r="D178" s="10">
        <f ca="1">+TODAY()-radicados[[#This Row],[FECHA]]</f>
        <v>308</v>
      </c>
      <c r="E178" s="32" t="str">
        <f>+_xlfn.XLOOKUP(radicados[[#This Row],[MUNICIPIO]],MUNICIPIOS!A:A,MUNICIPIOS!E:E,0,0,1)</f>
        <v>Oriente</v>
      </c>
      <c r="F178" s="34" t="s">
        <v>208</v>
      </c>
      <c r="G178" s="3">
        <v>151</v>
      </c>
      <c r="H178" t="s">
        <v>279</v>
      </c>
      <c r="I178" t="s">
        <v>17</v>
      </c>
      <c r="J178" s="12">
        <v>1824902596</v>
      </c>
      <c r="K178" s="13"/>
    </row>
    <row r="179" spans="1:11">
      <c r="A179" s="9">
        <f>ROW() - ROW(radicados[[#Headers],[ID_RADICADOS]])</f>
        <v>178</v>
      </c>
      <c r="B179" s="10">
        <v>2024010500586</v>
      </c>
      <c r="C179" s="11">
        <v>45596</v>
      </c>
      <c r="D179" s="10">
        <f ca="1">+TODAY()-radicados[[#This Row],[FECHA]]</f>
        <v>400</v>
      </c>
      <c r="E179" s="32" t="str">
        <f>+_xlfn.XLOOKUP(radicados[[#This Row],[MUNICIPIO]],MUNICIPIOS!A:A,MUNICIPIOS!E:E,0,0,1)</f>
        <v>Norte</v>
      </c>
      <c r="F179" s="34" t="s">
        <v>35</v>
      </c>
      <c r="G179" s="3">
        <v>152</v>
      </c>
      <c r="H179" t="s">
        <v>280</v>
      </c>
      <c r="I179" t="s">
        <v>17</v>
      </c>
      <c r="J179" s="12">
        <v>3490850340</v>
      </c>
      <c r="K179" s="13"/>
    </row>
    <row r="180" spans="1:11">
      <c r="A180" s="9">
        <f>ROW() - ROW(radicados[[#Headers],[ID_RADICADOS]])</f>
        <v>179</v>
      </c>
      <c r="B180" s="10">
        <v>2024010502152</v>
      </c>
      <c r="C180" s="11">
        <v>45302</v>
      </c>
      <c r="D180" s="10">
        <f ca="1">+TODAY()-radicados[[#This Row],[FECHA]]</f>
        <v>694</v>
      </c>
      <c r="E180" s="32" t="str">
        <f>+_xlfn.XLOOKUP(radicados[[#This Row],[MUNICIPIO]],MUNICIPIOS!A:A,MUNICIPIOS!E:E,0,0,1)</f>
        <v>Suroeste</v>
      </c>
      <c r="F180" s="34" t="s">
        <v>281</v>
      </c>
      <c r="G180" s="3">
        <v>153</v>
      </c>
      <c r="H180" t="s">
        <v>282</v>
      </c>
      <c r="I180" t="s">
        <v>17</v>
      </c>
      <c r="J180" s="12">
        <v>3640744267.1999998</v>
      </c>
      <c r="K180" s="13"/>
    </row>
    <row r="181" spans="1:11">
      <c r="A181" s="9">
        <f>ROW() - ROW(radicados[[#Headers],[ID_RADICADOS]])</f>
        <v>180</v>
      </c>
      <c r="B181" s="10">
        <v>2024010528004</v>
      </c>
      <c r="C181" s="11">
        <v>45609</v>
      </c>
      <c r="D181" s="10">
        <f ca="1">+TODAY()-radicados[[#This Row],[FECHA]]</f>
        <v>387</v>
      </c>
      <c r="E181" s="32" t="str">
        <f>+_xlfn.XLOOKUP(radicados[[#This Row],[MUNICIPIO]],MUNICIPIOS!A:A,MUNICIPIOS!E:E,0,0,1)</f>
        <v>Suroeste</v>
      </c>
      <c r="F181" s="34" t="s">
        <v>101</v>
      </c>
      <c r="G181" s="3">
        <v>154</v>
      </c>
      <c r="H181" t="s">
        <v>283</v>
      </c>
      <c r="I181" t="s">
        <v>17</v>
      </c>
      <c r="J181" s="12">
        <v>1263024676</v>
      </c>
      <c r="K181" s="13"/>
    </row>
    <row r="182" spans="1:11">
      <c r="A182" s="9">
        <f>ROW() - ROW(radicados[[#Headers],[ID_RADICADOS]])</f>
        <v>181</v>
      </c>
      <c r="B182" s="10">
        <v>2025010004443</v>
      </c>
      <c r="C182" s="11">
        <v>45610</v>
      </c>
      <c r="D182" s="10">
        <f ca="1">+TODAY()-radicados[[#This Row],[FECHA]]</f>
        <v>386</v>
      </c>
      <c r="E182" s="32" t="str">
        <f>+_xlfn.XLOOKUP(radicados[[#This Row],[MUNICIPIO]],MUNICIPIOS!A:A,MUNICIPIOS!E:E,0,0,1)</f>
        <v>Oriente</v>
      </c>
      <c r="F182" s="34" t="s">
        <v>208</v>
      </c>
      <c r="G182" s="3">
        <v>151</v>
      </c>
      <c r="H182" t="s">
        <v>284</v>
      </c>
      <c r="I182" t="s">
        <v>17</v>
      </c>
      <c r="J182" s="12"/>
      <c r="K182" s="13"/>
    </row>
    <row r="183" spans="1:11">
      <c r="A183" s="9">
        <f>ROW() - ROW(radicados[[#Headers],[ID_RADICADOS]])</f>
        <v>182</v>
      </c>
      <c r="B183" s="10">
        <v>2025010011461</v>
      </c>
      <c r="C183" s="11">
        <v>45616</v>
      </c>
      <c r="D183" s="10">
        <f ca="1">+TODAY()-radicados[[#This Row],[FECHA]]</f>
        <v>380</v>
      </c>
      <c r="E183" s="32" t="str">
        <f>+_xlfn.XLOOKUP(radicados[[#This Row],[MUNICIPIO]],MUNICIPIOS!A:A,MUNICIPIOS!E:E,0,0,1)</f>
        <v>Norte</v>
      </c>
      <c r="F183" s="34" t="s">
        <v>209</v>
      </c>
      <c r="G183" s="3">
        <v>155</v>
      </c>
      <c r="H183" t="s">
        <v>285</v>
      </c>
      <c r="I183" t="s">
        <v>17</v>
      </c>
      <c r="J183" s="12">
        <v>1541708549</v>
      </c>
      <c r="K183" s="13"/>
    </row>
    <row r="184" spans="1:11">
      <c r="A184" s="9">
        <f>ROW() - ROW(radicados[[#Headers],[ID_RADICADOS]])</f>
        <v>183</v>
      </c>
      <c r="B184" s="10">
        <v>2025010031841</v>
      </c>
      <c r="C184" s="11">
        <v>45684</v>
      </c>
      <c r="D184" s="10">
        <f ca="1">+TODAY()-radicados[[#This Row],[FECHA]]</f>
        <v>312</v>
      </c>
      <c r="E184" s="32" t="str">
        <f>+_xlfn.XLOOKUP(radicados[[#This Row],[MUNICIPIO]],MUNICIPIOS!A:A,MUNICIPIOS!E:E,0,0,1)</f>
        <v>Norte</v>
      </c>
      <c r="F184" s="34" t="s">
        <v>286</v>
      </c>
      <c r="G184" s="3">
        <v>156</v>
      </c>
      <c r="H184" t="s">
        <v>287</v>
      </c>
      <c r="I184" t="s">
        <v>17</v>
      </c>
      <c r="J184" s="12">
        <v>6202802054</v>
      </c>
      <c r="K184" s="13"/>
    </row>
    <row r="185" spans="1:11">
      <c r="A185" s="9">
        <f>ROW() - ROW(radicados[[#Headers],[ID_RADICADOS]])</f>
        <v>184</v>
      </c>
      <c r="B185" s="10">
        <v>2025010028865</v>
      </c>
      <c r="C185" s="11">
        <v>45678</v>
      </c>
      <c r="D185" s="10">
        <f ca="1">+TODAY()-radicados[[#This Row],[FECHA]]</f>
        <v>318</v>
      </c>
      <c r="E185" s="32" t="str">
        <f>+_xlfn.XLOOKUP(radicados[[#This Row],[MUNICIPIO]],MUNICIPIOS!A:A,MUNICIPIOS!E:E,0,0,1)</f>
        <v>Nordeste</v>
      </c>
      <c r="F185" s="34" t="s">
        <v>4</v>
      </c>
      <c r="G185" s="3">
        <v>157</v>
      </c>
      <c r="H185" t="s">
        <v>289</v>
      </c>
      <c r="I185" t="s">
        <v>17</v>
      </c>
      <c r="J185" s="12">
        <v>7470010822</v>
      </c>
      <c r="K185" s="13"/>
    </row>
    <row r="186" spans="1:11">
      <c r="A186" s="9">
        <f>ROW() - ROW(radicados[[#Headers],[ID_RADICADOS]])</f>
        <v>185</v>
      </c>
      <c r="B186" s="10">
        <v>2025010028861</v>
      </c>
      <c r="C186" s="11">
        <v>45684</v>
      </c>
      <c r="D186" s="10">
        <f ca="1">+TODAY()-radicados[[#This Row],[FECHA]]</f>
        <v>312</v>
      </c>
      <c r="E186" s="32" t="str">
        <f>+_xlfn.XLOOKUP(radicados[[#This Row],[MUNICIPIO]],MUNICIPIOS!A:A,MUNICIPIOS!E:E,0,0,1)</f>
        <v>Nordeste</v>
      </c>
      <c r="F186" s="34" t="s">
        <v>4</v>
      </c>
      <c r="G186" s="3">
        <v>157</v>
      </c>
      <c r="H186" t="s">
        <v>289</v>
      </c>
      <c r="I186" t="s">
        <v>17</v>
      </c>
      <c r="J186" s="12">
        <v>7470010822</v>
      </c>
      <c r="K186" s="13"/>
    </row>
    <row r="187" spans="1:11">
      <c r="A187" s="9">
        <f>ROW() - ROW(radicados[[#Headers],[ID_RADICADOS]])</f>
        <v>186</v>
      </c>
      <c r="B187" s="10">
        <v>2025010056787</v>
      </c>
      <c r="C187" s="11">
        <v>45680</v>
      </c>
      <c r="D187" s="10">
        <f ca="1">+TODAY()-radicados[[#This Row],[FECHA]]</f>
        <v>316</v>
      </c>
      <c r="E187" s="32" t="str">
        <f>+_xlfn.XLOOKUP(radicados[[#This Row],[MUNICIPIO]],MUNICIPIOS!A:A,MUNICIPIOS!E:E,0,0,1)</f>
        <v>Oriente</v>
      </c>
      <c r="F187" s="34" t="s">
        <v>70</v>
      </c>
      <c r="G187" s="3">
        <v>158</v>
      </c>
      <c r="H187" t="s">
        <v>290</v>
      </c>
      <c r="I187" t="s">
        <v>17</v>
      </c>
      <c r="J187" s="12">
        <v>1406675371</v>
      </c>
      <c r="K187" s="13"/>
    </row>
    <row r="188" spans="1:11">
      <c r="A188" s="9">
        <f>ROW() - ROW(radicados[[#Headers],[ID_RADICADOS]])</f>
        <v>187</v>
      </c>
      <c r="B188" s="10">
        <v>2025010057498</v>
      </c>
      <c r="C188" s="11">
        <v>45679</v>
      </c>
      <c r="D188" s="10">
        <f ca="1">+TODAY()-radicados[[#This Row],[FECHA]]</f>
        <v>317</v>
      </c>
      <c r="E188" s="32" t="str">
        <f>+_xlfn.XLOOKUP(radicados[[#This Row],[MUNICIPIO]],MUNICIPIOS!A:A,MUNICIPIOS!E:E,0,0,1)</f>
        <v>Suroeste</v>
      </c>
      <c r="F188" s="34" t="s">
        <v>127</v>
      </c>
      <c r="G188" s="3">
        <v>159</v>
      </c>
      <c r="H188" t="s">
        <v>291</v>
      </c>
      <c r="I188" t="s">
        <v>17</v>
      </c>
      <c r="J188" s="12">
        <v>2457394197</v>
      </c>
      <c r="K188" s="13"/>
    </row>
    <row r="189" spans="1:11">
      <c r="A189" s="9">
        <f>ROW() - ROW(radicados[[#Headers],[ID_RADICADOS]])</f>
        <v>188</v>
      </c>
      <c r="B189" s="10">
        <v>2025010057500</v>
      </c>
      <c r="C189" s="11">
        <v>45695</v>
      </c>
      <c r="D189" s="10">
        <f ca="1">+TODAY()-radicados[[#This Row],[FECHA]]</f>
        <v>301</v>
      </c>
      <c r="E189" s="32" t="str">
        <f>+_xlfn.XLOOKUP(radicados[[#This Row],[MUNICIPIO]],MUNICIPIOS!A:A,MUNICIPIOS!E:E,0,0,1)</f>
        <v>Suroeste</v>
      </c>
      <c r="F189" s="34" t="s">
        <v>127</v>
      </c>
      <c r="G189" s="3">
        <v>159</v>
      </c>
      <c r="H189" t="s">
        <v>291</v>
      </c>
      <c r="I189" t="s">
        <v>17</v>
      </c>
      <c r="J189" s="12">
        <v>2457394197</v>
      </c>
      <c r="K189" s="13"/>
    </row>
    <row r="190" spans="1:11">
      <c r="A190" s="9">
        <f>ROW() - ROW(radicados[[#Headers],[ID_RADICADOS]])</f>
        <v>189</v>
      </c>
      <c r="B190" s="10">
        <v>2025010065132</v>
      </c>
      <c r="C190" s="11">
        <v>45700</v>
      </c>
      <c r="D190" s="10">
        <f ca="1">+TODAY()-radicados[[#This Row],[FECHA]]</f>
        <v>296</v>
      </c>
      <c r="E190" s="32" t="str">
        <f>+_xlfn.XLOOKUP(radicados[[#This Row],[MUNICIPIO]],MUNICIPIOS!A:A,MUNICIPIOS!E:E,0,0,1)</f>
        <v>Urabá</v>
      </c>
      <c r="F190" s="34" t="s">
        <v>74</v>
      </c>
      <c r="G190" s="3">
        <v>160</v>
      </c>
      <c r="H190" t="s">
        <v>292</v>
      </c>
      <c r="I190" t="s">
        <v>17</v>
      </c>
      <c r="J190" s="12">
        <v>2467375711</v>
      </c>
      <c r="K190" s="13"/>
    </row>
    <row r="191" spans="1:11">
      <c r="A191" s="9">
        <f>ROW() - ROW(radicados[[#Headers],[ID_RADICADOS]])</f>
        <v>190</v>
      </c>
      <c r="B191" s="10">
        <v>2025010033564</v>
      </c>
      <c r="C191" s="11">
        <v>45681</v>
      </c>
      <c r="D191" s="10">
        <f ca="1">+TODAY()-radicados[[#This Row],[FECHA]]</f>
        <v>315</v>
      </c>
      <c r="E191" s="32" t="str">
        <f>+_xlfn.XLOOKUP(radicados[[#This Row],[MUNICIPIO]],MUNICIPIOS!A:A,MUNICIPIOS!E:E,0,0,1)</f>
        <v>Nordeste</v>
      </c>
      <c r="F191" s="34" t="s">
        <v>327</v>
      </c>
      <c r="G191" s="3">
        <v>161</v>
      </c>
      <c r="H191" t="s">
        <v>294</v>
      </c>
      <c r="I191" t="s">
        <v>17</v>
      </c>
      <c r="J191" s="12">
        <v>906805002</v>
      </c>
      <c r="K191" s="13"/>
    </row>
    <row r="192" spans="1:11">
      <c r="A192" s="9">
        <f>ROW() - ROW(radicados[[#Headers],[ID_RADICADOS]])</f>
        <v>191</v>
      </c>
      <c r="B192" s="10">
        <v>2025010067582</v>
      </c>
      <c r="C192" s="11">
        <v>45701</v>
      </c>
      <c r="D192" s="10">
        <f ca="1">+TODAY()-radicados[[#This Row],[FECHA]]</f>
        <v>295</v>
      </c>
      <c r="E192" s="32" t="str">
        <f>+_xlfn.XLOOKUP(radicados[[#This Row],[MUNICIPIO]],MUNICIPIOS!A:A,MUNICIPIOS!E:E,0,0,1)</f>
        <v>Occidente</v>
      </c>
      <c r="F192" s="34" t="s">
        <v>334</v>
      </c>
      <c r="G192" s="3">
        <v>162</v>
      </c>
      <c r="H192" t="s">
        <v>296</v>
      </c>
      <c r="I192" t="s">
        <v>51</v>
      </c>
      <c r="J192" s="12">
        <v>0</v>
      </c>
      <c r="K192" s="13"/>
    </row>
    <row r="193" spans="1:11">
      <c r="A193" s="9">
        <f>ROW() - ROW(radicados[[#Headers],[ID_RADICADOS]])</f>
        <v>192</v>
      </c>
      <c r="B193" s="10">
        <v>2025010055918</v>
      </c>
      <c r="C193" s="11">
        <v>45315</v>
      </c>
      <c r="D193" s="10">
        <f ca="1">+TODAY()-radicados[[#This Row],[FECHA]]</f>
        <v>681</v>
      </c>
      <c r="E193" s="32" t="str">
        <f>+_xlfn.XLOOKUP(radicados[[#This Row],[MUNICIPIO]],MUNICIPIOS!A:A,MUNICIPIOS!E:E,0,0,1)</f>
        <v>Norte</v>
      </c>
      <c r="F193" s="34" t="s">
        <v>136</v>
      </c>
      <c r="G193" s="3">
        <v>163</v>
      </c>
      <c r="H193" t="s">
        <v>297</v>
      </c>
      <c r="I193" t="s">
        <v>17</v>
      </c>
      <c r="J193" s="12">
        <v>925728457</v>
      </c>
      <c r="K193" s="13"/>
    </row>
    <row r="194" spans="1:11">
      <c r="A194" s="9">
        <f>ROW() - ROW(radicados[[#Headers],[ID_RADICADOS]])</f>
        <v>193</v>
      </c>
      <c r="B194" s="10">
        <v>2025010067584</v>
      </c>
      <c r="C194" s="11">
        <v>45335</v>
      </c>
      <c r="D194" s="10">
        <f ca="1">+TODAY()-radicados[[#This Row],[FECHA]]</f>
        <v>661</v>
      </c>
      <c r="E194" s="32" t="str">
        <f>+_xlfn.XLOOKUP(radicados[[#This Row],[MUNICIPIO]],MUNICIPIOS!A:A,MUNICIPIOS!E:E,0,0,1)</f>
        <v>Occidente</v>
      </c>
      <c r="F194" s="34" t="s">
        <v>334</v>
      </c>
      <c r="G194" s="3">
        <v>164</v>
      </c>
      <c r="H194" t="s">
        <v>298</v>
      </c>
      <c r="I194" t="s">
        <v>51</v>
      </c>
      <c r="J194" s="12">
        <v>0</v>
      </c>
      <c r="K194" s="13"/>
    </row>
    <row r="195" spans="1:11">
      <c r="A195" s="9">
        <f>ROW() - ROW(radicados[[#Headers],[ID_RADICADOS]])</f>
        <v>194</v>
      </c>
      <c r="B195" s="10">
        <v>2025010063968</v>
      </c>
      <c r="C195" s="11">
        <v>45445</v>
      </c>
      <c r="D195" s="10">
        <f ca="1">+TODAY()-radicados[[#This Row],[FECHA]]</f>
        <v>551</v>
      </c>
      <c r="E195" s="32" t="str">
        <f>+_xlfn.XLOOKUP(radicados[[#This Row],[MUNICIPIO]],MUNICIPIOS!A:A,MUNICIPIOS!E:E,0,0,1)</f>
        <v>Norte</v>
      </c>
      <c r="F195" s="34" t="s">
        <v>120</v>
      </c>
      <c r="G195" s="3">
        <v>165</v>
      </c>
      <c r="H195" t="s">
        <v>299</v>
      </c>
      <c r="I195" t="s">
        <v>17</v>
      </c>
      <c r="J195" s="12">
        <v>511922487</v>
      </c>
      <c r="K195" s="13"/>
    </row>
    <row r="196" spans="1:11">
      <c r="A196" s="9">
        <f>ROW() - ROW(radicados[[#Headers],[ID_RADICADOS]])</f>
        <v>195</v>
      </c>
      <c r="B196" s="10">
        <v>2025010027600</v>
      </c>
      <c r="C196" s="11">
        <v>45678</v>
      </c>
      <c r="D196" s="10">
        <f ca="1">+TODAY()-radicados[[#This Row],[FECHA]]</f>
        <v>318</v>
      </c>
      <c r="E196" s="32" t="str">
        <f>+_xlfn.XLOOKUP(radicados[[#This Row],[MUNICIPIO]],MUNICIPIOS!A:A,MUNICIPIOS!E:E,0,0,1)</f>
        <v>Suroeste</v>
      </c>
      <c r="F196" s="34" t="s">
        <v>230</v>
      </c>
      <c r="G196" s="3">
        <v>397</v>
      </c>
      <c r="H196" t="s">
        <v>300</v>
      </c>
      <c r="I196" t="s">
        <v>17</v>
      </c>
      <c r="J196" s="12">
        <v>3450572634</v>
      </c>
      <c r="K196" s="13"/>
    </row>
    <row r="197" spans="1:11">
      <c r="A197" s="9">
        <f>ROW() - ROW(radicados[[#Headers],[ID_RADICADOS]])</f>
        <v>196</v>
      </c>
      <c r="B197" s="10">
        <v>2025010053678</v>
      </c>
      <c r="C197" s="11">
        <v>45598</v>
      </c>
      <c r="D197" s="10">
        <f ca="1">+TODAY()-radicados[[#This Row],[FECHA]]</f>
        <v>398</v>
      </c>
      <c r="E197" s="32" t="str">
        <f>+_xlfn.XLOOKUP(radicados[[#This Row],[MUNICIPIO]],MUNICIPIOS!A:A,MUNICIPIOS!E:E,0,0,1)</f>
        <v>Oriente</v>
      </c>
      <c r="F197" s="34" t="s">
        <v>227</v>
      </c>
      <c r="G197" s="3">
        <v>167</v>
      </c>
      <c r="H197" s="28" t="s">
        <v>301</v>
      </c>
      <c r="I197" t="s">
        <v>17</v>
      </c>
      <c r="J197" s="12">
        <v>0</v>
      </c>
      <c r="K197" s="13"/>
    </row>
    <row r="198" spans="1:11">
      <c r="A198" s="9">
        <f>ROW() - ROW(radicados[[#Headers],[ID_RADICADOS]])</f>
        <v>197</v>
      </c>
      <c r="B198" s="10">
        <v>2025010053674</v>
      </c>
      <c r="C198" s="11">
        <v>45679</v>
      </c>
      <c r="D198" s="10">
        <f ca="1">+TODAY()-radicados[[#This Row],[FECHA]]</f>
        <v>317</v>
      </c>
      <c r="E198" s="32" t="str">
        <f>+_xlfn.XLOOKUP(radicados[[#This Row],[MUNICIPIO]],MUNICIPIOS!A:A,MUNICIPIOS!E:E,0,0,1)</f>
        <v>Oriente</v>
      </c>
      <c r="F198" s="34" t="s">
        <v>227</v>
      </c>
      <c r="G198" s="3">
        <v>168</v>
      </c>
      <c r="H198" s="28" t="s">
        <v>302</v>
      </c>
      <c r="I198" t="s">
        <v>17</v>
      </c>
      <c r="J198" s="12">
        <v>0</v>
      </c>
      <c r="K198" s="13"/>
    </row>
    <row r="199" spans="1:11">
      <c r="A199" s="9">
        <f>ROW() - ROW(radicados[[#Headers],[ID_RADICADOS]])</f>
        <v>198</v>
      </c>
      <c r="B199" s="10">
        <v>2025010053667</v>
      </c>
      <c r="C199" s="11">
        <v>45693</v>
      </c>
      <c r="D199" s="10">
        <f ca="1">+TODAY()-radicados[[#This Row],[FECHA]]</f>
        <v>303</v>
      </c>
      <c r="E199" s="32" t="str">
        <f>+_xlfn.XLOOKUP(radicados[[#This Row],[MUNICIPIO]],MUNICIPIOS!A:A,MUNICIPIOS!E:E,0,0,1)</f>
        <v>Oriente</v>
      </c>
      <c r="F199" s="34" t="s">
        <v>227</v>
      </c>
      <c r="G199" s="3">
        <v>169</v>
      </c>
      <c r="H199" s="28" t="s">
        <v>303</v>
      </c>
      <c r="I199" t="s">
        <v>17</v>
      </c>
      <c r="J199" s="12">
        <v>0</v>
      </c>
      <c r="K199" s="13"/>
    </row>
    <row r="200" spans="1:11">
      <c r="A200" s="9">
        <f>ROW() - ROW(radicados[[#Headers],[ID_RADICADOS]])</f>
        <v>199</v>
      </c>
      <c r="B200" s="10">
        <v>2025010053660</v>
      </c>
      <c r="C200" s="11">
        <v>45693</v>
      </c>
      <c r="D200" s="10">
        <f ca="1">+TODAY()-radicados[[#This Row],[FECHA]]</f>
        <v>303</v>
      </c>
      <c r="E200" s="32" t="str">
        <f>+_xlfn.XLOOKUP(radicados[[#This Row],[MUNICIPIO]],MUNICIPIOS!A:A,MUNICIPIOS!E:E,0,0,1)</f>
        <v>Oriente</v>
      </c>
      <c r="F200" s="34" t="s">
        <v>227</v>
      </c>
      <c r="G200" s="3">
        <v>170</v>
      </c>
      <c r="H200" s="28" t="s">
        <v>304</v>
      </c>
      <c r="I200" t="s">
        <v>17</v>
      </c>
      <c r="J200" s="12">
        <v>0</v>
      </c>
      <c r="K200" s="13"/>
    </row>
    <row r="201" spans="1:11">
      <c r="A201" s="9">
        <f>ROW() - ROW(radicados[[#Headers],[ID_RADICADOS]])</f>
        <v>200</v>
      </c>
      <c r="B201" s="10">
        <v>2025010050686</v>
      </c>
      <c r="C201" s="11">
        <v>45692</v>
      </c>
      <c r="D201" s="10">
        <f ca="1">+TODAY()-radicados[[#This Row],[FECHA]]</f>
        <v>304</v>
      </c>
      <c r="E201" s="32" t="str">
        <f>+_xlfn.XLOOKUP(radicados[[#This Row],[MUNICIPIO]],MUNICIPIOS!A:A,MUNICIPIOS!E:E,0,0,1)</f>
        <v>Suroeste</v>
      </c>
      <c r="F201" s="34" t="s">
        <v>61</v>
      </c>
      <c r="G201" s="3">
        <v>171</v>
      </c>
      <c r="H201" t="s">
        <v>305</v>
      </c>
      <c r="I201" t="s">
        <v>17</v>
      </c>
      <c r="J201" s="12">
        <v>0</v>
      </c>
      <c r="K201" s="13"/>
    </row>
    <row r="202" spans="1:11">
      <c r="A202" s="9">
        <f>ROW() - ROW(radicados[[#Headers],[ID_RADICADOS]])</f>
        <v>201</v>
      </c>
      <c r="B202" s="10">
        <v>2025050103225</v>
      </c>
      <c r="C202" s="11">
        <v>45693</v>
      </c>
      <c r="D202" s="10">
        <f ca="1">+TODAY()-radicados[[#This Row],[FECHA]]</f>
        <v>303</v>
      </c>
      <c r="E202" s="32" t="str">
        <f>+_xlfn.XLOOKUP(radicados[[#This Row],[MUNICIPIO]],MUNICIPIOS!A:A,MUNICIPIOS!E:E,0,0,1)</f>
        <v>Oriente</v>
      </c>
      <c r="F202" s="34" t="s">
        <v>227</v>
      </c>
      <c r="G202" s="3">
        <v>172</v>
      </c>
      <c r="H202" s="28" t="s">
        <v>306</v>
      </c>
      <c r="I202" t="s">
        <v>17</v>
      </c>
      <c r="J202" s="12">
        <v>13671056484</v>
      </c>
      <c r="K202" s="13"/>
    </row>
    <row r="203" spans="1:11">
      <c r="A203" s="9">
        <f>ROW() - ROW(radicados[[#Headers],[ID_RADICADOS]])</f>
        <v>202</v>
      </c>
      <c r="B203" s="10">
        <v>2025010060550</v>
      </c>
      <c r="C203" s="11">
        <v>45698</v>
      </c>
      <c r="D203" s="10">
        <f ca="1">+TODAY()-radicados[[#This Row],[FECHA]]</f>
        <v>298</v>
      </c>
      <c r="E203" s="32" t="str">
        <f>+_xlfn.XLOOKUP(radicados[[#This Row],[MUNICIPIO]],MUNICIPIOS!A:A,MUNICIPIOS!E:E,0,0,1)</f>
        <v>Oriente</v>
      </c>
      <c r="F203" s="34" t="s">
        <v>208</v>
      </c>
      <c r="G203" s="3">
        <v>129</v>
      </c>
      <c r="H203" t="s">
        <v>307</v>
      </c>
      <c r="I203" t="s">
        <v>17</v>
      </c>
      <c r="J203" s="12">
        <v>2482841960</v>
      </c>
      <c r="K203" s="13"/>
    </row>
    <row r="204" spans="1:11">
      <c r="A204" s="9">
        <f>ROW() - ROW(radicados[[#Headers],[ID_RADICADOS]])</f>
        <v>203</v>
      </c>
      <c r="B204" s="10">
        <v>2025010068041</v>
      </c>
      <c r="C204" s="11">
        <v>45701</v>
      </c>
      <c r="D204" s="10">
        <f ca="1">+TODAY()-radicados[[#This Row],[FECHA]]</f>
        <v>295</v>
      </c>
      <c r="E204" s="32" t="str">
        <f>+_xlfn.XLOOKUP(radicados[[#This Row],[MUNICIPIO]],MUNICIPIOS!A:A,MUNICIPIOS!E:E,0,0,1)</f>
        <v>Suroeste</v>
      </c>
      <c r="F204" s="34" t="s">
        <v>127</v>
      </c>
      <c r="G204" s="3">
        <v>173</v>
      </c>
      <c r="H204" t="s">
        <v>308</v>
      </c>
      <c r="I204" t="s">
        <v>17</v>
      </c>
      <c r="J204" s="12">
        <v>1232731292</v>
      </c>
      <c r="K204" s="13"/>
    </row>
    <row r="205" spans="1:11" ht="30">
      <c r="A205" s="9">
        <f>ROW() - ROW(radicados[[#Headers],[ID_RADICADOS]])</f>
        <v>204</v>
      </c>
      <c r="B205" s="10">
        <v>2025010069361</v>
      </c>
      <c r="C205" s="11">
        <v>45681</v>
      </c>
      <c r="D205" s="10">
        <f ca="1">+TODAY()-radicados[[#This Row],[FECHA]]</f>
        <v>315</v>
      </c>
      <c r="E205" s="32" t="str">
        <f>+_xlfn.XLOOKUP(radicados[[#This Row],[MUNICIPIO]],MUNICIPIOS!A:A,MUNICIPIOS!E:E,0,0,1)</f>
        <v>Oriente</v>
      </c>
      <c r="F205" s="34" t="s">
        <v>113</v>
      </c>
      <c r="G205" s="3">
        <v>174</v>
      </c>
      <c r="H205" s="28" t="s">
        <v>309</v>
      </c>
      <c r="I205" t="s">
        <v>17</v>
      </c>
      <c r="J205" s="12">
        <v>663195355</v>
      </c>
      <c r="K205" s="13"/>
    </row>
    <row r="206" spans="1:11">
      <c r="A206" s="9">
        <f>ROW() - ROW(radicados[[#Headers],[ID_RADICADOS]])</f>
        <v>205</v>
      </c>
      <c r="B206" s="10">
        <v>2025010030301</v>
      </c>
      <c r="C206" s="11">
        <v>45680</v>
      </c>
      <c r="D206" s="10">
        <f ca="1">+TODAY()-radicados[[#This Row],[FECHA]]</f>
        <v>316</v>
      </c>
      <c r="E206" s="32" t="str">
        <f>+_xlfn.XLOOKUP(radicados[[#This Row],[MUNICIPIO]],MUNICIPIOS!A:A,MUNICIPIOS!E:E,0,0,1)</f>
        <v>Urabá</v>
      </c>
      <c r="F206" s="34" t="s">
        <v>258</v>
      </c>
      <c r="G206" s="3">
        <v>175</v>
      </c>
      <c r="H206" t="s">
        <v>310</v>
      </c>
      <c r="I206" t="s">
        <v>17</v>
      </c>
      <c r="J206" s="12">
        <v>10307716743</v>
      </c>
      <c r="K206" s="13"/>
    </row>
    <row r="207" spans="1:11">
      <c r="A207" s="9">
        <f>ROW() - ROW(radicados[[#Headers],[ID_RADICADOS]])</f>
        <v>206</v>
      </c>
      <c r="B207" s="10">
        <v>2025010073393</v>
      </c>
      <c r="C207" s="11">
        <v>45705</v>
      </c>
      <c r="D207" s="10">
        <f ca="1">+TODAY()-radicados[[#This Row],[FECHA]]</f>
        <v>291</v>
      </c>
      <c r="E207" s="32" t="str">
        <f>+_xlfn.XLOOKUP(radicados[[#This Row],[MUNICIPIO]],MUNICIPIOS!A:A,MUNICIPIOS!E:E,0,0,1)</f>
        <v>Magdalena Medio</v>
      </c>
      <c r="F207" s="34" t="s">
        <v>311</v>
      </c>
      <c r="G207" s="3">
        <v>176</v>
      </c>
      <c r="H207" t="s">
        <v>312</v>
      </c>
      <c r="I207" t="s">
        <v>17</v>
      </c>
      <c r="J207" s="12">
        <v>13427488873</v>
      </c>
      <c r="K207" s="13"/>
    </row>
    <row r="208" spans="1:11" ht="30">
      <c r="A208" s="9">
        <f>ROW() - ROW(radicados[[#Headers],[ID_RADICADOS]])</f>
        <v>207</v>
      </c>
      <c r="B208" s="10">
        <v>2025010072501</v>
      </c>
      <c r="C208" s="11">
        <v>45705</v>
      </c>
      <c r="D208" s="10">
        <f ca="1">+TODAY()-radicados[[#This Row],[FECHA]]</f>
        <v>291</v>
      </c>
      <c r="E208" s="32" t="str">
        <f>+_xlfn.XLOOKUP(radicados[[#This Row],[MUNICIPIO]],MUNICIPIOS!A:A,MUNICIPIOS!E:E,0,0,1)</f>
        <v>Urabá</v>
      </c>
      <c r="F208" s="34" t="s">
        <v>63</v>
      </c>
      <c r="G208" s="3">
        <v>247</v>
      </c>
      <c r="H208" s="28" t="s">
        <v>335</v>
      </c>
      <c r="I208" t="s">
        <v>17</v>
      </c>
      <c r="J208" s="29">
        <v>2172528822</v>
      </c>
      <c r="K208" s="13"/>
    </row>
    <row r="209" spans="1:11" ht="30">
      <c r="A209" s="9">
        <f>ROW() - ROW(radicados[[#Headers],[ID_RADICADOS]])</f>
        <v>208</v>
      </c>
      <c r="B209" s="10">
        <v>2025010076176</v>
      </c>
      <c r="C209" s="11">
        <v>45706</v>
      </c>
      <c r="D209" s="10">
        <f ca="1">+TODAY()-radicados[[#This Row],[FECHA]]</f>
        <v>290</v>
      </c>
      <c r="E209" s="32" t="str">
        <f>+_xlfn.XLOOKUP(radicados[[#This Row],[MUNICIPIO]],MUNICIPIOS!A:A,MUNICIPIOS!E:E,0,0,1)</f>
        <v>Oriente</v>
      </c>
      <c r="F209" s="34" t="s">
        <v>186</v>
      </c>
      <c r="G209" s="3">
        <v>248</v>
      </c>
      <c r="H209" s="28" t="s">
        <v>336</v>
      </c>
      <c r="I209" t="s">
        <v>17</v>
      </c>
      <c r="J209" s="29">
        <v>4853481778.4499998</v>
      </c>
      <c r="K209" s="13"/>
    </row>
    <row r="210" spans="1:11">
      <c r="A210" s="9">
        <f>ROW() - ROW(radicados[[#Headers],[ID_RADICADOS]])</f>
        <v>209</v>
      </c>
      <c r="B210" s="10">
        <v>2025010067007</v>
      </c>
      <c r="C210" s="11">
        <v>45700</v>
      </c>
      <c r="D210" s="10">
        <f ca="1">+TODAY()-radicados[[#This Row],[FECHA]]</f>
        <v>296</v>
      </c>
      <c r="E210" s="32" t="str">
        <f>+_xlfn.XLOOKUP(radicados[[#This Row],[MUNICIPIO]],MUNICIPIOS!A:A,MUNICIPIOS!E:E,0,0,1)</f>
        <v>Suroeste</v>
      </c>
      <c r="F210" s="34" t="s">
        <v>337</v>
      </c>
      <c r="G210" s="3">
        <v>249</v>
      </c>
      <c r="H210" s="37" t="s">
        <v>338</v>
      </c>
      <c r="I210" t="s">
        <v>17</v>
      </c>
      <c r="J210" s="29">
        <v>126398173</v>
      </c>
      <c r="K210" s="13"/>
    </row>
    <row r="211" spans="1:11">
      <c r="A211" s="9">
        <f>ROW() - ROW(radicados[[#Headers],[ID_RADICADOS]])</f>
        <v>210</v>
      </c>
      <c r="B211" s="10">
        <v>2024010363244</v>
      </c>
      <c r="C211" s="11">
        <v>45516</v>
      </c>
      <c r="D211" s="10">
        <f ca="1">+TODAY()-radicados[[#This Row],[FECHA]]</f>
        <v>480</v>
      </c>
      <c r="E211" s="32" t="str">
        <f>+_xlfn.XLOOKUP(radicados[[#This Row],[MUNICIPIO]],MUNICIPIOS!A:A,MUNICIPIOS!E:E,0,0,1)</f>
        <v>Magdalena Medio</v>
      </c>
      <c r="F211" s="34" t="s">
        <v>339</v>
      </c>
      <c r="G211" s="3">
        <v>270</v>
      </c>
      <c r="H211" t="s">
        <v>340</v>
      </c>
      <c r="I211" t="s">
        <v>17</v>
      </c>
      <c r="J211" s="29"/>
      <c r="K211" s="13"/>
    </row>
    <row r="212" spans="1:11">
      <c r="A212" s="64">
        <f>ROW() - ROW(radicados[[#Headers],[ID_RADICADOS]])</f>
        <v>211</v>
      </c>
      <c r="B212" s="10">
        <v>2025010091549</v>
      </c>
      <c r="C212" s="65">
        <v>45714</v>
      </c>
      <c r="D212" s="66">
        <f ca="1">+TODAY()-radicados[[#This Row],[FECHA]]</f>
        <v>282</v>
      </c>
      <c r="E212" s="32" t="str">
        <f>+_xlfn.XLOOKUP(radicados[[#This Row],[MUNICIPIO]],MUNICIPIOS!A:A,MUNICIPIOS!E:E,0,0,1)</f>
        <v>Norte</v>
      </c>
      <c r="F212" s="67" t="s">
        <v>341</v>
      </c>
      <c r="G212" s="3">
        <v>352</v>
      </c>
      <c r="H212" t="s">
        <v>342</v>
      </c>
      <c r="I212" t="s">
        <v>17</v>
      </c>
      <c r="J212" s="68"/>
      <c r="K212" s="69"/>
    </row>
    <row r="213" spans="1:11">
      <c r="A213" s="64">
        <f>ROW() - ROW(radicados[[#Headers],[ID_RADICADOS]])</f>
        <v>212</v>
      </c>
      <c r="B213" s="10">
        <v>2025010098088</v>
      </c>
      <c r="C213" s="65">
        <v>45719</v>
      </c>
      <c r="D213" s="66">
        <f ca="1">+TODAY()-radicados[[#This Row],[FECHA]]</f>
        <v>277</v>
      </c>
      <c r="E213" s="32" t="str">
        <f>+_xlfn.XLOOKUP(radicados[[#This Row],[MUNICIPIO]],MUNICIPIOS!A:A,MUNICIPIOS!E:E,0,0,1)</f>
        <v>Valle de Aburrá</v>
      </c>
      <c r="F213" s="67" t="s">
        <v>343</v>
      </c>
      <c r="G213" s="3">
        <v>353</v>
      </c>
      <c r="H213" t="s">
        <v>344</v>
      </c>
      <c r="I213" t="s">
        <v>17</v>
      </c>
      <c r="J213" s="68"/>
      <c r="K213" s="13" t="s">
        <v>345</v>
      </c>
    </row>
    <row r="214" spans="1:11" ht="15" customHeight="1">
      <c r="A214" s="64">
        <f>ROW() - ROW(radicados[[#Headers],[ID_RADICADOS]])</f>
        <v>213</v>
      </c>
      <c r="B214" s="66">
        <v>2024010569913</v>
      </c>
      <c r="C214" s="65">
        <v>45608</v>
      </c>
      <c r="D214" s="66">
        <f ca="1">+TODAY()-radicados[[#This Row],[FECHA]]</f>
        <v>388</v>
      </c>
      <c r="E214" s="32">
        <f>+_xlfn.XLOOKUP(radicados[[#This Row],[MUNICIPIO]],MUNICIPIOS!A:A,MUNICIPIOS!E:E,0,0,1)</f>
        <v>0</v>
      </c>
      <c r="F214" s="67" t="s">
        <v>295</v>
      </c>
      <c r="H214" s="68" t="s">
        <v>346</v>
      </c>
      <c r="I214" s="68" t="s">
        <v>51</v>
      </c>
      <c r="J214" s="68"/>
      <c r="K214" s="55" t="s">
        <v>347</v>
      </c>
    </row>
    <row r="215" spans="1:11" ht="15" customHeight="1">
      <c r="A215" s="64">
        <f>ROW() - ROW(radicados[[#Headers],[ID_RADICADOS]])</f>
        <v>214</v>
      </c>
      <c r="B215" s="66">
        <v>2025010087091</v>
      </c>
      <c r="C215" s="54">
        <v>45712</v>
      </c>
      <c r="D215" s="66">
        <f ca="1">+TODAY()-radicados[[#This Row],[FECHA]]</f>
        <v>284</v>
      </c>
      <c r="E215" s="32" t="str">
        <f>+_xlfn.XLOOKUP(radicados[[#This Row],[MUNICIPIO]],MUNICIPIOS!A:A,MUNICIPIOS!E:E,0,0,1)</f>
        <v>Nordeste</v>
      </c>
      <c r="F215" s="67" t="s">
        <v>244</v>
      </c>
      <c r="G215" s="3">
        <v>383</v>
      </c>
      <c r="H215" s="68" t="s">
        <v>348</v>
      </c>
      <c r="I215" s="68" t="s">
        <v>17</v>
      </c>
      <c r="J215" s="29">
        <v>5134606831</v>
      </c>
      <c r="K215" s="69" t="s">
        <v>349</v>
      </c>
    </row>
    <row r="216" spans="1:11" ht="15" customHeight="1">
      <c r="A216" s="64">
        <f>ROW() - ROW(radicados[[#Headers],[ID_RADICADOS]])</f>
        <v>215</v>
      </c>
      <c r="B216" s="66">
        <v>2025010087091</v>
      </c>
      <c r="C216" s="54">
        <v>45712</v>
      </c>
      <c r="D216" s="66">
        <f ca="1">+TODAY()-radicados[[#This Row],[FECHA]]</f>
        <v>284</v>
      </c>
      <c r="E216" s="32" t="str">
        <f>+_xlfn.XLOOKUP(radicados[[#This Row],[MUNICIPIO]],MUNICIPIOS!A:A,MUNICIPIOS!E:E,0,0,1)</f>
        <v>Nordeste</v>
      </c>
      <c r="F216" s="67" t="s">
        <v>244</v>
      </c>
      <c r="G216" s="3">
        <v>384</v>
      </c>
      <c r="H216" s="68" t="s">
        <v>350</v>
      </c>
      <c r="I216" s="68" t="s">
        <v>17</v>
      </c>
      <c r="J216" s="29">
        <v>7365388005</v>
      </c>
      <c r="K216" s="69" t="s">
        <v>351</v>
      </c>
    </row>
    <row r="217" spans="1:11" ht="15" customHeight="1">
      <c r="A217" s="64">
        <f>ROW() - ROW(radicados[[#Headers],[ID_RADICADOS]])</f>
        <v>216</v>
      </c>
      <c r="B217" s="66">
        <v>2025010080871</v>
      </c>
      <c r="C217" s="65" t="s">
        <v>352</v>
      </c>
      <c r="D217" s="66">
        <f ca="1">+TODAY()-radicados[[#This Row],[FECHA]]</f>
        <v>288</v>
      </c>
      <c r="E217" s="32" t="str">
        <f>+_xlfn.XLOOKUP(radicados[[#This Row],[MUNICIPIO]],MUNICIPIOS!A:A,MUNICIPIOS!E:E,0,0,1)</f>
        <v>Suroeste</v>
      </c>
      <c r="F217" s="67" t="s">
        <v>61</v>
      </c>
      <c r="G217" s="3">
        <v>398</v>
      </c>
      <c r="H217" s="68" t="s">
        <v>1218</v>
      </c>
      <c r="I217" s="68" t="s">
        <v>51</v>
      </c>
      <c r="J217" s="68"/>
      <c r="K217" s="69" t="s">
        <v>353</v>
      </c>
    </row>
    <row r="218" spans="1:11" ht="15" customHeight="1">
      <c r="A218" s="64">
        <f>ROW() - ROW(radicados[[#Headers],[ID_RADICADOS]])</f>
        <v>217</v>
      </c>
      <c r="B218" s="66">
        <v>2025010088949</v>
      </c>
      <c r="C218" s="65" t="s">
        <v>354</v>
      </c>
      <c r="D218" s="66">
        <f ca="1">+TODAY()-radicados[[#This Row],[FECHA]]</f>
        <v>283</v>
      </c>
      <c r="E218" s="32" t="str">
        <f>+_xlfn.XLOOKUP(radicados[[#This Row],[MUNICIPIO]],MUNICIPIOS!A:A,MUNICIPIOS!E:E,0,0,1)</f>
        <v>Urabá</v>
      </c>
      <c r="F218" s="67" t="s">
        <v>193</v>
      </c>
      <c r="G218" s="3">
        <v>385</v>
      </c>
      <c r="H218" s="68" t="s">
        <v>355</v>
      </c>
      <c r="I218" s="68" t="s">
        <v>17</v>
      </c>
      <c r="J218" s="29">
        <v>16142060924</v>
      </c>
      <c r="K218" s="69" t="s">
        <v>356</v>
      </c>
    </row>
    <row r="219" spans="1:11" ht="15" customHeight="1">
      <c r="A219" s="64">
        <f>ROW() - ROW(radicados[[#Headers],[ID_RADICADOS]])</f>
        <v>218</v>
      </c>
      <c r="B219" s="66">
        <v>2025010089650</v>
      </c>
      <c r="C219" s="65" t="s">
        <v>354</v>
      </c>
      <c r="D219" s="66">
        <f ca="1">+TODAY()-radicados[[#This Row],[FECHA]]</f>
        <v>283</v>
      </c>
      <c r="E219" s="32" t="str">
        <f>+_xlfn.XLOOKUP(radicados[[#This Row],[MUNICIPIO]],MUNICIPIOS!A:A,MUNICIPIOS!E:E,0,0,1)</f>
        <v>Oriente</v>
      </c>
      <c r="F219" s="34" t="s">
        <v>115</v>
      </c>
      <c r="G219" s="3">
        <v>386</v>
      </c>
      <c r="H219" s="68" t="s">
        <v>357</v>
      </c>
      <c r="I219" s="68" t="s">
        <v>17</v>
      </c>
      <c r="J219" s="68"/>
      <c r="K219" s="69" t="s">
        <v>358</v>
      </c>
    </row>
    <row r="220" spans="1:11" ht="15" customHeight="1">
      <c r="A220" s="64">
        <f>ROW() - ROW(radicados[[#Headers],[ID_RADICADOS]])</f>
        <v>219</v>
      </c>
      <c r="B220" s="66">
        <v>2025010102267</v>
      </c>
      <c r="C220" s="65">
        <v>45720</v>
      </c>
      <c r="D220" s="66">
        <f ca="1">+TODAY()-radicados[[#This Row],[FECHA]]</f>
        <v>276</v>
      </c>
      <c r="E220" s="32" t="str">
        <f>+_xlfn.XLOOKUP(radicados[[#This Row],[MUNICIPIO]],MUNICIPIOS!A:A,MUNICIPIOS!E:E,0,0,1)</f>
        <v>Suroeste</v>
      </c>
      <c r="F220" s="34" t="s">
        <v>359</v>
      </c>
      <c r="G220" s="3">
        <v>387</v>
      </c>
      <c r="H220" s="68" t="s">
        <v>360</v>
      </c>
      <c r="I220" s="68" t="s">
        <v>17</v>
      </c>
      <c r="J220" s="29">
        <v>4178212674</v>
      </c>
      <c r="K220" s="69" t="s">
        <v>361</v>
      </c>
    </row>
    <row r="221" spans="1:11" ht="15" customHeight="1">
      <c r="A221" s="64">
        <f>ROW() - ROW(radicados[[#Headers],[ID_RADICADOS]])</f>
        <v>220</v>
      </c>
      <c r="B221" s="66">
        <v>2025010105056</v>
      </c>
      <c r="C221" s="65">
        <v>45721</v>
      </c>
      <c r="D221" s="66">
        <f ca="1">+TODAY()-radicados[[#This Row],[FECHA]]</f>
        <v>275</v>
      </c>
      <c r="E221" s="32" t="str">
        <f>+_xlfn.XLOOKUP(radicados[[#This Row],[MUNICIPIO]],MUNICIPIOS!A:A,MUNICIPIOS!E:E,0,0,1)</f>
        <v>Occidente</v>
      </c>
      <c r="F221" s="34" t="s">
        <v>362</v>
      </c>
      <c r="G221" s="3">
        <v>388</v>
      </c>
      <c r="H221" s="68" t="s">
        <v>363</v>
      </c>
      <c r="I221" s="68" t="s">
        <v>17</v>
      </c>
      <c r="J221" s="29"/>
      <c r="K221" s="69" t="s">
        <v>364</v>
      </c>
    </row>
    <row r="222" spans="1:11" ht="15" customHeight="1">
      <c r="A222" s="64">
        <f>ROW() - ROW(radicados[[#Headers],[ID_RADICADOS]])</f>
        <v>221</v>
      </c>
      <c r="B222" s="66">
        <v>2025010098872</v>
      </c>
      <c r="C222" s="65">
        <v>45719</v>
      </c>
      <c r="D222" s="66">
        <f ca="1">+TODAY()-radicados[[#This Row],[FECHA]]</f>
        <v>277</v>
      </c>
      <c r="E222" s="32" t="str">
        <f>+_xlfn.XLOOKUP(radicados[[#This Row],[MUNICIPIO]],MUNICIPIOS!A:A,MUNICIPIOS!E:E,0,0,1)</f>
        <v>Occidente</v>
      </c>
      <c r="F222" s="34" t="s">
        <v>273</v>
      </c>
      <c r="H222" s="68" t="s">
        <v>365</v>
      </c>
      <c r="I222" s="68" t="s">
        <v>51</v>
      </c>
      <c r="J222" s="68"/>
      <c r="K222" s="69"/>
    </row>
    <row r="223" spans="1:11" ht="15" customHeight="1">
      <c r="A223" s="64">
        <f>ROW() - ROW(radicados[[#Headers],[ID_RADICADOS]])</f>
        <v>222</v>
      </c>
      <c r="B223" s="66">
        <v>2025010100436</v>
      </c>
      <c r="C223" s="65">
        <v>45719</v>
      </c>
      <c r="D223" s="66">
        <f ca="1">+TODAY()-radicados[[#This Row],[FECHA]]</f>
        <v>277</v>
      </c>
      <c r="E223" s="32">
        <f>+_xlfn.XLOOKUP(radicados[[#This Row],[MUNICIPIO]],MUNICIPIOS!A:A,MUNICIPIOS!E:E,0,0,1)</f>
        <v>0</v>
      </c>
      <c r="F223" s="67"/>
      <c r="H223" s="68" t="s">
        <v>367</v>
      </c>
      <c r="I223" s="68" t="s">
        <v>51</v>
      </c>
      <c r="J223" s="68"/>
      <c r="K223" s="69" t="s">
        <v>368</v>
      </c>
    </row>
    <row r="224" spans="1:11" ht="15" customHeight="1">
      <c r="A224" s="64">
        <f>ROW() - ROW(radicados[[#Headers],[ID_RADICADOS]])</f>
        <v>223</v>
      </c>
      <c r="B224" s="220">
        <v>2025010291398</v>
      </c>
      <c r="C224" s="65">
        <v>45714</v>
      </c>
      <c r="D224" s="66">
        <f ca="1">+TODAY()-radicados[[#This Row],[FECHA]]</f>
        <v>282</v>
      </c>
      <c r="E224" s="32" t="str">
        <f>+_xlfn.XLOOKUP(radicados[[#This Row],[MUNICIPIO]],MUNICIPIOS!A:A,MUNICIPIOS!E:E,0,0,1)</f>
        <v>Nordeste</v>
      </c>
      <c r="F224" s="34" t="s">
        <v>369</v>
      </c>
      <c r="G224" s="3">
        <v>399</v>
      </c>
      <c r="H224" t="s">
        <v>370</v>
      </c>
      <c r="I224" s="68" t="s">
        <v>17</v>
      </c>
      <c r="J224" s="29">
        <v>383180000</v>
      </c>
      <c r="K224" s="69"/>
    </row>
    <row r="225" spans="1:11" ht="15" customHeight="1">
      <c r="A225" s="64">
        <f>ROW() - ROW(radicados[[#Headers],[ID_RADICADOS]])</f>
        <v>224</v>
      </c>
      <c r="B225" s="66">
        <v>2025010101072</v>
      </c>
      <c r="C225" s="65">
        <v>45719</v>
      </c>
      <c r="D225" s="66">
        <f ca="1">+TODAY()-radicados[[#This Row],[FECHA]]</f>
        <v>277</v>
      </c>
      <c r="E225" s="32" t="str">
        <f>+_xlfn.XLOOKUP(radicados[[#This Row],[MUNICIPIO]],MUNICIPIOS!A:A,MUNICIPIOS!E:E,0,0,1)</f>
        <v>Suroeste</v>
      </c>
      <c r="F225" s="34" t="s">
        <v>281</v>
      </c>
      <c r="H225" s="68" t="s">
        <v>371</v>
      </c>
      <c r="I225" s="68" t="s">
        <v>51</v>
      </c>
      <c r="J225" s="68"/>
      <c r="K225" s="69"/>
    </row>
    <row r="226" spans="1:11" ht="15" customHeight="1">
      <c r="A226" s="64">
        <v>225</v>
      </c>
      <c r="B226" s="66">
        <v>2025010116063</v>
      </c>
      <c r="C226" s="65">
        <v>45726</v>
      </c>
      <c r="D226" s="66">
        <f ca="1">+TODAY()-radicados[[#This Row],[FECHA]]</f>
        <v>270</v>
      </c>
      <c r="E226" s="32" t="str">
        <f>+_xlfn.XLOOKUP(radicados[[#This Row],[MUNICIPIO]],MUNICIPIOS!A:A,MUNICIPIOS!E:E,0,0,1)</f>
        <v>Suroeste</v>
      </c>
      <c r="F226" s="34" t="s">
        <v>230</v>
      </c>
      <c r="G226" s="3">
        <v>400</v>
      </c>
      <c r="H226" s="68" t="s">
        <v>372</v>
      </c>
      <c r="I226" s="68" t="s">
        <v>17</v>
      </c>
      <c r="J226" s="29">
        <v>2631486928</v>
      </c>
      <c r="K226" s="69" t="s">
        <v>373</v>
      </c>
    </row>
    <row r="227" spans="1:11" ht="15" customHeight="1">
      <c r="A227" s="64">
        <f>ROW() - ROW(radicados[[#Headers],[ID_RADICADOS]])</f>
        <v>226</v>
      </c>
      <c r="B227" s="66">
        <v>2024010376421</v>
      </c>
      <c r="C227" s="65">
        <v>45525</v>
      </c>
      <c r="D227" s="66">
        <f ca="1">+TODAY()-radicados[[#This Row],[FECHA]]</f>
        <v>471</v>
      </c>
      <c r="E227" s="32" t="str">
        <f>+_xlfn.XLOOKUP(radicados[[#This Row],[MUNICIPIO]],MUNICIPIOS!A:A,MUNICIPIOS!E:E,0,0,1)</f>
        <v>Suroeste</v>
      </c>
      <c r="F227" s="67" t="s">
        <v>101</v>
      </c>
      <c r="G227" s="3">
        <v>154</v>
      </c>
      <c r="H227" s="68" t="s">
        <v>283</v>
      </c>
      <c r="I227" s="68" t="s">
        <v>17</v>
      </c>
      <c r="J227" s="70">
        <v>1263024676</v>
      </c>
      <c r="K227" s="69"/>
    </row>
    <row r="228" spans="1:11" ht="15" customHeight="1">
      <c r="A228" s="64">
        <v>227</v>
      </c>
      <c r="B228" s="66">
        <v>2025010124005</v>
      </c>
      <c r="C228" s="65">
        <v>45729</v>
      </c>
      <c r="D228" s="66">
        <f ca="1">+TODAY()-radicados[[#This Row],[FECHA]]</f>
        <v>267</v>
      </c>
      <c r="E228" s="32" t="str">
        <f>+_xlfn.XLOOKUP(radicados[[#This Row],[MUNICIPIO]],MUNICIPIOS!A:A,MUNICIPIOS!E:E,0,0,1)</f>
        <v>Suroeste</v>
      </c>
      <c r="F228" s="67" t="s">
        <v>223</v>
      </c>
      <c r="G228" s="3">
        <v>407</v>
      </c>
      <c r="H228" s="68" t="s">
        <v>374</v>
      </c>
      <c r="I228" s="68" t="s">
        <v>17</v>
      </c>
      <c r="J228" s="68"/>
      <c r="K228" s="69" t="s">
        <v>375</v>
      </c>
    </row>
    <row r="229" spans="1:11" ht="15" customHeight="1">
      <c r="A229" s="64">
        <f>ROW() - ROW(radicados[[#Headers],[ID_RADICADOS]])</f>
        <v>228</v>
      </c>
      <c r="B229" s="66">
        <v>2025010122987</v>
      </c>
      <c r="C229" s="65">
        <v>45729</v>
      </c>
      <c r="D229" s="66">
        <f ca="1">+TODAY()-radicados[[#This Row],[FECHA]]</f>
        <v>267</v>
      </c>
      <c r="E229" s="32" t="str">
        <f>+_xlfn.XLOOKUP(radicados[[#This Row],[MUNICIPIO]],MUNICIPIOS!A:A,MUNICIPIOS!E:E,0,0,1)</f>
        <v>Norte</v>
      </c>
      <c r="F229" s="67" t="s">
        <v>326</v>
      </c>
      <c r="G229" s="3">
        <v>408</v>
      </c>
      <c r="H229" s="68" t="s">
        <v>376</v>
      </c>
      <c r="I229" s="68" t="s">
        <v>17</v>
      </c>
      <c r="J229" s="70">
        <v>39642294947</v>
      </c>
      <c r="K229" s="69" t="s">
        <v>377</v>
      </c>
    </row>
    <row r="230" spans="1:11" ht="15" customHeight="1">
      <c r="A230" s="64">
        <f>ROW() - ROW(radicados[[#Headers],[ID_RADICADOS]])</f>
        <v>229</v>
      </c>
      <c r="B230" s="66">
        <v>2024010555821</v>
      </c>
      <c r="C230" s="65">
        <v>45728</v>
      </c>
      <c r="D230" s="66">
        <f ca="1">+TODAY()-radicados[[#This Row],[FECHA]]</f>
        <v>268</v>
      </c>
      <c r="E230" s="32" t="str">
        <f>+_xlfn.XLOOKUP(radicados[[#This Row],[MUNICIPIO]],MUNICIPIOS!A:A,MUNICIPIOS!E:E,0,0,1)</f>
        <v>Occidente</v>
      </c>
      <c r="F230" s="67" t="s">
        <v>95</v>
      </c>
      <c r="G230" s="3">
        <v>409</v>
      </c>
      <c r="H230" s="68" t="s">
        <v>378</v>
      </c>
      <c r="I230" s="68" t="s">
        <v>17</v>
      </c>
      <c r="J230" s="70">
        <v>3853795225</v>
      </c>
      <c r="K230" s="69"/>
    </row>
    <row r="231" spans="1:11" ht="15" customHeight="1">
      <c r="A231" s="64">
        <f>ROW() - ROW(radicados[[#Headers],[ID_RADICADOS]])</f>
        <v>230</v>
      </c>
      <c r="B231" s="66">
        <v>2025010123714</v>
      </c>
      <c r="C231" s="65">
        <v>45729</v>
      </c>
      <c r="D231" s="66">
        <f ca="1">+TODAY()-radicados[[#This Row],[FECHA]]</f>
        <v>267</v>
      </c>
      <c r="E231" s="32" t="str">
        <f>+_xlfn.XLOOKUP(radicados[[#This Row],[MUNICIPIO]],MUNICIPIOS!A:A,MUNICIPIOS!E:E,0,0,1)</f>
        <v>Urabá</v>
      </c>
      <c r="F231" s="67" t="s">
        <v>118</v>
      </c>
      <c r="G231" s="3">
        <v>410</v>
      </c>
      <c r="H231" s="68" t="s">
        <v>379</v>
      </c>
      <c r="I231" s="68" t="s">
        <v>17</v>
      </c>
      <c r="J231" s="70">
        <v>5241523447</v>
      </c>
      <c r="K231" s="95" t="s">
        <v>905</v>
      </c>
    </row>
    <row r="232" spans="1:11" ht="15" customHeight="1">
      <c r="A232" s="9">
        <v>231</v>
      </c>
      <c r="B232" s="10">
        <v>2025010142801</v>
      </c>
      <c r="C232" s="11">
        <v>45741</v>
      </c>
      <c r="D232" s="10">
        <f ca="1">+TODAY()-radicados[[#This Row],[FECHA]]</f>
        <v>255</v>
      </c>
      <c r="E232" s="32" t="str">
        <f>+_xlfn.XLOOKUP(radicados[[#This Row],[MUNICIPIO]],MUNICIPIOS!A:A,MUNICIPIOS!E:E,0,0,1)</f>
        <v>Occidente</v>
      </c>
      <c r="F232" s="67" t="s">
        <v>452</v>
      </c>
      <c r="G232" s="3">
        <v>414</v>
      </c>
      <c r="H232" t="s">
        <v>908</v>
      </c>
      <c r="I232" t="s">
        <v>17</v>
      </c>
      <c r="J232" s="70">
        <v>1325853907</v>
      </c>
      <c r="K232" s="13" t="s">
        <v>906</v>
      </c>
    </row>
    <row r="233" spans="1:11" ht="15" customHeight="1">
      <c r="A233" s="9">
        <v>232</v>
      </c>
      <c r="B233" s="10">
        <v>2025010142897</v>
      </c>
      <c r="C233" s="11">
        <v>45741</v>
      </c>
      <c r="D233" s="10">
        <f ca="1">+TODAY()-radicados[[#This Row],[FECHA]]</f>
        <v>255</v>
      </c>
      <c r="E233" s="32" t="str">
        <f>+_xlfn.XLOOKUP(radicados[[#This Row],[MUNICIPIO]],MUNICIPIOS!A:A,MUNICIPIOS!E:E,0,0,1)</f>
        <v>Occidente</v>
      </c>
      <c r="F233" s="67" t="s">
        <v>452</v>
      </c>
      <c r="G233" s="3">
        <v>414</v>
      </c>
      <c r="H233" t="s">
        <v>909</v>
      </c>
      <c r="I233" t="s">
        <v>17</v>
      </c>
      <c r="J233" s="70">
        <v>1325853907</v>
      </c>
      <c r="K233" s="13" t="s">
        <v>907</v>
      </c>
    </row>
    <row r="234" spans="1:11" ht="15" customHeight="1">
      <c r="A234" s="9">
        <v>233</v>
      </c>
      <c r="B234" s="10">
        <v>2025010144661</v>
      </c>
      <c r="C234" s="11">
        <v>45741</v>
      </c>
      <c r="D234" s="10">
        <f ca="1">+TODAY()-radicados[[#This Row],[FECHA]]</f>
        <v>255</v>
      </c>
      <c r="E234" s="32" t="str">
        <f>+_xlfn.XLOOKUP(radicados[[#This Row],[MUNICIPIO]],MUNICIPIOS!A:A,MUNICIPIOS!E:E,0,0,1)</f>
        <v>Norte</v>
      </c>
      <c r="F234" s="67" t="s">
        <v>832</v>
      </c>
      <c r="G234" s="3">
        <v>415</v>
      </c>
      <c r="H234" t="s">
        <v>1158</v>
      </c>
      <c r="I234" t="s">
        <v>17</v>
      </c>
      <c r="J234" s="70">
        <v>1652965285</v>
      </c>
      <c r="K234" s="13" t="s">
        <v>911</v>
      </c>
    </row>
    <row r="235" spans="1:11" ht="15" customHeight="1">
      <c r="A235" s="9">
        <v>234</v>
      </c>
      <c r="B235" s="10">
        <v>2025010147279</v>
      </c>
      <c r="C235" s="11">
        <v>45742</v>
      </c>
      <c r="D235" s="10">
        <f ca="1">+TODAY()-radicados[[#This Row],[FECHA]]</f>
        <v>254</v>
      </c>
      <c r="E235" s="32" t="str">
        <f>+_xlfn.XLOOKUP(radicados[[#This Row],[MUNICIPIO]],MUNICIPIOS!A:A,MUNICIPIOS!E:E,0,0,1)</f>
        <v>Suroeste</v>
      </c>
      <c r="F235" s="67" t="s">
        <v>101</v>
      </c>
      <c r="G235" s="3">
        <v>416</v>
      </c>
      <c r="H235" t="s">
        <v>912</v>
      </c>
      <c r="I235" t="s">
        <v>17</v>
      </c>
      <c r="J235" s="70">
        <v>300848209</v>
      </c>
      <c r="K235" s="13" t="s">
        <v>913</v>
      </c>
    </row>
    <row r="236" spans="1:11" ht="15" customHeight="1">
      <c r="A236" s="64">
        <v>235</v>
      </c>
      <c r="B236" s="66">
        <v>2025010142669</v>
      </c>
      <c r="C236" s="11">
        <v>45742</v>
      </c>
      <c r="D236" s="66">
        <f ca="1">+TODAY()-radicados[[#This Row],[FECHA]]</f>
        <v>254</v>
      </c>
      <c r="E236" s="32" t="str">
        <f>+_xlfn.XLOOKUP(radicados[[#This Row],[MUNICIPIO]],MUNICIPIOS!A:A,MUNICIPIOS!E:E,0,0,1)</f>
        <v>Oriente</v>
      </c>
      <c r="F236" s="67" t="s">
        <v>177</v>
      </c>
      <c r="G236" s="3">
        <v>418</v>
      </c>
      <c r="H236" t="s">
        <v>985</v>
      </c>
      <c r="I236" t="s">
        <v>17</v>
      </c>
      <c r="J236" s="70">
        <v>5048252540</v>
      </c>
      <c r="K236" s="69"/>
    </row>
    <row r="237" spans="1:11" ht="15" customHeight="1">
      <c r="A237" s="64">
        <v>236</v>
      </c>
      <c r="B237" s="66">
        <v>2025010138651</v>
      </c>
      <c r="C237" s="11">
        <v>45742</v>
      </c>
      <c r="D237" s="66">
        <f ca="1">+TODAY()-radicados[[#This Row],[FECHA]]</f>
        <v>254</v>
      </c>
      <c r="E237" s="32" t="str">
        <f>+_xlfn.XLOOKUP(radicados[[#This Row],[MUNICIPIO]],MUNICIPIOS!A:A,MUNICIPIOS!E:E,0,0,1)</f>
        <v>Urabá</v>
      </c>
      <c r="F237" s="67" t="s">
        <v>63</v>
      </c>
      <c r="G237" s="3">
        <v>501</v>
      </c>
      <c r="H237" t="s">
        <v>1110</v>
      </c>
      <c r="I237" t="s">
        <v>17</v>
      </c>
      <c r="J237" s="70">
        <v>5076162496</v>
      </c>
      <c r="K237" s="13" t="s">
        <v>361</v>
      </c>
    </row>
    <row r="238" spans="1:11" ht="15" customHeight="1">
      <c r="A238" s="9">
        <f>ROW() - ROW(radicados[[#Headers],[ID_RADICADOS]])</f>
        <v>237</v>
      </c>
      <c r="B238" s="10">
        <v>2025010119542</v>
      </c>
      <c r="C238" s="11">
        <v>45727</v>
      </c>
      <c r="D238" s="10">
        <f ca="1">+TODAY()-radicados[[#This Row],[FECHA]]</f>
        <v>269</v>
      </c>
      <c r="E238" s="32" t="str">
        <f>+_xlfn.XLOOKUP(radicados[[#This Row],[MUNICIPIO]],MUNICIPIOS!A:A,MUNICIPIOS!E:E,0,0,1)</f>
        <v>Valle de Aburrá</v>
      </c>
      <c r="F238" s="67" t="s">
        <v>76</v>
      </c>
      <c r="G238" s="3">
        <v>411</v>
      </c>
      <c r="H238" t="s">
        <v>1147</v>
      </c>
      <c r="I238" t="s">
        <v>17</v>
      </c>
      <c r="J238" s="70">
        <v>18376102798</v>
      </c>
      <c r="K238" s="13" t="s">
        <v>1148</v>
      </c>
    </row>
    <row r="239" spans="1:11" ht="15" customHeight="1">
      <c r="A239" s="9">
        <v>238</v>
      </c>
      <c r="B239" s="10">
        <v>2025010153503</v>
      </c>
      <c r="C239" s="11">
        <v>45747</v>
      </c>
      <c r="D239" s="10">
        <f ca="1">+TODAY()-radicados[[#This Row],[FECHA]]</f>
        <v>249</v>
      </c>
      <c r="E239" s="32" t="str">
        <f>+_xlfn.XLOOKUP(radicados[[#This Row],[MUNICIPIO]],MUNICIPIOS!A:A,MUNICIPIOS!E:E,0,0,1)</f>
        <v>Oriente</v>
      </c>
      <c r="F239" s="67" t="s">
        <v>211</v>
      </c>
      <c r="G239" s="44">
        <v>508</v>
      </c>
      <c r="H239" t="s">
        <v>1149</v>
      </c>
      <c r="I239" t="s">
        <v>17</v>
      </c>
      <c r="J239" s="70">
        <v>4455284728</v>
      </c>
      <c r="K239" s="13" t="s">
        <v>1148</v>
      </c>
    </row>
    <row r="240" spans="1:11" ht="15" customHeight="1">
      <c r="A240" s="9">
        <v>239</v>
      </c>
      <c r="B240" s="10">
        <v>2025010148140</v>
      </c>
      <c r="C240" s="11">
        <v>45743</v>
      </c>
      <c r="D240" s="10">
        <f ca="1">+TODAY()-radicados[[#This Row],[FECHA]]</f>
        <v>253</v>
      </c>
      <c r="E240" s="32" t="str">
        <f>+_xlfn.XLOOKUP(radicados[[#This Row],[MUNICIPIO]],MUNICIPIOS!A:A,MUNICIPIOS!E:E,0,0,1)</f>
        <v>Norte</v>
      </c>
      <c r="F240" s="67" t="s">
        <v>477</v>
      </c>
      <c r="G240" s="44">
        <v>509</v>
      </c>
      <c r="H240" t="s">
        <v>1151</v>
      </c>
      <c r="I240" t="s">
        <v>17</v>
      </c>
      <c r="J240" s="70">
        <v>77355076</v>
      </c>
      <c r="K240" s="13"/>
    </row>
    <row r="241" spans="1:11" ht="15" customHeight="1">
      <c r="A241" s="9">
        <f>ROW() - ROW(radicados[[#Headers],[ID_RADICADOS]])</f>
        <v>240</v>
      </c>
      <c r="B241" s="10">
        <v>2025010148140</v>
      </c>
      <c r="C241" s="11">
        <v>45743</v>
      </c>
      <c r="D241" s="10">
        <f ca="1">+TODAY()-radicados[[#This Row],[FECHA]]</f>
        <v>253</v>
      </c>
      <c r="E241" s="32" t="str">
        <f>+_xlfn.XLOOKUP(radicados[[#This Row],[MUNICIPIO]],MUNICIPIOS!A:A,MUNICIPIOS!E:E,0,0,1)</f>
        <v>Norte</v>
      </c>
      <c r="F241" s="67" t="s">
        <v>477</v>
      </c>
      <c r="G241" s="44">
        <v>510</v>
      </c>
      <c r="H241" t="s">
        <v>1150</v>
      </c>
      <c r="I241" t="s">
        <v>17</v>
      </c>
      <c r="J241" s="70">
        <v>1540411797</v>
      </c>
      <c r="K241" s="13"/>
    </row>
    <row r="242" spans="1:11" ht="15" customHeight="1">
      <c r="A242" s="9">
        <f>ROW() - ROW(radicados[[#Headers],[ID_RADICADOS]])</f>
        <v>241</v>
      </c>
      <c r="B242" s="10">
        <v>2025010148140</v>
      </c>
      <c r="C242" s="11">
        <v>45743</v>
      </c>
      <c r="D242" s="10">
        <f ca="1">+TODAY()-radicados[[#This Row],[FECHA]]</f>
        <v>253</v>
      </c>
      <c r="E242" s="32" t="str">
        <f>+_xlfn.XLOOKUP(radicados[[#This Row],[MUNICIPIO]],MUNICIPIOS!A:A,MUNICIPIOS!E:E,0,0,1)</f>
        <v>Norte</v>
      </c>
      <c r="F242" s="67" t="s">
        <v>477</v>
      </c>
      <c r="G242" s="44">
        <v>511</v>
      </c>
      <c r="H242" t="s">
        <v>1152</v>
      </c>
      <c r="I242" t="s">
        <v>17</v>
      </c>
      <c r="J242" s="70">
        <v>483820114</v>
      </c>
      <c r="K242" s="13"/>
    </row>
    <row r="243" spans="1:11" ht="15" customHeight="1">
      <c r="A243" s="9">
        <f>ROW() - ROW(radicados[[#Headers],[ID_RADICADOS]])</f>
        <v>242</v>
      </c>
      <c r="B243" s="10">
        <v>2025010152936</v>
      </c>
      <c r="C243" s="11">
        <v>45744</v>
      </c>
      <c r="D243" s="10">
        <f ca="1">+TODAY()-radicados[[#This Row],[FECHA]]</f>
        <v>252</v>
      </c>
      <c r="E243" s="32" t="str">
        <f>+_xlfn.XLOOKUP(radicados[[#This Row],[MUNICIPIO]],MUNICIPIOS!A:A,MUNICIPIOS!E:E,0,0,1)</f>
        <v>Oriente</v>
      </c>
      <c r="F243" s="67" t="s">
        <v>227</v>
      </c>
      <c r="G243" s="44">
        <v>512</v>
      </c>
      <c r="H243" t="s">
        <v>1153</v>
      </c>
      <c r="I243" t="s">
        <v>17</v>
      </c>
      <c r="J243" s="70">
        <v>8212482639</v>
      </c>
      <c r="K243" s="13"/>
    </row>
    <row r="244" spans="1:11" ht="15" customHeight="1">
      <c r="A244" s="9">
        <f>ROW() - ROW(radicados[[#Headers],[ID_RADICADOS]])</f>
        <v>243</v>
      </c>
      <c r="B244" s="10">
        <v>2025010165443</v>
      </c>
      <c r="C244" s="11">
        <v>45751</v>
      </c>
      <c r="D244" s="10">
        <f ca="1">+TODAY()-radicados[[#This Row],[FECHA]]</f>
        <v>245</v>
      </c>
      <c r="E244" s="32" t="str">
        <f>+_xlfn.XLOOKUP(radicados[[#This Row],[MUNICIPIO]],MUNICIPIOS!A:A,MUNICIPIOS!E:E,0,0,1)</f>
        <v>Bajo Cauca</v>
      </c>
      <c r="F244" s="67" t="s">
        <v>200</v>
      </c>
      <c r="G244" s="44">
        <v>513</v>
      </c>
      <c r="H244" t="s">
        <v>1154</v>
      </c>
      <c r="I244" t="s">
        <v>17</v>
      </c>
      <c r="J244" s="70">
        <v>7806792761</v>
      </c>
      <c r="K244" s="13"/>
    </row>
    <row r="245" spans="1:11" ht="15" customHeight="1">
      <c r="A245" s="168">
        <f>ROW() - ROW(radicados[[#Headers],[ID_RADICADOS]])</f>
        <v>244</v>
      </c>
      <c r="B245" s="169">
        <v>2025010147040</v>
      </c>
      <c r="C245" s="170">
        <v>45749</v>
      </c>
      <c r="D245" s="169">
        <f ca="1">+TODAY()-radicados[[#This Row],[FECHA]]</f>
        <v>247</v>
      </c>
      <c r="E245" s="32" t="str">
        <f>+_xlfn.XLOOKUP(radicados[[#This Row],[MUNICIPIO]],MUNICIPIOS!A:A,MUNICIPIOS!E:E,0,0,1)</f>
        <v>Occidente</v>
      </c>
      <c r="F245" s="67" t="s">
        <v>448</v>
      </c>
      <c r="G245" s="44">
        <v>514</v>
      </c>
      <c r="H245" t="s">
        <v>1155</v>
      </c>
      <c r="I245" t="s">
        <v>17</v>
      </c>
      <c r="J245" s="70">
        <v>5849131759185</v>
      </c>
      <c r="K245" s="171"/>
    </row>
    <row r="246" spans="1:11" ht="15" customHeight="1">
      <c r="A246" s="168">
        <f>ROW() - ROW(radicados[[#Headers],[ID_RADICADOS]])</f>
        <v>245</v>
      </c>
      <c r="B246" s="169">
        <v>2025010162556</v>
      </c>
      <c r="C246" s="170">
        <v>45750</v>
      </c>
      <c r="D246" s="169">
        <f ca="1">+TODAY()-radicados[[#This Row],[FECHA]]</f>
        <v>246</v>
      </c>
      <c r="E246" s="32" t="str">
        <f>+_xlfn.XLOOKUP(radicados[[#This Row],[MUNICIPIO]],MUNICIPIOS!A:A,MUNICIPIOS!E:E,0,0,1)</f>
        <v>Suroeste</v>
      </c>
      <c r="F246" s="67" t="s">
        <v>90</v>
      </c>
      <c r="G246" s="44">
        <v>515</v>
      </c>
      <c r="H246" t="s">
        <v>1156</v>
      </c>
      <c r="I246" t="s">
        <v>17</v>
      </c>
      <c r="J246" s="70">
        <v>2673683584</v>
      </c>
      <c r="K246" s="171"/>
    </row>
    <row r="247" spans="1:11" ht="15" customHeight="1">
      <c r="A247" s="168">
        <f>ROW() - ROW(radicados[[#Headers],[ID_RADICADOS]])</f>
        <v>246</v>
      </c>
      <c r="B247" s="169">
        <v>2025010161226</v>
      </c>
      <c r="C247" s="170">
        <v>45749</v>
      </c>
      <c r="D247" s="169">
        <f ca="1">+TODAY()-radicados[[#This Row],[FECHA]]</f>
        <v>247</v>
      </c>
      <c r="E247" s="32" t="str">
        <f>+_xlfn.XLOOKUP(radicados[[#This Row],[MUNICIPIO]],MUNICIPIOS!A:A,MUNICIPIOS!E:E,0,0,1)</f>
        <v>Nordeste</v>
      </c>
      <c r="F247" s="67" t="s">
        <v>327</v>
      </c>
      <c r="G247" s="44">
        <v>516</v>
      </c>
      <c r="H247" t="s">
        <v>1157</v>
      </c>
      <c r="I247" t="s">
        <v>17</v>
      </c>
      <c r="J247" s="70"/>
      <c r="K247" s="13" t="s">
        <v>1161</v>
      </c>
    </row>
    <row r="248" spans="1:11" ht="15" customHeight="1">
      <c r="A248" s="168">
        <f>ROW() - ROW(radicados[[#Headers],[ID_RADICADOS]])</f>
        <v>247</v>
      </c>
      <c r="B248" s="169">
        <v>2025010153506</v>
      </c>
      <c r="C248" s="170">
        <v>45747</v>
      </c>
      <c r="D248" s="169">
        <f ca="1">+TODAY()-radicados[[#This Row],[FECHA]]</f>
        <v>249</v>
      </c>
      <c r="E248" s="32" t="str">
        <f>+_xlfn.XLOOKUP(radicados[[#This Row],[MUNICIPIO]],MUNICIPIOS!A:A,MUNICIPIOS!E:E,0,0,1)</f>
        <v>Oriente</v>
      </c>
      <c r="F248" s="67" t="s">
        <v>211</v>
      </c>
      <c r="G248" s="3">
        <v>517</v>
      </c>
      <c r="H248" t="s">
        <v>1159</v>
      </c>
      <c r="I248" t="s">
        <v>17</v>
      </c>
      <c r="J248" s="70">
        <v>1976490339</v>
      </c>
      <c r="K248" s="171"/>
    </row>
    <row r="249" spans="1:11" ht="15" customHeight="1">
      <c r="A249" s="168">
        <f>ROW() - ROW(radicados[[#Headers],[ID_RADICADOS]])</f>
        <v>248</v>
      </c>
      <c r="B249" s="169">
        <v>2025010177572</v>
      </c>
      <c r="C249" s="170">
        <v>45757</v>
      </c>
      <c r="D249" s="169">
        <f ca="1">+TODAY()-radicados[[#This Row],[FECHA]]</f>
        <v>239</v>
      </c>
      <c r="E249" s="32" t="str">
        <f>+_xlfn.XLOOKUP(radicados[[#This Row],[MUNICIPIO]],MUNICIPIOS!A:A,MUNICIPIOS!E:E,0,0,1)</f>
        <v>Valle de Aburrá</v>
      </c>
      <c r="F249" s="67" t="s">
        <v>196</v>
      </c>
      <c r="G249" s="3">
        <v>518</v>
      </c>
      <c r="H249" t="s">
        <v>1163</v>
      </c>
      <c r="I249" t="s">
        <v>51</v>
      </c>
      <c r="J249" s="70">
        <v>17008905677</v>
      </c>
      <c r="K249" s="13" t="s">
        <v>1164</v>
      </c>
    </row>
    <row r="250" spans="1:11" ht="15" customHeight="1">
      <c r="A250" s="168">
        <f>ROW() - ROW(radicados[[#Headers],[ID_RADICADOS]])</f>
        <v>249</v>
      </c>
      <c r="B250" s="169">
        <v>2025010190600</v>
      </c>
      <c r="C250" s="170">
        <v>45768</v>
      </c>
      <c r="D250" s="169">
        <f ca="1">+TODAY()-radicados[[#This Row],[FECHA]]</f>
        <v>228</v>
      </c>
      <c r="E250" s="32" t="str">
        <f>+_xlfn.XLOOKUP(radicados[[#This Row],[MUNICIPIO]],MUNICIPIOS!A:A,MUNICIPIOS!E:E,0,0,1)</f>
        <v>Oriente</v>
      </c>
      <c r="F250" s="67" t="s">
        <v>323</v>
      </c>
      <c r="G250" s="3">
        <v>519</v>
      </c>
      <c r="H250" t="s">
        <v>1165</v>
      </c>
      <c r="I250" t="s">
        <v>17</v>
      </c>
      <c r="J250" s="70">
        <v>4749403169</v>
      </c>
      <c r="K250" s="13" t="s">
        <v>1166</v>
      </c>
    </row>
    <row r="251" spans="1:11" ht="15" customHeight="1">
      <c r="A251" s="168">
        <v>250</v>
      </c>
      <c r="B251" s="169">
        <v>2025010210387</v>
      </c>
      <c r="C251" s="170">
        <v>45777</v>
      </c>
      <c r="D251" s="169">
        <f ca="1">+TODAY()-radicados[[#This Row],[FECHA]]</f>
        <v>219</v>
      </c>
      <c r="E251" s="32" t="str">
        <f>+_xlfn.XLOOKUP(radicados[[#This Row],[MUNICIPIO]],MUNICIPIOS!A:A,MUNICIPIOS!E:E,0,0,1)</f>
        <v>Norte</v>
      </c>
      <c r="F251" s="67" t="s">
        <v>136</v>
      </c>
      <c r="G251" s="44">
        <v>520</v>
      </c>
      <c r="H251" t="s">
        <v>1168</v>
      </c>
      <c r="I251" t="s">
        <v>17</v>
      </c>
      <c r="J251" s="172"/>
      <c r="K251" s="13" t="s">
        <v>1174</v>
      </c>
    </row>
    <row r="252" spans="1:11" ht="15" customHeight="1">
      <c r="A252" s="168">
        <v>251</v>
      </c>
      <c r="B252" s="169">
        <v>2025050334542</v>
      </c>
      <c r="C252" s="170"/>
      <c r="D252" s="169"/>
      <c r="E252" s="32" t="str">
        <f>+_xlfn.XLOOKUP(radicados[[#This Row],[MUNICIPIO]],MUNICIPIOS!A:A,MUNICIPIOS!E:E,0,0,1)</f>
        <v>Occidente</v>
      </c>
      <c r="F252" s="67" t="s">
        <v>448</v>
      </c>
      <c r="G252" s="44">
        <v>521</v>
      </c>
      <c r="H252" t="s">
        <v>1179</v>
      </c>
      <c r="I252" t="s">
        <v>17</v>
      </c>
      <c r="J252" s="172"/>
      <c r="K252" s="13" t="s">
        <v>1175</v>
      </c>
    </row>
    <row r="253" spans="1:11" ht="15" customHeight="1">
      <c r="A253" s="168">
        <v>252</v>
      </c>
      <c r="B253" s="169">
        <v>2025020367371</v>
      </c>
      <c r="C253" s="170"/>
      <c r="D253" s="169"/>
      <c r="E253" s="32" t="str">
        <f>+_xlfn.XLOOKUP(radicados[[#This Row],[MUNICIPIO]],MUNICIPIOS!A:A,MUNICIPIOS!E:E,0,0,1)</f>
        <v>Occidente</v>
      </c>
      <c r="F253" s="67" t="s">
        <v>448</v>
      </c>
      <c r="G253" s="44">
        <v>522</v>
      </c>
      <c r="H253" t="s">
        <v>1180</v>
      </c>
      <c r="I253" t="s">
        <v>17</v>
      </c>
      <c r="J253" s="172"/>
      <c r="K253" s="13" t="s">
        <v>1176</v>
      </c>
    </row>
    <row r="254" spans="1:11" ht="15" customHeight="1">
      <c r="A254" s="168">
        <v>253</v>
      </c>
      <c r="B254" s="169">
        <v>2025010216055</v>
      </c>
      <c r="C254" s="170">
        <v>45782</v>
      </c>
      <c r="D254" s="169">
        <f ca="1">+TODAY()-radicados[[#This Row],[FECHA]]</f>
        <v>214</v>
      </c>
      <c r="E254" s="32" t="str">
        <f>+_xlfn.XLOOKUP(radicados[[#This Row],[MUNICIPIO]],MUNICIPIOS!A:A,MUNICIPIOS!E:E,0,0,1)</f>
        <v>Urabá</v>
      </c>
      <c r="F254" s="67" t="s">
        <v>153</v>
      </c>
      <c r="G254" s="44">
        <v>523</v>
      </c>
      <c r="H254" t="s">
        <v>1171</v>
      </c>
      <c r="I254" t="s">
        <v>17</v>
      </c>
      <c r="J254" s="173">
        <v>10785716418</v>
      </c>
      <c r="K254" s="13" t="s">
        <v>1177</v>
      </c>
    </row>
    <row r="255" spans="1:11" ht="15" customHeight="1">
      <c r="A255" s="168">
        <v>254</v>
      </c>
      <c r="B255" s="169">
        <v>2025010217979</v>
      </c>
      <c r="C255" s="170">
        <v>45782</v>
      </c>
      <c r="D255" s="169">
        <f ca="1">+TODAY()-radicados[[#This Row],[FECHA]]</f>
        <v>214</v>
      </c>
      <c r="E255" s="32" t="str">
        <f>+_xlfn.XLOOKUP(radicados[[#This Row],[MUNICIPIO]],MUNICIPIOS!A:A,MUNICIPIOS!E:E,0,0,1)</f>
        <v>Oriente</v>
      </c>
      <c r="F255" s="67" t="s">
        <v>186</v>
      </c>
      <c r="G255" s="44">
        <v>524</v>
      </c>
      <c r="H255" t="s">
        <v>1172</v>
      </c>
      <c r="I255" t="s">
        <v>17</v>
      </c>
      <c r="J255" s="172"/>
      <c r="K255" s="13" t="s">
        <v>1178</v>
      </c>
    </row>
    <row r="256" spans="1:11" ht="15" customHeight="1">
      <c r="A256" s="168">
        <v>255</v>
      </c>
      <c r="B256" s="169">
        <v>2025010217997</v>
      </c>
      <c r="C256" s="170">
        <v>45782</v>
      </c>
      <c r="D256" s="169">
        <f ca="1">+TODAY()-radicados[[#This Row],[FECHA]]</f>
        <v>214</v>
      </c>
      <c r="E256" s="32" t="str">
        <f>+_xlfn.XLOOKUP(radicados[[#This Row],[MUNICIPIO]],MUNICIPIOS!A:A,MUNICIPIOS!E:E,0,0,1)</f>
        <v>Oriente</v>
      </c>
      <c r="F256" s="67" t="s">
        <v>186</v>
      </c>
      <c r="G256" s="44">
        <v>525</v>
      </c>
      <c r="H256" t="s">
        <v>1173</v>
      </c>
      <c r="I256" t="s">
        <v>17</v>
      </c>
      <c r="J256" s="173">
        <v>2063521851</v>
      </c>
      <c r="K256" s="13" t="s">
        <v>1178</v>
      </c>
    </row>
    <row r="257" spans="1:11" ht="15" customHeight="1">
      <c r="A257" s="168">
        <v>256</v>
      </c>
      <c r="B257" s="169">
        <v>2025010230047</v>
      </c>
      <c r="C257" s="170">
        <v>45786</v>
      </c>
      <c r="D257" s="169">
        <f ca="1">+TODAY()-radicados[[#This Row],[FECHA]]</f>
        <v>210</v>
      </c>
      <c r="E257" s="32" t="str">
        <f>+_xlfn.XLOOKUP(radicados[[#This Row],[MUNICIPIO]],MUNICIPIOS!A:A,MUNICIPIOS!E:E,0,0,1)</f>
        <v>Norte</v>
      </c>
      <c r="F257" s="67" t="s">
        <v>120</v>
      </c>
      <c r="G257" s="44">
        <v>526</v>
      </c>
      <c r="H257" t="s">
        <v>1182</v>
      </c>
      <c r="I257" t="s">
        <v>17</v>
      </c>
      <c r="J257" s="173">
        <v>1987058803</v>
      </c>
      <c r="K257" s="13" t="s">
        <v>1183</v>
      </c>
    </row>
    <row r="258" spans="1:11" ht="15" customHeight="1">
      <c r="A258" s="168">
        <v>257</v>
      </c>
      <c r="B258" s="169">
        <v>2025010146334</v>
      </c>
      <c r="C258" s="170">
        <v>45742</v>
      </c>
      <c r="D258" s="169">
        <f ca="1">+TODAY()-radicados[[#This Row],[FECHA]]</f>
        <v>254</v>
      </c>
      <c r="E258" s="32" t="str">
        <f>+_xlfn.XLOOKUP(radicados[[#This Row],[MUNICIPIO]],MUNICIPIOS!A:A,MUNICIPIOS!E:E,0,0,1)</f>
        <v>Occidente</v>
      </c>
      <c r="F258" s="67" t="s">
        <v>362</v>
      </c>
      <c r="G258" s="44">
        <v>528</v>
      </c>
      <c r="H258" t="s">
        <v>1184</v>
      </c>
      <c r="I258" t="s">
        <v>17</v>
      </c>
      <c r="J258" s="173">
        <v>30000000</v>
      </c>
      <c r="K258" s="13" t="s">
        <v>1185</v>
      </c>
    </row>
    <row r="259" spans="1:11" ht="15" customHeight="1">
      <c r="A259" s="168">
        <v>258</v>
      </c>
      <c r="B259" s="169">
        <v>2025010199475</v>
      </c>
      <c r="C259" s="170">
        <v>45771</v>
      </c>
      <c r="D259" s="169">
        <f ca="1">+TODAY()-radicados[[#This Row],[FECHA]]</f>
        <v>225</v>
      </c>
      <c r="E259" s="32" t="str">
        <f>+_xlfn.XLOOKUP(radicados[[#This Row],[MUNICIPIO]],MUNICIPIOS!A:A,MUNICIPIOS!E:E,0,0,1)</f>
        <v>Norte</v>
      </c>
      <c r="F259" s="67" t="s">
        <v>138</v>
      </c>
      <c r="G259" s="3">
        <v>529</v>
      </c>
      <c r="H259" t="s">
        <v>1187</v>
      </c>
      <c r="I259" t="s">
        <v>17</v>
      </c>
      <c r="J259" s="173">
        <v>4156350000</v>
      </c>
      <c r="K259" s="178"/>
    </row>
    <row r="260" spans="1:11" ht="15" customHeight="1">
      <c r="A260" s="179">
        <f>ROW() - ROW(radicados[[#Headers],[ID_RADICADOS]])</f>
        <v>259</v>
      </c>
      <c r="B260" s="180">
        <v>2025010225771</v>
      </c>
      <c r="C260" s="183">
        <v>45785</v>
      </c>
      <c r="D260" s="180">
        <f ca="1">+TODAY()-radicados[[#This Row],[FECHA]]</f>
        <v>211</v>
      </c>
      <c r="E260" s="32" t="str">
        <f>+_xlfn.XLOOKUP(radicados[[#This Row],[MUNICIPIO]],MUNICIPIOS!A:A,MUNICIPIOS!E:E,0,0,1)</f>
        <v>Urabá</v>
      </c>
      <c r="F260" s="67" t="s">
        <v>193</v>
      </c>
      <c r="G260" s="44">
        <v>530</v>
      </c>
      <c r="H260" t="s">
        <v>1193</v>
      </c>
      <c r="I260" t="s">
        <v>17</v>
      </c>
      <c r="J260" s="173"/>
      <c r="K260" s="33" t="s">
        <v>1213</v>
      </c>
    </row>
    <row r="261" spans="1:11" ht="15" customHeight="1">
      <c r="A261" s="179">
        <f>ROW() - ROW(radicados[[#Headers],[ID_RADICADOS]])</f>
        <v>260</v>
      </c>
      <c r="B261" s="180">
        <v>2025010225808</v>
      </c>
      <c r="C261" s="183">
        <v>45785</v>
      </c>
      <c r="D261" s="180">
        <f ca="1">+TODAY()-radicados[[#This Row],[FECHA]]</f>
        <v>211</v>
      </c>
      <c r="E261" s="32" t="str">
        <f>+_xlfn.XLOOKUP(radicados[[#This Row],[MUNICIPIO]],MUNICIPIOS!A:A,MUNICIPIOS!E:E,0,0,1)</f>
        <v>Urabá</v>
      </c>
      <c r="F261" s="67" t="s">
        <v>65</v>
      </c>
      <c r="G261" s="44">
        <v>531</v>
      </c>
      <c r="H261" t="s">
        <v>1194</v>
      </c>
      <c r="I261" t="s">
        <v>17</v>
      </c>
      <c r="J261" s="173"/>
      <c r="K261" s="33" t="s">
        <v>1213</v>
      </c>
    </row>
    <row r="262" spans="1:11" ht="15" customHeight="1">
      <c r="A262" s="179">
        <f>ROW() - ROW(radicados[[#Headers],[ID_RADICADOS]])</f>
        <v>261</v>
      </c>
      <c r="B262" s="180">
        <v>2025010225809</v>
      </c>
      <c r="C262" s="183">
        <v>45785</v>
      </c>
      <c r="D262" s="180">
        <f ca="1">+TODAY()-radicados[[#This Row],[FECHA]]</f>
        <v>211</v>
      </c>
      <c r="E262" s="32" t="str">
        <f>+_xlfn.XLOOKUP(radicados[[#This Row],[MUNICIPIO]],MUNICIPIOS!A:A,MUNICIPIOS!E:E,0,0,1)</f>
        <v>Urabá</v>
      </c>
      <c r="F262" s="67" t="s">
        <v>65</v>
      </c>
      <c r="G262" s="44">
        <v>532</v>
      </c>
      <c r="H262" t="s">
        <v>1195</v>
      </c>
      <c r="I262" t="s">
        <v>17</v>
      </c>
      <c r="J262" s="173"/>
      <c r="K262" s="33" t="s">
        <v>1213</v>
      </c>
    </row>
    <row r="263" spans="1:11" ht="15" customHeight="1">
      <c r="A263" s="179">
        <f>ROW() - ROW(radicados[[#Headers],[ID_RADICADOS]])</f>
        <v>262</v>
      </c>
      <c r="B263" s="180">
        <v>2025010225810</v>
      </c>
      <c r="C263" s="183">
        <v>45785</v>
      </c>
      <c r="D263" s="180">
        <f ca="1">+TODAY()-radicados[[#This Row],[FECHA]]</f>
        <v>211</v>
      </c>
      <c r="E263" s="32" t="str">
        <f>+_xlfn.XLOOKUP(radicados[[#This Row],[MUNICIPIO]],MUNICIPIOS!A:A,MUNICIPIOS!E:E,0,0,1)</f>
        <v>Urabá</v>
      </c>
      <c r="F263" s="67" t="s">
        <v>193</v>
      </c>
      <c r="G263" s="44">
        <v>533</v>
      </c>
      <c r="H263" t="s">
        <v>1196</v>
      </c>
      <c r="I263" t="s">
        <v>17</v>
      </c>
      <c r="J263" s="173"/>
      <c r="K263" s="33" t="s">
        <v>1213</v>
      </c>
    </row>
    <row r="264" spans="1:11" ht="15" customHeight="1">
      <c r="A264" s="179">
        <f>ROW() - ROW(radicados[[#Headers],[ID_RADICADOS]])</f>
        <v>263</v>
      </c>
      <c r="B264" s="180">
        <v>2025010225812</v>
      </c>
      <c r="C264" s="183">
        <v>45785</v>
      </c>
      <c r="D264" s="180">
        <f ca="1">+TODAY()-radicados[[#This Row],[FECHA]]</f>
        <v>211</v>
      </c>
      <c r="E264" s="32" t="str">
        <f>+_xlfn.XLOOKUP(radicados[[#This Row],[MUNICIPIO]],MUNICIPIOS!A:A,MUNICIPIOS!E:E,0,0,1)</f>
        <v>Urabá</v>
      </c>
      <c r="F264" s="67" t="s">
        <v>65</v>
      </c>
      <c r="G264" s="44">
        <v>534</v>
      </c>
      <c r="H264" t="s">
        <v>1197</v>
      </c>
      <c r="I264" t="s">
        <v>17</v>
      </c>
      <c r="J264" s="173"/>
      <c r="K264" s="33" t="s">
        <v>1213</v>
      </c>
    </row>
    <row r="265" spans="1:11" ht="15" customHeight="1">
      <c r="A265" s="179">
        <f>ROW() - ROW(radicados[[#Headers],[ID_RADICADOS]])</f>
        <v>264</v>
      </c>
      <c r="B265" s="180">
        <v>2025010225813</v>
      </c>
      <c r="C265" s="183">
        <v>45785</v>
      </c>
      <c r="D265" s="180">
        <f ca="1">+TODAY()-radicados[[#This Row],[FECHA]]</f>
        <v>211</v>
      </c>
      <c r="E265" s="32" t="str">
        <f>+_xlfn.XLOOKUP(radicados[[#This Row],[MUNICIPIO]],MUNICIPIOS!A:A,MUNICIPIOS!E:E,0,0,1)</f>
        <v>Urabá</v>
      </c>
      <c r="F265" s="67" t="s">
        <v>193</v>
      </c>
      <c r="G265" s="44">
        <v>535</v>
      </c>
      <c r="H265" t="s">
        <v>1198</v>
      </c>
      <c r="I265" t="s">
        <v>17</v>
      </c>
      <c r="J265" s="173"/>
      <c r="K265" s="33" t="s">
        <v>1213</v>
      </c>
    </row>
    <row r="266" spans="1:11" ht="15" customHeight="1">
      <c r="A266" s="179">
        <f>ROW() - ROW(radicados[[#Headers],[ID_RADICADOS]])</f>
        <v>265</v>
      </c>
      <c r="B266" s="180">
        <v>2025010225981</v>
      </c>
      <c r="C266" s="183">
        <v>45785</v>
      </c>
      <c r="D266" s="180">
        <f ca="1">+TODAY()-radicados[[#This Row],[FECHA]]</f>
        <v>211</v>
      </c>
      <c r="E266" s="32" t="str">
        <f>+_xlfn.XLOOKUP(radicados[[#This Row],[MUNICIPIO]],MUNICIPIOS!A:A,MUNICIPIOS!E:E,0,0,1)</f>
        <v>Urabá</v>
      </c>
      <c r="F266" s="67" t="s">
        <v>65</v>
      </c>
      <c r="G266" s="44">
        <v>536</v>
      </c>
      <c r="H266" t="s">
        <v>1199</v>
      </c>
      <c r="I266" t="s">
        <v>17</v>
      </c>
      <c r="J266" s="173"/>
      <c r="K266" s="33" t="s">
        <v>1213</v>
      </c>
    </row>
    <row r="267" spans="1:11" ht="15" customHeight="1">
      <c r="A267" s="179">
        <f>ROW() - ROW(radicados[[#Headers],[ID_RADICADOS]])</f>
        <v>266</v>
      </c>
      <c r="B267" s="180">
        <v>2025010226243</v>
      </c>
      <c r="C267" s="183">
        <v>45785</v>
      </c>
      <c r="D267" s="180">
        <f ca="1">+TODAY()-radicados[[#This Row],[FECHA]]</f>
        <v>211</v>
      </c>
      <c r="E267" s="32" t="str">
        <f>+_xlfn.XLOOKUP(radicados[[#This Row],[MUNICIPIO]],MUNICIPIOS!A:A,MUNICIPIOS!E:E,0,0,1)</f>
        <v>Urabá</v>
      </c>
      <c r="F267" s="67" t="s">
        <v>63</v>
      </c>
      <c r="G267" s="44">
        <v>537</v>
      </c>
      <c r="H267" t="s">
        <v>1200</v>
      </c>
      <c r="I267" t="s">
        <v>17</v>
      </c>
      <c r="J267" s="173"/>
      <c r="K267" s="33" t="s">
        <v>1213</v>
      </c>
    </row>
    <row r="268" spans="1:11" ht="15" customHeight="1">
      <c r="A268" s="179">
        <f>ROW() - ROW(radicados[[#Headers],[ID_RADICADOS]])</f>
        <v>267</v>
      </c>
      <c r="B268" s="180">
        <v>2025010231356</v>
      </c>
      <c r="C268" s="183">
        <v>45789</v>
      </c>
      <c r="D268" s="180">
        <f ca="1">+TODAY()-radicados[[#This Row],[FECHA]]</f>
        <v>207</v>
      </c>
      <c r="E268" s="32" t="str">
        <f>+_xlfn.XLOOKUP(radicados[[#This Row],[MUNICIPIO]],MUNICIPIOS!A:A,MUNICIPIOS!E:E,0,0,1)</f>
        <v>Oriente</v>
      </c>
      <c r="F268" s="67" t="s">
        <v>470</v>
      </c>
      <c r="G268" s="44">
        <v>538</v>
      </c>
      <c r="H268" t="s">
        <v>1201</v>
      </c>
      <c r="I268" t="s">
        <v>17</v>
      </c>
      <c r="J268" s="173">
        <v>2150080474</v>
      </c>
      <c r="K268" s="182"/>
    </row>
    <row r="269" spans="1:11" ht="15" customHeight="1">
      <c r="A269" s="179">
        <f>ROW() - ROW(radicados[[#Headers],[ID_RADICADOS]])</f>
        <v>268</v>
      </c>
      <c r="B269" s="180">
        <v>2025010169928</v>
      </c>
      <c r="C269" s="183">
        <v>45786</v>
      </c>
      <c r="D269" s="180">
        <f ca="1">+TODAY()-radicados[[#This Row],[FECHA]]</f>
        <v>210</v>
      </c>
      <c r="E269" s="32" t="str">
        <f>+_xlfn.XLOOKUP(radicados[[#This Row],[MUNICIPIO]],MUNICIPIOS!A:A,MUNICIPIOS!E:E,0,0,1)</f>
        <v>Suroeste</v>
      </c>
      <c r="F269" s="67" t="s">
        <v>216</v>
      </c>
      <c r="H269" t="s">
        <v>1202</v>
      </c>
      <c r="I269" t="s">
        <v>51</v>
      </c>
      <c r="J269" s="173"/>
      <c r="K269" s="182"/>
    </row>
    <row r="270" spans="1:11" ht="15" customHeight="1">
      <c r="A270" s="179">
        <f>ROW() - ROW(radicados[[#Headers],[ID_RADICADOS]])</f>
        <v>269</v>
      </c>
      <c r="B270" s="180">
        <v>2025050433078</v>
      </c>
      <c r="C270" s="183">
        <v>45783</v>
      </c>
      <c r="D270" s="180">
        <f ca="1">+TODAY()-radicados[[#This Row],[FECHA]]</f>
        <v>213</v>
      </c>
      <c r="E270" s="32" t="str">
        <f>+_xlfn.XLOOKUP(radicados[[#This Row],[MUNICIPIO]],MUNICIPIOS!A:A,MUNICIPIOS!E:E,0,0,1)</f>
        <v>Norte</v>
      </c>
      <c r="F270" s="67" t="s">
        <v>884</v>
      </c>
      <c r="H270" t="s">
        <v>1203</v>
      </c>
      <c r="I270" t="s">
        <v>51</v>
      </c>
      <c r="J270" s="173"/>
      <c r="K270" s="182"/>
    </row>
    <row r="271" spans="1:11" ht="15" customHeight="1">
      <c r="A271" s="179">
        <f>ROW() - ROW(radicados[[#Headers],[ID_RADICADOS]])</f>
        <v>270</v>
      </c>
      <c r="B271" s="180">
        <v>2025010189622</v>
      </c>
      <c r="C271" s="183">
        <v>45768</v>
      </c>
      <c r="D271" s="180">
        <f ca="1">+TODAY()-radicados[[#This Row],[FECHA]]</f>
        <v>228</v>
      </c>
      <c r="E271" s="32" t="str">
        <f>+_xlfn.XLOOKUP(radicados[[#This Row],[MUNICIPIO]],MUNICIPIOS!A:A,MUNICIPIOS!E:E,0,0,1)</f>
        <v>Urabá</v>
      </c>
      <c r="F271" s="67" t="s">
        <v>74</v>
      </c>
      <c r="G271" s="44">
        <v>160</v>
      </c>
      <c r="H271" t="s">
        <v>1204</v>
      </c>
      <c r="I271" t="s">
        <v>17</v>
      </c>
      <c r="J271" s="173">
        <v>2467375711</v>
      </c>
      <c r="K271" s="182"/>
    </row>
    <row r="272" spans="1:11" ht="15" customHeight="1">
      <c r="A272" s="179">
        <f>ROW() - ROW(radicados[[#Headers],[ID_RADICADOS]])</f>
        <v>271</v>
      </c>
      <c r="B272" s="180">
        <v>2025010205506</v>
      </c>
      <c r="C272" s="183">
        <v>45775</v>
      </c>
      <c r="D272" s="180">
        <f ca="1">+TODAY()-radicados[[#This Row],[FECHA]]</f>
        <v>221</v>
      </c>
      <c r="E272" s="32" t="str">
        <f>+_xlfn.XLOOKUP(radicados[[#This Row],[MUNICIPIO]],MUNICIPIOS!A:A,MUNICIPIOS!E:E,0,0,1)</f>
        <v>Valle de Aburrá</v>
      </c>
      <c r="F272" s="67" t="s">
        <v>15</v>
      </c>
      <c r="G272" s="44">
        <v>540</v>
      </c>
      <c r="H272" t="s">
        <v>1205</v>
      </c>
      <c r="I272" t="s">
        <v>17</v>
      </c>
      <c r="J272" s="173">
        <v>2357267513</v>
      </c>
      <c r="K272" s="182"/>
    </row>
    <row r="273" spans="1:11" ht="15" customHeight="1">
      <c r="A273" s="179">
        <f>ROW() - ROW(radicados[[#Headers],[ID_RADICADOS]])</f>
        <v>272</v>
      </c>
      <c r="B273" s="180">
        <v>2025010205522</v>
      </c>
      <c r="C273" s="183">
        <v>45775</v>
      </c>
      <c r="D273" s="180">
        <f ca="1">+TODAY()-radicados[[#This Row],[FECHA]]</f>
        <v>221</v>
      </c>
      <c r="E273" s="32" t="str">
        <f>+_xlfn.XLOOKUP(radicados[[#This Row],[MUNICIPIO]],MUNICIPIOS!A:A,MUNICIPIOS!E:E,0,0,1)</f>
        <v>Valle de Aburrá</v>
      </c>
      <c r="F273" s="67" t="s">
        <v>15</v>
      </c>
      <c r="G273" s="44">
        <v>541</v>
      </c>
      <c r="H273" t="s">
        <v>1206</v>
      </c>
      <c r="I273" t="s">
        <v>17</v>
      </c>
      <c r="J273" s="173">
        <v>1421603722</v>
      </c>
      <c r="K273" s="182"/>
    </row>
    <row r="274" spans="1:11" ht="15" customHeight="1">
      <c r="A274" s="179">
        <f>ROW() - ROW(radicados[[#Headers],[ID_RADICADOS]])</f>
        <v>273</v>
      </c>
      <c r="B274" s="180">
        <v>2025010205535</v>
      </c>
      <c r="C274" s="183">
        <v>45775</v>
      </c>
      <c r="D274" s="180">
        <f ca="1">+TODAY()-radicados[[#This Row],[FECHA]]</f>
        <v>221</v>
      </c>
      <c r="E274" s="32" t="str">
        <f>+_xlfn.XLOOKUP(radicados[[#This Row],[MUNICIPIO]],MUNICIPIOS!A:A,MUNICIPIOS!E:E,0,0,1)</f>
        <v>Valle de Aburrá</v>
      </c>
      <c r="F274" s="67" t="s">
        <v>15</v>
      </c>
      <c r="G274" s="44">
        <v>542</v>
      </c>
      <c r="H274" t="s">
        <v>1207</v>
      </c>
      <c r="I274" t="s">
        <v>17</v>
      </c>
      <c r="J274" s="173">
        <v>2838061532</v>
      </c>
      <c r="K274" s="182"/>
    </row>
    <row r="275" spans="1:11" ht="15" customHeight="1">
      <c r="A275" s="179">
        <f>ROW() - ROW(radicados[[#Headers],[ID_RADICADOS]])</f>
        <v>274</v>
      </c>
      <c r="B275" s="180">
        <v>2025010206251</v>
      </c>
      <c r="C275" s="183">
        <v>45775</v>
      </c>
      <c r="D275" s="180">
        <f ca="1">+TODAY()-radicados[[#This Row],[FECHA]]</f>
        <v>221</v>
      </c>
      <c r="E275" s="32" t="str">
        <f>+_xlfn.XLOOKUP(radicados[[#This Row],[MUNICIPIO]],MUNICIPIOS!A:A,MUNICIPIOS!E:E,0,0,1)</f>
        <v>Urabá</v>
      </c>
      <c r="F275" s="67" t="s">
        <v>153</v>
      </c>
      <c r="G275" s="44">
        <v>543</v>
      </c>
      <c r="H275" t="s">
        <v>1208</v>
      </c>
      <c r="I275" t="s">
        <v>17</v>
      </c>
      <c r="J275" s="173">
        <v>8112428279</v>
      </c>
      <c r="K275" s="182"/>
    </row>
    <row r="276" spans="1:11" ht="15" customHeight="1">
      <c r="A276" s="179">
        <f>ROW() - ROW(radicados[[#Headers],[ID_RADICADOS]])</f>
        <v>275</v>
      </c>
      <c r="B276" s="180">
        <v>2025010217007</v>
      </c>
      <c r="C276" s="183">
        <v>45782</v>
      </c>
      <c r="D276" s="180">
        <f ca="1">+TODAY()-radicados[[#This Row],[FECHA]]</f>
        <v>214</v>
      </c>
      <c r="E276" s="32" t="str">
        <f>+_xlfn.XLOOKUP(radicados[[#This Row],[MUNICIPIO]],MUNICIPIOS!A:A,MUNICIPIOS!E:E,0,0,1)</f>
        <v>Norte</v>
      </c>
      <c r="F276" s="67" t="s">
        <v>477</v>
      </c>
      <c r="G276" s="44">
        <v>544</v>
      </c>
      <c r="H276" t="s">
        <v>1209</v>
      </c>
      <c r="I276" t="s">
        <v>17</v>
      </c>
      <c r="J276" s="173">
        <v>7552214664</v>
      </c>
      <c r="K276" s="182"/>
    </row>
    <row r="277" spans="1:11" ht="15" customHeight="1">
      <c r="A277" s="179">
        <f>ROW() - ROW(radicados[[#Headers],[ID_RADICADOS]])</f>
        <v>276</v>
      </c>
      <c r="B277" s="180">
        <v>2025010220927</v>
      </c>
      <c r="C277" s="183">
        <v>45783</v>
      </c>
      <c r="D277" s="180">
        <f ca="1">+TODAY()-radicados[[#This Row],[FECHA]]</f>
        <v>213</v>
      </c>
      <c r="E277" s="32" t="str">
        <f>+_xlfn.XLOOKUP(radicados[[#This Row],[MUNICIPIO]],MUNICIPIOS!A:A,MUNICIPIOS!E:E,0,0,1)</f>
        <v>Norte</v>
      </c>
      <c r="F277" s="67" t="s">
        <v>832</v>
      </c>
      <c r="G277" s="44">
        <v>545</v>
      </c>
      <c r="H277" t="s">
        <v>1210</v>
      </c>
      <c r="I277" t="s">
        <v>17</v>
      </c>
      <c r="J277" s="173">
        <v>6732781667</v>
      </c>
      <c r="K277" s="182"/>
    </row>
    <row r="278" spans="1:11" ht="15" customHeight="1">
      <c r="A278" s="179">
        <f>ROW() - ROW(radicados[[#Headers],[ID_RADICADOS]])</f>
        <v>277</v>
      </c>
      <c r="B278" s="180">
        <v>2025010234337</v>
      </c>
      <c r="C278" s="183">
        <v>45790</v>
      </c>
      <c r="D278" s="180">
        <f ca="1">+TODAY()-radicados[[#This Row],[FECHA]]</f>
        <v>206</v>
      </c>
      <c r="E278" s="32" t="str">
        <f>+_xlfn.XLOOKUP(radicados[[#This Row],[MUNICIPIO]],MUNICIPIOS!A:A,MUNICIPIOS!E:E,0,0,1)</f>
        <v>Oriente</v>
      </c>
      <c r="F278" s="67" t="s">
        <v>616</v>
      </c>
      <c r="G278" s="44">
        <v>546</v>
      </c>
      <c r="H278" t="s">
        <v>1211</v>
      </c>
      <c r="I278" t="s">
        <v>17</v>
      </c>
      <c r="J278" s="173">
        <v>1762477865</v>
      </c>
      <c r="K278" s="182"/>
    </row>
    <row r="279" spans="1:11" ht="15" customHeight="1">
      <c r="A279" s="179">
        <f>ROW() - ROW(radicados[[#Headers],[ID_RADICADOS]])</f>
        <v>278</v>
      </c>
      <c r="B279" s="180">
        <v>2025010243405</v>
      </c>
      <c r="C279" s="183">
        <v>45793</v>
      </c>
      <c r="D279" s="180">
        <f ca="1">+TODAY()-radicados[[#This Row],[FECHA]]</f>
        <v>203</v>
      </c>
      <c r="E279" s="32" t="str">
        <f>+_xlfn.XLOOKUP(radicados[[#This Row],[MUNICIPIO]],MUNICIPIOS!A:A,MUNICIPIOS!E:E,0,0,1)</f>
        <v>Occidente</v>
      </c>
      <c r="F279" s="67" t="s">
        <v>448</v>
      </c>
      <c r="G279" s="44">
        <v>547</v>
      </c>
      <c r="H279" t="s">
        <v>1212</v>
      </c>
      <c r="I279" t="s">
        <v>17</v>
      </c>
      <c r="J279" s="173">
        <v>68156478</v>
      </c>
      <c r="K279" s="33" t="s">
        <v>1214</v>
      </c>
    </row>
    <row r="280" spans="1:11" ht="15" customHeight="1">
      <c r="A280" s="179">
        <f>ROW() - ROW(radicados[[#Headers],[ID_RADICADOS]])</f>
        <v>279</v>
      </c>
      <c r="B280" s="180">
        <v>2025010243584</v>
      </c>
      <c r="C280" s="183">
        <v>45793</v>
      </c>
      <c r="D280" s="180">
        <f ca="1">+TODAY()-radicados[[#This Row],[FECHA]]</f>
        <v>203</v>
      </c>
      <c r="E280" s="32" t="str">
        <f>+_xlfn.XLOOKUP(radicados[[#This Row],[MUNICIPIO]],MUNICIPIOS!A:A,MUNICIPIOS!E:E,0,0,1)</f>
        <v>Occidente</v>
      </c>
      <c r="F280" s="67" t="s">
        <v>448</v>
      </c>
      <c r="G280" s="44">
        <v>547</v>
      </c>
      <c r="H280" t="s">
        <v>1212</v>
      </c>
      <c r="I280" t="s">
        <v>17</v>
      </c>
      <c r="J280" s="173">
        <v>68156478</v>
      </c>
      <c r="K280" s="33" t="s">
        <v>1215</v>
      </c>
    </row>
    <row r="281" spans="1:11" ht="15" customHeight="1">
      <c r="A281" s="179">
        <f>ROW() - ROW(radicados[[#Headers],[ID_RADICADOS]])</f>
        <v>280</v>
      </c>
      <c r="B281" s="180">
        <v>2025010236715</v>
      </c>
      <c r="C281" s="183">
        <v>45790</v>
      </c>
      <c r="D281" s="180">
        <f ca="1">+TODAY()-radicados[[#This Row],[FECHA]]</f>
        <v>206</v>
      </c>
      <c r="E281" s="32" t="str">
        <f>+_xlfn.XLOOKUP(radicados[[#This Row],[MUNICIPIO]],MUNICIPIOS!A:A,MUNICIPIOS!E:E,0,0,1)</f>
        <v>Norte</v>
      </c>
      <c r="F281" s="67" t="s">
        <v>341</v>
      </c>
      <c r="G281" s="44">
        <v>549</v>
      </c>
      <c r="H281" t="s">
        <v>1188</v>
      </c>
      <c r="I281" t="s">
        <v>6</v>
      </c>
      <c r="J281" s="173">
        <v>1400602219</v>
      </c>
      <c r="K281" s="182"/>
    </row>
    <row r="282" spans="1:11" ht="15" customHeight="1">
      <c r="A282" s="179">
        <f>ROW() - ROW(radicados[[#Headers],[ID_RADICADOS]])</f>
        <v>281</v>
      </c>
      <c r="B282" s="180">
        <v>2025010242848</v>
      </c>
      <c r="C282" s="183">
        <v>45793</v>
      </c>
      <c r="D282" s="180">
        <f ca="1">+TODAY()-radicados[[#This Row],[FECHA]]</f>
        <v>203</v>
      </c>
      <c r="E282" s="32" t="str">
        <f>+_xlfn.XLOOKUP(radicados[[#This Row],[MUNICIPIO]],MUNICIPIOS!A:A,MUNICIPIOS!E:E,0,0,1)</f>
        <v>Occidente</v>
      </c>
      <c r="F282" s="67" t="s">
        <v>448</v>
      </c>
      <c r="G282" s="44">
        <v>550</v>
      </c>
      <c r="H282" t="s">
        <v>1189</v>
      </c>
      <c r="I282" t="s">
        <v>17</v>
      </c>
      <c r="J282" s="173">
        <v>41127749</v>
      </c>
      <c r="K282" s="182"/>
    </row>
    <row r="283" spans="1:11" ht="15" customHeight="1">
      <c r="A283" s="179">
        <f>ROW() - ROW(radicados[[#Headers],[ID_RADICADOS]])</f>
        <v>282</v>
      </c>
      <c r="B283" s="180">
        <v>2025010243616</v>
      </c>
      <c r="C283" s="183">
        <v>45793</v>
      </c>
      <c r="D283" s="180">
        <f ca="1">+TODAY()-radicados[[#This Row],[FECHA]]</f>
        <v>203</v>
      </c>
      <c r="E283" s="32" t="str">
        <f>+_xlfn.XLOOKUP(radicados[[#This Row],[MUNICIPIO]],MUNICIPIOS!A:A,MUNICIPIOS!E:E,0,0,1)</f>
        <v>Occidente</v>
      </c>
      <c r="F283" s="67" t="s">
        <v>448</v>
      </c>
      <c r="G283" s="44">
        <v>551</v>
      </c>
      <c r="H283" t="s">
        <v>1190</v>
      </c>
      <c r="I283" t="s">
        <v>17</v>
      </c>
      <c r="J283" s="173">
        <v>76772085</v>
      </c>
      <c r="K283" s="182"/>
    </row>
    <row r="284" spans="1:11" ht="15" customHeight="1">
      <c r="A284" s="179">
        <f>ROW() - ROW(radicados[[#Headers],[ID_RADICADOS]])</f>
        <v>283</v>
      </c>
      <c r="B284" s="180">
        <v>2025010244316</v>
      </c>
      <c r="C284" s="183">
        <v>45793</v>
      </c>
      <c r="D284" s="180">
        <f ca="1">+TODAY()-radicados[[#This Row],[FECHA]]</f>
        <v>203</v>
      </c>
      <c r="E284" s="32" t="str">
        <f>+_xlfn.XLOOKUP(radicados[[#This Row],[MUNICIPIO]],MUNICIPIOS!A:A,MUNICIPIOS!E:E,0,0,1)</f>
        <v>Occidente</v>
      </c>
      <c r="F284" s="67" t="s">
        <v>448</v>
      </c>
      <c r="G284" s="44">
        <v>514</v>
      </c>
      <c r="H284" t="s">
        <v>1191</v>
      </c>
      <c r="I284" t="s">
        <v>6</v>
      </c>
      <c r="J284" s="173">
        <v>7537773185</v>
      </c>
      <c r="K284" s="182"/>
    </row>
    <row r="285" spans="1:11" ht="15" customHeight="1">
      <c r="A285" s="179">
        <f>ROW() - ROW(radicados[[#Headers],[ID_RADICADOS]])</f>
        <v>284</v>
      </c>
      <c r="B285" s="180">
        <v>2025010243594</v>
      </c>
      <c r="C285" s="183">
        <v>45793</v>
      </c>
      <c r="D285" s="180">
        <f ca="1">+TODAY()-radicados[[#This Row],[FECHA]]</f>
        <v>203</v>
      </c>
      <c r="E285" s="32" t="str">
        <f>+_xlfn.XLOOKUP(radicados[[#This Row],[MUNICIPIO]],MUNICIPIOS!A:A,MUNICIPIOS!E:E,0,0,1)</f>
        <v>Urabá</v>
      </c>
      <c r="F285" s="67" t="s">
        <v>153</v>
      </c>
      <c r="G285" s="44">
        <v>553</v>
      </c>
      <c r="H285" t="s">
        <v>1192</v>
      </c>
      <c r="I285" t="s">
        <v>17</v>
      </c>
      <c r="J285" s="173">
        <v>7909417909</v>
      </c>
      <c r="K285" s="182"/>
    </row>
    <row r="286" spans="1:11" ht="15" customHeight="1">
      <c r="A286" s="179">
        <v>285</v>
      </c>
      <c r="B286" s="180">
        <v>2024010565137</v>
      </c>
      <c r="C286" s="181">
        <v>45635</v>
      </c>
      <c r="D286" s="180">
        <f ca="1">+TODAY()-radicados[[#This Row],[FECHA]]</f>
        <v>361</v>
      </c>
      <c r="E286" s="32" t="str">
        <f>+_xlfn.XLOOKUP(radicados[[#This Row],[MUNICIPIO]],MUNICIPIOS!A:A,MUNICIPIOS!E:E,0,0,1)</f>
        <v>Oriente</v>
      </c>
      <c r="F286" s="67" t="s">
        <v>186</v>
      </c>
      <c r="G286" s="3">
        <v>554</v>
      </c>
      <c r="H286" t="s">
        <v>1217</v>
      </c>
      <c r="I286" t="s">
        <v>17</v>
      </c>
      <c r="J286" s="185">
        <v>1430944868</v>
      </c>
      <c r="K286" s="182"/>
    </row>
    <row r="287" spans="1:11" ht="15" customHeight="1">
      <c r="A287" s="179">
        <f>ROW() - ROW(radicados[[#Headers],[ID_RADICADOS]])</f>
        <v>286</v>
      </c>
      <c r="B287" s="180">
        <v>2025050284676</v>
      </c>
      <c r="C287" s="181">
        <v>45775</v>
      </c>
      <c r="D287" s="180">
        <f ca="1">+TODAY()-radicados[[#This Row],[FECHA]]</f>
        <v>221</v>
      </c>
      <c r="E287" s="32" t="str">
        <f>+_xlfn.XLOOKUP(radicados[[#This Row],[MUNICIPIO]],MUNICIPIOS!A:A,MUNICIPIOS!E:E,0,0,1)</f>
        <v>Suroeste</v>
      </c>
      <c r="F287" s="34" t="s">
        <v>61</v>
      </c>
      <c r="G287" s="3">
        <v>171</v>
      </c>
      <c r="H287" t="s">
        <v>1220</v>
      </c>
      <c r="I287" t="s">
        <v>17</v>
      </c>
      <c r="J287" s="185">
        <v>3250495705</v>
      </c>
      <c r="K287" s="182"/>
    </row>
    <row r="288" spans="1:11" ht="15" customHeight="1">
      <c r="A288" s="179">
        <v>287</v>
      </c>
      <c r="B288" s="180">
        <v>2025050284677</v>
      </c>
      <c r="C288" s="181">
        <v>45775</v>
      </c>
      <c r="D288" s="180">
        <f ca="1">+TODAY()-radicados[[#This Row],[FECHA]]</f>
        <v>221</v>
      </c>
      <c r="E288" s="32" t="str">
        <f>+_xlfn.XLOOKUP(radicados[[#This Row],[MUNICIPIO]],MUNICIPIOS!A:A,MUNICIPIOS!E:E,0,0,1)</f>
        <v>Suroeste</v>
      </c>
      <c r="F288" s="34" t="s">
        <v>61</v>
      </c>
      <c r="G288" s="3">
        <v>171</v>
      </c>
      <c r="H288" t="s">
        <v>1221</v>
      </c>
      <c r="I288" t="s">
        <v>17</v>
      </c>
      <c r="J288" s="185">
        <v>3250495705</v>
      </c>
      <c r="K288" s="182"/>
    </row>
    <row r="289" spans="1:11" ht="15" customHeight="1">
      <c r="A289" s="179">
        <v>288</v>
      </c>
      <c r="B289" s="180">
        <v>2025050284678</v>
      </c>
      <c r="C289" s="181">
        <v>45775</v>
      </c>
      <c r="D289" s="180">
        <f ca="1">+TODAY()-radicados[[#This Row],[FECHA]]</f>
        <v>221</v>
      </c>
      <c r="E289" s="32" t="str">
        <f>+_xlfn.XLOOKUP(radicados[[#This Row],[MUNICIPIO]],MUNICIPIOS!A:A,MUNICIPIOS!E:E,0,0,1)</f>
        <v>Suroeste</v>
      </c>
      <c r="F289" s="34" t="s">
        <v>61</v>
      </c>
      <c r="G289" s="3">
        <v>398</v>
      </c>
      <c r="H289" t="s">
        <v>1222</v>
      </c>
      <c r="I289" t="s">
        <v>17</v>
      </c>
      <c r="J289" s="185">
        <v>638423715</v>
      </c>
      <c r="K289" s="182"/>
    </row>
    <row r="290" spans="1:11" ht="15" customHeight="1">
      <c r="A290" s="179">
        <v>289</v>
      </c>
      <c r="B290" s="180">
        <v>2025050284679</v>
      </c>
      <c r="C290" s="181">
        <v>45775</v>
      </c>
      <c r="D290" s="180">
        <f ca="1">+TODAY()-radicados[[#This Row],[FECHA]]</f>
        <v>221</v>
      </c>
      <c r="E290" s="32" t="str">
        <f>+_xlfn.XLOOKUP(radicados[[#This Row],[MUNICIPIO]],MUNICIPIOS!A:A,MUNICIPIOS!E:E,0,0,1)</f>
        <v>Suroeste</v>
      </c>
      <c r="F290" s="34" t="s">
        <v>61</v>
      </c>
      <c r="G290" s="3">
        <v>398</v>
      </c>
      <c r="H290" t="s">
        <v>1223</v>
      </c>
      <c r="I290" t="s">
        <v>17</v>
      </c>
      <c r="J290" s="185">
        <v>638423715</v>
      </c>
      <c r="K290" s="182"/>
    </row>
    <row r="291" spans="1:11" ht="15" customHeight="1">
      <c r="A291" s="9">
        <f>ROW() - ROW(radicados[[#Headers],[ID_RADICADOS]])</f>
        <v>290</v>
      </c>
      <c r="B291" s="10">
        <v>2025010092021</v>
      </c>
      <c r="C291" s="11">
        <v>45714</v>
      </c>
      <c r="D291" s="10">
        <f ca="1">+TODAY()-radicados[[#This Row],[FECHA]]</f>
        <v>282</v>
      </c>
      <c r="E291" s="32" t="str">
        <f>+_xlfn.XLOOKUP(radicados[[#This Row],[MUNICIPIO]],MUNICIPIOS!A:A,MUNICIPIOS!E:E,0,0,1)</f>
        <v>Norte</v>
      </c>
      <c r="F291" s="67" t="s">
        <v>341</v>
      </c>
      <c r="G291" s="3">
        <v>549</v>
      </c>
      <c r="H291" t="s">
        <v>1509</v>
      </c>
      <c r="I291" t="s">
        <v>17</v>
      </c>
      <c r="K291" s="33"/>
    </row>
    <row r="292" spans="1:11" ht="15" customHeight="1">
      <c r="A292" s="9">
        <f>ROW() - ROW(radicados[[#Headers],[ID_RADICADOS]])</f>
        <v>291</v>
      </c>
      <c r="B292" s="10">
        <v>2025010150616</v>
      </c>
      <c r="C292" s="11">
        <v>45744</v>
      </c>
      <c r="D292" s="10">
        <f ca="1">+TODAY()-radicados[[#This Row],[FECHA]]</f>
        <v>252</v>
      </c>
      <c r="E292" s="32" t="str">
        <f>+_xlfn.XLOOKUP(radicados[[#This Row],[MUNICIPIO]],MUNICIPIOS!A:A,MUNICIPIOS!E:E,0,0,1)</f>
        <v>Suroeste</v>
      </c>
      <c r="F292" s="34" t="s">
        <v>61</v>
      </c>
      <c r="G292" s="3">
        <v>398</v>
      </c>
      <c r="H292" t="s">
        <v>1222</v>
      </c>
      <c r="I292" t="s">
        <v>17</v>
      </c>
      <c r="J292" s="185">
        <v>638423715</v>
      </c>
      <c r="K292" s="33"/>
    </row>
    <row r="293" spans="1:11" ht="15" customHeight="1">
      <c r="A293" s="9">
        <f>ROW() - ROW(radicados[[#Headers],[ID_RADICADOS]])</f>
        <v>292</v>
      </c>
      <c r="B293" s="10">
        <v>2025010139131</v>
      </c>
      <c r="C293" s="11">
        <v>45737</v>
      </c>
      <c r="D293" s="10">
        <f ca="1">+TODAY()-radicados[[#This Row],[FECHA]]</f>
        <v>259</v>
      </c>
      <c r="E293" s="32" t="str">
        <f>+_xlfn.XLOOKUP(radicados[[#This Row],[MUNICIPIO]],MUNICIPIOS!A:A,MUNICIPIOS!E:E,0,0,1)</f>
        <v>Oriente</v>
      </c>
      <c r="F293" s="67" t="s">
        <v>113</v>
      </c>
      <c r="G293" s="3">
        <v>597</v>
      </c>
      <c r="H293" t="s">
        <v>1510</v>
      </c>
      <c r="I293" t="s">
        <v>17</v>
      </c>
      <c r="K293" s="33"/>
    </row>
    <row r="294" spans="1:11" ht="15" customHeight="1">
      <c r="A294" s="9">
        <v>293</v>
      </c>
      <c r="B294" s="10">
        <v>2025010152656</v>
      </c>
      <c r="C294" s="11">
        <v>45744</v>
      </c>
      <c r="D294" s="10">
        <f ca="1">+TODAY()-radicados[[#This Row],[FECHA]]</f>
        <v>252</v>
      </c>
      <c r="E294" s="32" t="str">
        <f>+_xlfn.XLOOKUP(radicados[[#This Row],[MUNICIPIO]],MUNICIPIOS!A:A,MUNICIPIOS!E:E,0,0,1)</f>
        <v>Oriente</v>
      </c>
      <c r="F294" s="67" t="s">
        <v>84</v>
      </c>
      <c r="G294" s="3">
        <v>618</v>
      </c>
      <c r="H294" t="s">
        <v>1511</v>
      </c>
      <c r="I294" t="s">
        <v>17</v>
      </c>
      <c r="K294" s="33"/>
    </row>
    <row r="295" spans="1:11" ht="15" customHeight="1">
      <c r="A295" s="9">
        <f>ROW() - ROW(radicados[[#Headers],[ID_RADICADOS]])</f>
        <v>294</v>
      </c>
      <c r="B295" s="10">
        <v>2025010254427</v>
      </c>
      <c r="C295" s="11">
        <v>45799</v>
      </c>
      <c r="D295" s="10">
        <f ca="1">+TODAY()-radicados[[#This Row],[FECHA]]</f>
        <v>197</v>
      </c>
      <c r="E295" s="32" t="str">
        <f>+_xlfn.XLOOKUP(radicados[[#This Row],[MUNICIPIO]],MUNICIPIOS!A:A,MUNICIPIOS!E:E,0,0,1)</f>
        <v>Oriente</v>
      </c>
      <c r="F295" s="67" t="s">
        <v>177</v>
      </c>
      <c r="G295" s="3">
        <v>636</v>
      </c>
      <c r="H295" t="s">
        <v>1512</v>
      </c>
      <c r="I295" t="s">
        <v>17</v>
      </c>
      <c r="K295" s="33" t="s">
        <v>1513</v>
      </c>
    </row>
    <row r="296" spans="1:11" ht="15" customHeight="1">
      <c r="A296" s="9">
        <f>ROW() - ROW(radicados[[#Headers],[ID_RADICADOS]])</f>
        <v>295</v>
      </c>
      <c r="B296" s="10">
        <v>2025010226379</v>
      </c>
      <c r="C296" s="11">
        <v>45785</v>
      </c>
      <c r="D296" s="10">
        <f ca="1">+TODAY()-radicados[[#This Row],[FECHA]]</f>
        <v>211</v>
      </c>
      <c r="E296" s="32" t="str">
        <f>+_xlfn.XLOOKUP(radicados[[#This Row],[MUNICIPIO]],MUNICIPIOS!A:A,MUNICIPIOS!E:E,0,0,1)</f>
        <v>Valle de Aburrá</v>
      </c>
      <c r="F296" s="67" t="s">
        <v>15</v>
      </c>
      <c r="G296" s="3">
        <v>542</v>
      </c>
      <c r="H296" t="s">
        <v>1735</v>
      </c>
      <c r="I296" t="s">
        <v>17</v>
      </c>
      <c r="J296" s="185">
        <v>5017797410</v>
      </c>
      <c r="K296" s="33" t="s">
        <v>1516</v>
      </c>
    </row>
    <row r="297" spans="1:11" ht="15" customHeight="1">
      <c r="A297" s="179">
        <v>296</v>
      </c>
      <c r="B297" s="180">
        <v>2025010253548</v>
      </c>
      <c r="C297" s="181">
        <v>45798</v>
      </c>
      <c r="D297" s="180">
        <f ca="1">+TODAY()-radicados[[#This Row],[FECHA]]</f>
        <v>198</v>
      </c>
      <c r="E297" s="32" t="str">
        <f>+_xlfn.XLOOKUP(radicados[[#This Row],[MUNICIPIO]],MUNICIPIOS!A:A,MUNICIPIOS!E:E,0,0,1)</f>
        <v>Valle de Aburrá</v>
      </c>
      <c r="F297" s="67" t="s">
        <v>196</v>
      </c>
      <c r="G297" s="3">
        <v>638</v>
      </c>
      <c r="H297" t="s">
        <v>1517</v>
      </c>
      <c r="I297" t="s">
        <v>17</v>
      </c>
      <c r="J297" s="185">
        <v>7581205868</v>
      </c>
      <c r="K297" s="33" t="s">
        <v>1516</v>
      </c>
    </row>
    <row r="298" spans="1:11" ht="15" customHeight="1">
      <c r="A298" s="179">
        <v>297</v>
      </c>
      <c r="B298" s="180">
        <v>2025010248056</v>
      </c>
      <c r="C298" s="181">
        <v>45796</v>
      </c>
      <c r="D298" s="180">
        <f ca="1">+TODAY()-radicados[[#This Row],[FECHA]]</f>
        <v>200</v>
      </c>
      <c r="E298" s="32" t="str">
        <f>+_xlfn.XLOOKUP(radicados[[#This Row],[MUNICIPIO]],MUNICIPIOS!A:A,MUNICIPIOS!E:E,0,0,1)</f>
        <v>Oriente</v>
      </c>
      <c r="F298" s="67" t="s">
        <v>270</v>
      </c>
      <c r="G298" s="3">
        <v>607</v>
      </c>
      <c r="H298" t="s">
        <v>1519</v>
      </c>
      <c r="I298" t="s">
        <v>17</v>
      </c>
      <c r="J298" s="191">
        <v>853813549</v>
      </c>
      <c r="K298" s="33" t="s">
        <v>1520</v>
      </c>
    </row>
    <row r="299" spans="1:11" ht="15" customHeight="1">
      <c r="A299" s="179">
        <v>298</v>
      </c>
      <c r="B299" s="180">
        <v>2025010255027</v>
      </c>
      <c r="C299" s="181">
        <v>45799</v>
      </c>
      <c r="D299" s="180">
        <f ca="1">+TODAY()-radicados[[#This Row],[FECHA]]</f>
        <v>197</v>
      </c>
      <c r="E299" s="32" t="str">
        <f>+_xlfn.XLOOKUP(radicados[[#This Row],[MUNICIPIO]],MUNICIPIOS!A:A,MUNICIPIOS!E:E,0,0,1)</f>
        <v>Bajo Cauca</v>
      </c>
      <c r="F299" s="67" t="s">
        <v>170</v>
      </c>
      <c r="G299" s="3">
        <v>82</v>
      </c>
      <c r="H299" t="s">
        <v>1521</v>
      </c>
      <c r="I299" t="s">
        <v>17</v>
      </c>
      <c r="J299" s="12">
        <v>30439233612</v>
      </c>
      <c r="K299" s="33" t="s">
        <v>1516</v>
      </c>
    </row>
    <row r="300" spans="1:11" ht="15" customHeight="1">
      <c r="A300" s="179">
        <v>299</v>
      </c>
      <c r="B300" s="180">
        <v>2025010252863</v>
      </c>
      <c r="C300" s="181">
        <v>45798</v>
      </c>
      <c r="D300" s="180">
        <f ca="1">+TODAY()-radicados[[#This Row],[FECHA]]</f>
        <v>198</v>
      </c>
      <c r="E300" s="32" t="str">
        <f>+_xlfn.XLOOKUP(radicados[[#This Row],[MUNICIPIO]],MUNICIPIOS!A:A,MUNICIPIOS!E:E,0,0,1)</f>
        <v>Norte</v>
      </c>
      <c r="F300" s="67" t="s">
        <v>286</v>
      </c>
      <c r="G300" s="3">
        <v>639</v>
      </c>
      <c r="H300" t="s">
        <v>1522</v>
      </c>
      <c r="I300" t="s">
        <v>51</v>
      </c>
      <c r="J300" s="12"/>
      <c r="K300" s="33" t="s">
        <v>1523</v>
      </c>
    </row>
    <row r="301" spans="1:11" ht="15" customHeight="1">
      <c r="A301" s="179">
        <v>300</v>
      </c>
      <c r="B301" s="180">
        <v>2025010105063</v>
      </c>
      <c r="C301" s="181">
        <v>45721</v>
      </c>
      <c r="D301" s="180">
        <f ca="1">+TODAY()-radicados[[#This Row],[FECHA]]</f>
        <v>275</v>
      </c>
      <c r="E301" s="32" t="str">
        <f>+_xlfn.XLOOKUP(radicados[[#This Row],[MUNICIPIO]],MUNICIPIOS!A:A,MUNICIPIOS!E:E,0,0,1)</f>
        <v>Occidente</v>
      </c>
      <c r="F301" s="67" t="s">
        <v>362</v>
      </c>
      <c r="G301" s="3">
        <v>388</v>
      </c>
      <c r="H301" t="s">
        <v>1525</v>
      </c>
      <c r="I301" t="s">
        <v>17</v>
      </c>
      <c r="J301" s="12"/>
      <c r="K301" s="33" t="s">
        <v>1526</v>
      </c>
    </row>
    <row r="302" spans="1:11" ht="15" customHeight="1">
      <c r="A302" s="179">
        <v>301</v>
      </c>
      <c r="B302" s="180">
        <v>2025010134075</v>
      </c>
      <c r="C302" s="181">
        <v>45735</v>
      </c>
      <c r="D302" s="180">
        <f ca="1">+TODAY()-radicados[[#This Row],[FECHA]]</f>
        <v>261</v>
      </c>
      <c r="E302" s="32" t="str">
        <f>+_xlfn.XLOOKUP(radicados[[#This Row],[MUNICIPIO]],MUNICIPIOS!A:A,MUNICIPIOS!E:E,0,0,1)</f>
        <v>Oriente</v>
      </c>
      <c r="F302" s="67" t="s">
        <v>27</v>
      </c>
      <c r="G302" s="3">
        <v>630</v>
      </c>
      <c r="H302" t="s">
        <v>1527</v>
      </c>
      <c r="I302" t="s">
        <v>17</v>
      </c>
      <c r="J302" s="12">
        <v>6999904516</v>
      </c>
      <c r="K302" s="33" t="s">
        <v>1528</v>
      </c>
    </row>
    <row r="303" spans="1:11" ht="15" customHeight="1">
      <c r="A303" s="179">
        <v>302</v>
      </c>
      <c r="B303" s="180">
        <v>2025010134457</v>
      </c>
      <c r="C303" s="181">
        <v>45735</v>
      </c>
      <c r="D303" s="180">
        <f ca="1">+TODAY()-radicados[[#This Row],[FECHA]]</f>
        <v>261</v>
      </c>
      <c r="E303" s="32" t="str">
        <f>+_xlfn.XLOOKUP(radicados[[#This Row],[MUNICIPIO]],MUNICIPIOS!A:A,MUNICIPIOS!E:E,0,0,1)</f>
        <v>Valle de Aburrá</v>
      </c>
      <c r="F303" s="67" t="s">
        <v>196</v>
      </c>
      <c r="G303" s="3">
        <v>640</v>
      </c>
      <c r="H303" t="s">
        <v>1529</v>
      </c>
      <c r="I303" t="s">
        <v>17</v>
      </c>
      <c r="J303" s="12">
        <v>13762888863</v>
      </c>
      <c r="K303" s="33" t="s">
        <v>1530</v>
      </c>
    </row>
    <row r="304" spans="1:11" ht="15" customHeight="1">
      <c r="A304" s="9">
        <v>303</v>
      </c>
      <c r="B304" s="10">
        <v>2025010137905</v>
      </c>
      <c r="C304" s="11">
        <v>45736</v>
      </c>
      <c r="D304" s="10">
        <f ca="1">+TODAY()-radicados[[#This Row],[FECHA]]</f>
        <v>260</v>
      </c>
      <c r="E304" s="32" t="str">
        <f>+_xlfn.XLOOKUP(radicados[[#This Row],[MUNICIPIO]],MUNICIPIOS!A:A,MUNICIPIOS!E:E,0,0,1)</f>
        <v>Bajo Cauca</v>
      </c>
      <c r="F304" s="67" t="s">
        <v>191</v>
      </c>
      <c r="G304" s="3">
        <v>641</v>
      </c>
      <c r="H304" t="s">
        <v>1532</v>
      </c>
      <c r="I304" t="s">
        <v>17</v>
      </c>
      <c r="J304" s="12">
        <v>1408836804</v>
      </c>
      <c r="K304" s="33" t="s">
        <v>1531</v>
      </c>
    </row>
    <row r="305" spans="1:11" ht="15" customHeight="1">
      <c r="A305" s="9">
        <v>304</v>
      </c>
      <c r="B305" s="10">
        <v>2025010147961</v>
      </c>
      <c r="C305" s="11">
        <v>45747</v>
      </c>
      <c r="D305" s="10">
        <f ca="1">+TODAY()-radicados[[#This Row],[FECHA]]</f>
        <v>249</v>
      </c>
      <c r="E305" s="32" t="str">
        <f>+_xlfn.XLOOKUP(radicados[[#This Row],[MUNICIPIO]],MUNICIPIOS!A:A,MUNICIPIOS!E:E,0,0,1)</f>
        <v>Norte</v>
      </c>
      <c r="F305" s="67" t="s">
        <v>120</v>
      </c>
      <c r="G305" s="3">
        <v>642</v>
      </c>
      <c r="H305" t="s">
        <v>1533</v>
      </c>
      <c r="I305" t="s">
        <v>17</v>
      </c>
      <c r="J305" s="12">
        <v>1075866409</v>
      </c>
      <c r="K305" s="33" t="s">
        <v>1530</v>
      </c>
    </row>
    <row r="306" spans="1:11" ht="15" customHeight="1">
      <c r="A306" s="9">
        <v>305</v>
      </c>
      <c r="B306" s="10">
        <v>2025010142072</v>
      </c>
      <c r="C306" s="11">
        <v>45741</v>
      </c>
      <c r="D306" s="10">
        <f ca="1">+TODAY()-radicados[[#This Row],[FECHA]]</f>
        <v>255</v>
      </c>
      <c r="E306" s="32" t="str">
        <f>+_xlfn.XLOOKUP(radicados[[#This Row],[MUNICIPIO]],MUNICIPIOS!A:A,MUNICIPIOS!E:E,0,0,1)</f>
        <v>Norte</v>
      </c>
      <c r="F306" s="67" t="s">
        <v>120</v>
      </c>
      <c r="G306" s="3">
        <v>643</v>
      </c>
      <c r="H306" s="28" t="s">
        <v>1535</v>
      </c>
      <c r="I306" t="s">
        <v>17</v>
      </c>
      <c r="J306" s="12">
        <v>6014650718</v>
      </c>
      <c r="K306" s="33" t="s">
        <v>1531</v>
      </c>
    </row>
    <row r="307" spans="1:11" ht="15" customHeight="1">
      <c r="A307" s="9">
        <v>306</v>
      </c>
      <c r="B307" s="10">
        <v>2025010155478</v>
      </c>
      <c r="C307" s="11">
        <v>45747</v>
      </c>
      <c r="D307" s="10">
        <f ca="1">+TODAY()-radicados[[#This Row],[FECHA]]</f>
        <v>249</v>
      </c>
      <c r="E307" s="32" t="str">
        <f>+_xlfn.XLOOKUP(radicados[[#This Row],[MUNICIPIO]],MUNICIPIOS!A:A,MUNICIPIOS!E:E,0,0,1)</f>
        <v>Occidente</v>
      </c>
      <c r="F307" s="67" t="s">
        <v>574</v>
      </c>
      <c r="G307" s="3">
        <v>644</v>
      </c>
      <c r="H307" t="s">
        <v>1536</v>
      </c>
      <c r="I307" t="s">
        <v>51</v>
      </c>
      <c r="J307" s="12"/>
      <c r="K307" s="33" t="s">
        <v>1539</v>
      </c>
    </row>
    <row r="308" spans="1:11" ht="15" customHeight="1">
      <c r="A308" s="9">
        <v>307</v>
      </c>
      <c r="B308" s="10">
        <v>2024010236928</v>
      </c>
      <c r="C308" s="11">
        <v>45439</v>
      </c>
      <c r="D308" s="10">
        <f ca="1">+TODAY()-radicados[[#This Row],[FECHA]]</f>
        <v>557</v>
      </c>
      <c r="E308" s="32" t="str">
        <f>+_xlfn.XLOOKUP(radicados[[#This Row],[MUNICIPIO]],MUNICIPIOS!A:A,MUNICIPIOS!E:E,0,0,1)</f>
        <v>Occidente</v>
      </c>
      <c r="F308" s="67" t="s">
        <v>574</v>
      </c>
      <c r="G308" s="3">
        <v>644</v>
      </c>
      <c r="H308" t="s">
        <v>1538</v>
      </c>
      <c r="I308" t="s">
        <v>17</v>
      </c>
      <c r="J308" s="12"/>
      <c r="K308" s="33" t="s">
        <v>1540</v>
      </c>
    </row>
    <row r="309" spans="1:11" ht="15" customHeight="1">
      <c r="A309" s="9">
        <v>308</v>
      </c>
      <c r="B309" s="10">
        <v>2024101236926</v>
      </c>
      <c r="C309" s="11">
        <v>45439</v>
      </c>
      <c r="D309" s="10">
        <f ca="1">+TODAY()-radicados[[#This Row],[FECHA]]</f>
        <v>557</v>
      </c>
      <c r="E309" s="32" t="str">
        <f>+_xlfn.XLOOKUP(radicados[[#This Row],[MUNICIPIO]],MUNICIPIOS!A:A,MUNICIPIOS!E:E,0,0,1)</f>
        <v>Occidente</v>
      </c>
      <c r="F309" s="67" t="s">
        <v>574</v>
      </c>
      <c r="G309" s="3">
        <v>645</v>
      </c>
      <c r="H309" t="s">
        <v>1541</v>
      </c>
      <c r="I309" t="s">
        <v>17</v>
      </c>
      <c r="J309" s="12"/>
      <c r="K309" s="33" t="s">
        <v>1540</v>
      </c>
    </row>
    <row r="310" spans="1:11" ht="15" customHeight="1">
      <c r="A310" s="9">
        <v>309</v>
      </c>
      <c r="B310" s="10">
        <v>2024010240715</v>
      </c>
      <c r="C310" s="11">
        <v>45472</v>
      </c>
      <c r="D310" s="10">
        <f ca="1">+TODAY()-radicados[[#This Row],[FECHA]]</f>
        <v>524</v>
      </c>
      <c r="E310" s="32" t="str">
        <f>+_xlfn.XLOOKUP(radicados[[#This Row],[MUNICIPIO]],MUNICIPIOS!A:A,MUNICIPIOS!E:E,0,0,1)</f>
        <v>Occidente</v>
      </c>
      <c r="F310" s="67" t="s">
        <v>574</v>
      </c>
      <c r="G310" s="3">
        <v>646</v>
      </c>
      <c r="H310" t="s">
        <v>1542</v>
      </c>
      <c r="I310" t="s">
        <v>17</v>
      </c>
      <c r="J310" s="12"/>
      <c r="K310" s="33" t="s">
        <v>1540</v>
      </c>
    </row>
    <row r="311" spans="1:11" ht="15" customHeight="1">
      <c r="A311" s="9">
        <f>ROW() - ROW(radicados[[#Headers],[ID_RADICADOS]])</f>
        <v>310</v>
      </c>
      <c r="B311" s="10">
        <v>2025010247574</v>
      </c>
      <c r="C311" s="183">
        <v>45796</v>
      </c>
      <c r="D311" s="10">
        <f ca="1">+TODAY()-radicados[[#This Row],[FECHA]]</f>
        <v>200</v>
      </c>
      <c r="E311" s="32" t="str">
        <f>+_xlfn.XLOOKUP(radicados[[#This Row],[MUNICIPIO]],MUNICIPIOS!A:A,MUNICIPIOS!E:E,0,0,1)</f>
        <v>Suroeste</v>
      </c>
      <c r="F311" s="67" t="s">
        <v>127</v>
      </c>
      <c r="G311" s="3">
        <v>359</v>
      </c>
      <c r="H311" t="s">
        <v>1544</v>
      </c>
      <c r="I311" t="s">
        <v>6</v>
      </c>
      <c r="J311" s="12">
        <v>203839099</v>
      </c>
      <c r="K311" s="33" t="s">
        <v>1549</v>
      </c>
    </row>
    <row r="312" spans="1:11" ht="15" customHeight="1">
      <c r="A312" s="9">
        <f>ROW() - ROW(radicados[[#Headers],[ID_RADICADOS]])</f>
        <v>311</v>
      </c>
      <c r="B312" s="10">
        <v>2025010182288</v>
      </c>
      <c r="C312" s="193">
        <v>45758</v>
      </c>
      <c r="D312" s="10">
        <f ca="1">+TODAY()-radicados[[#This Row],[FECHA]]</f>
        <v>238</v>
      </c>
      <c r="E312" s="32" t="str">
        <f>+_xlfn.XLOOKUP(radicados[[#This Row],[MUNICIPIO]],MUNICIPIOS!A:A,MUNICIPIOS!E:E,0,0,1)</f>
        <v>Occidente</v>
      </c>
      <c r="F312" s="67" t="s">
        <v>214</v>
      </c>
      <c r="G312" s="3">
        <v>647</v>
      </c>
      <c r="H312" t="s">
        <v>1545</v>
      </c>
      <c r="I312" t="s">
        <v>17</v>
      </c>
      <c r="J312" s="12"/>
      <c r="K312" s="33" t="s">
        <v>1550</v>
      </c>
    </row>
    <row r="313" spans="1:11" ht="15" customHeight="1">
      <c r="A313" s="9">
        <f>ROW() - ROW(radicados[[#Headers],[ID_RADICADOS]])</f>
        <v>312</v>
      </c>
      <c r="B313" s="10">
        <v>2025010253164</v>
      </c>
      <c r="C313" s="183">
        <v>45798</v>
      </c>
      <c r="D313" s="10">
        <f ca="1">+TODAY()-radicados[[#This Row],[FECHA]]</f>
        <v>198</v>
      </c>
      <c r="E313" s="32" t="str">
        <f>+_xlfn.XLOOKUP(radicados[[#This Row],[MUNICIPIO]],MUNICIPIOS!A:A,MUNICIPIOS!E:E,0,0,1)</f>
        <v>Occidente</v>
      </c>
      <c r="F313" s="67" t="s">
        <v>574</v>
      </c>
      <c r="G313" s="3">
        <v>648</v>
      </c>
      <c r="H313" t="s">
        <v>1546</v>
      </c>
      <c r="I313" t="s">
        <v>17</v>
      </c>
      <c r="J313" s="12">
        <v>794572080</v>
      </c>
      <c r="K313" s="33" t="s">
        <v>1551</v>
      </c>
    </row>
    <row r="314" spans="1:11" ht="15" customHeight="1">
      <c r="A314" s="9">
        <f>ROW() - ROW(radicados[[#Headers],[ID_RADICADOS]])</f>
        <v>313</v>
      </c>
      <c r="B314" s="10">
        <v>2025010253172</v>
      </c>
      <c r="C314" s="193">
        <v>45798</v>
      </c>
      <c r="D314" s="10">
        <f ca="1">+TODAY()-radicados[[#This Row],[FECHA]]</f>
        <v>198</v>
      </c>
      <c r="E314" s="32" t="str">
        <f>+_xlfn.XLOOKUP(radicados[[#This Row],[MUNICIPIO]],MUNICIPIOS!A:A,MUNICIPIOS!E:E,0,0,1)</f>
        <v>Occidente</v>
      </c>
      <c r="F314" s="67" t="s">
        <v>574</v>
      </c>
      <c r="G314" s="3">
        <v>649</v>
      </c>
      <c r="H314" t="s">
        <v>1547</v>
      </c>
      <c r="I314" t="s">
        <v>17</v>
      </c>
      <c r="J314" s="12">
        <v>858463265</v>
      </c>
      <c r="K314" s="33" t="s">
        <v>1551</v>
      </c>
    </row>
    <row r="315" spans="1:11" ht="15" customHeight="1">
      <c r="A315" s="9">
        <f>ROW() - ROW(radicados[[#Headers],[ID_RADICADOS]])</f>
        <v>314</v>
      </c>
      <c r="B315" s="10">
        <v>2025010257039</v>
      </c>
      <c r="C315" s="193">
        <v>45800</v>
      </c>
      <c r="D315" s="10">
        <f ca="1">+TODAY()-radicados[[#This Row],[FECHA]]</f>
        <v>196</v>
      </c>
      <c r="E315" s="32" t="str">
        <f>+_xlfn.XLOOKUP(radicados[[#This Row],[MUNICIPIO]],MUNICIPIOS!A:A,MUNICIPIOS!E:E,0,0,1)</f>
        <v>Urabá</v>
      </c>
      <c r="F315" s="67" t="s">
        <v>118</v>
      </c>
      <c r="G315" s="3">
        <v>650</v>
      </c>
      <c r="H315" t="s">
        <v>1548</v>
      </c>
      <c r="I315" t="s">
        <v>17</v>
      </c>
      <c r="J315" s="12">
        <v>2121014300</v>
      </c>
      <c r="K315" s="33" t="s">
        <v>1552</v>
      </c>
    </row>
    <row r="316" spans="1:11" ht="15" customHeight="1">
      <c r="A316" s="194">
        <v>315</v>
      </c>
      <c r="B316" s="195">
        <v>2025010142672</v>
      </c>
      <c r="C316" s="11">
        <v>45741</v>
      </c>
      <c r="D316" s="195">
        <f ca="1">+TODAY()-radicados[[#This Row],[FECHA]]</f>
        <v>255</v>
      </c>
      <c r="E316" s="32" t="str">
        <f>+_xlfn.XLOOKUP(radicados[[#This Row],[MUNICIPIO]],MUNICIPIOS!A:A,MUNICIPIOS!E:E,0,0,1)</f>
        <v>Oriente</v>
      </c>
      <c r="F316" s="67" t="s">
        <v>177</v>
      </c>
      <c r="G316" s="3">
        <v>636</v>
      </c>
      <c r="H316" t="s">
        <v>1554</v>
      </c>
      <c r="I316" t="s">
        <v>17</v>
      </c>
      <c r="J316" s="197">
        <v>2104233259</v>
      </c>
      <c r="K316" s="33" t="s">
        <v>1555</v>
      </c>
    </row>
    <row r="317" spans="1:11" ht="15" customHeight="1">
      <c r="A317" s="194">
        <v>316</v>
      </c>
      <c r="B317" s="195">
        <v>2025010256343</v>
      </c>
      <c r="C317" s="196">
        <v>45799</v>
      </c>
      <c r="D317" s="195">
        <f ca="1">+TODAY()-radicados[[#This Row],[FECHA]]</f>
        <v>197</v>
      </c>
      <c r="E317" s="32" t="str">
        <f>+_xlfn.XLOOKUP(radicados[[#This Row],[MUNICIPIO]],MUNICIPIOS!A:A,MUNICIPIOS!E:E,0,0,1)</f>
        <v>Valle de Aburrá</v>
      </c>
      <c r="F317" s="67" t="s">
        <v>131</v>
      </c>
      <c r="G317" s="3">
        <v>651</v>
      </c>
      <c r="H317" t="s">
        <v>1557</v>
      </c>
      <c r="I317" t="s">
        <v>51</v>
      </c>
      <c r="J317" s="197">
        <v>1957555874</v>
      </c>
      <c r="K317" s="33" t="s">
        <v>1558</v>
      </c>
    </row>
    <row r="318" spans="1:11" ht="15" customHeight="1">
      <c r="A318" s="9">
        <v>317</v>
      </c>
      <c r="B318" s="195">
        <v>2025010235401</v>
      </c>
      <c r="C318" s="196">
        <v>45790</v>
      </c>
      <c r="D318" s="10">
        <f ca="1">+TODAY()-radicados[[#This Row],[FECHA]]</f>
        <v>206</v>
      </c>
      <c r="E318" s="32" t="str">
        <f>+_xlfn.XLOOKUP(radicados[[#This Row],[MUNICIPIO]],MUNICIPIOS!A:A,MUNICIPIOS!E:E,0,0,1)</f>
        <v>Valle de Aburrá</v>
      </c>
      <c r="F318" s="67" t="s">
        <v>196</v>
      </c>
      <c r="G318" s="3">
        <v>640</v>
      </c>
      <c r="H318" t="s">
        <v>1576</v>
      </c>
      <c r="I318" t="s">
        <v>17</v>
      </c>
      <c r="J318" s="197">
        <v>12339606796</v>
      </c>
      <c r="K318" s="33" t="s">
        <v>1579</v>
      </c>
    </row>
    <row r="319" spans="1:11" ht="15" customHeight="1">
      <c r="A319" s="9">
        <v>318</v>
      </c>
      <c r="B319" s="195">
        <v>2025010242808</v>
      </c>
      <c r="C319" s="196">
        <v>45793</v>
      </c>
      <c r="D319" s="10">
        <f ca="1">+TODAY()-radicados[[#This Row],[FECHA]]</f>
        <v>203</v>
      </c>
      <c r="E319" s="32" t="str">
        <f>+_xlfn.XLOOKUP(radicados[[#This Row],[MUNICIPIO]],MUNICIPIOS!A:A,MUNICIPIOS!E:E,0,0,1)</f>
        <v>Occidente</v>
      </c>
      <c r="F319" s="67" t="s">
        <v>448</v>
      </c>
      <c r="G319" s="3">
        <v>653</v>
      </c>
      <c r="H319" s="28" t="s">
        <v>1577</v>
      </c>
      <c r="I319" t="s">
        <v>17</v>
      </c>
      <c r="J319" s="197">
        <v>209395615</v>
      </c>
      <c r="K319" s="33"/>
    </row>
    <row r="320" spans="1:11" ht="15" customHeight="1">
      <c r="A320" s="9">
        <v>319</v>
      </c>
      <c r="B320" s="195">
        <v>2025010255172</v>
      </c>
      <c r="C320" s="196">
        <v>45799</v>
      </c>
      <c r="D320" s="10">
        <f ca="1">+TODAY()-radicados[[#This Row],[FECHA]]</f>
        <v>197</v>
      </c>
      <c r="E320" s="32" t="str">
        <f>+_xlfn.XLOOKUP(radicados[[#This Row],[MUNICIPIO]],MUNICIPIOS!A:A,MUNICIPIOS!E:E,0,0,1)</f>
        <v>Oriente</v>
      </c>
      <c r="F320" s="67" t="s">
        <v>596</v>
      </c>
      <c r="G320" s="3">
        <v>654</v>
      </c>
      <c r="H320" t="s">
        <v>1578</v>
      </c>
      <c r="I320" t="s">
        <v>17</v>
      </c>
      <c r="J320" s="197">
        <v>7716862669</v>
      </c>
      <c r="K320" s="33"/>
    </row>
    <row r="321" spans="1:11" ht="15" customHeight="1">
      <c r="A321" s="9">
        <v>320</v>
      </c>
      <c r="B321" s="195">
        <v>2025010259919</v>
      </c>
      <c r="C321" s="183">
        <v>45803</v>
      </c>
      <c r="D321" s="10">
        <f ca="1">+TODAY()-radicados[[#This Row],[FECHA]]</f>
        <v>193</v>
      </c>
      <c r="E321" s="32" t="str">
        <f>+_xlfn.XLOOKUP(radicados[[#This Row],[MUNICIPIO]],MUNICIPIOS!A:A,MUNICIPIOS!E:E,0,0,1)</f>
        <v>Oriente</v>
      </c>
      <c r="F321" s="67" t="s">
        <v>211</v>
      </c>
      <c r="G321" s="3">
        <v>655</v>
      </c>
      <c r="H321" t="s">
        <v>1582</v>
      </c>
      <c r="I321" t="s">
        <v>17</v>
      </c>
      <c r="J321" s="197"/>
      <c r="K321" s="33" t="s">
        <v>1581</v>
      </c>
    </row>
    <row r="322" spans="1:11" ht="15" customHeight="1">
      <c r="A322" s="200">
        <v>321</v>
      </c>
      <c r="B322" s="195">
        <v>2025010264999</v>
      </c>
      <c r="C322" s="193">
        <v>45804</v>
      </c>
      <c r="D322" s="201">
        <f ca="1">+TODAY()-radicados[[#This Row],[FECHA]]</f>
        <v>192</v>
      </c>
      <c r="E322" s="32" t="str">
        <f>+_xlfn.XLOOKUP(radicados[[#This Row],[MUNICIPIO]],MUNICIPIOS!A:A,MUNICIPIOS!E:E,0,0,1)</f>
        <v>Occidente</v>
      </c>
      <c r="F322" s="67" t="s">
        <v>452</v>
      </c>
      <c r="G322" s="3">
        <v>656</v>
      </c>
      <c r="H322" t="s">
        <v>1591</v>
      </c>
      <c r="I322" t="s">
        <v>17</v>
      </c>
      <c r="J322" s="197"/>
      <c r="K322" s="33" t="s">
        <v>1594</v>
      </c>
    </row>
    <row r="323" spans="1:11" ht="15" customHeight="1">
      <c r="A323" s="200">
        <v>322</v>
      </c>
      <c r="B323" s="195">
        <v>2025010265694</v>
      </c>
      <c r="C323" s="183">
        <v>45805</v>
      </c>
      <c r="D323" s="201">
        <f ca="1">+TODAY()-radicados[[#This Row],[FECHA]]</f>
        <v>191</v>
      </c>
      <c r="E323" s="32" t="str">
        <f>+_xlfn.XLOOKUP(radicados[[#This Row],[MUNICIPIO]],MUNICIPIOS!A:A,MUNICIPIOS!E:E,0,0,1)</f>
        <v>Urabá</v>
      </c>
      <c r="F323" s="67" t="s">
        <v>193</v>
      </c>
      <c r="G323" s="3">
        <v>357</v>
      </c>
      <c r="H323" t="s">
        <v>1592</v>
      </c>
      <c r="I323" t="s">
        <v>17</v>
      </c>
      <c r="J323" s="197">
        <v>5439190174</v>
      </c>
      <c r="K323" s="33" t="s">
        <v>1597</v>
      </c>
    </row>
    <row r="324" spans="1:11" ht="15" customHeight="1">
      <c r="A324" s="200">
        <v>323</v>
      </c>
      <c r="B324" s="195">
        <v>2025101240759</v>
      </c>
      <c r="C324" s="193">
        <v>45805</v>
      </c>
      <c r="D324" s="201">
        <f ca="1">+TODAY()-radicados[[#This Row],[FECHA]]</f>
        <v>191</v>
      </c>
      <c r="E324" s="32" t="str">
        <f>+_xlfn.XLOOKUP(radicados[[#This Row],[MUNICIPIO]],MUNICIPIOS!A:A,MUNICIPIOS!E:E,0,0,1)</f>
        <v>Urabá</v>
      </c>
      <c r="F324" s="67" t="s">
        <v>846</v>
      </c>
      <c r="G324" s="3">
        <v>657</v>
      </c>
      <c r="H324" t="s">
        <v>1602</v>
      </c>
      <c r="I324" t="s">
        <v>17</v>
      </c>
      <c r="J324" s="197">
        <v>2563705075</v>
      </c>
      <c r="K324" s="33" t="s">
        <v>1601</v>
      </c>
    </row>
    <row r="325" spans="1:11" ht="15" customHeight="1">
      <c r="A325" s="200">
        <v>324</v>
      </c>
      <c r="B325" s="195">
        <v>2025010272048</v>
      </c>
      <c r="C325" s="183">
        <v>45807</v>
      </c>
      <c r="D325" s="201">
        <f ca="1">+TODAY()-radicados[[#This Row],[FECHA]]</f>
        <v>189</v>
      </c>
      <c r="E325" s="32" t="str">
        <f>+_xlfn.XLOOKUP(radicados[[#This Row],[MUNICIPIO]],MUNICIPIOS!A:A,MUNICIPIOS!E:E,0,0,1)</f>
        <v>Oriente</v>
      </c>
      <c r="F325" s="67" t="s">
        <v>177</v>
      </c>
      <c r="G325" s="3">
        <v>658</v>
      </c>
      <c r="H325" t="s">
        <v>1599</v>
      </c>
      <c r="I325" t="s">
        <v>17</v>
      </c>
      <c r="J325" s="197">
        <v>496073552</v>
      </c>
      <c r="K325" s="33"/>
    </row>
    <row r="326" spans="1:11" ht="15" customHeight="1">
      <c r="A326" s="200">
        <v>325</v>
      </c>
      <c r="B326" s="201">
        <v>2025010268331</v>
      </c>
      <c r="C326" s="202">
        <v>45804</v>
      </c>
      <c r="D326" s="201">
        <f ca="1">+TODAY()-radicados[[#This Row],[FECHA]]</f>
        <v>192</v>
      </c>
      <c r="E326" s="32" t="str">
        <f>+_xlfn.XLOOKUP(radicados[[#This Row],[MUNICIPIO]],MUNICIPIOS!A:A,MUNICIPIOS!E:E,0,0,1)</f>
        <v>Oriente</v>
      </c>
      <c r="F326" s="67" t="s">
        <v>208</v>
      </c>
      <c r="G326" s="3">
        <v>659</v>
      </c>
      <c r="H326" t="s">
        <v>1603</v>
      </c>
      <c r="I326" t="s">
        <v>17</v>
      </c>
      <c r="J326" s="203"/>
      <c r="K326" s="33" t="s">
        <v>1604</v>
      </c>
    </row>
    <row r="327" spans="1:11" ht="15" customHeight="1">
      <c r="A327" s="200">
        <v>326</v>
      </c>
      <c r="B327" s="201">
        <v>2025010270907</v>
      </c>
      <c r="C327" s="202">
        <v>45807</v>
      </c>
      <c r="D327" s="201">
        <f ca="1">+TODAY()-radicados[[#This Row],[FECHA]]</f>
        <v>189</v>
      </c>
      <c r="E327" s="32" t="str">
        <f>+_xlfn.XLOOKUP(radicados[[#This Row],[MUNICIPIO]],MUNICIPIOS!A:A,MUNICIPIOS!E:E,0,0,1)</f>
        <v>Oriente</v>
      </c>
      <c r="F327" s="67" t="s">
        <v>97</v>
      </c>
      <c r="G327" s="3">
        <v>660</v>
      </c>
      <c r="H327" t="s">
        <v>1606</v>
      </c>
      <c r="I327" t="s">
        <v>17</v>
      </c>
      <c r="J327" s="199">
        <v>735547679</v>
      </c>
      <c r="K327" s="33" t="s">
        <v>1607</v>
      </c>
    </row>
    <row r="328" spans="1:11" ht="15" customHeight="1">
      <c r="A328" s="200">
        <v>327</v>
      </c>
      <c r="B328" s="201">
        <v>2025010264847</v>
      </c>
      <c r="C328" s="202">
        <v>45804</v>
      </c>
      <c r="D328" s="201">
        <f ca="1">+TODAY()-radicados[[#This Row],[FECHA]]</f>
        <v>192</v>
      </c>
      <c r="E328" s="32" t="str">
        <f>+_xlfn.XLOOKUP(radicados[[#This Row],[MUNICIPIO]],MUNICIPIOS!A:A,MUNICIPIOS!E:E,0,0,1)</f>
        <v>Urabá</v>
      </c>
      <c r="F328" s="67" t="s">
        <v>118</v>
      </c>
      <c r="G328" s="3">
        <v>661</v>
      </c>
      <c r="H328" t="s">
        <v>1609</v>
      </c>
      <c r="I328" t="s">
        <v>17</v>
      </c>
      <c r="J328" s="199">
        <v>16247543314</v>
      </c>
      <c r="K328" s="204"/>
    </row>
    <row r="329" spans="1:11" ht="15" customHeight="1">
      <c r="A329" s="200">
        <f>ROW() - ROW(radicados[[#Headers],[ID_RADICADOS]])</f>
        <v>328</v>
      </c>
      <c r="B329" s="201">
        <v>2025010270243</v>
      </c>
      <c r="C329" s="202">
        <v>45807</v>
      </c>
      <c r="D329" s="201">
        <f ca="1">+TODAY()-radicados[[#This Row],[FECHA]]</f>
        <v>189</v>
      </c>
      <c r="E329" s="32" t="str">
        <f>+_xlfn.XLOOKUP(radicados[[#This Row],[MUNICIPIO]],MUNICIPIOS!A:A,MUNICIPIOS!E:E,0,0,1)</f>
        <v>Suroeste</v>
      </c>
      <c r="F329" s="67" t="s">
        <v>144</v>
      </c>
      <c r="G329" s="3">
        <v>662</v>
      </c>
      <c r="H329" t="s">
        <v>1610</v>
      </c>
      <c r="I329" t="s">
        <v>17</v>
      </c>
      <c r="J329" s="199">
        <v>427803841</v>
      </c>
      <c r="K329" s="204"/>
    </row>
    <row r="330" spans="1:11" ht="15" customHeight="1">
      <c r="A330" s="200">
        <f>ROW() - ROW(radicados[[#Headers],[ID_RADICADOS]])</f>
        <v>329</v>
      </c>
      <c r="B330" s="201">
        <v>2025010251604</v>
      </c>
      <c r="C330" s="202">
        <v>45798</v>
      </c>
      <c r="D330" s="201">
        <f ca="1">+TODAY()-radicados[[#This Row],[FECHA]]</f>
        <v>198</v>
      </c>
      <c r="E330" s="32" t="str">
        <f>+_xlfn.XLOOKUP(radicados[[#This Row],[MUNICIPIO]],MUNICIPIOS!A:A,MUNICIPIOS!E:E,0,0,1)</f>
        <v>Urabá</v>
      </c>
      <c r="F330" s="67" t="s">
        <v>153</v>
      </c>
      <c r="G330" s="3">
        <v>663</v>
      </c>
      <c r="H330" t="s">
        <v>1611</v>
      </c>
      <c r="I330" t="s">
        <v>17</v>
      </c>
      <c r="J330" s="199">
        <v>910189297</v>
      </c>
      <c r="K330" s="204"/>
    </row>
    <row r="331" spans="1:11" ht="15" customHeight="1">
      <c r="A331" s="200">
        <f>ROW() - ROW(radicados[[#Headers],[ID_RADICADOS]])</f>
        <v>330</v>
      </c>
      <c r="B331" s="201">
        <v>2025010265169</v>
      </c>
      <c r="C331" s="202">
        <v>45804</v>
      </c>
      <c r="D331" s="201">
        <f ca="1">+TODAY()-radicados[[#This Row],[FECHA]]</f>
        <v>192</v>
      </c>
      <c r="E331" s="32" t="str">
        <f>+_xlfn.XLOOKUP(radicados[[#This Row],[MUNICIPIO]],MUNICIPIOS!A:A,MUNICIPIOS!E:E,0,0,1)</f>
        <v>Norte</v>
      </c>
      <c r="F331" s="67" t="s">
        <v>865</v>
      </c>
      <c r="G331" s="3">
        <v>664</v>
      </c>
      <c r="H331" t="s">
        <v>1612</v>
      </c>
      <c r="I331" t="s">
        <v>17</v>
      </c>
      <c r="J331" s="199">
        <v>6756560375</v>
      </c>
      <c r="K331" s="33" t="s">
        <v>1613</v>
      </c>
    </row>
    <row r="332" spans="1:11" ht="15" customHeight="1">
      <c r="A332" s="200">
        <v>331</v>
      </c>
      <c r="B332" s="201">
        <v>2024010436683</v>
      </c>
      <c r="C332" s="202">
        <v>45559</v>
      </c>
      <c r="D332" s="201">
        <f ca="1">+TODAY()-radicados[[#This Row],[FECHA]]</f>
        <v>437</v>
      </c>
      <c r="E332" s="32" t="str">
        <f>+_xlfn.XLOOKUP(radicados[[#This Row],[MUNICIPIO]],MUNICIPIOS!A:A,MUNICIPIOS!E:E,0,0,1)</f>
        <v>Magdalena Medio</v>
      </c>
      <c r="F332" s="67" t="s">
        <v>473</v>
      </c>
      <c r="G332" s="3">
        <v>670</v>
      </c>
      <c r="H332" t="s">
        <v>1624</v>
      </c>
      <c r="I332" t="s">
        <v>17</v>
      </c>
      <c r="J332" s="199">
        <v>1460101335</v>
      </c>
      <c r="K332" s="33" t="s">
        <v>1626</v>
      </c>
    </row>
    <row r="333" spans="1:11" ht="15" customHeight="1">
      <c r="A333" s="200">
        <f>ROW() - ROW(radicados[[#Headers],[ID_RADICADOS]])</f>
        <v>332</v>
      </c>
      <c r="B333" s="201">
        <v>2024010436683</v>
      </c>
      <c r="C333" s="202">
        <v>45559</v>
      </c>
      <c r="D333" s="201">
        <f ca="1">+TODAY()-radicados[[#This Row],[FECHA]]</f>
        <v>437</v>
      </c>
      <c r="E333" s="32" t="str">
        <f>+_xlfn.XLOOKUP(radicados[[#This Row],[MUNICIPIO]],MUNICIPIOS!A:A,MUNICIPIOS!E:E,0,0,1)</f>
        <v>Magdalena Medio</v>
      </c>
      <c r="F333" s="67" t="s">
        <v>473</v>
      </c>
      <c r="G333" s="3">
        <v>671</v>
      </c>
      <c r="H333" t="s">
        <v>1625</v>
      </c>
      <c r="I333" t="s">
        <v>17</v>
      </c>
      <c r="J333" s="199">
        <v>2459729131</v>
      </c>
      <c r="K333" s="33" t="s">
        <v>1626</v>
      </c>
    </row>
    <row r="334" spans="1:11" ht="15" customHeight="1">
      <c r="A334" s="206">
        <v>334</v>
      </c>
      <c r="B334" s="207">
        <v>2025010267513</v>
      </c>
      <c r="C334" s="208">
        <v>45722</v>
      </c>
      <c r="D334" s="207">
        <f ca="1">+TODAY()-radicados[[#This Row],[FECHA]]</f>
        <v>274</v>
      </c>
      <c r="E334" s="32" t="str">
        <f>+_xlfn.XLOOKUP(radicados[[#This Row],[MUNICIPIO]],MUNICIPIOS!A:A,MUNICIPIOS!E:E,0,0,1)</f>
        <v>Suroeste</v>
      </c>
      <c r="F334" s="67" t="s">
        <v>465</v>
      </c>
      <c r="G334" s="3">
        <v>672</v>
      </c>
      <c r="H334" t="s">
        <v>1635</v>
      </c>
      <c r="I334" t="s">
        <v>17</v>
      </c>
      <c r="J334" s="211">
        <v>4959251750</v>
      </c>
      <c r="K334" s="210"/>
    </row>
    <row r="335" spans="1:11" ht="15" customHeight="1">
      <c r="A335" s="206">
        <v>335</v>
      </c>
      <c r="B335" s="207">
        <v>2025010267513</v>
      </c>
      <c r="C335" s="208">
        <v>45722</v>
      </c>
      <c r="D335" s="207">
        <f ca="1">+TODAY()-radicados[[#This Row],[FECHA]]</f>
        <v>274</v>
      </c>
      <c r="E335" s="32" t="str">
        <f>+_xlfn.XLOOKUP(radicados[[#This Row],[MUNICIPIO]],MUNICIPIOS!A:A,MUNICIPIOS!E:E,0,0,1)</f>
        <v>Suroeste</v>
      </c>
      <c r="F335" s="67" t="s">
        <v>465</v>
      </c>
      <c r="G335" s="3">
        <v>673</v>
      </c>
      <c r="H335" t="s">
        <v>1636</v>
      </c>
      <c r="I335" t="s">
        <v>17</v>
      </c>
      <c r="J335" s="211">
        <v>793480280</v>
      </c>
      <c r="K335" s="210"/>
    </row>
    <row r="336" spans="1:11" ht="15" customHeight="1">
      <c r="A336" s="206">
        <v>336</v>
      </c>
      <c r="B336" s="207">
        <v>2025010267513</v>
      </c>
      <c r="C336" s="208">
        <v>45722</v>
      </c>
      <c r="D336" s="207">
        <f ca="1">+TODAY()-radicados[[#This Row],[FECHA]]</f>
        <v>274</v>
      </c>
      <c r="E336" s="32" t="str">
        <f>+_xlfn.XLOOKUP(radicados[[#This Row],[MUNICIPIO]],MUNICIPIOS!A:A,MUNICIPIOS!E:E,0,0,1)</f>
        <v>Suroeste</v>
      </c>
      <c r="F336" s="67" t="s">
        <v>465</v>
      </c>
      <c r="G336" s="3">
        <v>674</v>
      </c>
      <c r="H336" t="s">
        <v>1637</v>
      </c>
      <c r="I336" t="s">
        <v>17</v>
      </c>
      <c r="J336" s="211">
        <v>1200000000</v>
      </c>
      <c r="K336" s="210"/>
    </row>
    <row r="337" spans="1:11" ht="15" customHeight="1">
      <c r="A337" s="206">
        <v>337</v>
      </c>
      <c r="B337" s="207">
        <v>2025010280945</v>
      </c>
      <c r="C337" s="208">
        <v>45813</v>
      </c>
      <c r="D337" s="207">
        <f ca="1">+TODAY()-radicados[[#This Row],[FECHA]]</f>
        <v>183</v>
      </c>
      <c r="E337" s="32" t="str">
        <f>+_xlfn.XLOOKUP(radicados[[#This Row],[MUNICIPIO]],MUNICIPIOS!A:A,MUNICIPIOS!E:E,0,0,1)</f>
        <v>Urabá</v>
      </c>
      <c r="F337" s="67" t="s">
        <v>74</v>
      </c>
      <c r="G337" s="3">
        <v>675</v>
      </c>
      <c r="H337" t="s">
        <v>1629</v>
      </c>
      <c r="I337" t="s">
        <v>51</v>
      </c>
      <c r="J337" s="209"/>
      <c r="K337" s="210"/>
    </row>
    <row r="338" spans="1:11" ht="15" customHeight="1">
      <c r="A338" s="206">
        <v>338</v>
      </c>
      <c r="B338" s="207">
        <v>2025010282894</v>
      </c>
      <c r="C338" s="208">
        <v>45813</v>
      </c>
      <c r="D338" s="207">
        <f ca="1">+TODAY()-radicados[[#This Row],[FECHA]]</f>
        <v>183</v>
      </c>
      <c r="E338" s="32" t="str">
        <f>+_xlfn.XLOOKUP(radicados[[#This Row],[MUNICIPIO]],MUNICIPIOS!A:A,MUNICIPIOS!E:E,0,0,1)</f>
        <v>Bajo Cauca</v>
      </c>
      <c r="F338" s="67" t="s">
        <v>170</v>
      </c>
      <c r="G338" s="3">
        <v>676</v>
      </c>
      <c r="H338" t="s">
        <v>1630</v>
      </c>
      <c r="I338" t="s">
        <v>51</v>
      </c>
      <c r="J338" s="209"/>
      <c r="K338" s="210"/>
    </row>
    <row r="339" spans="1:11" ht="15" customHeight="1">
      <c r="A339" s="206">
        <v>339</v>
      </c>
      <c r="B339" s="207">
        <v>2025010266769</v>
      </c>
      <c r="C339" s="208">
        <v>45805</v>
      </c>
      <c r="D339" s="207">
        <f ca="1">+TODAY()-radicados[[#This Row],[FECHA]]</f>
        <v>191</v>
      </c>
      <c r="E339" s="32" t="str">
        <f>+_xlfn.XLOOKUP(radicados[[#This Row],[MUNICIPIO]],MUNICIPIOS!A:A,MUNICIPIOS!E:E,0,0,1)</f>
        <v>Norte</v>
      </c>
      <c r="F339" s="67" t="s">
        <v>209</v>
      </c>
      <c r="G339" s="3">
        <v>677</v>
      </c>
      <c r="H339" t="s">
        <v>1631</v>
      </c>
      <c r="I339" t="s">
        <v>51</v>
      </c>
      <c r="J339" s="209"/>
      <c r="K339" s="210"/>
    </row>
    <row r="340" spans="1:11" ht="15" customHeight="1">
      <c r="A340" s="206">
        <v>340</v>
      </c>
      <c r="B340" s="207">
        <v>2025010278720</v>
      </c>
      <c r="C340" s="208">
        <v>45812</v>
      </c>
      <c r="D340" s="207">
        <f ca="1">+TODAY()-radicados[[#This Row],[FECHA]]</f>
        <v>184</v>
      </c>
      <c r="E340" s="32" t="str">
        <f>+_xlfn.XLOOKUP(radicados[[#This Row],[MUNICIPIO]],MUNICIPIOS!A:A,MUNICIPIOS!E:E,0,0,1)</f>
        <v>Valle de Aburrá</v>
      </c>
      <c r="F340" s="67" t="s">
        <v>196</v>
      </c>
      <c r="G340" s="3">
        <v>678</v>
      </c>
      <c r="H340" t="s">
        <v>1632</v>
      </c>
      <c r="I340" t="s">
        <v>17</v>
      </c>
      <c r="J340" s="212">
        <v>18456429395</v>
      </c>
      <c r="K340" s="210"/>
    </row>
    <row r="341" spans="1:11" ht="15" customHeight="1">
      <c r="A341" s="206">
        <v>341</v>
      </c>
      <c r="B341" s="207">
        <v>2025010279303</v>
      </c>
      <c r="C341" s="208">
        <v>45813</v>
      </c>
      <c r="D341" s="207">
        <f ca="1">+TODAY()-radicados[[#This Row],[FECHA]]</f>
        <v>183</v>
      </c>
      <c r="E341" s="32" t="str">
        <f>+_xlfn.XLOOKUP(radicados[[#This Row],[MUNICIPIO]],MUNICIPIOS!A:A,MUNICIPIOS!E:E,0,0,1)</f>
        <v>Oriente</v>
      </c>
      <c r="F341" s="67" t="s">
        <v>141</v>
      </c>
      <c r="G341" s="3">
        <v>679</v>
      </c>
      <c r="H341" t="s">
        <v>1633</v>
      </c>
      <c r="I341" t="s">
        <v>17</v>
      </c>
      <c r="J341" s="212">
        <v>22116602097</v>
      </c>
      <c r="K341" s="210"/>
    </row>
    <row r="342" spans="1:11" ht="15" customHeight="1">
      <c r="A342" s="206">
        <v>342</v>
      </c>
      <c r="B342" s="207">
        <v>2025010287731</v>
      </c>
      <c r="C342" s="208">
        <v>45818</v>
      </c>
      <c r="D342" s="207">
        <f ca="1">+TODAY()-radicados[[#This Row],[FECHA]]</f>
        <v>178</v>
      </c>
      <c r="E342" s="32" t="str">
        <f>+_xlfn.XLOOKUP(radicados[[#This Row],[MUNICIPIO]],MUNICIPIOS!A:A,MUNICIPIOS!E:E,0,0,1)</f>
        <v>Occidente</v>
      </c>
      <c r="F342" s="67" t="s">
        <v>273</v>
      </c>
      <c r="G342" s="3">
        <v>680</v>
      </c>
      <c r="H342" t="s">
        <v>1634</v>
      </c>
      <c r="I342" t="s">
        <v>17</v>
      </c>
      <c r="J342" s="212">
        <v>2300000000</v>
      </c>
      <c r="K342" s="210"/>
    </row>
    <row r="343" spans="1:11" ht="15" customHeight="1">
      <c r="A343" s="219">
        <v>343</v>
      </c>
      <c r="B343" s="220">
        <v>2025010269355</v>
      </c>
      <c r="C343" s="208">
        <v>45807</v>
      </c>
      <c r="D343" s="220">
        <f ca="1">+TODAY()-radicados[[#This Row],[FECHA]]</f>
        <v>189</v>
      </c>
      <c r="E343" s="32" t="str">
        <f>+_xlfn.XLOOKUP(radicados[[#This Row],[MUNICIPIO]],MUNICIPIOS!A:A,MUNICIPIOS!E:E,0,0,1)</f>
        <v>Occidente</v>
      </c>
      <c r="F343" s="67" t="s">
        <v>182</v>
      </c>
      <c r="G343" s="3">
        <v>681</v>
      </c>
      <c r="H343" t="s">
        <v>1645</v>
      </c>
      <c r="I343" t="s">
        <v>51</v>
      </c>
      <c r="J343" s="221"/>
      <c r="K343" s="33" t="s">
        <v>1647</v>
      </c>
    </row>
    <row r="344" spans="1:11" ht="15" customHeight="1">
      <c r="A344" s="219">
        <v>344</v>
      </c>
      <c r="B344" s="220">
        <v>2025010269386</v>
      </c>
      <c r="C344" s="208">
        <v>45807</v>
      </c>
      <c r="D344" s="220">
        <f ca="1">+TODAY()-radicados[[#This Row],[FECHA]]</f>
        <v>189</v>
      </c>
      <c r="E344" s="32" t="str">
        <f>+_xlfn.XLOOKUP(radicados[[#This Row],[MUNICIPIO]],MUNICIPIOS!A:A,MUNICIPIOS!E:E,0,0,1)</f>
        <v>Occidente</v>
      </c>
      <c r="F344" s="67" t="s">
        <v>182</v>
      </c>
      <c r="G344" s="3">
        <v>682</v>
      </c>
      <c r="H344" t="s">
        <v>1646</v>
      </c>
      <c r="I344" t="s">
        <v>51</v>
      </c>
      <c r="J344" s="221"/>
      <c r="K344" s="33" t="s">
        <v>1648</v>
      </c>
    </row>
    <row r="345" spans="1:11" ht="15" customHeight="1">
      <c r="A345" s="219">
        <v>345</v>
      </c>
      <c r="B345" s="220">
        <v>2025010280625</v>
      </c>
      <c r="C345" s="208">
        <v>45783</v>
      </c>
      <c r="D345" s="220">
        <f ca="1">+TODAY()-radicados[[#This Row],[FECHA]]</f>
        <v>213</v>
      </c>
      <c r="E345" s="32" t="str">
        <f>+_xlfn.XLOOKUP(radicados[[#This Row],[MUNICIPIO]],MUNICIPIOS!A:A,MUNICIPIOS!E:E,0,0,1)</f>
        <v>Suroeste</v>
      </c>
      <c r="F345" s="67" t="s">
        <v>492</v>
      </c>
      <c r="G345" s="3">
        <v>683</v>
      </c>
      <c r="H345" t="s">
        <v>1649</v>
      </c>
      <c r="I345" t="s">
        <v>51</v>
      </c>
      <c r="J345" s="212">
        <v>556920000</v>
      </c>
      <c r="K345" s="33" t="s">
        <v>1650</v>
      </c>
    </row>
    <row r="346" spans="1:11" ht="15" customHeight="1">
      <c r="A346" s="219">
        <v>346</v>
      </c>
      <c r="B346" s="220">
        <v>2025010296258</v>
      </c>
      <c r="C346" s="208">
        <v>45821</v>
      </c>
      <c r="D346" s="220">
        <f ca="1">+TODAY()-radicados[[#This Row],[FECHA]]</f>
        <v>175</v>
      </c>
      <c r="E346" s="32" t="str">
        <f>+_xlfn.XLOOKUP(radicados[[#This Row],[MUNICIPIO]],MUNICIPIOS!A:A,MUNICIPIOS!E:E,0,0,1)</f>
        <v>Occidente</v>
      </c>
      <c r="F346" s="67" t="s">
        <v>166</v>
      </c>
      <c r="G346" s="3">
        <v>684</v>
      </c>
      <c r="H346" t="s">
        <v>1651</v>
      </c>
      <c r="I346" t="s">
        <v>17</v>
      </c>
      <c r="J346" s="212">
        <v>10420022815</v>
      </c>
      <c r="K346" s="222"/>
    </row>
    <row r="347" spans="1:11" ht="15" customHeight="1">
      <c r="A347" s="219">
        <v>347</v>
      </c>
      <c r="B347" s="220">
        <v>2025010296274</v>
      </c>
      <c r="C347" s="208">
        <v>45821</v>
      </c>
      <c r="D347" s="220">
        <f ca="1">+TODAY()-radicados[[#This Row],[FECHA]]</f>
        <v>175</v>
      </c>
      <c r="E347" s="32" t="str">
        <f>+_xlfn.XLOOKUP(radicados[[#This Row],[MUNICIPIO]],MUNICIPIOS!A:A,MUNICIPIOS!E:E,0,0,1)</f>
        <v>Urabá</v>
      </c>
      <c r="F347" s="67" t="s">
        <v>118</v>
      </c>
      <c r="G347" s="3">
        <v>685</v>
      </c>
      <c r="H347" t="s">
        <v>1652</v>
      </c>
      <c r="I347" t="s">
        <v>17</v>
      </c>
      <c r="J347" s="212">
        <v>2246454902</v>
      </c>
      <c r="K347" s="222"/>
    </row>
    <row r="348" spans="1:11" ht="15" customHeight="1">
      <c r="A348" s="219">
        <v>348</v>
      </c>
      <c r="B348" s="220">
        <v>2025010295139</v>
      </c>
      <c r="C348" s="208">
        <v>45821</v>
      </c>
      <c r="D348" s="220">
        <f ca="1">+TODAY()-radicados[[#This Row],[FECHA]]</f>
        <v>175</v>
      </c>
      <c r="E348" s="32" t="str">
        <f>+_xlfn.XLOOKUP(radicados[[#This Row],[MUNICIPIO]],MUNICIPIOS!A:A,MUNICIPIOS!E:E,0,0,1)</f>
        <v>Bajo Cauca</v>
      </c>
      <c r="F348" s="67" t="s">
        <v>200</v>
      </c>
      <c r="G348" s="3">
        <v>686</v>
      </c>
      <c r="H348" t="s">
        <v>1653</v>
      </c>
      <c r="I348" t="s">
        <v>17</v>
      </c>
      <c r="J348" s="212" t="s">
        <v>1657</v>
      </c>
      <c r="K348" s="222"/>
    </row>
    <row r="349" spans="1:11" ht="15" customHeight="1">
      <c r="A349" s="219">
        <v>349</v>
      </c>
      <c r="B349" s="220">
        <v>2025010291398</v>
      </c>
      <c r="C349" s="208">
        <v>45819</v>
      </c>
      <c r="D349" s="220">
        <f ca="1">+TODAY()-radicados[[#This Row],[FECHA]]</f>
        <v>177</v>
      </c>
      <c r="E349" s="32" t="str">
        <f>+_xlfn.XLOOKUP(radicados[[#This Row],[MUNICIPIO]],MUNICIPIOS!A:A,MUNICIPIOS!E:E,0,0,1)</f>
        <v>Nordeste</v>
      </c>
      <c r="F349" s="67" t="s">
        <v>369</v>
      </c>
      <c r="G349" s="3">
        <v>687</v>
      </c>
      <c r="H349" t="s">
        <v>1654</v>
      </c>
      <c r="I349" t="s">
        <v>17</v>
      </c>
      <c r="J349" s="212">
        <v>17504145871</v>
      </c>
      <c r="K349" s="33" t="s">
        <v>1660</v>
      </c>
    </row>
    <row r="350" spans="1:11" ht="15" customHeight="1">
      <c r="A350" s="219">
        <v>350</v>
      </c>
      <c r="B350" s="220">
        <v>2025010290870</v>
      </c>
      <c r="C350" s="208">
        <v>45819</v>
      </c>
      <c r="D350" s="220">
        <f ca="1">+TODAY()-radicados[[#This Row],[FECHA]]</f>
        <v>177</v>
      </c>
      <c r="E350" s="32" t="str">
        <f>+_xlfn.XLOOKUP(radicados[[#This Row],[MUNICIPIO]],MUNICIPIOS!A:A,MUNICIPIOS!E:E,0,0,1)</f>
        <v>Occidente</v>
      </c>
      <c r="F350" s="67" t="s">
        <v>362</v>
      </c>
      <c r="G350" s="3">
        <v>688</v>
      </c>
      <c r="H350" t="s">
        <v>1655</v>
      </c>
      <c r="I350" t="s">
        <v>17</v>
      </c>
      <c r="J350" s="212" t="s">
        <v>1657</v>
      </c>
      <c r="K350" s="33" t="s">
        <v>1659</v>
      </c>
    </row>
    <row r="351" spans="1:11" ht="15" customHeight="1">
      <c r="A351" s="219">
        <v>351</v>
      </c>
      <c r="B351" s="220">
        <v>2025010294662</v>
      </c>
      <c r="C351" s="208">
        <v>45820</v>
      </c>
      <c r="D351" s="220">
        <f ca="1">+TODAY()-radicados[[#This Row],[FECHA]]</f>
        <v>176</v>
      </c>
      <c r="E351" s="32" t="str">
        <f>+_xlfn.XLOOKUP(radicados[[#This Row],[MUNICIPIO]],MUNICIPIOS!A:A,MUNICIPIOS!E:E,0,0,1)</f>
        <v>Urabá</v>
      </c>
      <c r="F351" s="67" t="s">
        <v>63</v>
      </c>
      <c r="G351" s="3">
        <v>689</v>
      </c>
      <c r="H351" t="s">
        <v>1656</v>
      </c>
      <c r="I351" t="s">
        <v>17</v>
      </c>
      <c r="J351" s="212" t="s">
        <v>1657</v>
      </c>
      <c r="K351" s="33" t="s">
        <v>1658</v>
      </c>
    </row>
    <row r="352" spans="1:11" ht="15" customHeight="1">
      <c r="A352" s="219">
        <v>352</v>
      </c>
      <c r="B352" s="220">
        <v>2025010316151</v>
      </c>
      <c r="C352" s="226">
        <v>45833</v>
      </c>
      <c r="D352" s="220">
        <f ca="1">+TODAY()-radicados[[#This Row],[FECHA]]</f>
        <v>163</v>
      </c>
      <c r="E352" s="32" t="str">
        <f>+_xlfn.XLOOKUP(radicados[[#This Row],[MUNICIPIO]],MUNICIPIOS!A:A,MUNICIPIOS!E:E,0,0,1)</f>
        <v>Occidente</v>
      </c>
      <c r="F352" s="67" t="s">
        <v>166</v>
      </c>
      <c r="G352" s="3">
        <v>184</v>
      </c>
      <c r="H352" t="s">
        <v>1666</v>
      </c>
      <c r="I352" t="s">
        <v>17</v>
      </c>
      <c r="J352" s="212">
        <v>8312102802</v>
      </c>
      <c r="K352" s="33" t="s">
        <v>1667</v>
      </c>
    </row>
    <row r="353" spans="1:11" ht="15" customHeight="1">
      <c r="A353" s="219">
        <v>353</v>
      </c>
      <c r="B353" s="220">
        <v>2025010312573</v>
      </c>
      <c r="C353" s="226">
        <v>45833</v>
      </c>
      <c r="D353" s="220">
        <f ca="1">+TODAY()-radicados[[#This Row],[FECHA]]</f>
        <v>163</v>
      </c>
      <c r="E353" s="32" t="str">
        <f>+_xlfn.XLOOKUP(radicados[[#This Row],[MUNICIPIO]],MUNICIPIOS!A:A,MUNICIPIOS!E:E,0,0,1)</f>
        <v>Urabá</v>
      </c>
      <c r="F353" s="67" t="s">
        <v>74</v>
      </c>
      <c r="G353" s="3">
        <v>690</v>
      </c>
      <c r="H353" t="s">
        <v>1669</v>
      </c>
      <c r="I353" t="s">
        <v>17</v>
      </c>
      <c r="J353" s="212">
        <v>9735234421.7000008</v>
      </c>
      <c r="K353" s="222"/>
    </row>
    <row r="354" spans="1:11" ht="15" customHeight="1">
      <c r="A354" s="219">
        <v>354</v>
      </c>
      <c r="B354" s="220">
        <v>2025010101249</v>
      </c>
      <c r="C354" s="226">
        <v>45720</v>
      </c>
      <c r="D354" s="220">
        <f ca="1">+TODAY()-radicados[[#This Row],[FECHA]]</f>
        <v>276</v>
      </c>
      <c r="E354" s="32" t="str">
        <f>+_xlfn.XLOOKUP(radicados[[#This Row],[MUNICIPIO]],MUNICIPIOS!A:A,MUNICIPIOS!E:E,0,0,1)</f>
        <v>Occidente</v>
      </c>
      <c r="F354" s="67" t="s">
        <v>334</v>
      </c>
      <c r="G354" s="3">
        <v>691</v>
      </c>
      <c r="H354" t="s">
        <v>1670</v>
      </c>
      <c r="I354" t="s">
        <v>17</v>
      </c>
      <c r="J354" s="212">
        <v>4102567843.1700001</v>
      </c>
      <c r="K354" s="222"/>
    </row>
    <row r="355" spans="1:11" ht="15" customHeight="1">
      <c r="A355" s="219">
        <v>355</v>
      </c>
      <c r="B355" s="220">
        <v>2025010301918</v>
      </c>
      <c r="C355" s="226">
        <v>45825</v>
      </c>
      <c r="D355" s="220">
        <f ca="1">+TODAY()-radicados[[#This Row],[FECHA]]</f>
        <v>171</v>
      </c>
      <c r="E355" s="32" t="str">
        <f>+_xlfn.XLOOKUP(radicados[[#This Row],[MUNICIPIO]],MUNICIPIOS!A:A,MUNICIPIOS!E:E,0,0,1)</f>
        <v>Urabá</v>
      </c>
      <c r="F355" s="67" t="s">
        <v>111</v>
      </c>
      <c r="G355" s="3">
        <v>692</v>
      </c>
      <c r="H355" t="s">
        <v>1671</v>
      </c>
      <c r="I355" t="s">
        <v>17</v>
      </c>
      <c r="J355" s="212">
        <v>10425971420</v>
      </c>
      <c r="K355" s="33" t="s">
        <v>1672</v>
      </c>
    </row>
    <row r="356" spans="1:11" ht="15" customHeight="1">
      <c r="A356" s="219">
        <v>356</v>
      </c>
      <c r="B356" s="220">
        <v>2025010306251</v>
      </c>
      <c r="C356" s="226">
        <v>45826</v>
      </c>
      <c r="D356" s="220">
        <f ca="1">+TODAY()-radicados[[#This Row],[FECHA]]</f>
        <v>170</v>
      </c>
      <c r="E356" s="32" t="str">
        <f>+_xlfn.XLOOKUP(radicados[[#This Row],[MUNICIPIO]],MUNICIPIOS!A:A,MUNICIPIOS!E:E,0,0,1)</f>
        <v>Urabá</v>
      </c>
      <c r="F356" s="67" t="s">
        <v>111</v>
      </c>
      <c r="G356" s="3">
        <v>692</v>
      </c>
      <c r="H356" t="s">
        <v>1671</v>
      </c>
      <c r="I356" t="s">
        <v>17</v>
      </c>
      <c r="J356" s="212">
        <v>10425971420</v>
      </c>
      <c r="K356" s="33" t="s">
        <v>1672</v>
      </c>
    </row>
    <row r="357" spans="1:11" ht="15" customHeight="1">
      <c r="A357" s="219">
        <v>357</v>
      </c>
      <c r="B357" s="220">
        <v>2025010265003</v>
      </c>
      <c r="C357" s="183">
        <v>45804</v>
      </c>
      <c r="D357" s="220">
        <f ca="1">+TODAY()-radicados[[#This Row],[FECHA]]</f>
        <v>192</v>
      </c>
      <c r="E357" s="32" t="str">
        <f>+_xlfn.XLOOKUP(radicados[[#This Row],[MUNICIPIO]],MUNICIPIOS!A:A,MUNICIPIOS!E:E,0,0,1)</f>
        <v>Urabá</v>
      </c>
      <c r="F357" s="67" t="s">
        <v>118</v>
      </c>
      <c r="G357" s="3">
        <v>693</v>
      </c>
      <c r="H357" t="s">
        <v>1673</v>
      </c>
      <c r="I357" t="s">
        <v>17</v>
      </c>
      <c r="J357" s="231">
        <v>2179486579</v>
      </c>
      <c r="K357" s="222"/>
    </row>
    <row r="358" spans="1:11" ht="15" customHeight="1">
      <c r="A358" s="219">
        <v>358</v>
      </c>
      <c r="B358" s="220">
        <v>2025010288682</v>
      </c>
      <c r="C358" s="193">
        <v>45818</v>
      </c>
      <c r="D358" s="220">
        <f ca="1">+TODAY()-radicados[[#This Row],[FECHA]]</f>
        <v>178</v>
      </c>
      <c r="E358" s="32" t="str">
        <f>+_xlfn.XLOOKUP(radicados[[#This Row],[MUNICIPIO]],MUNICIPIOS!A:A,MUNICIPIOS!E:E,0,0,1)</f>
        <v>Oriente</v>
      </c>
      <c r="F358" s="67" t="s">
        <v>113</v>
      </c>
      <c r="G358" s="3">
        <v>694</v>
      </c>
      <c r="H358" t="s">
        <v>1674</v>
      </c>
      <c r="I358" t="s">
        <v>51</v>
      </c>
      <c r="J358" s="229"/>
      <c r="K358" s="222"/>
    </row>
    <row r="359" spans="1:11" ht="15" customHeight="1">
      <c r="A359" s="219">
        <v>359</v>
      </c>
      <c r="B359" s="220">
        <v>2025010297264</v>
      </c>
      <c r="C359" s="183">
        <v>45821</v>
      </c>
      <c r="D359" s="220">
        <f ca="1">+TODAY()-radicados[[#This Row],[FECHA]]</f>
        <v>175</v>
      </c>
      <c r="E359" s="32" t="str">
        <f>+_xlfn.XLOOKUP(radicados[[#This Row],[MUNICIPIO]],MUNICIPIOS!A:A,MUNICIPIOS!E:E,0,0,1)</f>
        <v>Suroeste</v>
      </c>
      <c r="F359" s="67" t="s">
        <v>90</v>
      </c>
      <c r="G359" s="3">
        <v>695</v>
      </c>
      <c r="H359" t="s">
        <v>1717</v>
      </c>
      <c r="I359" t="s">
        <v>51</v>
      </c>
      <c r="J359" s="227"/>
      <c r="K359" s="33" t="s">
        <v>1718</v>
      </c>
    </row>
    <row r="360" spans="1:11" ht="15" customHeight="1">
      <c r="A360" s="219">
        <v>360</v>
      </c>
      <c r="B360" s="220">
        <v>2025010299106</v>
      </c>
      <c r="C360" s="193">
        <v>45824</v>
      </c>
      <c r="D360" s="220">
        <f ca="1">+TODAY()-radicados[[#This Row],[FECHA]]</f>
        <v>172</v>
      </c>
      <c r="E360" s="32" t="str">
        <f>+_xlfn.XLOOKUP(radicados[[#This Row],[MUNICIPIO]],MUNICIPIOS!A:A,MUNICIPIOS!E:E,0,0,1)</f>
        <v>Suroeste</v>
      </c>
      <c r="F360" s="67" t="s">
        <v>30</v>
      </c>
      <c r="G360" s="3">
        <v>696</v>
      </c>
      <c r="H360" t="s">
        <v>1675</v>
      </c>
      <c r="I360" t="s">
        <v>51</v>
      </c>
      <c r="J360" s="229"/>
      <c r="K360" s="222"/>
    </row>
    <row r="361" spans="1:11" ht="15" customHeight="1">
      <c r="A361" s="219">
        <v>361</v>
      </c>
      <c r="B361" s="220">
        <v>2025010305013</v>
      </c>
      <c r="C361" s="183">
        <v>45826</v>
      </c>
      <c r="D361" s="220">
        <f ca="1">+TODAY()-radicados[[#This Row],[FECHA]]</f>
        <v>170</v>
      </c>
      <c r="E361" s="32" t="str">
        <f>+_xlfn.XLOOKUP(radicados[[#This Row],[MUNICIPIO]],MUNICIPIOS!A:A,MUNICIPIOS!E:E,0,0,1)</f>
        <v>Valle de Aburrá</v>
      </c>
      <c r="F361" s="67" t="s">
        <v>131</v>
      </c>
      <c r="G361" s="3">
        <v>697</v>
      </c>
      <c r="H361" t="s">
        <v>1676</v>
      </c>
      <c r="I361" t="s">
        <v>17</v>
      </c>
      <c r="J361" s="227"/>
      <c r="K361" s="222"/>
    </row>
    <row r="362" spans="1:11" ht="15" customHeight="1">
      <c r="A362" s="219">
        <v>362</v>
      </c>
      <c r="B362" s="220">
        <v>2025010316713</v>
      </c>
      <c r="C362" s="226">
        <v>45833</v>
      </c>
      <c r="D362" s="220">
        <f ca="1">+TODAY()-radicados[[#This Row],[FECHA]]</f>
        <v>163</v>
      </c>
      <c r="E362" s="32" t="str">
        <f>+_xlfn.XLOOKUP(radicados[[#This Row],[MUNICIPIO]],MUNICIPIOS!A:A,MUNICIPIOS!E:E,0,0,1)</f>
        <v>Suroeste</v>
      </c>
      <c r="F362" s="67" t="s">
        <v>216</v>
      </c>
      <c r="G362" s="3">
        <v>698</v>
      </c>
      <c r="H362" s="234" t="s">
        <v>1677</v>
      </c>
      <c r="I362" t="s">
        <v>17</v>
      </c>
      <c r="J362" s="233">
        <v>5496126787</v>
      </c>
      <c r="K362" s="33" t="s">
        <v>1678</v>
      </c>
    </row>
    <row r="363" spans="1:11" ht="15" customHeight="1">
      <c r="A363" s="219">
        <v>363</v>
      </c>
      <c r="B363" s="220">
        <v>2025010317398</v>
      </c>
      <c r="C363" s="226">
        <v>45833</v>
      </c>
      <c r="D363" s="220">
        <f ca="1">+TODAY()-radicados[[#This Row],[FECHA]]</f>
        <v>163</v>
      </c>
      <c r="E363" s="32" t="str">
        <f>+_xlfn.XLOOKUP(radicados[[#This Row],[MUNICIPIO]],MUNICIPIOS!A:A,MUNICIPIOS!E:E,0,0,1)</f>
        <v>Urabá</v>
      </c>
      <c r="F363" s="67" t="s">
        <v>74</v>
      </c>
      <c r="G363" s="3">
        <v>699</v>
      </c>
      <c r="H363" s="234" t="s">
        <v>1712</v>
      </c>
      <c r="I363" t="s">
        <v>17</v>
      </c>
      <c r="J363" s="233"/>
      <c r="K363" s="33" t="s">
        <v>1679</v>
      </c>
    </row>
    <row r="364" spans="1:11" ht="15" customHeight="1">
      <c r="A364" s="219">
        <v>364</v>
      </c>
      <c r="B364" s="220">
        <v>2025010319860</v>
      </c>
      <c r="C364" s="226">
        <v>45834</v>
      </c>
      <c r="D364" s="220">
        <f ca="1">+TODAY()-radicados[[#This Row],[FECHA]]</f>
        <v>162</v>
      </c>
      <c r="E364" s="32" t="str">
        <f>+_xlfn.XLOOKUP(radicados[[#This Row],[MUNICIPIO]],MUNICIPIOS!A:A,MUNICIPIOS!E:E,0,0,1)</f>
        <v>Occidente</v>
      </c>
      <c r="F364" s="67" t="s">
        <v>334</v>
      </c>
      <c r="G364" s="3">
        <v>700</v>
      </c>
      <c r="H364" s="234" t="s">
        <v>1680</v>
      </c>
      <c r="I364" t="s">
        <v>17</v>
      </c>
      <c r="J364" s="233">
        <v>4102567843</v>
      </c>
      <c r="K364" s="33" t="s">
        <v>1681</v>
      </c>
    </row>
    <row r="365" spans="1:11" ht="15" customHeight="1">
      <c r="A365" s="219">
        <v>365</v>
      </c>
      <c r="B365" s="220">
        <v>2025010329531</v>
      </c>
      <c r="C365" s="226">
        <v>45840</v>
      </c>
      <c r="D365" s="220">
        <f ca="1">+TODAY()-radicados[[#This Row],[FECHA]]</f>
        <v>156</v>
      </c>
      <c r="E365" s="32" t="str">
        <f>+_xlfn.XLOOKUP(radicados[[#This Row],[MUNICIPIO]],MUNICIPIOS!A:A,MUNICIPIOS!E:E,0,0,1)</f>
        <v>Urabá</v>
      </c>
      <c r="F365" s="67" t="s">
        <v>74</v>
      </c>
      <c r="G365" s="3">
        <v>701</v>
      </c>
      <c r="H365" t="s">
        <v>1683</v>
      </c>
      <c r="I365" t="s">
        <v>51</v>
      </c>
      <c r="J365" s="221"/>
      <c r="K365" s="33" t="s">
        <v>1682</v>
      </c>
    </row>
    <row r="366" spans="1:11" ht="15" customHeight="1">
      <c r="A366" s="219">
        <v>366</v>
      </c>
      <c r="B366" s="10">
        <v>2025010329555</v>
      </c>
      <c r="C366" s="226">
        <v>45840</v>
      </c>
      <c r="D366" s="220">
        <f ca="1">+TODAY()-radicados[[#This Row],[FECHA]]</f>
        <v>156</v>
      </c>
      <c r="E366" s="32" t="str">
        <f>+_xlfn.XLOOKUP(radicados[[#This Row],[MUNICIPIO]],MUNICIPIOS!A:A,MUNICIPIOS!E:E,0,0,1)</f>
        <v>Urabá</v>
      </c>
      <c r="F366" s="67" t="s">
        <v>74</v>
      </c>
      <c r="G366" s="3">
        <v>702</v>
      </c>
      <c r="H366" t="s">
        <v>1684</v>
      </c>
      <c r="I366" t="s">
        <v>51</v>
      </c>
      <c r="J366" s="221"/>
      <c r="K366" s="33" t="s">
        <v>1682</v>
      </c>
    </row>
    <row r="367" spans="1:11" ht="15" customHeight="1">
      <c r="A367" s="219">
        <v>367</v>
      </c>
      <c r="B367" s="10">
        <v>2025010331368</v>
      </c>
      <c r="C367" s="226">
        <v>45841</v>
      </c>
      <c r="D367" s="220">
        <f ca="1">+TODAY()-radicados[[#This Row],[FECHA]]</f>
        <v>155</v>
      </c>
      <c r="E367" s="32" t="str">
        <f>+_xlfn.XLOOKUP(radicados[[#This Row],[MUNICIPIO]],MUNICIPIOS!A:A,MUNICIPIOS!E:E,0,0,1)</f>
        <v>Oriente</v>
      </c>
      <c r="F367" s="67" t="s">
        <v>113</v>
      </c>
      <c r="G367" s="3">
        <v>703</v>
      </c>
      <c r="H367" t="s">
        <v>1686</v>
      </c>
      <c r="I367" t="s">
        <v>17</v>
      </c>
      <c r="J367" s="233">
        <v>2391348958</v>
      </c>
      <c r="K367" s="33" t="s">
        <v>1687</v>
      </c>
    </row>
    <row r="368" spans="1:11" ht="15" customHeight="1">
      <c r="A368" s="219">
        <v>368</v>
      </c>
      <c r="B368" s="10">
        <v>2025010333092</v>
      </c>
      <c r="C368" s="226">
        <v>45723</v>
      </c>
      <c r="D368" s="220">
        <f ca="1">+TODAY()-radicados[[#This Row],[FECHA]]</f>
        <v>273</v>
      </c>
      <c r="E368" s="32" t="str">
        <f>+_xlfn.XLOOKUP(radicados[[#This Row],[MUNICIPIO]],MUNICIPIOS!A:A,MUNICIPIOS!E:E,0,0,1)</f>
        <v>Norte</v>
      </c>
      <c r="F368" s="67" t="s">
        <v>209</v>
      </c>
      <c r="G368" s="3">
        <v>704</v>
      </c>
      <c r="H368" t="s">
        <v>1688</v>
      </c>
      <c r="I368" t="s">
        <v>17</v>
      </c>
      <c r="J368" s="233">
        <v>2627352174.2800002</v>
      </c>
      <c r="K368" s="235" t="s">
        <v>1689</v>
      </c>
    </row>
    <row r="369" spans="1:11" ht="15" customHeight="1">
      <c r="A369" s="219">
        <v>369</v>
      </c>
      <c r="B369" s="220">
        <v>2025010327218</v>
      </c>
      <c r="C369" s="226">
        <v>45723</v>
      </c>
      <c r="D369" s="220">
        <f ca="1">+TODAY()-radicados[[#This Row],[FECHA]]</f>
        <v>273</v>
      </c>
      <c r="E369" s="32" t="str">
        <f>+_xlfn.XLOOKUP(radicados[[#This Row],[MUNICIPIO]],MUNICIPIOS!A:A,MUNICIPIOS!E:E,0,0,1)</f>
        <v>Magdalena Medio</v>
      </c>
      <c r="F369" s="67" t="s">
        <v>339</v>
      </c>
      <c r="G369" s="3">
        <v>705</v>
      </c>
      <c r="H369" t="s">
        <v>1690</v>
      </c>
      <c r="I369" t="s">
        <v>17</v>
      </c>
      <c r="J369" s="233">
        <v>2743656131</v>
      </c>
      <c r="K369" s="33" t="s">
        <v>1691</v>
      </c>
    </row>
    <row r="370" spans="1:11" ht="15" customHeight="1">
      <c r="A370" s="219">
        <v>370</v>
      </c>
      <c r="B370" s="220">
        <v>2025010317243</v>
      </c>
      <c r="C370" s="226">
        <v>45833</v>
      </c>
      <c r="D370" s="220">
        <f ca="1">+TODAY()-radicados[[#This Row],[FECHA]]</f>
        <v>163</v>
      </c>
      <c r="E370" s="32" t="str">
        <f>+_xlfn.XLOOKUP(radicados[[#This Row],[MUNICIPIO]],MUNICIPIOS!A:A,MUNICIPIOS!E:E,0,0,1)</f>
        <v>Oriente</v>
      </c>
      <c r="F370" s="67" t="s">
        <v>97</v>
      </c>
      <c r="G370" s="3">
        <v>706</v>
      </c>
      <c r="H370" t="s">
        <v>1692</v>
      </c>
      <c r="I370" t="s">
        <v>51</v>
      </c>
      <c r="J370" s="221"/>
      <c r="K370" s="33" t="s">
        <v>1693</v>
      </c>
    </row>
    <row r="371" spans="1:11" ht="15" customHeight="1">
      <c r="A371" s="219">
        <v>371</v>
      </c>
      <c r="B371" s="220">
        <v>2025010335806</v>
      </c>
      <c r="C371" s="226">
        <v>45842</v>
      </c>
      <c r="D371" s="220">
        <f ca="1">+TODAY()-radicados[[#This Row],[FECHA]]</f>
        <v>154</v>
      </c>
      <c r="E371" s="32" t="str">
        <f>+_xlfn.XLOOKUP(radicados[[#This Row],[MUNICIPIO]],MUNICIPIOS!A:A,MUNICIPIOS!E:E,0,0,1)</f>
        <v>Nordeste</v>
      </c>
      <c r="F371" s="67" t="s">
        <v>67</v>
      </c>
      <c r="G371" s="3">
        <v>707</v>
      </c>
      <c r="H371" t="s">
        <v>1694</v>
      </c>
      <c r="I371" t="s">
        <v>17</v>
      </c>
      <c r="J371" s="233">
        <v>802848649</v>
      </c>
      <c r="K371" s="33"/>
    </row>
    <row r="372" spans="1:11" ht="15" customHeight="1">
      <c r="A372" s="219">
        <v>372</v>
      </c>
      <c r="B372" s="220">
        <v>2025010330363</v>
      </c>
      <c r="C372" s="226">
        <v>45840</v>
      </c>
      <c r="D372" s="220">
        <f ca="1">+TODAY()-radicados[[#This Row],[FECHA]]</f>
        <v>156</v>
      </c>
      <c r="E372" s="32" t="str">
        <f>+_xlfn.XLOOKUP(radicados[[#This Row],[MUNICIPIO]],MUNICIPIOS!A:A,MUNICIPIOS!E:E,0,0,1)</f>
        <v>Norte</v>
      </c>
      <c r="F372" s="67" t="s">
        <v>209</v>
      </c>
      <c r="G372" s="3">
        <v>623</v>
      </c>
      <c r="H372" t="s">
        <v>1695</v>
      </c>
      <c r="I372" t="s">
        <v>6</v>
      </c>
      <c r="J372" s="233">
        <v>417004011</v>
      </c>
      <c r="K372" s="33" t="s">
        <v>1696</v>
      </c>
    </row>
    <row r="373" spans="1:11" ht="15" customHeight="1">
      <c r="A373" s="219">
        <v>373</v>
      </c>
      <c r="B373" s="220">
        <v>2025030202093</v>
      </c>
      <c r="C373" s="226">
        <v>45847</v>
      </c>
      <c r="D373" s="220">
        <f ca="1">+TODAY()-radicados[[#This Row],[FECHA]]</f>
        <v>149</v>
      </c>
      <c r="E373" s="32" t="str">
        <f>+_xlfn.XLOOKUP(radicados[[#This Row],[MUNICIPIO]],MUNICIPIOS!A:A,MUNICIPIOS!E:E,0,0,1)</f>
        <v>Suroeste</v>
      </c>
      <c r="F373" s="67" t="s">
        <v>30</v>
      </c>
      <c r="G373" s="3">
        <v>708</v>
      </c>
      <c r="H373" t="s">
        <v>1697</v>
      </c>
      <c r="I373" t="s">
        <v>51</v>
      </c>
      <c r="J373" s="233"/>
      <c r="K373" s="33" t="s">
        <v>1698</v>
      </c>
    </row>
    <row r="374" spans="1:11" ht="15" customHeight="1">
      <c r="A374" s="219">
        <v>374</v>
      </c>
      <c r="B374" s="220">
        <v>2025010345528</v>
      </c>
      <c r="C374" s="226">
        <v>45848</v>
      </c>
      <c r="D374" s="220">
        <f ca="1">+TODAY()-radicados[[#This Row],[FECHA]]</f>
        <v>148</v>
      </c>
      <c r="E374" s="32" t="str">
        <f>+_xlfn.XLOOKUP(radicados[[#This Row],[MUNICIPIO]],MUNICIPIOS!A:A,MUNICIPIOS!E:E,0,0,1)</f>
        <v>Norte</v>
      </c>
      <c r="F374" s="67" t="s">
        <v>209</v>
      </c>
      <c r="G374" s="3">
        <v>623</v>
      </c>
      <c r="H374" t="s">
        <v>1699</v>
      </c>
      <c r="I374" t="s">
        <v>6</v>
      </c>
      <c r="J374" s="233">
        <v>417004011</v>
      </c>
      <c r="K374" s="33" t="s">
        <v>1696</v>
      </c>
    </row>
    <row r="375" spans="1:11" ht="15" customHeight="1">
      <c r="A375" s="219">
        <v>375</v>
      </c>
      <c r="B375" s="220">
        <v>2025010246689</v>
      </c>
      <c r="C375" s="226">
        <v>45848</v>
      </c>
      <c r="D375" s="220">
        <f ca="1">+TODAY()-radicados[[#This Row],[FECHA]]</f>
        <v>148</v>
      </c>
      <c r="E375" s="32" t="str">
        <f>+_xlfn.XLOOKUP(radicados[[#This Row],[MUNICIPIO]],MUNICIPIOS!A:A,MUNICIPIOS!E:E,0,0,1)</f>
        <v>Norte</v>
      </c>
      <c r="F375" s="67" t="s">
        <v>209</v>
      </c>
      <c r="G375" s="3">
        <v>623</v>
      </c>
      <c r="H375" t="s">
        <v>1700</v>
      </c>
      <c r="I375" t="s">
        <v>6</v>
      </c>
      <c r="J375" s="233">
        <v>417004011</v>
      </c>
      <c r="K375" s="33" t="s">
        <v>1696</v>
      </c>
    </row>
    <row r="376" spans="1:11" ht="15" customHeight="1">
      <c r="A376" s="219">
        <v>376</v>
      </c>
      <c r="B376" s="220">
        <v>2025010345273</v>
      </c>
      <c r="C376" s="226">
        <v>45848</v>
      </c>
      <c r="D376" s="220">
        <f ca="1">+TODAY()-radicados[[#This Row],[FECHA]]</f>
        <v>148</v>
      </c>
      <c r="E376" s="32" t="str">
        <f>+_xlfn.XLOOKUP(radicados[[#This Row],[MUNICIPIO]],MUNICIPIOS!A:A,MUNICIPIOS!E:E,0,0,1)</f>
        <v>Suroeste</v>
      </c>
      <c r="F376" s="67" t="s">
        <v>216</v>
      </c>
      <c r="G376" s="3">
        <v>709</v>
      </c>
      <c r="H376" t="s">
        <v>1701</v>
      </c>
      <c r="I376" t="s">
        <v>17</v>
      </c>
      <c r="J376" s="233">
        <v>6179314241</v>
      </c>
      <c r="K376" s="33" t="s">
        <v>1703</v>
      </c>
    </row>
    <row r="377" spans="1:11" ht="15" customHeight="1">
      <c r="A377" s="219">
        <v>377</v>
      </c>
      <c r="B377" s="220">
        <v>2025010347596</v>
      </c>
      <c r="C377" s="226">
        <v>45849</v>
      </c>
      <c r="D377" s="220">
        <f ca="1">+TODAY()-radicados[[#This Row],[FECHA]]</f>
        <v>147</v>
      </c>
      <c r="E377" s="32" t="str">
        <f>+_xlfn.XLOOKUP(radicados[[#This Row],[MUNICIPIO]],MUNICIPIOS!A:A,MUNICIPIOS!E:E,0,0,1)</f>
        <v>Oriente</v>
      </c>
      <c r="F377" s="67" t="s">
        <v>113</v>
      </c>
      <c r="G377" s="3">
        <v>710</v>
      </c>
      <c r="H377" t="s">
        <v>1702</v>
      </c>
      <c r="I377" t="s">
        <v>17</v>
      </c>
      <c r="J377" s="233">
        <v>2999963214.8899999</v>
      </c>
      <c r="K377" s="33" t="s">
        <v>1704</v>
      </c>
    </row>
    <row r="378" spans="1:11" ht="15" customHeight="1">
      <c r="A378" s="219">
        <v>378</v>
      </c>
      <c r="B378" s="220">
        <v>2025010334184</v>
      </c>
      <c r="C378" s="226">
        <v>45842</v>
      </c>
      <c r="D378" s="220">
        <f ca="1">+TODAY()-radicados[[#This Row],[FECHA]]</f>
        <v>154</v>
      </c>
      <c r="E378" s="32" t="str">
        <f>+_xlfn.XLOOKUP(radicados[[#This Row],[MUNICIPIO]],MUNICIPIOS!A:A,MUNICIPIOS!E:E,0,0,1)</f>
        <v>Urabá</v>
      </c>
      <c r="F378" s="67" t="s">
        <v>846</v>
      </c>
      <c r="G378" s="3">
        <v>711</v>
      </c>
      <c r="H378" t="s">
        <v>1705</v>
      </c>
      <c r="I378" t="s">
        <v>17</v>
      </c>
      <c r="J378" s="221"/>
      <c r="K378" s="33" t="s">
        <v>1706</v>
      </c>
    </row>
    <row r="379" spans="1:11" ht="15" customHeight="1">
      <c r="A379" s="219">
        <v>379</v>
      </c>
      <c r="B379" s="220">
        <v>2025010321480</v>
      </c>
      <c r="C379" s="226">
        <v>45834</v>
      </c>
      <c r="D379" s="220">
        <f ca="1">+TODAY()-radicados[[#This Row],[FECHA]]</f>
        <v>162</v>
      </c>
      <c r="E379" s="32" t="str">
        <f>+_xlfn.XLOOKUP(radicados[[#This Row],[MUNICIPIO]],MUNICIPIOS!A:A,MUNICIPIOS!E:E,0,0,1)</f>
        <v>Occidente</v>
      </c>
      <c r="F379" s="67" t="s">
        <v>578</v>
      </c>
      <c r="G379" s="3">
        <v>712</v>
      </c>
      <c r="H379" t="s">
        <v>1707</v>
      </c>
      <c r="I379" t="s">
        <v>17</v>
      </c>
      <c r="J379" s="233">
        <v>2341347501</v>
      </c>
      <c r="K379" s="222"/>
    </row>
    <row r="380" spans="1:11" ht="15" customHeight="1">
      <c r="A380" s="219">
        <v>380</v>
      </c>
      <c r="B380" s="220">
        <v>2025010335225</v>
      </c>
      <c r="C380" s="226">
        <v>45842</v>
      </c>
      <c r="D380" s="220">
        <f ca="1">+TODAY()-radicados[[#This Row],[FECHA]]</f>
        <v>154</v>
      </c>
      <c r="E380" s="32" t="str">
        <f>+_xlfn.XLOOKUP(radicados[[#This Row],[MUNICIPIO]],MUNICIPIOS!A:A,MUNICIPIOS!E:E,0,0,1)</f>
        <v>Urabá</v>
      </c>
      <c r="F380" s="67" t="s">
        <v>74</v>
      </c>
      <c r="G380" s="3">
        <v>713</v>
      </c>
      <c r="H380" t="s">
        <v>1709</v>
      </c>
      <c r="I380" t="s">
        <v>51</v>
      </c>
      <c r="J380" s="221"/>
      <c r="K380" s="222"/>
    </row>
    <row r="381" spans="1:11" ht="15" customHeight="1">
      <c r="A381" s="219">
        <v>381</v>
      </c>
      <c r="B381" s="220">
        <v>2025010335241</v>
      </c>
      <c r="C381" s="226">
        <v>45842</v>
      </c>
      <c r="D381" s="220">
        <f ca="1">+TODAY()-radicados[[#This Row],[FECHA]]</f>
        <v>154</v>
      </c>
      <c r="E381" s="32" t="str">
        <f>+_xlfn.XLOOKUP(radicados[[#This Row],[MUNICIPIO]],MUNICIPIOS!A:A,MUNICIPIOS!E:E,0,0,1)</f>
        <v>Urabá</v>
      </c>
      <c r="F381" s="67" t="s">
        <v>74</v>
      </c>
      <c r="G381" s="3">
        <v>714</v>
      </c>
      <c r="H381" t="s">
        <v>1710</v>
      </c>
      <c r="I381" t="s">
        <v>51</v>
      </c>
      <c r="J381" s="221"/>
      <c r="K381" s="222"/>
    </row>
    <row r="382" spans="1:11" ht="15" customHeight="1">
      <c r="A382" s="219">
        <v>382</v>
      </c>
      <c r="B382" s="220">
        <v>2025010358886</v>
      </c>
      <c r="C382" s="226">
        <v>45855</v>
      </c>
      <c r="D382" s="220">
        <f ca="1">+TODAY()-radicados[[#This Row],[FECHA]]</f>
        <v>141</v>
      </c>
      <c r="E382" s="32" t="str">
        <f>+_xlfn.XLOOKUP(radicados[[#This Row],[MUNICIPIO]],MUNICIPIOS!A:A,MUNICIPIOS!E:E,0,0,1)</f>
        <v>Urabá</v>
      </c>
      <c r="F382" s="67" t="s">
        <v>38</v>
      </c>
      <c r="G382" s="3">
        <v>715</v>
      </c>
      <c r="H382" t="s">
        <v>1714</v>
      </c>
      <c r="I382" t="s">
        <v>51</v>
      </c>
      <c r="J382" s="221"/>
      <c r="K382" s="235" t="s">
        <v>1713</v>
      </c>
    </row>
    <row r="383" spans="1:11" ht="15" customHeight="1">
      <c r="A383" s="219">
        <v>383</v>
      </c>
      <c r="B383" s="220">
        <v>2025010370756</v>
      </c>
      <c r="C383" s="226">
        <v>45860</v>
      </c>
      <c r="D383" s="220">
        <f ca="1">+TODAY()-radicados[[#This Row],[FECHA]]</f>
        <v>136</v>
      </c>
      <c r="E383" s="32" t="str">
        <f>+_xlfn.XLOOKUP(radicados[[#This Row],[MUNICIPIO]],MUNICIPIOS!A:A,MUNICIPIOS!E:E,0,0,1)</f>
        <v>Oriente</v>
      </c>
      <c r="F383" s="67" t="s">
        <v>84</v>
      </c>
      <c r="G383" s="3">
        <v>716</v>
      </c>
      <c r="H383" t="s">
        <v>1721</v>
      </c>
      <c r="I383" t="s">
        <v>17</v>
      </c>
      <c r="J383" s="233">
        <v>20215139616</v>
      </c>
      <c r="K383" s="33" t="s">
        <v>1720</v>
      </c>
    </row>
    <row r="384" spans="1:11" ht="15" customHeight="1">
      <c r="A384" s="219">
        <v>384</v>
      </c>
      <c r="B384" s="220">
        <v>2025050730967</v>
      </c>
      <c r="C384" s="226">
        <v>45862</v>
      </c>
      <c r="D384" s="220">
        <f ca="1">+TODAY()-radicados[[#This Row],[FECHA]]</f>
        <v>134</v>
      </c>
      <c r="E384" s="32" t="str">
        <f>+_xlfn.XLOOKUP(radicados[[#This Row],[MUNICIPIO]],MUNICIPIOS!A:A,MUNICIPIOS!E:E,0,0,1)</f>
        <v>Suroeste</v>
      </c>
      <c r="F384" s="67" t="s">
        <v>146</v>
      </c>
      <c r="G384" s="3">
        <v>717</v>
      </c>
      <c r="H384" t="s">
        <v>1722</v>
      </c>
      <c r="I384" t="s">
        <v>17</v>
      </c>
      <c r="J384" s="233">
        <v>8785417143</v>
      </c>
      <c r="K384" s="33" t="s">
        <v>1723</v>
      </c>
    </row>
    <row r="385" spans="1:11" ht="15" customHeight="1">
      <c r="A385" s="219">
        <v>385</v>
      </c>
      <c r="B385" s="220">
        <v>2024010273806</v>
      </c>
      <c r="C385" s="226">
        <v>45462</v>
      </c>
      <c r="D385" s="220">
        <f ca="1">+TODAY()-radicados[[#This Row],[FECHA]]</f>
        <v>534</v>
      </c>
      <c r="E385" s="32" t="str">
        <f>+_xlfn.XLOOKUP(radicados[[#This Row],[MUNICIPIO]],MUNICIPIOS!A:A,MUNICIPIOS!E:E,0,0,1)</f>
        <v>Oriente</v>
      </c>
      <c r="F385" s="67" t="s">
        <v>115</v>
      </c>
      <c r="G385" s="3">
        <v>718</v>
      </c>
      <c r="H385" t="s">
        <v>1727</v>
      </c>
      <c r="I385" t="s">
        <v>17</v>
      </c>
      <c r="J385" s="233">
        <v>3004468997</v>
      </c>
      <c r="K385" s="33" t="s">
        <v>1728</v>
      </c>
    </row>
    <row r="386" spans="1:11" ht="15" customHeight="1">
      <c r="A386" s="219">
        <v>386</v>
      </c>
      <c r="B386" s="220">
        <v>2025010399835</v>
      </c>
      <c r="C386" s="226">
        <v>45874</v>
      </c>
      <c r="D386" s="220">
        <f ca="1">+TODAY()-radicados[[#This Row],[FECHA]]</f>
        <v>122</v>
      </c>
      <c r="E386" s="32" t="str">
        <f>+_xlfn.XLOOKUP(radicados[[#This Row],[MUNICIPIO]],MUNICIPIOS!A:A,MUNICIPIOS!E:E,0,0,1)</f>
        <v>Urabá</v>
      </c>
      <c r="F386" s="67" t="s">
        <v>148</v>
      </c>
      <c r="G386" s="3">
        <v>719</v>
      </c>
      <c r="H386" t="s">
        <v>1730</v>
      </c>
      <c r="I386" t="s">
        <v>17</v>
      </c>
      <c r="J386" s="233">
        <v>4318551080</v>
      </c>
      <c r="K386" s="33" t="s">
        <v>1731</v>
      </c>
    </row>
    <row r="387" spans="1:11" ht="15" customHeight="1">
      <c r="A387" s="219">
        <v>387</v>
      </c>
      <c r="B387" s="220">
        <v>2025010399830</v>
      </c>
      <c r="C387" s="226">
        <v>45874</v>
      </c>
      <c r="D387" s="220">
        <f ca="1">+TODAY()-radicados[[#This Row],[FECHA]]</f>
        <v>122</v>
      </c>
      <c r="E387" s="32" t="str">
        <f>+_xlfn.XLOOKUP(radicados[[#This Row],[MUNICIPIO]],MUNICIPIOS!A:A,MUNICIPIOS!E:E,0,0,1)</f>
        <v>Urabá</v>
      </c>
      <c r="F387" s="67" t="s">
        <v>148</v>
      </c>
      <c r="G387" s="3">
        <v>720</v>
      </c>
      <c r="H387" t="s">
        <v>1733</v>
      </c>
      <c r="I387" t="s">
        <v>17</v>
      </c>
      <c r="J387" s="233">
        <v>7119271325</v>
      </c>
      <c r="K387" s="33" t="s">
        <v>1734</v>
      </c>
    </row>
    <row r="388" spans="1:11" ht="15" customHeight="1">
      <c r="A388" s="219">
        <v>389</v>
      </c>
      <c r="B388" s="220">
        <v>2025010227231</v>
      </c>
      <c r="C388" s="226">
        <v>45785</v>
      </c>
      <c r="D388" s="220">
        <f ca="1">+TODAY()-radicados[[#This Row],[FECHA]]</f>
        <v>211</v>
      </c>
      <c r="E388" s="32" t="str">
        <f>+_xlfn.XLOOKUP(radicados[[#This Row],[MUNICIPIO]],MUNICIPIOS!A:A,MUNICIPIOS!E:E,0,0,1)</f>
        <v>Suroeste</v>
      </c>
      <c r="F388" s="67" t="s">
        <v>281</v>
      </c>
      <c r="G388" s="3">
        <v>637</v>
      </c>
      <c r="H388" t="s">
        <v>1736</v>
      </c>
      <c r="I388" t="s">
        <v>17</v>
      </c>
      <c r="J388" s="221"/>
      <c r="K388" s="33" t="s">
        <v>1737</v>
      </c>
    </row>
    <row r="389" spans="1:11" ht="15" customHeight="1">
      <c r="A389" s="219">
        <v>390</v>
      </c>
      <c r="B389" s="220">
        <v>2025010233278</v>
      </c>
      <c r="C389" s="226">
        <v>45789</v>
      </c>
      <c r="D389" s="220">
        <f ca="1">+TODAY()-radicados[[#This Row],[FECHA]]</f>
        <v>207</v>
      </c>
      <c r="E389" s="32" t="str">
        <f>+_xlfn.XLOOKUP(radicados[[#This Row],[MUNICIPIO]],MUNICIPIOS!A:A,MUNICIPIOS!E:E,0,0,1)</f>
        <v>Urabá</v>
      </c>
      <c r="F389" s="67" t="s">
        <v>74</v>
      </c>
      <c r="G389" s="3">
        <v>721</v>
      </c>
      <c r="H389" t="s">
        <v>1739</v>
      </c>
      <c r="I389" t="s">
        <v>17</v>
      </c>
      <c r="J389" s="233">
        <v>51587565204</v>
      </c>
      <c r="K389" s="33" t="s">
        <v>1740</v>
      </c>
    </row>
    <row r="390" spans="1:11" ht="15" customHeight="1">
      <c r="A390" s="219">
        <v>391</v>
      </c>
      <c r="B390" s="220">
        <v>2025010234385</v>
      </c>
      <c r="C390" s="226">
        <v>45789</v>
      </c>
      <c r="D390" s="220">
        <f ca="1">+TODAY()-radicados[[#This Row],[FECHA]]</f>
        <v>207</v>
      </c>
      <c r="E390" s="32" t="str">
        <f>+_xlfn.XLOOKUP(radicados[[#This Row],[MUNICIPIO]],MUNICIPIOS!A:A,MUNICIPIOS!E:E,0,0,1)</f>
        <v>Urabá</v>
      </c>
      <c r="F390" s="67" t="s">
        <v>74</v>
      </c>
      <c r="G390" s="3">
        <v>722</v>
      </c>
      <c r="H390" t="s">
        <v>1738</v>
      </c>
      <c r="I390" t="s">
        <v>17</v>
      </c>
      <c r="J390" s="233">
        <v>4552024794</v>
      </c>
      <c r="K390" s="33" t="s">
        <v>1741</v>
      </c>
    </row>
    <row r="391" spans="1:11" ht="15" customHeight="1">
      <c r="A391" s="219">
        <v>392</v>
      </c>
      <c r="B391" s="220">
        <v>2025010231188</v>
      </c>
      <c r="C391" s="226">
        <v>45786</v>
      </c>
      <c r="D391" s="220">
        <f ca="1">+TODAY()-radicados[[#This Row],[FECHA]]</f>
        <v>210</v>
      </c>
      <c r="E391" s="32" t="str">
        <f>+_xlfn.XLOOKUP(radicados[[#This Row],[MUNICIPIO]],MUNICIPIOS!A:A,MUNICIPIOS!E:E,0,0,1)</f>
        <v>Urabá</v>
      </c>
      <c r="F391" s="67" t="s">
        <v>118</v>
      </c>
      <c r="G391" s="3">
        <v>723</v>
      </c>
      <c r="H391" t="s">
        <v>1743</v>
      </c>
      <c r="I391" t="s">
        <v>17</v>
      </c>
      <c r="J391" s="233">
        <v>2203977113</v>
      </c>
      <c r="K391" s="222"/>
    </row>
    <row r="392" spans="1:11" ht="15" customHeight="1">
      <c r="A392" s="219">
        <v>393</v>
      </c>
      <c r="B392" s="220">
        <v>2025010254649</v>
      </c>
      <c r="C392" s="226">
        <v>45799</v>
      </c>
      <c r="D392" s="220">
        <f ca="1">+TODAY()-radicados[[#This Row],[FECHA]]</f>
        <v>197</v>
      </c>
      <c r="E392" s="32" t="str">
        <f>+_xlfn.XLOOKUP(radicados[[#This Row],[MUNICIPIO]],MUNICIPIOS!A:A,MUNICIPIOS!E:E,0,0,1)</f>
        <v>Norte</v>
      </c>
      <c r="F392" s="67" t="s">
        <v>120</v>
      </c>
      <c r="G392" s="3">
        <v>724</v>
      </c>
      <c r="H392" t="s">
        <v>1744</v>
      </c>
      <c r="I392" t="s">
        <v>17</v>
      </c>
      <c r="J392" s="221"/>
      <c r="K392" s="213" t="s">
        <v>1745</v>
      </c>
    </row>
    <row r="393" spans="1:11" ht="15" customHeight="1">
      <c r="A393" s="219">
        <v>394</v>
      </c>
      <c r="B393" s="220">
        <v>2025010325800</v>
      </c>
      <c r="C393" s="226">
        <v>45839</v>
      </c>
      <c r="D393" s="220">
        <f ca="1">+TODAY()-radicados[[#This Row],[FECHA]]</f>
        <v>157</v>
      </c>
      <c r="E393" s="32" t="str">
        <f>+_xlfn.XLOOKUP(radicados[[#This Row],[MUNICIPIO]],MUNICIPIOS!A:A,MUNICIPIOS!E:E,0,0,1)</f>
        <v>Suroeste</v>
      </c>
      <c r="F393" s="67" t="s">
        <v>61</v>
      </c>
      <c r="G393" s="3">
        <v>725</v>
      </c>
      <c r="H393" t="s">
        <v>1746</v>
      </c>
      <c r="I393" t="s">
        <v>17</v>
      </c>
      <c r="J393" s="221"/>
      <c r="K393" s="33" t="s">
        <v>1747</v>
      </c>
    </row>
    <row r="394" spans="1:11" ht="15" customHeight="1">
      <c r="A394" s="219">
        <v>395</v>
      </c>
      <c r="B394" s="220">
        <v>2025010326137</v>
      </c>
      <c r="C394" s="226">
        <v>45839</v>
      </c>
      <c r="D394" s="220">
        <f ca="1">+TODAY()-radicados[[#This Row],[FECHA]]</f>
        <v>157</v>
      </c>
      <c r="E394" s="32" t="str">
        <f>+_xlfn.XLOOKUP(radicados[[#This Row],[MUNICIPIO]],MUNICIPIOS!A:A,MUNICIPIOS!E:E,0,0,1)</f>
        <v>Magdalena Medio</v>
      </c>
      <c r="F394" s="67" t="s">
        <v>339</v>
      </c>
      <c r="G394" s="3">
        <v>726</v>
      </c>
      <c r="H394" t="s">
        <v>1749</v>
      </c>
      <c r="I394" t="s">
        <v>17</v>
      </c>
      <c r="J394" s="233">
        <v>3741210157</v>
      </c>
      <c r="K394" s="33" t="s">
        <v>1748</v>
      </c>
    </row>
    <row r="395" spans="1:11" ht="15" customHeight="1">
      <c r="A395" s="219">
        <v>396</v>
      </c>
      <c r="B395" s="220">
        <v>2025010324175</v>
      </c>
      <c r="C395" s="11">
        <v>45835</v>
      </c>
      <c r="D395" s="220">
        <f ca="1">+TODAY()-radicados[[#This Row],[FECHA]]</f>
        <v>161</v>
      </c>
      <c r="E395" s="32" t="str">
        <f>+_xlfn.XLOOKUP(radicados[[#This Row],[MUNICIPIO]],MUNICIPIOS!A:A,MUNICIPIOS!E:E,0,0,1)</f>
        <v>Oriente</v>
      </c>
      <c r="F395" s="67" t="s">
        <v>596</v>
      </c>
      <c r="G395" s="3">
        <v>727</v>
      </c>
      <c r="H395" t="s">
        <v>1754</v>
      </c>
      <c r="I395" t="s">
        <v>51</v>
      </c>
      <c r="J395" s="221"/>
      <c r="K395" s="33" t="s">
        <v>1751</v>
      </c>
    </row>
    <row r="396" spans="1:11" ht="15" customHeight="1">
      <c r="A396" s="9">
        <v>397</v>
      </c>
      <c r="B396" s="10">
        <v>2025010326814</v>
      </c>
      <c r="C396" s="11">
        <v>45839</v>
      </c>
      <c r="D396" s="10">
        <f ca="1">+TODAY()-radicados[[#This Row],[FECHA]]</f>
        <v>157</v>
      </c>
      <c r="E396" s="32" t="str">
        <f>+_xlfn.XLOOKUP(radicados[[#This Row],[MUNICIPIO]],MUNICIPIOS!A:A,MUNICIPIOS!E:E,0,0,1)</f>
        <v>Urabá</v>
      </c>
      <c r="F396" s="67" t="s">
        <v>193</v>
      </c>
      <c r="G396" s="3">
        <v>728</v>
      </c>
      <c r="H396" t="s">
        <v>1753</v>
      </c>
      <c r="I396" t="s">
        <v>51</v>
      </c>
      <c r="K396" s="33" t="s">
        <v>1751</v>
      </c>
    </row>
    <row r="397" spans="1:11" ht="15" customHeight="1">
      <c r="A397" s="9">
        <v>398</v>
      </c>
      <c r="B397" s="10">
        <v>2025010307765</v>
      </c>
      <c r="C397" s="11">
        <v>45827</v>
      </c>
      <c r="D397" s="10">
        <f ca="1">+TODAY()-radicados[[#This Row],[FECHA]]</f>
        <v>169</v>
      </c>
      <c r="E397" s="32" t="str">
        <f>+_xlfn.XLOOKUP(radicados[[#This Row],[MUNICIPIO]],MUNICIPIOS!A:A,MUNICIPIOS!E:E,0,0,1)</f>
        <v>Oriente</v>
      </c>
      <c r="F397" s="67" t="s">
        <v>596</v>
      </c>
      <c r="G397" s="3">
        <v>727</v>
      </c>
      <c r="H397" t="s">
        <v>1755</v>
      </c>
      <c r="I397" t="s">
        <v>51</v>
      </c>
      <c r="K397" s="33" t="s">
        <v>1751</v>
      </c>
    </row>
    <row r="398" spans="1:11" ht="15" customHeight="1">
      <c r="A398" s="9">
        <v>399</v>
      </c>
      <c r="B398" s="10">
        <v>2025010326957</v>
      </c>
      <c r="C398" s="11">
        <v>45839</v>
      </c>
      <c r="D398" s="10">
        <f ca="1">+TODAY()-radicados[[#This Row],[FECHA]]</f>
        <v>157</v>
      </c>
      <c r="E398" s="32" t="str">
        <f>+_xlfn.XLOOKUP(radicados[[#This Row],[MUNICIPIO]],MUNICIPIOS!A:A,MUNICIPIOS!E:E,0,0,1)</f>
        <v>Urabá</v>
      </c>
      <c r="F398" s="67" t="s">
        <v>193</v>
      </c>
      <c r="G398" s="3">
        <v>729</v>
      </c>
      <c r="H398" t="s">
        <v>1756</v>
      </c>
      <c r="I398" t="s">
        <v>51</v>
      </c>
      <c r="J398" s="233"/>
      <c r="K398" s="33" t="s">
        <v>1751</v>
      </c>
    </row>
    <row r="399" spans="1:11" ht="15" customHeight="1">
      <c r="A399" s="9">
        <v>400</v>
      </c>
      <c r="B399" s="10">
        <v>2025010328409</v>
      </c>
      <c r="C399" s="11">
        <v>45840</v>
      </c>
      <c r="D399" s="10">
        <f ca="1">+TODAY()-radicados[[#This Row],[FECHA]]</f>
        <v>156</v>
      </c>
      <c r="E399" s="32" t="str">
        <f>+_xlfn.XLOOKUP(radicados[[#This Row],[MUNICIPIO]],MUNICIPIOS!A:A,MUNICIPIOS!E:E,0,0,1)</f>
        <v>Urabá</v>
      </c>
      <c r="F399" s="67" t="s">
        <v>846</v>
      </c>
      <c r="G399" s="3">
        <v>730</v>
      </c>
      <c r="H399" t="s">
        <v>1757</v>
      </c>
      <c r="I399" t="s">
        <v>17</v>
      </c>
      <c r="J399" s="233">
        <v>1849793053</v>
      </c>
      <c r="K399" s="33" t="s">
        <v>1758</v>
      </c>
    </row>
    <row r="400" spans="1:11" ht="15" customHeight="1">
      <c r="A400" s="9">
        <v>401</v>
      </c>
      <c r="B400" s="10">
        <v>2025010329648</v>
      </c>
      <c r="C400" s="11">
        <v>45840</v>
      </c>
      <c r="D400" s="10">
        <f ca="1">+TODAY()-radicados[[#This Row],[FECHA]]</f>
        <v>156</v>
      </c>
      <c r="E400" s="32" t="str">
        <f>+_xlfn.XLOOKUP(radicados[[#This Row],[MUNICIPIO]],MUNICIPIOS!A:A,MUNICIPIOS!E:E,0,0,1)</f>
        <v>Urabá</v>
      </c>
      <c r="F400" s="67" t="s">
        <v>74</v>
      </c>
      <c r="G400" s="3">
        <v>731</v>
      </c>
      <c r="H400" t="s">
        <v>1759</v>
      </c>
      <c r="I400" t="s">
        <v>51</v>
      </c>
      <c r="K400" s="33" t="s">
        <v>1751</v>
      </c>
    </row>
    <row r="401" spans="1:11" ht="15" customHeight="1">
      <c r="A401" s="9">
        <v>402</v>
      </c>
      <c r="B401" s="10">
        <v>2025010329702</v>
      </c>
      <c r="C401" s="11">
        <v>45840</v>
      </c>
      <c r="D401" s="10">
        <f ca="1">+TODAY()-radicados[[#This Row],[FECHA]]</f>
        <v>156</v>
      </c>
      <c r="E401" s="32" t="str">
        <f>+_xlfn.XLOOKUP(radicados[[#This Row],[MUNICIPIO]],MUNICIPIOS!A:A,MUNICIPIOS!E:E,0,0,1)</f>
        <v>Urabá</v>
      </c>
      <c r="F401" s="67" t="s">
        <v>74</v>
      </c>
      <c r="G401" s="3">
        <v>732</v>
      </c>
      <c r="H401" t="s">
        <v>1761</v>
      </c>
      <c r="I401" t="s">
        <v>51</v>
      </c>
      <c r="K401" s="33" t="s">
        <v>1751</v>
      </c>
    </row>
    <row r="402" spans="1:11" ht="15" customHeight="1">
      <c r="A402" s="9">
        <v>403</v>
      </c>
      <c r="B402" s="10">
        <v>2025010329822</v>
      </c>
      <c r="C402" s="11">
        <v>45840</v>
      </c>
      <c r="D402" s="10">
        <f ca="1">+TODAY()-radicados[[#This Row],[FECHA]]</f>
        <v>156</v>
      </c>
      <c r="E402" s="32" t="str">
        <f>+_xlfn.XLOOKUP(radicados[[#This Row],[MUNICIPIO]],MUNICIPIOS!A:A,MUNICIPIOS!E:E,0,0,1)</f>
        <v>Urabá</v>
      </c>
      <c r="F402" s="67" t="s">
        <v>74</v>
      </c>
      <c r="G402" s="3">
        <v>733</v>
      </c>
      <c r="H402" t="s">
        <v>1762</v>
      </c>
      <c r="I402" t="s">
        <v>51</v>
      </c>
      <c r="K402" s="33" t="s">
        <v>1751</v>
      </c>
    </row>
    <row r="403" spans="1:11" ht="15" customHeight="1">
      <c r="A403" s="9">
        <v>404</v>
      </c>
      <c r="B403" s="10">
        <v>2025010329873</v>
      </c>
      <c r="C403" s="11">
        <v>45840</v>
      </c>
      <c r="D403" s="10">
        <f ca="1">+TODAY()-radicados[[#This Row],[FECHA]]</f>
        <v>156</v>
      </c>
      <c r="E403" s="32" t="str">
        <f>+_xlfn.XLOOKUP(radicados[[#This Row],[MUNICIPIO]],MUNICIPIOS!A:A,MUNICIPIOS!E:E,0,0,1)</f>
        <v>Urabá</v>
      </c>
      <c r="F403" s="67" t="s">
        <v>74</v>
      </c>
      <c r="G403" s="3">
        <v>734</v>
      </c>
      <c r="H403" t="s">
        <v>1760</v>
      </c>
      <c r="I403" t="s">
        <v>51</v>
      </c>
      <c r="K403" s="33" t="s">
        <v>1751</v>
      </c>
    </row>
    <row r="404" spans="1:11" ht="15" customHeight="1">
      <c r="A404" s="9">
        <v>405</v>
      </c>
      <c r="B404" s="10">
        <v>2025010343303</v>
      </c>
      <c r="C404" s="11">
        <v>45847</v>
      </c>
      <c r="D404" s="10">
        <f ca="1">+TODAY()-radicados[[#This Row],[FECHA]]</f>
        <v>149</v>
      </c>
      <c r="E404" s="32" t="str">
        <f>+_xlfn.XLOOKUP(radicados[[#This Row],[MUNICIPIO]],MUNICIPIOS!A:A,MUNICIPIOS!E:E,0,0,1)</f>
        <v>Occidente</v>
      </c>
      <c r="F404" s="67" t="s">
        <v>452</v>
      </c>
      <c r="G404" s="3">
        <v>185</v>
      </c>
      <c r="H404" t="s">
        <v>1763</v>
      </c>
      <c r="I404" t="s">
        <v>17</v>
      </c>
      <c r="J404" s="233">
        <v>5520217450</v>
      </c>
      <c r="K404" s="33" t="s">
        <v>1764</v>
      </c>
    </row>
    <row r="405" spans="1:11" ht="15" customHeight="1">
      <c r="A405" s="9">
        <v>406</v>
      </c>
      <c r="B405" s="10">
        <v>2025010347598</v>
      </c>
      <c r="C405" s="11">
        <v>45848</v>
      </c>
      <c r="D405" s="10">
        <f ca="1">+TODAY()-radicados[[#This Row],[FECHA]]</f>
        <v>148</v>
      </c>
      <c r="E405" s="32" t="str">
        <f>+_xlfn.XLOOKUP(radicados[[#This Row],[MUNICIPIO]],MUNICIPIOS!A:A,MUNICIPIOS!E:E,0,0,1)</f>
        <v>Oriente</v>
      </c>
      <c r="F405" s="67" t="s">
        <v>227</v>
      </c>
      <c r="G405" s="3">
        <v>735</v>
      </c>
      <c r="H405" t="s">
        <v>1765</v>
      </c>
      <c r="I405" t="s">
        <v>17</v>
      </c>
      <c r="J405" s="233">
        <v>3924812656</v>
      </c>
      <c r="K405" s="33" t="s">
        <v>1766</v>
      </c>
    </row>
    <row r="406" spans="1:11" ht="15" customHeight="1">
      <c r="A406" s="9">
        <v>407</v>
      </c>
      <c r="B406" s="10">
        <v>2025010347602</v>
      </c>
      <c r="C406" s="11">
        <v>45849</v>
      </c>
      <c r="D406" s="10">
        <f ca="1">+TODAY()-radicados[[#This Row],[FECHA]]</f>
        <v>147</v>
      </c>
      <c r="E406" s="32" t="str">
        <f>+_xlfn.XLOOKUP(radicados[[#This Row],[MUNICIPIO]],MUNICIPIOS!A:A,MUNICIPIOS!E:E,0,0,1)</f>
        <v>Urabá</v>
      </c>
      <c r="F406" s="67" t="s">
        <v>63</v>
      </c>
      <c r="G406" s="3">
        <v>736</v>
      </c>
      <c r="H406" t="s">
        <v>1767</v>
      </c>
      <c r="I406" t="s">
        <v>17</v>
      </c>
      <c r="J406" s="233">
        <v>197756957</v>
      </c>
      <c r="K406" s="33" t="s">
        <v>1768</v>
      </c>
    </row>
    <row r="407" spans="1:11" ht="15" customHeight="1">
      <c r="A407" s="9">
        <v>408</v>
      </c>
      <c r="B407" s="10">
        <v>2025010348838</v>
      </c>
      <c r="C407" s="11">
        <v>45849</v>
      </c>
      <c r="D407" s="10">
        <f ca="1">+TODAY()-radicados[[#This Row],[FECHA]]</f>
        <v>147</v>
      </c>
      <c r="E407" s="32" t="str">
        <f>+_xlfn.XLOOKUP(radicados[[#This Row],[MUNICIPIO]],MUNICIPIOS!A:A,MUNICIPIOS!E:E,0,0,1)</f>
        <v>Nordeste</v>
      </c>
      <c r="F407" s="67" t="s">
        <v>546</v>
      </c>
      <c r="G407" s="3">
        <v>737</v>
      </c>
      <c r="H407" t="s">
        <v>1769</v>
      </c>
      <c r="I407" t="s">
        <v>51</v>
      </c>
      <c r="K407" s="33" t="s">
        <v>1770</v>
      </c>
    </row>
    <row r="408" spans="1:11" ht="15" customHeight="1">
      <c r="A408" s="9">
        <v>409</v>
      </c>
      <c r="B408" s="10">
        <v>2025010385894</v>
      </c>
      <c r="C408" s="11">
        <v>45867</v>
      </c>
      <c r="D408" s="10">
        <f ca="1">+TODAY()-radicados[[#This Row],[FECHA]]</f>
        <v>129</v>
      </c>
      <c r="E408" s="32" t="str">
        <f>+_xlfn.XLOOKUP(radicados[[#This Row],[MUNICIPIO]],MUNICIPIOS!A:A,MUNICIPIOS!E:E,0,0,1)</f>
        <v>Occidente</v>
      </c>
      <c r="F408" s="67" t="s">
        <v>578</v>
      </c>
      <c r="G408" s="3">
        <v>738</v>
      </c>
      <c r="H408" t="s">
        <v>1771</v>
      </c>
      <c r="I408" t="s">
        <v>51</v>
      </c>
      <c r="K408" s="33" t="s">
        <v>1751</v>
      </c>
    </row>
    <row r="409" spans="1:11" ht="15" customHeight="1">
      <c r="A409" s="9">
        <v>410</v>
      </c>
      <c r="B409" s="10">
        <v>2025010419327</v>
      </c>
      <c r="C409" s="11">
        <v>45883</v>
      </c>
      <c r="D409" s="10">
        <f ca="1">+TODAY()-radicados[[#This Row],[FECHA]]</f>
        <v>113</v>
      </c>
      <c r="E409" s="32" t="str">
        <f>+_xlfn.XLOOKUP(radicados[[#This Row],[MUNICIPIO]],MUNICIPIOS!A:A,MUNICIPIOS!E:E,0,0,1)</f>
        <v>Occidente</v>
      </c>
      <c r="F409" s="67" t="s">
        <v>160</v>
      </c>
      <c r="G409" s="3">
        <v>739</v>
      </c>
      <c r="H409" t="s">
        <v>1772</v>
      </c>
      <c r="I409" t="s">
        <v>17</v>
      </c>
      <c r="J409" s="233">
        <v>15799411458</v>
      </c>
      <c r="K409" s="33" t="s">
        <v>1773</v>
      </c>
    </row>
    <row r="410" spans="1:11" ht="15" customHeight="1">
      <c r="A410" s="9">
        <v>411</v>
      </c>
      <c r="B410" s="10">
        <v>2025010408660</v>
      </c>
      <c r="C410" s="11">
        <v>45880</v>
      </c>
      <c r="D410" s="10">
        <f ca="1">+TODAY()-radicados[[#This Row],[FECHA]]</f>
        <v>116</v>
      </c>
      <c r="E410" s="32" t="str">
        <f>+_xlfn.XLOOKUP(radicados[[#This Row],[MUNICIPIO]],MUNICIPIOS!A:A,MUNICIPIOS!E:E,0,0,1)</f>
        <v>Oriente</v>
      </c>
      <c r="F410" s="67" t="s">
        <v>84</v>
      </c>
      <c r="G410" s="3">
        <v>740</v>
      </c>
      <c r="H410" t="s">
        <v>1774</v>
      </c>
      <c r="I410" t="s">
        <v>17</v>
      </c>
      <c r="J410" s="29">
        <v>19084264653</v>
      </c>
      <c r="K410" s="33"/>
    </row>
    <row r="411" spans="1:11" ht="15" customHeight="1">
      <c r="A411" s="9">
        <v>412</v>
      </c>
      <c r="B411" s="10">
        <v>2025010350033</v>
      </c>
      <c r="C411" s="11">
        <v>45849</v>
      </c>
      <c r="D411" s="10">
        <f ca="1">+TODAY()-radicados[[#This Row],[FECHA]]</f>
        <v>147</v>
      </c>
      <c r="E411" s="32" t="str">
        <f>+_xlfn.XLOOKUP(radicados[[#This Row],[MUNICIPIO]],MUNICIPIOS!A:A,MUNICIPIOS!E:E,0,0,1)</f>
        <v>Oriente</v>
      </c>
      <c r="F411" s="67" t="s">
        <v>211</v>
      </c>
      <c r="G411" s="3">
        <v>741</v>
      </c>
      <c r="H411" t="s">
        <v>1775</v>
      </c>
      <c r="I411" t="s">
        <v>51</v>
      </c>
      <c r="K411" s="33" t="s">
        <v>1780</v>
      </c>
    </row>
    <row r="412" spans="1:11" ht="15" customHeight="1">
      <c r="A412" s="9">
        <v>413</v>
      </c>
      <c r="B412" s="10">
        <v>2025010375043</v>
      </c>
      <c r="C412" s="11">
        <v>45861</v>
      </c>
      <c r="D412" s="10">
        <f ca="1">+TODAY()-radicados[[#This Row],[FECHA]]</f>
        <v>135</v>
      </c>
      <c r="E412" s="32" t="str">
        <f>+_xlfn.XLOOKUP(radicados[[#This Row],[MUNICIPIO]],MUNICIPIOS!A:A,MUNICIPIOS!E:E,0,0,1)</f>
        <v>Occidente</v>
      </c>
      <c r="F412" s="67" t="s">
        <v>362</v>
      </c>
      <c r="G412" s="3">
        <v>742</v>
      </c>
      <c r="H412" t="s">
        <v>1776</v>
      </c>
      <c r="I412" t="s">
        <v>17</v>
      </c>
      <c r="J412" s="233">
        <v>543000000</v>
      </c>
      <c r="K412" s="33" t="s">
        <v>1781</v>
      </c>
    </row>
    <row r="413" spans="1:11" ht="15" customHeight="1">
      <c r="A413" s="9">
        <v>414</v>
      </c>
      <c r="B413" s="10">
        <v>2025010397658</v>
      </c>
      <c r="C413" s="11">
        <v>45873</v>
      </c>
      <c r="D413" s="10">
        <f ca="1">+TODAY()-radicados[[#This Row],[FECHA]]</f>
        <v>123</v>
      </c>
      <c r="E413" s="32" t="str">
        <f>+_xlfn.XLOOKUP(radicados[[#This Row],[MUNICIPIO]],MUNICIPIOS!A:A,MUNICIPIOS!E:E,0,0,1)</f>
        <v>Oriente</v>
      </c>
      <c r="F413" s="67" t="s">
        <v>323</v>
      </c>
      <c r="G413" s="3">
        <v>743</v>
      </c>
      <c r="H413" t="s">
        <v>1777</v>
      </c>
      <c r="I413" t="s">
        <v>17</v>
      </c>
      <c r="J413" s="233">
        <v>876299586</v>
      </c>
      <c r="K413" s="33" t="s">
        <v>1782</v>
      </c>
    </row>
    <row r="414" spans="1:11" ht="15" customHeight="1">
      <c r="A414" s="9">
        <v>415</v>
      </c>
      <c r="B414" s="10">
        <v>2025010402748</v>
      </c>
      <c r="C414" s="11">
        <v>45875</v>
      </c>
      <c r="D414" s="10">
        <f ca="1">+TODAY()-radicados[[#This Row],[FECHA]]</f>
        <v>121</v>
      </c>
      <c r="E414" s="32" t="str">
        <f>+_xlfn.XLOOKUP(radicados[[#This Row],[MUNICIPIO]],MUNICIPIOS!A:A,MUNICIPIOS!E:E,0,0,1)</f>
        <v>Oriente</v>
      </c>
      <c r="F414" s="67" t="s">
        <v>97</v>
      </c>
      <c r="G414" s="3">
        <v>660</v>
      </c>
      <c r="H414" t="s">
        <v>1778</v>
      </c>
      <c r="I414" t="s">
        <v>6</v>
      </c>
      <c r="J414" s="233"/>
      <c r="K414" s="33" t="s">
        <v>1783</v>
      </c>
    </row>
    <row r="415" spans="1:11" ht="15" customHeight="1">
      <c r="A415" s="9">
        <v>416</v>
      </c>
      <c r="B415" s="10">
        <v>2025010402996</v>
      </c>
      <c r="C415" s="11">
        <v>45875</v>
      </c>
      <c r="D415" s="10">
        <f ca="1">+TODAY()-radicados[[#This Row],[FECHA]]</f>
        <v>121</v>
      </c>
      <c r="E415" s="32" t="str">
        <f>+_xlfn.XLOOKUP(radicados[[#This Row],[MUNICIPIO]],MUNICIPIOS!A:A,MUNICIPIOS!E:E,0,0,1)</f>
        <v>Norte</v>
      </c>
      <c r="F415" s="67" t="s">
        <v>174</v>
      </c>
      <c r="G415" s="3">
        <v>745</v>
      </c>
      <c r="H415" t="s">
        <v>1779</v>
      </c>
      <c r="I415" t="s">
        <v>17</v>
      </c>
      <c r="J415" s="233">
        <v>2724134640</v>
      </c>
      <c r="K415" s="33" t="s">
        <v>1784</v>
      </c>
    </row>
    <row r="416" spans="1:11" ht="15" customHeight="1">
      <c r="A416" s="9">
        <v>417</v>
      </c>
      <c r="B416" s="10">
        <v>2025010415016</v>
      </c>
      <c r="C416" s="11">
        <v>45881</v>
      </c>
      <c r="D416" s="10">
        <f ca="1">+TODAY()-radicados[[#This Row],[FECHA]]</f>
        <v>115</v>
      </c>
      <c r="E416" s="32" t="str">
        <f>+_xlfn.XLOOKUP(radicados[[#This Row],[MUNICIPIO]],MUNICIPIOS!A:A,MUNICIPIOS!E:E,0,0,1)</f>
        <v>Oriente</v>
      </c>
      <c r="F416" s="67" t="s">
        <v>596</v>
      </c>
      <c r="G416" s="3">
        <v>746</v>
      </c>
      <c r="H416" t="s">
        <v>1786</v>
      </c>
      <c r="I416" t="s">
        <v>17</v>
      </c>
      <c r="J416" s="29">
        <v>335272874</v>
      </c>
      <c r="K416" s="33" t="s">
        <v>1785</v>
      </c>
    </row>
    <row r="417" spans="1:11" ht="15" customHeight="1">
      <c r="A417" s="9">
        <v>418</v>
      </c>
      <c r="B417" s="10"/>
      <c r="C417" s="11">
        <v>45891</v>
      </c>
      <c r="D417" s="10">
        <f ca="1">+TODAY()-radicados[[#This Row],[FECHA]]</f>
        <v>105</v>
      </c>
      <c r="E417" s="32" t="str">
        <f>+_xlfn.XLOOKUP(radicados[[#This Row],[MUNICIPIO]],MUNICIPIOS!A:A,MUNICIPIOS!E:E,0,0,1)</f>
        <v>Bajo Cauca</v>
      </c>
      <c r="F417" s="67" t="s">
        <v>692</v>
      </c>
      <c r="G417" s="3">
        <v>747</v>
      </c>
      <c r="H417" s="239" t="s">
        <v>1787</v>
      </c>
      <c r="I417" t="s">
        <v>17</v>
      </c>
      <c r="J417" s="29">
        <v>3222313981</v>
      </c>
      <c r="K417" s="213" t="s">
        <v>1788</v>
      </c>
    </row>
    <row r="418" spans="1:11" ht="15" customHeight="1">
      <c r="A418" s="243">
        <v>419</v>
      </c>
      <c r="B418" s="244">
        <v>2025010246874</v>
      </c>
      <c r="C418" s="245">
        <v>45796</v>
      </c>
      <c r="D418" s="10">
        <f ca="1">+TODAY()-radicados[[#This Row],[FECHA]]</f>
        <v>200</v>
      </c>
      <c r="E418" s="32" t="str">
        <f>+_xlfn.XLOOKUP(radicados[[#This Row],[MUNICIPIO]],MUNICIPIOS!A:A,MUNICIPIOS!E:E,0,0,1)</f>
        <v>Norte</v>
      </c>
      <c r="F418" s="246" t="s">
        <v>174</v>
      </c>
      <c r="G418" s="246">
        <v>748</v>
      </c>
      <c r="H418" s="248" t="s">
        <v>1789</v>
      </c>
      <c r="I418" s="248" t="s">
        <v>17</v>
      </c>
      <c r="J418" s="248"/>
      <c r="K418" s="246" t="s">
        <v>1790</v>
      </c>
    </row>
    <row r="419" spans="1:11" ht="15" customHeight="1">
      <c r="A419" s="243">
        <v>420</v>
      </c>
      <c r="B419" s="244">
        <v>2025010459138</v>
      </c>
      <c r="C419" s="245">
        <v>45902</v>
      </c>
      <c r="D419" s="10">
        <f ca="1">+TODAY()-radicados[[#This Row],[FECHA]]</f>
        <v>94</v>
      </c>
      <c r="E419" s="32" t="str">
        <f>+_xlfn.XLOOKUP(radicados[[#This Row],[MUNICIPIO]],MUNICIPIOS!A:A,MUNICIPIOS!E:E,0,0,1)</f>
        <v>Occidente</v>
      </c>
      <c r="F419" s="247" t="s">
        <v>362</v>
      </c>
      <c r="G419" s="247">
        <v>749</v>
      </c>
      <c r="H419" s="249" t="s">
        <v>1791</v>
      </c>
      <c r="I419" s="249" t="s">
        <v>17</v>
      </c>
      <c r="J419" s="249"/>
      <c r="K419" s="247" t="s">
        <v>1792</v>
      </c>
    </row>
    <row r="420" spans="1:11" ht="15" customHeight="1">
      <c r="A420" s="243">
        <v>421</v>
      </c>
      <c r="B420" s="244">
        <v>2025010460758</v>
      </c>
      <c r="C420" s="245">
        <v>45903</v>
      </c>
      <c r="D420" s="10">
        <f ca="1">+TODAY()-radicados[[#This Row],[FECHA]]</f>
        <v>93</v>
      </c>
      <c r="E420" s="32" t="str">
        <f>+_xlfn.XLOOKUP(radicados[[#This Row],[MUNICIPIO]],MUNICIPIOS!A:A,MUNICIPIOS!E:E,0,0,1)</f>
        <v>Oriente</v>
      </c>
      <c r="F420" s="246" t="s">
        <v>103</v>
      </c>
      <c r="G420" s="246">
        <v>750</v>
      </c>
      <c r="H420" s="248" t="s">
        <v>1793</v>
      </c>
      <c r="I420" s="248" t="s">
        <v>17</v>
      </c>
      <c r="J420" s="248"/>
      <c r="K420" s="246" t="s">
        <v>1794</v>
      </c>
    </row>
    <row r="421" spans="1:11" ht="15" customHeight="1">
      <c r="A421" s="243">
        <v>422</v>
      </c>
      <c r="B421" s="244">
        <v>2025010475719</v>
      </c>
      <c r="C421" s="245">
        <v>45909</v>
      </c>
      <c r="D421" s="244">
        <f ca="1">+TODAY()-radicados[[#This Row],[FECHA]]</f>
        <v>87</v>
      </c>
      <c r="E421" s="32" t="str">
        <f>+_xlfn.XLOOKUP(radicados[[#This Row],[MUNICIPIO]],MUNICIPIOS!A:A,MUNICIPIOS!E:E,0,0,1)</f>
        <v>Norte</v>
      </c>
      <c r="F421" s="247" t="s">
        <v>477</v>
      </c>
      <c r="G421" s="247">
        <v>751</v>
      </c>
      <c r="H421" s="249" t="s">
        <v>1795</v>
      </c>
      <c r="I421" s="249" t="s">
        <v>17</v>
      </c>
      <c r="J421" s="249"/>
      <c r="K421" s="247" t="s">
        <v>1796</v>
      </c>
    </row>
    <row r="422" spans="1:11" ht="15" customHeight="1">
      <c r="A422" s="243">
        <v>423</v>
      </c>
      <c r="B422" s="244">
        <v>2025010455112</v>
      </c>
      <c r="C422" s="245">
        <v>45901</v>
      </c>
      <c r="D422" s="244">
        <f ca="1">+TODAY()-radicados[[#This Row],[FECHA]]</f>
        <v>95</v>
      </c>
      <c r="E422" s="32" t="str">
        <f>+_xlfn.XLOOKUP(radicados[[#This Row],[MUNICIPIO]],MUNICIPIOS!A:A,MUNICIPIOS!E:E,0,0,1)</f>
        <v>Magdalena Medio</v>
      </c>
      <c r="F422" s="246" t="s">
        <v>134</v>
      </c>
      <c r="G422" s="246">
        <v>752</v>
      </c>
      <c r="H422" s="248" t="s">
        <v>1797</v>
      </c>
      <c r="I422" s="248" t="s">
        <v>17</v>
      </c>
      <c r="J422" s="250">
        <v>1375246490</v>
      </c>
      <c r="K422" s="246" t="s">
        <v>1798</v>
      </c>
    </row>
    <row r="423" spans="1:11" ht="15" customHeight="1">
      <c r="A423" s="243">
        <v>424</v>
      </c>
      <c r="B423" s="244">
        <v>2025010392178</v>
      </c>
      <c r="C423" s="245">
        <v>45869</v>
      </c>
      <c r="D423" s="244">
        <f ca="1">+TODAY()-radicados[[#This Row],[FECHA]]</f>
        <v>127</v>
      </c>
      <c r="E423" s="32" t="str">
        <f>+_xlfn.XLOOKUP(radicados[[#This Row],[MUNICIPIO]],MUNICIPIOS!A:A,MUNICIPIOS!E:E,0,0,1)</f>
        <v>Norte</v>
      </c>
      <c r="F423" s="247" t="s">
        <v>477</v>
      </c>
      <c r="G423" s="247">
        <v>753</v>
      </c>
      <c r="H423" s="251" t="s">
        <v>1799</v>
      </c>
      <c r="I423" s="249" t="s">
        <v>17</v>
      </c>
      <c r="J423" s="249"/>
      <c r="K423" s="247" t="s">
        <v>1800</v>
      </c>
    </row>
    <row r="424" spans="1:11" ht="15" customHeight="1">
      <c r="A424" s="243">
        <v>425</v>
      </c>
      <c r="B424" s="244">
        <v>2025010414931</v>
      </c>
      <c r="C424" s="245">
        <v>45898</v>
      </c>
      <c r="D424" s="244">
        <f ca="1">+TODAY()-radicados[[#This Row],[FECHA]]</f>
        <v>98</v>
      </c>
      <c r="E424" s="32" t="str">
        <f>+_xlfn.XLOOKUP(radicados[[#This Row],[MUNICIPIO]],MUNICIPIOS!A:A,MUNICIPIOS!E:E,0,0,1)</f>
        <v>Urabá</v>
      </c>
      <c r="F424" s="246" t="s">
        <v>153</v>
      </c>
      <c r="G424" s="246">
        <v>754</v>
      </c>
      <c r="H424" s="252" t="s">
        <v>1833</v>
      </c>
      <c r="I424" s="248" t="s">
        <v>17</v>
      </c>
      <c r="J424" s="250">
        <v>21028869361</v>
      </c>
      <c r="K424" s="246" t="s">
        <v>1801</v>
      </c>
    </row>
    <row r="425" spans="1:11" ht="15" customHeight="1">
      <c r="A425" s="243">
        <v>426</v>
      </c>
      <c r="B425" s="244">
        <v>2025010484184</v>
      </c>
      <c r="C425" s="245">
        <v>45912</v>
      </c>
      <c r="D425" s="244">
        <f ca="1">+TODAY()-radicados[[#This Row],[FECHA]]</f>
        <v>84</v>
      </c>
      <c r="E425" s="32" t="str">
        <f>+_xlfn.XLOOKUP(radicados[[#This Row],[MUNICIPIO]],MUNICIPIOS!A:A,MUNICIPIOS!E:E,0,0,1)</f>
        <v>Magdalena Medio</v>
      </c>
      <c r="F425" s="247" t="s">
        <v>11</v>
      </c>
      <c r="G425" s="247">
        <v>755</v>
      </c>
      <c r="H425" s="253" t="s">
        <v>1802</v>
      </c>
      <c r="I425" s="249" t="s">
        <v>17</v>
      </c>
      <c r="J425" s="254">
        <v>452389910</v>
      </c>
      <c r="K425" s="255" t="s">
        <v>1803</v>
      </c>
    </row>
    <row r="426" spans="1:11" ht="15" customHeight="1">
      <c r="A426" s="243">
        <v>427</v>
      </c>
      <c r="B426" s="244">
        <v>2025010417088</v>
      </c>
      <c r="C426" s="245">
        <v>45882</v>
      </c>
      <c r="D426" s="244">
        <f ca="1">+TODAY()-radicados[[#This Row],[FECHA]]</f>
        <v>114</v>
      </c>
      <c r="E426" s="32" t="str">
        <f>+_xlfn.XLOOKUP(radicados[[#This Row],[MUNICIPIO]],MUNICIPIOS!A:A,MUNICIPIOS!E:E,0,0,1)</f>
        <v>Norte</v>
      </c>
      <c r="F426" s="246" t="s">
        <v>884</v>
      </c>
      <c r="G426" s="246">
        <v>756</v>
      </c>
      <c r="H426" s="248" t="s">
        <v>1804</v>
      </c>
      <c r="I426" s="248" t="s">
        <v>17</v>
      </c>
      <c r="J426" s="250">
        <v>3022948446</v>
      </c>
      <c r="K426" s="246" t="s">
        <v>1805</v>
      </c>
    </row>
    <row r="427" spans="1:11" ht="15" customHeight="1">
      <c r="A427" s="243">
        <v>428</v>
      </c>
      <c r="B427" s="244">
        <v>2025010433856</v>
      </c>
      <c r="C427" s="245">
        <v>45891</v>
      </c>
      <c r="D427" s="244">
        <f ca="1">+TODAY()-radicados[[#This Row],[FECHA]]</f>
        <v>105</v>
      </c>
      <c r="E427" s="32" t="str">
        <f>+_xlfn.XLOOKUP(radicados[[#This Row],[MUNICIPIO]],MUNICIPIOS!A:A,MUNICIPIOS!E:E,0,0,1)</f>
        <v>Nordeste</v>
      </c>
      <c r="F427" s="247" t="s">
        <v>67</v>
      </c>
      <c r="G427" s="247">
        <v>707</v>
      </c>
      <c r="H427" s="249" t="s">
        <v>1806</v>
      </c>
      <c r="I427" s="249" t="s">
        <v>1807</v>
      </c>
      <c r="J427" s="249"/>
      <c r="K427" s="255" t="s">
        <v>1808</v>
      </c>
    </row>
    <row r="428" spans="1:11" ht="15" customHeight="1">
      <c r="A428" s="243">
        <v>429</v>
      </c>
      <c r="B428" s="244">
        <v>2025010435349</v>
      </c>
      <c r="C428" s="245">
        <v>45891</v>
      </c>
      <c r="D428" s="244">
        <f ca="1">+TODAY()-radicados[[#This Row],[FECHA]]</f>
        <v>105</v>
      </c>
      <c r="E428" s="32" t="str">
        <f>+_xlfn.XLOOKUP(radicados[[#This Row],[MUNICIPIO]],MUNICIPIOS!A:A,MUNICIPIOS!E:E,0,0,1)</f>
        <v>Norte</v>
      </c>
      <c r="F428" s="246" t="s">
        <v>120</v>
      </c>
      <c r="G428" s="246">
        <v>758</v>
      </c>
      <c r="H428" s="256" t="s">
        <v>1809</v>
      </c>
      <c r="I428" s="248" t="s">
        <v>17</v>
      </c>
      <c r="J428" s="250">
        <v>2749490229</v>
      </c>
      <c r="K428" s="246" t="s">
        <v>1810</v>
      </c>
    </row>
    <row r="429" spans="1:11" ht="15" customHeight="1">
      <c r="A429" s="243">
        <v>430</v>
      </c>
      <c r="B429" s="244">
        <v>2025010437732</v>
      </c>
      <c r="C429" s="245">
        <v>45894</v>
      </c>
      <c r="D429" s="244">
        <f ca="1">+TODAY()-radicados[[#This Row],[FECHA]]</f>
        <v>102</v>
      </c>
      <c r="E429" s="32" t="str">
        <f>+_xlfn.XLOOKUP(radicados[[#This Row],[MUNICIPIO]],MUNICIPIOS!A:A,MUNICIPIOS!E:E,0,0,1)</f>
        <v>Urabá</v>
      </c>
      <c r="F429" s="247" t="s">
        <v>118</v>
      </c>
      <c r="G429" s="247">
        <v>759</v>
      </c>
      <c r="H429" s="249" t="s">
        <v>1811</v>
      </c>
      <c r="I429" s="249" t="s">
        <v>17</v>
      </c>
      <c r="J429" s="254">
        <v>1131011015</v>
      </c>
      <c r="K429" s="247" t="s">
        <v>1812</v>
      </c>
    </row>
    <row r="430" spans="1:11" ht="15" customHeight="1">
      <c r="A430" s="243">
        <v>431</v>
      </c>
      <c r="B430" s="244">
        <v>2025010449162</v>
      </c>
      <c r="C430" s="245">
        <v>45898</v>
      </c>
      <c r="D430" s="244">
        <f ca="1">+TODAY()-radicados[[#This Row],[FECHA]]</f>
        <v>98</v>
      </c>
      <c r="E430" s="32" t="str">
        <f>+_xlfn.XLOOKUP(radicados[[#This Row],[MUNICIPIO]],MUNICIPIOS!A:A,MUNICIPIOS!E:E,0,0,1)</f>
        <v>Occidente</v>
      </c>
      <c r="F430" s="246" t="s">
        <v>448</v>
      </c>
      <c r="G430" s="246">
        <v>760</v>
      </c>
      <c r="H430" s="248" t="s">
        <v>1813</v>
      </c>
      <c r="I430" s="248" t="s">
        <v>17</v>
      </c>
      <c r="J430" s="248"/>
      <c r="K430" s="266" t="s">
        <v>1814</v>
      </c>
    </row>
    <row r="431" spans="1:11" ht="15" customHeight="1">
      <c r="A431" s="243">
        <v>432</v>
      </c>
      <c r="B431" s="244">
        <v>2025030253114</v>
      </c>
      <c r="C431" s="245">
        <v>45910</v>
      </c>
      <c r="D431" s="244">
        <f ca="1">+TODAY()-radicados[[#This Row],[FECHA]]</f>
        <v>86</v>
      </c>
      <c r="E431" s="32" t="str">
        <f>+_xlfn.XLOOKUP(radicados[[#This Row],[MUNICIPIO]],MUNICIPIOS!A:A,MUNICIPIOS!E:E,0,0,1)</f>
        <v>Oriente</v>
      </c>
      <c r="F431" s="247" t="s">
        <v>125</v>
      </c>
      <c r="G431" s="247">
        <v>761</v>
      </c>
      <c r="H431" s="249" t="s">
        <v>1815</v>
      </c>
      <c r="I431" s="249" t="s">
        <v>51</v>
      </c>
      <c r="J431" s="249"/>
      <c r="K431" s="253" t="s">
        <v>1816</v>
      </c>
    </row>
    <row r="432" spans="1:11" ht="15" customHeight="1">
      <c r="A432" s="243">
        <v>433</v>
      </c>
      <c r="B432" s="244">
        <v>2025010376267</v>
      </c>
      <c r="C432" s="245">
        <v>45862</v>
      </c>
      <c r="D432" s="244">
        <f ca="1">+TODAY()-radicados[[#This Row],[FECHA]]</f>
        <v>134</v>
      </c>
      <c r="E432" s="32" t="str">
        <f>+_xlfn.XLOOKUP(radicados[[#This Row],[MUNICIPIO]],MUNICIPIOS!A:A,MUNICIPIOS!E:E,0,0,1)</f>
        <v>Suroeste</v>
      </c>
      <c r="F432" s="246" t="s">
        <v>61</v>
      </c>
      <c r="G432" s="246">
        <v>762</v>
      </c>
      <c r="H432" s="248" t="s">
        <v>1817</v>
      </c>
      <c r="I432" s="248" t="s">
        <v>17</v>
      </c>
      <c r="J432" s="248"/>
      <c r="K432" s="266" t="s">
        <v>1818</v>
      </c>
    </row>
    <row r="433" spans="1:11" ht="15" customHeight="1">
      <c r="A433" s="243">
        <v>434</v>
      </c>
      <c r="B433" s="244">
        <v>2025010436611</v>
      </c>
      <c r="C433" s="245">
        <v>45891</v>
      </c>
      <c r="D433" s="244">
        <f ca="1">+TODAY()-radicados[[#This Row],[FECHA]]</f>
        <v>105</v>
      </c>
      <c r="E433" s="32" t="str">
        <f>+_xlfn.XLOOKUP(radicados[[#This Row],[MUNICIPIO]],MUNICIPIOS!A:A,MUNICIPIOS!E:E,0,0,1)</f>
        <v>Urabá</v>
      </c>
      <c r="F433" s="247" t="s">
        <v>118</v>
      </c>
      <c r="G433" s="247">
        <v>763</v>
      </c>
      <c r="H433" s="249" t="s">
        <v>1819</v>
      </c>
      <c r="I433" s="249" t="s">
        <v>17</v>
      </c>
      <c r="J433" s="254">
        <v>616648829</v>
      </c>
      <c r="K433" s="253" t="s">
        <v>1820</v>
      </c>
    </row>
    <row r="434" spans="1:11" ht="15" customHeight="1">
      <c r="A434" s="243">
        <v>435</v>
      </c>
      <c r="B434" s="244">
        <v>2025010491843</v>
      </c>
      <c r="C434" s="245">
        <v>45917</v>
      </c>
      <c r="D434" s="244">
        <f ca="1">+TODAY()-radicados[[#This Row],[FECHA]]</f>
        <v>79</v>
      </c>
      <c r="E434" s="32" t="str">
        <f>+_xlfn.XLOOKUP(radicados[[#This Row],[MUNICIPIO]],MUNICIPIOS!A:A,MUNICIPIOS!E:E,0,0,1)</f>
        <v>Oriente</v>
      </c>
      <c r="F434" s="246" t="s">
        <v>115</v>
      </c>
      <c r="G434" s="246">
        <v>764</v>
      </c>
      <c r="H434" s="248" t="s">
        <v>1821</v>
      </c>
      <c r="I434" s="248" t="s">
        <v>17</v>
      </c>
      <c r="J434" s="250">
        <v>850960131</v>
      </c>
      <c r="K434" s="266" t="s">
        <v>1822</v>
      </c>
    </row>
    <row r="435" spans="1:11" ht="15" customHeight="1">
      <c r="A435" s="243">
        <v>436</v>
      </c>
      <c r="B435" s="244">
        <v>2025010492760</v>
      </c>
      <c r="C435" s="245">
        <v>45917</v>
      </c>
      <c r="D435" s="244">
        <f ca="1">+TODAY()-radicados[[#This Row],[FECHA]]</f>
        <v>79</v>
      </c>
      <c r="E435" s="32" t="str">
        <f>+_xlfn.XLOOKUP(radicados[[#This Row],[MUNICIPIO]],MUNICIPIOS!A:A,MUNICIPIOS!E:E,0,0,1)</f>
        <v>Oriente</v>
      </c>
      <c r="F435" s="247" t="s">
        <v>115</v>
      </c>
      <c r="G435" s="247">
        <v>764</v>
      </c>
      <c r="H435" s="249" t="s">
        <v>1821</v>
      </c>
      <c r="I435" s="249" t="s">
        <v>17</v>
      </c>
      <c r="J435" s="254">
        <v>850960131</v>
      </c>
      <c r="K435" s="253" t="s">
        <v>1822</v>
      </c>
    </row>
    <row r="436" spans="1:11" ht="15" customHeight="1">
      <c r="A436" s="243">
        <v>437</v>
      </c>
      <c r="B436" s="244">
        <v>2025010492772</v>
      </c>
      <c r="C436" s="245">
        <v>45917</v>
      </c>
      <c r="D436" s="244">
        <f ca="1">+TODAY()-radicados[[#This Row],[FECHA]]</f>
        <v>79</v>
      </c>
      <c r="E436" s="32" t="str">
        <f>+_xlfn.XLOOKUP(radicados[[#This Row],[MUNICIPIO]],MUNICIPIOS!A:A,MUNICIPIOS!E:E,0,0,1)</f>
        <v>Oriente</v>
      </c>
      <c r="F436" s="246" t="s">
        <v>115</v>
      </c>
      <c r="G436" s="246">
        <v>764</v>
      </c>
      <c r="H436" s="248" t="s">
        <v>1821</v>
      </c>
      <c r="I436" s="248" t="s">
        <v>17</v>
      </c>
      <c r="J436" s="250">
        <v>850960131</v>
      </c>
      <c r="K436" s="266" t="s">
        <v>1822</v>
      </c>
    </row>
    <row r="437" spans="1:11" ht="15" customHeight="1">
      <c r="A437" s="243">
        <v>438</v>
      </c>
      <c r="B437" s="244">
        <v>2025010492918</v>
      </c>
      <c r="C437" s="245">
        <v>45917</v>
      </c>
      <c r="D437" s="244">
        <f ca="1">+TODAY()-radicados[[#This Row],[FECHA]]</f>
        <v>79</v>
      </c>
      <c r="E437" s="32" t="str">
        <f>+_xlfn.XLOOKUP(radicados[[#This Row],[MUNICIPIO]],MUNICIPIOS!A:A,MUNICIPIOS!E:E,0,0,1)</f>
        <v>Oriente</v>
      </c>
      <c r="F437" s="247" t="s">
        <v>115</v>
      </c>
      <c r="G437" s="247">
        <v>764</v>
      </c>
      <c r="H437" s="249" t="s">
        <v>1821</v>
      </c>
      <c r="I437" s="249" t="s">
        <v>17</v>
      </c>
      <c r="J437" s="254">
        <v>850960131</v>
      </c>
      <c r="K437" s="253" t="s">
        <v>1822</v>
      </c>
    </row>
    <row r="438" spans="1:11" ht="15" customHeight="1">
      <c r="A438" s="243">
        <v>439</v>
      </c>
      <c r="B438" s="244">
        <v>2025010490906</v>
      </c>
      <c r="C438" s="245">
        <v>45916</v>
      </c>
      <c r="D438" s="244">
        <f ca="1">+TODAY()-radicados[[#This Row],[FECHA]]</f>
        <v>80</v>
      </c>
      <c r="E438" s="32" t="str">
        <f>+_xlfn.XLOOKUP(radicados[[#This Row],[MUNICIPIO]],MUNICIPIOS!A:A,MUNICIPIOS!E:E,0,0,1)</f>
        <v>Norte</v>
      </c>
      <c r="F438" s="246" t="s">
        <v>823</v>
      </c>
      <c r="G438" s="246">
        <v>765</v>
      </c>
      <c r="H438" s="248" t="s">
        <v>1823</v>
      </c>
      <c r="I438" s="248" t="s">
        <v>17</v>
      </c>
      <c r="J438" s="250">
        <v>558037455</v>
      </c>
      <c r="K438" s="266" t="s">
        <v>1824</v>
      </c>
    </row>
    <row r="439" spans="1:11" ht="15" customHeight="1">
      <c r="A439" s="243">
        <v>440</v>
      </c>
      <c r="B439" s="244">
        <v>2025010490906</v>
      </c>
      <c r="C439" s="245">
        <v>45916</v>
      </c>
      <c r="D439" s="244">
        <f ca="1">+TODAY()-radicados[[#This Row],[FECHA]]</f>
        <v>80</v>
      </c>
      <c r="E439" s="32" t="str">
        <f>+_xlfn.XLOOKUP(radicados[[#This Row],[MUNICIPIO]],MUNICIPIOS!A:A,MUNICIPIOS!E:E,0,0,1)</f>
        <v>Norte</v>
      </c>
      <c r="F439" s="247" t="s">
        <v>823</v>
      </c>
      <c r="G439" s="247">
        <v>768</v>
      </c>
      <c r="H439" s="249" t="s">
        <v>1825</v>
      </c>
      <c r="I439" s="249" t="s">
        <v>17</v>
      </c>
      <c r="J439" s="254">
        <v>823524790</v>
      </c>
      <c r="K439" s="253" t="s">
        <v>1826</v>
      </c>
    </row>
    <row r="440" spans="1:11" ht="15" customHeight="1">
      <c r="A440" s="243">
        <v>441</v>
      </c>
      <c r="B440" s="244">
        <v>2025010490906</v>
      </c>
      <c r="C440" s="245">
        <v>45916</v>
      </c>
      <c r="D440" s="244">
        <f ca="1">+TODAY()-radicados[[#This Row],[FECHA]]</f>
        <v>80</v>
      </c>
      <c r="E440" s="32" t="str">
        <f>+_xlfn.XLOOKUP(radicados[[#This Row],[MUNICIPIO]],MUNICIPIOS!A:A,MUNICIPIOS!E:E,0,0,1)</f>
        <v>Norte</v>
      </c>
      <c r="F440" s="246" t="s">
        <v>823</v>
      </c>
      <c r="G440" s="246">
        <v>769</v>
      </c>
      <c r="H440" s="248" t="s">
        <v>1827</v>
      </c>
      <c r="I440" s="248" t="s">
        <v>17</v>
      </c>
      <c r="J440" s="250">
        <v>5759083284</v>
      </c>
      <c r="K440" s="266" t="s">
        <v>1828</v>
      </c>
    </row>
    <row r="441" spans="1:11" ht="15" customHeight="1">
      <c r="A441" s="243">
        <v>442</v>
      </c>
      <c r="B441" s="244">
        <v>2025010427845</v>
      </c>
      <c r="C441" s="245">
        <v>45897</v>
      </c>
      <c r="D441" s="244">
        <f ca="1">+TODAY()-radicados[[#This Row],[FECHA]]</f>
        <v>99</v>
      </c>
      <c r="E441" s="32" t="str">
        <f>+_xlfn.XLOOKUP(radicados[[#This Row],[MUNICIPIO]],MUNICIPIOS!A:A,MUNICIPIOS!E:E,0,0,1)</f>
        <v>Suroeste</v>
      </c>
      <c r="F441" s="247" t="s">
        <v>88</v>
      </c>
      <c r="G441" s="247">
        <v>766</v>
      </c>
      <c r="H441" s="249" t="s">
        <v>1829</v>
      </c>
      <c r="I441" s="249" t="s">
        <v>17</v>
      </c>
      <c r="J441" s="249"/>
      <c r="K441" s="253" t="s">
        <v>1830</v>
      </c>
    </row>
    <row r="442" spans="1:11" ht="15" customHeight="1">
      <c r="A442" s="243">
        <v>443</v>
      </c>
      <c r="B442" s="244">
        <v>2025010289613</v>
      </c>
      <c r="C442" s="245">
        <v>45818</v>
      </c>
      <c r="D442" s="244">
        <f ca="1">+TODAY()-radicados[[#This Row],[FECHA]]</f>
        <v>178</v>
      </c>
      <c r="E442" s="32" t="str">
        <f>+_xlfn.XLOOKUP(radicados[[#This Row],[MUNICIPIO]],MUNICIPIOS!A:A,MUNICIPIOS!E:E,0,0,1)</f>
        <v>Norte</v>
      </c>
      <c r="F442" s="246" t="s">
        <v>136</v>
      </c>
      <c r="G442" s="246">
        <v>767</v>
      </c>
      <c r="H442" s="248" t="s">
        <v>1831</v>
      </c>
      <c r="I442" s="248" t="s">
        <v>17</v>
      </c>
      <c r="J442" s="250">
        <v>353565298</v>
      </c>
      <c r="K442" s="266" t="s">
        <v>1832</v>
      </c>
    </row>
    <row r="443" spans="1:11" ht="15" customHeight="1">
      <c r="A443" s="243">
        <v>444</v>
      </c>
      <c r="B443" s="244">
        <v>2025010508060</v>
      </c>
      <c r="C443" s="263">
        <v>45924</v>
      </c>
      <c r="D443" s="244">
        <f ca="1">+TODAY()-radicados[[#This Row],[FECHA]]</f>
        <v>72</v>
      </c>
      <c r="E443" s="32" t="str">
        <f>+_xlfn.XLOOKUP(radicados[[#This Row],[MUNICIPIO]],MUNICIPIOS!A:A,MUNICIPIOS!E:E,0,0,1)</f>
        <v>Nordeste</v>
      </c>
      <c r="F443" s="247" t="s">
        <v>327</v>
      </c>
      <c r="G443" s="247">
        <v>770</v>
      </c>
      <c r="H443" s="249" t="s">
        <v>1850</v>
      </c>
      <c r="I443" s="249" t="s">
        <v>17</v>
      </c>
      <c r="J443" s="254">
        <v>3617847281</v>
      </c>
      <c r="K443" s="253" t="s">
        <v>1853</v>
      </c>
    </row>
    <row r="444" spans="1:11" ht="15" customHeight="1">
      <c r="A444" s="243">
        <v>445</v>
      </c>
      <c r="B444" s="244">
        <v>2025010511331</v>
      </c>
      <c r="C444" s="264">
        <v>45925</v>
      </c>
      <c r="D444" s="244">
        <f ca="1">+TODAY()-radicados[[#This Row],[FECHA]]</f>
        <v>71</v>
      </c>
      <c r="E444" s="32" t="str">
        <f>+_xlfn.XLOOKUP(radicados[[#This Row],[MUNICIPIO]],MUNICIPIOS!A:A,MUNICIPIOS!E:E,0,0,1)</f>
        <v>Urabá</v>
      </c>
      <c r="F444" s="246" t="s">
        <v>118</v>
      </c>
      <c r="G444" s="246">
        <v>771</v>
      </c>
      <c r="H444" s="248" t="s">
        <v>1840</v>
      </c>
      <c r="I444" s="248" t="s">
        <v>17</v>
      </c>
      <c r="J444" s="250">
        <v>139865148184</v>
      </c>
      <c r="K444" s="266" t="s">
        <v>1854</v>
      </c>
    </row>
    <row r="445" spans="1:11" ht="15" customHeight="1">
      <c r="A445" s="243">
        <v>446</v>
      </c>
      <c r="B445" s="244">
        <v>2025010512377</v>
      </c>
      <c r="C445" s="263">
        <v>45925</v>
      </c>
      <c r="D445" s="244">
        <f ca="1">+TODAY()-radicados[[#This Row],[FECHA]]</f>
        <v>71</v>
      </c>
      <c r="E445" s="32" t="str">
        <f>+_xlfn.XLOOKUP(radicados[[#This Row],[MUNICIPIO]],MUNICIPIOS!A:A,MUNICIPIOS!E:E,0,0,1)</f>
        <v>Urabá</v>
      </c>
      <c r="F445" s="247" t="s">
        <v>193</v>
      </c>
      <c r="G445" s="247">
        <v>772</v>
      </c>
      <c r="H445" s="249" t="s">
        <v>1851</v>
      </c>
      <c r="I445" s="249" t="s">
        <v>17</v>
      </c>
      <c r="J445" s="254">
        <v>1760641952</v>
      </c>
      <c r="K445" s="253" t="s">
        <v>1855</v>
      </c>
    </row>
    <row r="446" spans="1:11" ht="15" customHeight="1">
      <c r="A446" s="243">
        <v>447</v>
      </c>
      <c r="B446" s="244">
        <v>2025010510292</v>
      </c>
      <c r="C446" s="264">
        <v>45924</v>
      </c>
      <c r="D446" s="244">
        <f ca="1">+TODAY()-radicados[[#This Row],[FECHA]]</f>
        <v>72</v>
      </c>
      <c r="E446" s="32" t="str">
        <f>+_xlfn.XLOOKUP(radicados[[#This Row],[MUNICIPIO]],MUNICIPIOS!A:A,MUNICIPIOS!E:E,0,0,1)</f>
        <v>Urabá</v>
      </c>
      <c r="F446" s="246" t="s">
        <v>118</v>
      </c>
      <c r="G446" s="246">
        <v>773</v>
      </c>
      <c r="H446" s="248" t="s">
        <v>1841</v>
      </c>
      <c r="I446" s="248" t="s">
        <v>17</v>
      </c>
      <c r="J446" s="265">
        <v>3946516.93</v>
      </c>
      <c r="K446" s="266" t="s">
        <v>1853</v>
      </c>
    </row>
    <row r="447" spans="1:11" ht="15" customHeight="1">
      <c r="A447" s="243">
        <v>448</v>
      </c>
      <c r="B447" s="244">
        <v>2025010512550</v>
      </c>
      <c r="C447" s="263">
        <v>45925</v>
      </c>
      <c r="D447" s="244">
        <f ca="1">+TODAY()-radicados[[#This Row],[FECHA]]</f>
        <v>71</v>
      </c>
      <c r="E447" s="32" t="str">
        <f>+_xlfn.XLOOKUP(radicados[[#This Row],[MUNICIPIO]],MUNICIPIOS!A:A,MUNICIPIOS!E:E,0,0,1)</f>
        <v>Valle de Aburrá</v>
      </c>
      <c r="F447" s="247" t="s">
        <v>196</v>
      </c>
      <c r="G447" s="247">
        <v>774</v>
      </c>
      <c r="H447" s="249" t="s">
        <v>1842</v>
      </c>
      <c r="I447" s="249" t="s">
        <v>17</v>
      </c>
      <c r="J447" s="254">
        <v>13563112347</v>
      </c>
      <c r="K447" s="253" t="s">
        <v>1856</v>
      </c>
    </row>
    <row r="448" spans="1:11" ht="15" customHeight="1">
      <c r="A448" s="243">
        <v>449</v>
      </c>
      <c r="B448" s="244">
        <v>2025010461477</v>
      </c>
      <c r="C448" s="264">
        <v>45903</v>
      </c>
      <c r="D448" s="244">
        <f ca="1">+TODAY()-radicados[[#This Row],[FECHA]]</f>
        <v>93</v>
      </c>
      <c r="E448" s="32" t="str">
        <f>+_xlfn.XLOOKUP(radicados[[#This Row],[MUNICIPIO]],MUNICIPIOS!A:A,MUNICIPIOS!E:E,0,0,1)</f>
        <v>Oriente</v>
      </c>
      <c r="F448" s="246" t="s">
        <v>163</v>
      </c>
      <c r="G448" s="246">
        <v>775</v>
      </c>
      <c r="H448" s="248" t="s">
        <v>1843</v>
      </c>
      <c r="I448" s="248" t="s">
        <v>17</v>
      </c>
      <c r="J448" s="250">
        <v>39344331848</v>
      </c>
      <c r="K448" s="266" t="s">
        <v>1857</v>
      </c>
    </row>
    <row r="449" spans="1:11" ht="15" customHeight="1">
      <c r="A449" s="243">
        <v>450</v>
      </c>
      <c r="B449" s="244">
        <v>2025010537944</v>
      </c>
      <c r="C449" s="263">
        <v>45937</v>
      </c>
      <c r="D449" s="244">
        <f ca="1">+TODAY()-radicados[[#This Row],[FECHA]]</f>
        <v>59</v>
      </c>
      <c r="E449" s="32" t="str">
        <f>+_xlfn.XLOOKUP(radicados[[#This Row],[MUNICIPIO]],MUNICIPIOS!A:A,MUNICIPIOS!E:E,0,0,1)</f>
        <v>Oriente</v>
      </c>
      <c r="F449" s="247" t="s">
        <v>227</v>
      </c>
      <c r="G449" s="247">
        <v>776</v>
      </c>
      <c r="H449" s="249" t="s">
        <v>1852</v>
      </c>
      <c r="I449" s="249" t="s">
        <v>17</v>
      </c>
      <c r="J449" s="249"/>
      <c r="K449" s="253" t="s">
        <v>1858</v>
      </c>
    </row>
    <row r="450" spans="1:11" ht="15" customHeight="1">
      <c r="A450" s="243">
        <v>451</v>
      </c>
      <c r="B450" s="244">
        <v>2025010491474</v>
      </c>
      <c r="C450" s="264">
        <v>45916</v>
      </c>
      <c r="D450" s="244">
        <f ca="1">+TODAY()-radicados[[#This Row],[FECHA]]</f>
        <v>80</v>
      </c>
      <c r="E450" s="32" t="str">
        <f>+_xlfn.XLOOKUP(radicados[[#This Row],[MUNICIPIO]],MUNICIPIOS!A:A,MUNICIPIOS!E:E,0,0,1)</f>
        <v>Oriente</v>
      </c>
      <c r="F450" s="246" t="s">
        <v>115</v>
      </c>
      <c r="G450" s="246">
        <v>777</v>
      </c>
      <c r="H450" s="248" t="s">
        <v>1844</v>
      </c>
      <c r="I450" s="248" t="s">
        <v>17</v>
      </c>
      <c r="J450" s="250">
        <v>1109081947</v>
      </c>
      <c r="K450" s="266"/>
    </row>
    <row r="451" spans="1:11" ht="15" customHeight="1">
      <c r="A451" s="243">
        <v>452</v>
      </c>
      <c r="B451" s="244">
        <v>2025010491477</v>
      </c>
      <c r="C451" s="263">
        <v>45916</v>
      </c>
      <c r="D451" s="244">
        <f ca="1">+TODAY()-radicados[[#This Row],[FECHA]]</f>
        <v>80</v>
      </c>
      <c r="E451" s="32" t="str">
        <f>+_xlfn.XLOOKUP(radicados[[#This Row],[MUNICIPIO]],MUNICIPIOS!A:A,MUNICIPIOS!E:E,0,0,1)</f>
        <v>Oriente</v>
      </c>
      <c r="F451" s="247" t="s">
        <v>115</v>
      </c>
      <c r="G451" s="247">
        <v>777</v>
      </c>
      <c r="H451" s="249" t="s">
        <v>1844</v>
      </c>
      <c r="I451" s="249" t="s">
        <v>17</v>
      </c>
      <c r="J451" s="254">
        <v>1109081947</v>
      </c>
      <c r="K451" s="253" t="s">
        <v>1859</v>
      </c>
    </row>
    <row r="452" spans="1:11" ht="15" customHeight="1">
      <c r="A452" s="243">
        <v>453</v>
      </c>
      <c r="B452" s="244">
        <v>2025010491507</v>
      </c>
      <c r="C452" s="264">
        <v>45916</v>
      </c>
      <c r="D452" s="244">
        <f ca="1">+TODAY()-radicados[[#This Row],[FECHA]]</f>
        <v>80</v>
      </c>
      <c r="E452" s="32" t="str">
        <f>+_xlfn.XLOOKUP(radicados[[#This Row],[MUNICIPIO]],MUNICIPIOS!A:A,MUNICIPIOS!E:E,0,0,1)</f>
        <v>Oriente</v>
      </c>
      <c r="F452" s="246" t="s">
        <v>115</v>
      </c>
      <c r="G452" s="246">
        <v>777</v>
      </c>
      <c r="H452" s="248" t="s">
        <v>1844</v>
      </c>
      <c r="I452" s="248" t="s">
        <v>17</v>
      </c>
      <c r="J452" s="250">
        <v>1109081947</v>
      </c>
      <c r="K452" s="266"/>
    </row>
    <row r="453" spans="1:11" ht="15" customHeight="1">
      <c r="A453" s="243">
        <v>454</v>
      </c>
      <c r="B453" s="244">
        <v>2025010492903</v>
      </c>
      <c r="C453" s="263">
        <v>45917</v>
      </c>
      <c r="D453" s="244">
        <f ca="1">+TODAY()-radicados[[#This Row],[FECHA]]</f>
        <v>79</v>
      </c>
      <c r="E453" s="32" t="str">
        <f>+_xlfn.XLOOKUP(radicados[[#This Row],[MUNICIPIO]],MUNICIPIOS!A:A,MUNICIPIOS!E:E,0,0,1)</f>
        <v>Oriente</v>
      </c>
      <c r="F453" s="247" t="s">
        <v>115</v>
      </c>
      <c r="G453" s="247">
        <v>777</v>
      </c>
      <c r="H453" s="249" t="s">
        <v>1844</v>
      </c>
      <c r="I453" s="249" t="s">
        <v>17</v>
      </c>
      <c r="J453" s="254">
        <v>1109081947</v>
      </c>
      <c r="K453" s="253"/>
    </row>
    <row r="454" spans="1:11" ht="15" customHeight="1">
      <c r="A454" s="243">
        <v>455</v>
      </c>
      <c r="B454" s="244">
        <v>2025010508107</v>
      </c>
      <c r="C454" s="264">
        <v>45924</v>
      </c>
      <c r="D454" s="244">
        <f ca="1">+TODAY()-radicados[[#This Row],[FECHA]]</f>
        <v>72</v>
      </c>
      <c r="E454" s="32" t="str">
        <f>+_xlfn.XLOOKUP(radicados[[#This Row],[MUNICIPIO]],MUNICIPIOS!A:A,MUNICIPIOS!E:E,0,0,1)</f>
        <v>Occidente</v>
      </c>
      <c r="F454" s="246" t="s">
        <v>334</v>
      </c>
      <c r="G454" s="246">
        <v>218</v>
      </c>
      <c r="H454" s="248" t="s">
        <v>1845</v>
      </c>
      <c r="I454" s="248" t="s">
        <v>6</v>
      </c>
      <c r="J454" s="248"/>
      <c r="K454" s="266" t="s">
        <v>1860</v>
      </c>
    </row>
    <row r="455" spans="1:11" ht="15" customHeight="1">
      <c r="A455" s="243">
        <v>456</v>
      </c>
      <c r="B455" s="244">
        <v>2025010512577</v>
      </c>
      <c r="C455" s="263">
        <v>45925</v>
      </c>
      <c r="D455" s="244">
        <f ca="1">+TODAY()-radicados[[#This Row],[FECHA]]</f>
        <v>71</v>
      </c>
      <c r="E455" s="32" t="str">
        <f>+_xlfn.XLOOKUP(radicados[[#This Row],[MUNICIPIO]],MUNICIPIOS!A:A,MUNICIPIOS!E:E,0,0,1)</f>
        <v>Suroeste</v>
      </c>
      <c r="F455" s="247" t="s">
        <v>23</v>
      </c>
      <c r="G455" s="247">
        <v>339</v>
      </c>
      <c r="H455" s="249" t="s">
        <v>1846</v>
      </c>
      <c r="I455" s="249" t="s">
        <v>6</v>
      </c>
      <c r="J455" s="249"/>
      <c r="K455" s="253" t="s">
        <v>1861</v>
      </c>
    </row>
    <row r="456" spans="1:11" ht="15" customHeight="1">
      <c r="A456" s="243">
        <v>457</v>
      </c>
      <c r="B456" s="244">
        <v>2025010449129</v>
      </c>
      <c r="C456" s="264">
        <v>45917</v>
      </c>
      <c r="D456" s="244">
        <f ca="1">+TODAY()-radicados[[#This Row],[FECHA]]</f>
        <v>79</v>
      </c>
      <c r="E456" s="32" t="str">
        <f>+_xlfn.XLOOKUP(radicados[[#This Row],[MUNICIPIO]],MUNICIPIOS!A:A,MUNICIPIOS!E:E,0,0,1)</f>
        <v>Norte</v>
      </c>
      <c r="F456" s="246" t="s">
        <v>136</v>
      </c>
      <c r="G456" s="246">
        <v>778</v>
      </c>
      <c r="H456" s="248" t="s">
        <v>1847</v>
      </c>
      <c r="I456" s="248" t="s">
        <v>17</v>
      </c>
      <c r="J456" s="248"/>
      <c r="K456" s="266" t="s">
        <v>1862</v>
      </c>
    </row>
    <row r="457" spans="1:11" ht="15" customHeight="1">
      <c r="A457" s="243">
        <v>458</v>
      </c>
      <c r="B457" s="244">
        <v>2025010533929</v>
      </c>
      <c r="C457" s="263">
        <v>45936</v>
      </c>
      <c r="D457" s="244">
        <f ca="1">+TODAY()-radicados[[#This Row],[FECHA]]</f>
        <v>60</v>
      </c>
      <c r="E457" s="32" t="str">
        <f>+_xlfn.XLOOKUP(radicados[[#This Row],[MUNICIPIO]],MUNICIPIOS!A:A,MUNICIPIOS!E:E,0,0,1)</f>
        <v>Nordeste</v>
      </c>
      <c r="F457" s="247" t="s">
        <v>858</v>
      </c>
      <c r="G457" s="247">
        <v>779</v>
      </c>
      <c r="H457" s="249" t="s">
        <v>1848</v>
      </c>
      <c r="I457" s="249" t="s">
        <v>17</v>
      </c>
      <c r="J457" s="249"/>
      <c r="K457" s="253" t="s">
        <v>1863</v>
      </c>
    </row>
    <row r="458" spans="1:11" ht="15" customHeight="1">
      <c r="A458" s="243">
        <v>459</v>
      </c>
      <c r="B458" s="244">
        <v>2025010537938</v>
      </c>
      <c r="C458" s="264">
        <v>45937</v>
      </c>
      <c r="D458" s="244">
        <f ca="1">+TODAY()-radicados[[#This Row],[FECHA]]</f>
        <v>59</v>
      </c>
      <c r="E458" s="32" t="str">
        <f>+_xlfn.XLOOKUP(radicados[[#This Row],[MUNICIPIO]],MUNICIPIOS!A:A,MUNICIPIOS!E:E,0,0,1)</f>
        <v>Oriente</v>
      </c>
      <c r="F458" s="246" t="s">
        <v>84</v>
      </c>
      <c r="G458" s="246">
        <v>780</v>
      </c>
      <c r="H458" s="248" t="s">
        <v>1849</v>
      </c>
      <c r="I458" s="248" t="s">
        <v>17</v>
      </c>
      <c r="J458" s="250">
        <v>1387808198</v>
      </c>
      <c r="K458" s="266" t="s">
        <v>1864</v>
      </c>
    </row>
    <row r="459" spans="1:11" ht="15" customHeight="1">
      <c r="A459" s="243">
        <v>460</v>
      </c>
      <c r="B459" s="244">
        <v>2025010551391</v>
      </c>
      <c r="C459" s="245">
        <v>45944</v>
      </c>
      <c r="D459" s="244">
        <f ca="1">+TODAY()-radicados[[#This Row],[FECHA]]</f>
        <v>52</v>
      </c>
      <c r="E459" s="32" t="str">
        <f>+_xlfn.XLOOKUP(radicados[[#This Row],[MUNICIPIO]],MUNICIPIOS!A:A,MUNICIPIOS!E:E,0,0,1)</f>
        <v>Suroeste</v>
      </c>
      <c r="F459" s="247" t="s">
        <v>156</v>
      </c>
      <c r="G459" s="247">
        <v>781</v>
      </c>
      <c r="H459" s="249" t="s">
        <v>1865</v>
      </c>
      <c r="I459" s="249" t="s">
        <v>17</v>
      </c>
      <c r="J459" s="254">
        <v>1555323415</v>
      </c>
      <c r="K459" s="247" t="s">
        <v>1903</v>
      </c>
    </row>
    <row r="460" spans="1:11" ht="15" customHeight="1">
      <c r="A460" s="243">
        <v>461</v>
      </c>
      <c r="B460" s="244">
        <v>2025010534062</v>
      </c>
      <c r="C460" s="245">
        <v>45936</v>
      </c>
      <c r="D460" s="244">
        <f ca="1">+TODAY()-radicados[[#This Row],[FECHA]]</f>
        <v>60</v>
      </c>
      <c r="E460" s="32" t="str">
        <f>+_xlfn.XLOOKUP(radicados[[#This Row],[MUNICIPIO]],MUNICIPIOS!A:A,MUNICIPIOS!E:E,0,0,1)</f>
        <v>Occidente</v>
      </c>
      <c r="F460" s="246" t="s">
        <v>214</v>
      </c>
      <c r="G460" s="246">
        <v>782</v>
      </c>
      <c r="H460" s="248" t="s">
        <v>1899</v>
      </c>
      <c r="I460" s="248" t="s">
        <v>17</v>
      </c>
      <c r="J460" s="250">
        <v>1812499772</v>
      </c>
      <c r="K460" s="246" t="s">
        <v>1904</v>
      </c>
    </row>
    <row r="461" spans="1:11" ht="15" customHeight="1">
      <c r="A461" s="243">
        <v>462</v>
      </c>
      <c r="B461" s="244">
        <v>2025010534062</v>
      </c>
      <c r="C461" s="245">
        <v>45936</v>
      </c>
      <c r="D461" s="244">
        <f ca="1">+TODAY()-radicados[[#This Row],[FECHA]]</f>
        <v>60</v>
      </c>
      <c r="E461" s="32" t="str">
        <f>+_xlfn.XLOOKUP(radicados[[#This Row],[MUNICIPIO]],MUNICIPIOS!A:A,MUNICIPIOS!E:E,0,0,1)</f>
        <v>Occidente</v>
      </c>
      <c r="F461" s="247" t="s">
        <v>861</v>
      </c>
      <c r="G461" s="247">
        <v>783</v>
      </c>
      <c r="H461" s="249" t="s">
        <v>1866</v>
      </c>
      <c r="I461" s="249" t="s">
        <v>17</v>
      </c>
      <c r="J461" s="254">
        <v>2452519742</v>
      </c>
      <c r="K461" s="247" t="s">
        <v>1905</v>
      </c>
    </row>
    <row r="462" spans="1:11" ht="15" customHeight="1">
      <c r="A462" s="243">
        <v>463</v>
      </c>
      <c r="B462" s="244">
        <v>2025010507558</v>
      </c>
      <c r="C462" s="245">
        <v>45923</v>
      </c>
      <c r="D462" s="244">
        <f ca="1">+TODAY()-radicados[[#This Row],[FECHA]]</f>
        <v>73</v>
      </c>
      <c r="E462" s="32" t="str">
        <f>+_xlfn.XLOOKUP(radicados[[#This Row],[MUNICIPIO]],MUNICIPIOS!A:A,MUNICIPIOS!E:E,0,0,1)</f>
        <v>Urabá</v>
      </c>
      <c r="F462" s="246" t="s">
        <v>193</v>
      </c>
      <c r="G462" s="246">
        <v>784</v>
      </c>
      <c r="H462" s="248" t="s">
        <v>1867</v>
      </c>
      <c r="I462" s="248" t="s">
        <v>51</v>
      </c>
      <c r="J462" s="248"/>
      <c r="K462" s="246" t="s">
        <v>1928</v>
      </c>
    </row>
    <row r="463" spans="1:11" ht="15" customHeight="1">
      <c r="A463" s="243">
        <v>464</v>
      </c>
      <c r="B463" s="244">
        <v>2025010533718</v>
      </c>
      <c r="C463" s="245">
        <v>45937</v>
      </c>
      <c r="D463" s="244">
        <f ca="1">+TODAY()-radicados[[#This Row],[FECHA]]</f>
        <v>59</v>
      </c>
      <c r="E463" s="32" t="str">
        <f>+_xlfn.XLOOKUP(radicados[[#This Row],[MUNICIPIO]],MUNICIPIOS!A:A,MUNICIPIOS!E:E,0,0,1)</f>
        <v>Norte</v>
      </c>
      <c r="F463" s="247" t="s">
        <v>341</v>
      </c>
      <c r="G463" s="247">
        <v>785</v>
      </c>
      <c r="H463" s="249" t="s">
        <v>1868</v>
      </c>
      <c r="I463" s="249" t="s">
        <v>51</v>
      </c>
      <c r="J463" s="249"/>
      <c r="K463" s="247" t="s">
        <v>1906</v>
      </c>
    </row>
    <row r="464" spans="1:11" ht="15" customHeight="1">
      <c r="A464" s="243">
        <v>465</v>
      </c>
      <c r="B464" s="244">
        <v>2025010543470</v>
      </c>
      <c r="C464" s="245">
        <v>45939</v>
      </c>
      <c r="D464" s="244">
        <f ca="1">+TODAY()-radicados[[#This Row],[FECHA]]</f>
        <v>57</v>
      </c>
      <c r="E464" s="32" t="str">
        <f>+_xlfn.XLOOKUP(radicados[[#This Row],[MUNICIPIO]],MUNICIPIOS!A:A,MUNICIPIOS!E:E,0,0,1)</f>
        <v>Nordeste</v>
      </c>
      <c r="F464" s="246" t="s">
        <v>858</v>
      </c>
      <c r="G464" s="246">
        <v>786</v>
      </c>
      <c r="H464" s="248" t="s">
        <v>1900</v>
      </c>
      <c r="I464" s="248" t="s">
        <v>51</v>
      </c>
      <c r="J464" s="250">
        <v>2836114851</v>
      </c>
      <c r="K464" s="246" t="s">
        <v>82</v>
      </c>
    </row>
    <row r="465" spans="1:11" ht="15" customHeight="1">
      <c r="A465" s="243">
        <v>466</v>
      </c>
      <c r="B465" s="244">
        <v>2025010539972</v>
      </c>
      <c r="C465" s="245">
        <v>45937</v>
      </c>
      <c r="D465" s="244">
        <f ca="1">+TODAY()-radicados[[#This Row],[FECHA]]</f>
        <v>59</v>
      </c>
      <c r="E465" s="32" t="str">
        <f>+_xlfn.XLOOKUP(radicados[[#This Row],[MUNICIPIO]],MUNICIPIOS!A:A,MUNICIPIOS!E:E,0,0,1)</f>
        <v>Oriente</v>
      </c>
      <c r="F465" s="247" t="s">
        <v>227</v>
      </c>
      <c r="G465" s="247">
        <v>787</v>
      </c>
      <c r="H465" s="249" t="s">
        <v>1901</v>
      </c>
      <c r="I465" s="249" t="s">
        <v>51</v>
      </c>
      <c r="J465" s="254">
        <v>2022394031</v>
      </c>
      <c r="K465" s="247" t="s">
        <v>18</v>
      </c>
    </row>
    <row r="466" spans="1:11" ht="15" customHeight="1">
      <c r="A466" s="243">
        <v>467</v>
      </c>
      <c r="B466" s="244">
        <v>2025010545612</v>
      </c>
      <c r="C466" s="245">
        <v>45939</v>
      </c>
      <c r="D466" s="244">
        <f ca="1">+TODAY()-radicados[[#This Row],[FECHA]]</f>
        <v>57</v>
      </c>
      <c r="E466" s="32" t="str">
        <f>+_xlfn.XLOOKUP(radicados[[#This Row],[MUNICIPIO]],MUNICIPIOS!A:A,MUNICIPIOS!E:E,0,0,1)</f>
        <v>Urabá</v>
      </c>
      <c r="F466" s="246" t="s">
        <v>111</v>
      </c>
      <c r="G466" s="246">
        <v>788</v>
      </c>
      <c r="H466" s="252" t="s">
        <v>1902</v>
      </c>
      <c r="I466" s="248" t="s">
        <v>17</v>
      </c>
      <c r="J466" s="248"/>
      <c r="K466" s="246"/>
    </row>
    <row r="467" spans="1:11" ht="15" customHeight="1">
      <c r="A467" s="243">
        <v>468</v>
      </c>
      <c r="B467" s="244">
        <v>2025010552009</v>
      </c>
      <c r="C467" s="245">
        <v>45944</v>
      </c>
      <c r="D467" s="244">
        <f ca="1">+TODAY()-radicados[[#This Row],[FECHA]]</f>
        <v>52</v>
      </c>
      <c r="E467" s="32" t="str">
        <f>+_xlfn.XLOOKUP(radicados[[#This Row],[MUNICIPIO]],MUNICIPIOS!A:A,MUNICIPIOS!E:E,0,0,1)</f>
        <v>Urabá</v>
      </c>
      <c r="F467" s="247" t="s">
        <v>148</v>
      </c>
      <c r="G467" s="247">
        <v>789</v>
      </c>
      <c r="H467" s="249" t="s">
        <v>1884</v>
      </c>
      <c r="I467" s="249" t="s">
        <v>17</v>
      </c>
      <c r="J467" s="254">
        <v>2156000000</v>
      </c>
      <c r="K467" s="247"/>
    </row>
    <row r="468" spans="1:11" ht="15" customHeight="1">
      <c r="A468" s="243">
        <v>469</v>
      </c>
      <c r="B468" s="244">
        <v>2025010545413</v>
      </c>
      <c r="C468" s="245">
        <v>45944</v>
      </c>
      <c r="D468" s="244">
        <f ca="1">+TODAY()-radicados[[#This Row],[FECHA]]</f>
        <v>52</v>
      </c>
      <c r="E468" s="32" t="str">
        <f>+_xlfn.XLOOKUP(radicados[[#This Row],[MUNICIPIO]],MUNICIPIOS!A:A,MUNICIPIOS!E:E,0,0,1)</f>
        <v>Occidente</v>
      </c>
      <c r="F468" s="246" t="s">
        <v>214</v>
      </c>
      <c r="G468" s="246">
        <v>790</v>
      </c>
      <c r="H468" s="248" t="s">
        <v>1869</v>
      </c>
      <c r="I468" s="248" t="s">
        <v>17</v>
      </c>
      <c r="J468" s="250">
        <v>5167964597</v>
      </c>
      <c r="K468" s="246" t="s">
        <v>1907</v>
      </c>
    </row>
    <row r="469" spans="1:11" ht="15" customHeight="1">
      <c r="A469" s="243">
        <v>470</v>
      </c>
      <c r="B469" s="244">
        <v>2025010555706</v>
      </c>
      <c r="C469" s="245">
        <v>45946</v>
      </c>
      <c r="D469" s="244">
        <f ca="1">+TODAY()-radicados[[#This Row],[FECHA]]</f>
        <v>50</v>
      </c>
      <c r="E469" s="32" t="str">
        <f>+_xlfn.XLOOKUP(radicados[[#This Row],[MUNICIPIO]],MUNICIPIOS!A:A,MUNICIPIOS!E:E,0,0,1)</f>
        <v>Urabá</v>
      </c>
      <c r="F469" s="247" t="s">
        <v>74</v>
      </c>
      <c r="G469" s="247">
        <v>791</v>
      </c>
      <c r="H469" s="249" t="s">
        <v>1885</v>
      </c>
      <c r="I469" s="249" t="s">
        <v>51</v>
      </c>
      <c r="J469" s="254">
        <v>4979083972</v>
      </c>
      <c r="K469" s="247"/>
    </row>
    <row r="470" spans="1:11" ht="15" customHeight="1">
      <c r="A470" s="243">
        <v>471</v>
      </c>
      <c r="B470" s="244">
        <v>2025010555767</v>
      </c>
      <c r="C470" s="245">
        <v>45946</v>
      </c>
      <c r="D470" s="244">
        <f ca="1">+TODAY()-radicados[[#This Row],[FECHA]]</f>
        <v>50</v>
      </c>
      <c r="E470" s="32" t="str">
        <f>+_xlfn.XLOOKUP(radicados[[#This Row],[MUNICIPIO]],MUNICIPIOS!A:A,MUNICIPIOS!E:E,0,0,1)</f>
        <v>Urabá</v>
      </c>
      <c r="F470" s="246" t="s">
        <v>74</v>
      </c>
      <c r="G470" s="246">
        <v>792</v>
      </c>
      <c r="H470" s="248" t="s">
        <v>1886</v>
      </c>
      <c r="I470" s="248" t="s">
        <v>51</v>
      </c>
      <c r="J470" s="250">
        <v>5882471207</v>
      </c>
      <c r="K470" s="246"/>
    </row>
    <row r="471" spans="1:11" ht="15" customHeight="1">
      <c r="A471" s="243">
        <v>472</v>
      </c>
      <c r="B471" s="244">
        <v>2025010540633</v>
      </c>
      <c r="C471" s="245">
        <v>45938</v>
      </c>
      <c r="D471" s="244">
        <f ca="1">+TODAY()-radicados[[#This Row],[FECHA]]</f>
        <v>58</v>
      </c>
      <c r="E471" s="32" t="str">
        <f>+_xlfn.XLOOKUP(radicados[[#This Row],[MUNICIPIO]],MUNICIPIOS!A:A,MUNICIPIOS!E:E,0,0,1)</f>
        <v>Oriente</v>
      </c>
      <c r="F471" s="247" t="s">
        <v>70</v>
      </c>
      <c r="G471" s="247">
        <v>793</v>
      </c>
      <c r="H471" s="249" t="s">
        <v>1870</v>
      </c>
      <c r="I471" s="249" t="s">
        <v>17</v>
      </c>
      <c r="J471" s="254">
        <v>2510160150</v>
      </c>
      <c r="K471" s="247" t="s">
        <v>1908</v>
      </c>
    </row>
    <row r="472" spans="1:11" ht="15" customHeight="1">
      <c r="A472" s="243">
        <v>473</v>
      </c>
      <c r="B472" s="244">
        <v>2025010523001</v>
      </c>
      <c r="C472" s="245">
        <v>45930</v>
      </c>
      <c r="D472" s="244">
        <f ca="1">+TODAY()-radicados[[#This Row],[FECHA]]</f>
        <v>66</v>
      </c>
      <c r="E472" s="32" t="str">
        <f>+_xlfn.XLOOKUP(radicados[[#This Row],[MUNICIPIO]],MUNICIPIOS!A:A,MUNICIPIOS!E:E,0,0,1)</f>
        <v>Suroeste</v>
      </c>
      <c r="F472" s="246" t="s">
        <v>61</v>
      </c>
      <c r="G472" s="246">
        <v>794</v>
      </c>
      <c r="H472" s="248" t="s">
        <v>1871</v>
      </c>
      <c r="I472" s="248" t="s">
        <v>51</v>
      </c>
      <c r="J472" s="248"/>
      <c r="K472" s="246" t="s">
        <v>1909</v>
      </c>
    </row>
    <row r="473" spans="1:11" ht="15" customHeight="1">
      <c r="A473" s="243">
        <v>474</v>
      </c>
      <c r="B473" s="244">
        <v>2025010530660</v>
      </c>
      <c r="C473" s="245">
        <v>45933</v>
      </c>
      <c r="D473" s="244">
        <f ca="1">+TODAY()-radicados[[#This Row],[FECHA]]</f>
        <v>63</v>
      </c>
      <c r="E473" s="32" t="str">
        <f>+_xlfn.XLOOKUP(radicados[[#This Row],[MUNICIPIO]],MUNICIPIOS!A:A,MUNICIPIOS!E:E,0,0,1)</f>
        <v>Oriente</v>
      </c>
      <c r="F473" s="247" t="s">
        <v>70</v>
      </c>
      <c r="G473" s="247">
        <v>795</v>
      </c>
      <c r="H473" s="249" t="s">
        <v>1872</v>
      </c>
      <c r="I473" s="249" t="s">
        <v>17</v>
      </c>
      <c r="J473" s="254">
        <v>4800000000</v>
      </c>
      <c r="K473" s="247" t="s">
        <v>1910</v>
      </c>
    </row>
    <row r="474" spans="1:11" ht="15" customHeight="1">
      <c r="A474" s="243">
        <v>475</v>
      </c>
      <c r="B474" s="244">
        <v>2025010512596</v>
      </c>
      <c r="C474" s="245">
        <v>45925</v>
      </c>
      <c r="D474" s="244">
        <f ca="1">+TODAY()-radicados[[#This Row],[FECHA]]</f>
        <v>71</v>
      </c>
      <c r="E474" s="32" t="str">
        <f>+_xlfn.XLOOKUP(radicados[[#This Row],[MUNICIPIO]],MUNICIPIOS!A:A,MUNICIPIOS!E:E,0,0,1)</f>
        <v>Norte</v>
      </c>
      <c r="F474" s="246" t="s">
        <v>120</v>
      </c>
      <c r="G474" s="246">
        <v>796</v>
      </c>
      <c r="H474" s="248" t="s">
        <v>1873</v>
      </c>
      <c r="I474" s="248" t="s">
        <v>17</v>
      </c>
      <c r="J474" s="250">
        <v>188375713304</v>
      </c>
      <c r="K474" s="246" t="s">
        <v>1911</v>
      </c>
    </row>
    <row r="475" spans="1:11" ht="15" customHeight="1">
      <c r="A475" s="243">
        <v>476</v>
      </c>
      <c r="B475" s="244">
        <v>2025010527047</v>
      </c>
      <c r="C475" s="245">
        <v>45931</v>
      </c>
      <c r="D475" s="244">
        <f ca="1">+TODAY()-radicados[[#This Row],[FECHA]]</f>
        <v>65</v>
      </c>
      <c r="E475" s="32" t="str">
        <f>+_xlfn.XLOOKUP(radicados[[#This Row],[MUNICIPIO]],MUNICIPIOS!A:A,MUNICIPIOS!E:E,0,0,1)</f>
        <v>Urabá</v>
      </c>
      <c r="F475" s="247" t="s">
        <v>65</v>
      </c>
      <c r="G475" s="247">
        <v>797</v>
      </c>
      <c r="H475" s="249" t="s">
        <v>1874</v>
      </c>
      <c r="I475" s="249" t="s">
        <v>17</v>
      </c>
      <c r="J475" s="254">
        <v>240000021</v>
      </c>
      <c r="K475" s="247" t="s">
        <v>1912</v>
      </c>
    </row>
    <row r="476" spans="1:11" ht="15" customHeight="1">
      <c r="A476" s="243">
        <v>477</v>
      </c>
      <c r="B476" s="244">
        <v>2025010542346</v>
      </c>
      <c r="C476" s="245">
        <v>45938</v>
      </c>
      <c r="D476" s="244">
        <f ca="1">+TODAY()-radicados[[#This Row],[FECHA]]</f>
        <v>58</v>
      </c>
      <c r="E476" s="32" t="str">
        <f>+_xlfn.XLOOKUP(radicados[[#This Row],[MUNICIPIO]],MUNICIPIOS!A:A,MUNICIPIOS!E:E,0,0,1)</f>
        <v>Oriente</v>
      </c>
      <c r="F476" s="246" t="s">
        <v>227</v>
      </c>
      <c r="G476" s="246">
        <v>798</v>
      </c>
      <c r="H476" s="248" t="s">
        <v>1883</v>
      </c>
      <c r="I476" s="248" t="s">
        <v>17</v>
      </c>
      <c r="J476" s="250">
        <v>7498056832</v>
      </c>
      <c r="K476" s="246" t="s">
        <v>1913</v>
      </c>
    </row>
    <row r="477" spans="1:11" ht="15" customHeight="1">
      <c r="A477" s="243">
        <v>478</v>
      </c>
      <c r="B477" s="244">
        <v>2025010531610</v>
      </c>
      <c r="C477" s="245">
        <v>45933</v>
      </c>
      <c r="D477" s="244">
        <f ca="1">+TODAY()-radicados[[#This Row],[FECHA]]</f>
        <v>63</v>
      </c>
      <c r="E477" s="32" t="str">
        <f>+_xlfn.XLOOKUP(radicados[[#This Row],[MUNICIPIO]],MUNICIPIOS!A:A,MUNICIPIOS!E:E,0,0,1)</f>
        <v>Bajo Cauca</v>
      </c>
      <c r="F477" s="247" t="s">
        <v>45</v>
      </c>
      <c r="G477" s="247">
        <v>799</v>
      </c>
      <c r="H477" s="249" t="s">
        <v>1875</v>
      </c>
      <c r="I477" s="249" t="s">
        <v>17</v>
      </c>
      <c r="J477" s="254">
        <v>5858098263</v>
      </c>
      <c r="K477" s="247" t="s">
        <v>1913</v>
      </c>
    </row>
    <row r="478" spans="1:11" ht="15" customHeight="1">
      <c r="A478" s="243">
        <v>479</v>
      </c>
      <c r="B478" s="244">
        <v>2025010547350</v>
      </c>
      <c r="C478" s="245">
        <v>45940</v>
      </c>
      <c r="D478" s="244">
        <f ca="1">+TODAY()-radicados[[#This Row],[FECHA]]</f>
        <v>56</v>
      </c>
      <c r="E478" s="32" t="str">
        <f>+_xlfn.XLOOKUP(radicados[[#This Row],[MUNICIPIO]],MUNICIPIOS!A:A,MUNICIPIOS!E:E,0,0,1)</f>
        <v>Bajo Cauca</v>
      </c>
      <c r="F478" s="246" t="s">
        <v>45</v>
      </c>
      <c r="G478" s="246">
        <v>800</v>
      </c>
      <c r="H478" s="248" t="s">
        <v>1887</v>
      </c>
      <c r="I478" s="248" t="s">
        <v>17</v>
      </c>
      <c r="J478" s="250">
        <v>2046420844</v>
      </c>
      <c r="K478" s="246" t="s">
        <v>1914</v>
      </c>
    </row>
    <row r="479" spans="1:11" ht="15" customHeight="1">
      <c r="A479" s="243">
        <v>480</v>
      </c>
      <c r="B479" s="244">
        <v>2025010528044</v>
      </c>
      <c r="C479" s="245">
        <v>45932</v>
      </c>
      <c r="D479" s="244">
        <f ca="1">+TODAY()-radicados[[#This Row],[FECHA]]</f>
        <v>64</v>
      </c>
      <c r="E479" s="32" t="str">
        <f>+_xlfn.XLOOKUP(radicados[[#This Row],[MUNICIPIO]],MUNICIPIOS!A:A,MUNICIPIOS!E:E,0,0,1)</f>
        <v>Urabá</v>
      </c>
      <c r="F479" s="247" t="s">
        <v>193</v>
      </c>
      <c r="G479" s="247">
        <v>801</v>
      </c>
      <c r="H479" s="249" t="s">
        <v>1876</v>
      </c>
      <c r="I479" s="249" t="s">
        <v>17</v>
      </c>
      <c r="J479" s="254">
        <v>240000021</v>
      </c>
      <c r="K479" s="247" t="s">
        <v>1915</v>
      </c>
    </row>
    <row r="480" spans="1:11" ht="15" customHeight="1">
      <c r="A480" s="243">
        <v>481</v>
      </c>
      <c r="B480" s="244">
        <v>2025010393877</v>
      </c>
      <c r="C480" s="245">
        <v>45870</v>
      </c>
      <c r="D480" s="244">
        <f ca="1">+TODAY()-radicados[[#This Row],[FECHA]]</f>
        <v>126</v>
      </c>
      <c r="E480" s="32" t="str">
        <f>+_xlfn.XLOOKUP(radicados[[#This Row],[MUNICIPIO]],MUNICIPIOS!A:A,MUNICIPIOS!E:E,0,0,1)</f>
        <v>Occidente</v>
      </c>
      <c r="F480" s="247" t="s">
        <v>578</v>
      </c>
      <c r="G480" s="247">
        <v>802</v>
      </c>
      <c r="H480" s="249" t="s">
        <v>1888</v>
      </c>
      <c r="I480" s="249" t="s">
        <v>51</v>
      </c>
      <c r="J480" s="254"/>
      <c r="K480" s="247" t="s">
        <v>1916</v>
      </c>
    </row>
    <row r="481" spans="1:11" ht="15" customHeight="1">
      <c r="A481" s="243">
        <v>482</v>
      </c>
      <c r="B481" s="244">
        <v>2025010418091</v>
      </c>
      <c r="C481" s="245">
        <v>45882</v>
      </c>
      <c r="D481" s="244">
        <f ca="1">+TODAY()-radicados[[#This Row],[FECHA]]</f>
        <v>114</v>
      </c>
      <c r="E481" s="32" t="str">
        <f>+_xlfn.XLOOKUP(radicados[[#This Row],[MUNICIPIO]],MUNICIPIOS!A:A,MUNICIPIOS!E:E,0,0,1)</f>
        <v>Oriente</v>
      </c>
      <c r="F481" s="247" t="s">
        <v>97</v>
      </c>
      <c r="G481" s="247">
        <v>803</v>
      </c>
      <c r="H481" s="249" t="s">
        <v>1889</v>
      </c>
      <c r="I481" s="249" t="s">
        <v>51</v>
      </c>
      <c r="J481" s="254"/>
      <c r="K481" s="247" t="s">
        <v>1917</v>
      </c>
    </row>
    <row r="482" spans="1:11" ht="15" customHeight="1">
      <c r="A482" s="243">
        <v>483</v>
      </c>
      <c r="B482" s="244">
        <v>2025010361308</v>
      </c>
      <c r="C482" s="245">
        <v>45845</v>
      </c>
      <c r="D482" s="244">
        <f ca="1">+TODAY()-radicados[[#This Row],[FECHA]]</f>
        <v>151</v>
      </c>
      <c r="E482" s="32" t="str">
        <f>+_xlfn.XLOOKUP(radicados[[#This Row],[MUNICIPIO]],MUNICIPIOS!A:A,MUNICIPIOS!E:E,0,0,1)</f>
        <v>Urabá</v>
      </c>
      <c r="F482" s="247" t="s">
        <v>846</v>
      </c>
      <c r="G482" s="247">
        <v>804</v>
      </c>
      <c r="H482" s="249" t="s">
        <v>1890</v>
      </c>
      <c r="I482" s="249" t="s">
        <v>51</v>
      </c>
      <c r="J482" s="254"/>
      <c r="K482" s="247" t="s">
        <v>1918</v>
      </c>
    </row>
    <row r="483" spans="1:11" ht="15" customHeight="1">
      <c r="A483" s="243">
        <v>484</v>
      </c>
      <c r="B483" s="244">
        <v>2025010399428</v>
      </c>
      <c r="C483" s="245">
        <v>45873</v>
      </c>
      <c r="D483" s="244">
        <f ca="1">+TODAY()-radicados[[#This Row],[FECHA]]</f>
        <v>123</v>
      </c>
      <c r="E483" s="32" t="str">
        <f>+_xlfn.XLOOKUP(radicados[[#This Row],[MUNICIPIO]],MUNICIPIOS!A:A,MUNICIPIOS!E:E,0,0,1)</f>
        <v>Oriente</v>
      </c>
      <c r="F483" s="247" t="s">
        <v>227</v>
      </c>
      <c r="G483" s="247">
        <v>805</v>
      </c>
      <c r="H483" s="249" t="s">
        <v>1877</v>
      </c>
      <c r="I483" s="249" t="s">
        <v>17</v>
      </c>
      <c r="J483" s="254"/>
      <c r="K483" s="247" t="s">
        <v>1919</v>
      </c>
    </row>
    <row r="484" spans="1:11" ht="15" customHeight="1">
      <c r="A484" s="243">
        <v>485</v>
      </c>
      <c r="B484" s="244">
        <v>2025010402875</v>
      </c>
      <c r="C484" s="245">
        <v>45875</v>
      </c>
      <c r="D484" s="244">
        <f ca="1">+TODAY()-radicados[[#This Row],[FECHA]]</f>
        <v>121</v>
      </c>
      <c r="E484" s="32" t="str">
        <f>+_xlfn.XLOOKUP(radicados[[#This Row],[MUNICIPIO]],MUNICIPIOS!A:A,MUNICIPIOS!E:E,0,0,1)</f>
        <v>Norte</v>
      </c>
      <c r="F484" s="247" t="s">
        <v>326</v>
      </c>
      <c r="G484" s="247">
        <v>806</v>
      </c>
      <c r="H484" s="249" t="s">
        <v>1891</v>
      </c>
      <c r="I484" s="249" t="s">
        <v>17</v>
      </c>
      <c r="J484" s="254">
        <v>5449763081</v>
      </c>
      <c r="K484" s="247" t="s">
        <v>1920</v>
      </c>
    </row>
    <row r="485" spans="1:11" ht="15" customHeight="1">
      <c r="A485" s="243">
        <v>486</v>
      </c>
      <c r="B485" s="244">
        <v>2025010357336</v>
      </c>
      <c r="C485" s="245">
        <v>45853</v>
      </c>
      <c r="D485" s="244">
        <f ca="1">+TODAY()-radicados[[#This Row],[FECHA]]</f>
        <v>143</v>
      </c>
      <c r="E485" s="32" t="str">
        <f>+_xlfn.XLOOKUP(radicados[[#This Row],[MUNICIPIO]],MUNICIPIOS!A:A,MUNICIPIOS!E:E,0,0,1)</f>
        <v>Oriente</v>
      </c>
      <c r="F485" s="247" t="s">
        <v>208</v>
      </c>
      <c r="G485" s="247">
        <v>807</v>
      </c>
      <c r="H485" s="249" t="s">
        <v>1931</v>
      </c>
      <c r="I485" s="249" t="s">
        <v>17</v>
      </c>
      <c r="J485" s="254">
        <v>5112206511</v>
      </c>
      <c r="K485" s="247" t="s">
        <v>1920</v>
      </c>
    </row>
    <row r="486" spans="1:11" ht="15" customHeight="1">
      <c r="A486" s="243">
        <v>487</v>
      </c>
      <c r="B486" s="244">
        <v>2025010358187</v>
      </c>
      <c r="C486" s="245">
        <v>45854</v>
      </c>
      <c r="D486" s="244">
        <f ca="1">+TODAY()-radicados[[#This Row],[FECHA]]</f>
        <v>142</v>
      </c>
      <c r="E486" s="32" t="str">
        <f>+_xlfn.XLOOKUP(radicados[[#This Row],[MUNICIPIO]],MUNICIPIOS!A:A,MUNICIPIOS!E:E,0,0,1)</f>
        <v>Oriente</v>
      </c>
      <c r="F486" s="247" t="s">
        <v>208</v>
      </c>
      <c r="G486" s="247">
        <v>807</v>
      </c>
      <c r="H486" s="249" t="s">
        <v>1892</v>
      </c>
      <c r="I486" s="249" t="s">
        <v>17</v>
      </c>
      <c r="J486" s="254">
        <v>5112206511</v>
      </c>
      <c r="K486" s="247" t="s">
        <v>1921</v>
      </c>
    </row>
    <row r="487" spans="1:11" ht="15" customHeight="1">
      <c r="A487" s="243">
        <v>488</v>
      </c>
      <c r="B487" s="244">
        <v>2025010358990</v>
      </c>
      <c r="C487" s="245">
        <v>45854</v>
      </c>
      <c r="D487" s="244">
        <f ca="1">+TODAY()-radicados[[#This Row],[FECHA]]</f>
        <v>142</v>
      </c>
      <c r="E487" s="32" t="str">
        <f>+_xlfn.XLOOKUP(radicados[[#This Row],[MUNICIPIO]],MUNICIPIOS!A:A,MUNICIPIOS!E:E,0,0,1)</f>
        <v>Occidente</v>
      </c>
      <c r="F487" s="247" t="s">
        <v>166</v>
      </c>
      <c r="G487" s="247">
        <v>809</v>
      </c>
      <c r="H487" s="249" t="s">
        <v>1893</v>
      </c>
      <c r="I487" s="249" t="s">
        <v>17</v>
      </c>
      <c r="J487" s="254">
        <v>4791687834</v>
      </c>
      <c r="K487" s="247" t="s">
        <v>1921</v>
      </c>
    </row>
    <row r="488" spans="1:11" ht="15" customHeight="1">
      <c r="A488" s="243">
        <v>489</v>
      </c>
      <c r="B488" s="244">
        <v>2025010353581</v>
      </c>
      <c r="C488" s="245">
        <v>45852</v>
      </c>
      <c r="D488" s="244">
        <f ca="1">+TODAY()-radicados[[#This Row],[FECHA]]</f>
        <v>144</v>
      </c>
      <c r="E488" s="32" t="str">
        <f>+_xlfn.XLOOKUP(radicados[[#This Row],[MUNICIPIO]],MUNICIPIOS!A:A,MUNICIPIOS!E:E,0,0,1)</f>
        <v>Oriente</v>
      </c>
      <c r="F488" s="247" t="s">
        <v>186</v>
      </c>
      <c r="G488" s="247">
        <v>810</v>
      </c>
      <c r="H488" s="249" t="s">
        <v>1894</v>
      </c>
      <c r="I488" s="249" t="s">
        <v>51</v>
      </c>
      <c r="J488" s="254"/>
      <c r="K488" s="247" t="s">
        <v>1922</v>
      </c>
    </row>
    <row r="489" spans="1:11" ht="15" customHeight="1">
      <c r="A489" s="243">
        <v>490</v>
      </c>
      <c r="B489" s="244">
        <v>2025010353572</v>
      </c>
      <c r="C489" s="245">
        <v>45852</v>
      </c>
      <c r="D489" s="244">
        <f ca="1">+TODAY()-radicados[[#This Row],[FECHA]]</f>
        <v>144</v>
      </c>
      <c r="E489" s="32" t="str">
        <f>+_xlfn.XLOOKUP(radicados[[#This Row],[MUNICIPIO]],MUNICIPIOS!A:A,MUNICIPIOS!E:E,0,0,1)</f>
        <v>Oriente</v>
      </c>
      <c r="F489" s="247" t="s">
        <v>186</v>
      </c>
      <c r="G489" s="247">
        <v>810</v>
      </c>
      <c r="H489" s="249" t="s">
        <v>1894</v>
      </c>
      <c r="I489" s="249" t="s">
        <v>51</v>
      </c>
      <c r="J489" s="254"/>
      <c r="K489" s="247" t="s">
        <v>1922</v>
      </c>
    </row>
    <row r="490" spans="1:11" ht="15" customHeight="1">
      <c r="A490" s="243">
        <v>491</v>
      </c>
      <c r="B490" s="244">
        <v>2025010348936</v>
      </c>
      <c r="C490" s="245">
        <v>45849</v>
      </c>
      <c r="D490" s="244">
        <f ca="1">+TODAY()-radicados[[#This Row],[FECHA]]</f>
        <v>147</v>
      </c>
      <c r="E490" s="32" t="str">
        <f>+_xlfn.XLOOKUP(radicados[[#This Row],[MUNICIPIO]],MUNICIPIOS!A:A,MUNICIPIOS!E:E,0,0,1)</f>
        <v>Suroeste</v>
      </c>
      <c r="F490" s="247" t="s">
        <v>359</v>
      </c>
      <c r="G490" s="247">
        <v>812</v>
      </c>
      <c r="H490" s="249" t="s">
        <v>1895</v>
      </c>
      <c r="I490" s="249" t="s">
        <v>17</v>
      </c>
      <c r="J490" s="254">
        <v>9582637940</v>
      </c>
      <c r="K490" s="247" t="s">
        <v>1920</v>
      </c>
    </row>
    <row r="491" spans="1:11" ht="15" customHeight="1">
      <c r="A491" s="243">
        <v>492</v>
      </c>
      <c r="B491" s="244">
        <v>2025010468678</v>
      </c>
      <c r="C491" s="245">
        <v>45908</v>
      </c>
      <c r="D491" s="244">
        <f ca="1">+TODAY()-radicados[[#This Row],[FECHA]]</f>
        <v>88</v>
      </c>
      <c r="E491" s="32" t="str">
        <f>+_xlfn.XLOOKUP(radicados[[#This Row],[MUNICIPIO]],MUNICIPIOS!A:A,MUNICIPIOS!E:E,0,0,1)</f>
        <v>Oriente</v>
      </c>
      <c r="F491" s="247" t="s">
        <v>208</v>
      </c>
      <c r="G491" s="247">
        <v>807</v>
      </c>
      <c r="H491" s="249" t="s">
        <v>1892</v>
      </c>
      <c r="I491" s="249" t="s">
        <v>17</v>
      </c>
      <c r="J491" s="254"/>
      <c r="K491" s="247" t="s">
        <v>1932</v>
      </c>
    </row>
    <row r="492" spans="1:11" ht="15" customHeight="1">
      <c r="A492" s="243">
        <v>493</v>
      </c>
      <c r="B492" s="244">
        <v>2025010435497</v>
      </c>
      <c r="C492" s="245">
        <v>45891</v>
      </c>
      <c r="D492" s="244">
        <f ca="1">+TODAY()-radicados[[#This Row],[FECHA]]</f>
        <v>105</v>
      </c>
      <c r="E492" s="32" t="str">
        <f>+_xlfn.XLOOKUP(radicados[[#This Row],[MUNICIPIO]],MUNICIPIOS!A:A,MUNICIPIOS!E:E,0,0,1)</f>
        <v>Suroeste</v>
      </c>
      <c r="F492" s="247" t="s">
        <v>216</v>
      </c>
      <c r="G492" s="247">
        <v>709</v>
      </c>
      <c r="H492" s="249" t="s">
        <v>1896</v>
      </c>
      <c r="I492" s="249" t="s">
        <v>17</v>
      </c>
      <c r="J492" s="254">
        <v>6179314241</v>
      </c>
      <c r="K492" s="247" t="s">
        <v>1923</v>
      </c>
    </row>
    <row r="493" spans="1:11" ht="15" customHeight="1">
      <c r="A493" s="243">
        <v>494</v>
      </c>
      <c r="B493" s="244">
        <v>2025010000000</v>
      </c>
      <c r="C493" s="245">
        <v>45946</v>
      </c>
      <c r="D493" s="244">
        <f ca="1">+TODAY()-radicados[[#This Row],[FECHA]]</f>
        <v>50</v>
      </c>
      <c r="E493" s="32" t="str">
        <f>+_xlfn.XLOOKUP(radicados[[#This Row],[MUNICIPIO]],MUNICIPIOS!A:A,MUNICIPIOS!E:E,0,0,1)</f>
        <v>Urabá</v>
      </c>
      <c r="F493" s="247" t="s">
        <v>118</v>
      </c>
      <c r="G493" s="247">
        <v>815</v>
      </c>
      <c r="H493" s="249" t="s">
        <v>1878</v>
      </c>
      <c r="I493" s="249" t="s">
        <v>17</v>
      </c>
      <c r="J493" s="254">
        <v>544606368</v>
      </c>
      <c r="K493" s="247"/>
    </row>
    <row r="494" spans="1:11" ht="15" customHeight="1">
      <c r="A494" s="243">
        <v>495</v>
      </c>
      <c r="B494" s="244">
        <v>2025010572842</v>
      </c>
      <c r="C494" s="245">
        <v>45953</v>
      </c>
      <c r="D494" s="244">
        <f ca="1">+TODAY()-radicados[[#This Row],[FECHA]]</f>
        <v>43</v>
      </c>
      <c r="E494" s="32" t="str">
        <f>+_xlfn.XLOOKUP(radicados[[#This Row],[MUNICIPIO]],MUNICIPIOS!A:A,MUNICIPIOS!E:E,0,0,1)</f>
        <v>Suroeste</v>
      </c>
      <c r="F494" s="247" t="s">
        <v>223</v>
      </c>
      <c r="G494" s="247">
        <v>816</v>
      </c>
      <c r="H494" s="249" t="s">
        <v>1879</v>
      </c>
      <c r="I494" s="249" t="s">
        <v>17</v>
      </c>
      <c r="J494" s="254">
        <v>40000000</v>
      </c>
      <c r="K494" s="247" t="s">
        <v>1924</v>
      </c>
    </row>
    <row r="495" spans="1:11" ht="15" customHeight="1">
      <c r="A495" s="243">
        <v>496</v>
      </c>
      <c r="B495" s="244">
        <v>2025010587328</v>
      </c>
      <c r="C495" s="245">
        <v>45965</v>
      </c>
      <c r="D495" s="244">
        <f ca="1">+TODAY()-radicados[[#This Row],[FECHA]]</f>
        <v>31</v>
      </c>
      <c r="E495" s="32" t="str">
        <f>+_xlfn.XLOOKUP(radicados[[#This Row],[MUNICIPIO]],MUNICIPIOS!A:A,MUNICIPIOS!E:E,0,0,1)</f>
        <v>Occidente</v>
      </c>
      <c r="F495" s="247" t="s">
        <v>214</v>
      </c>
      <c r="G495" s="247">
        <v>817</v>
      </c>
      <c r="H495" s="249" t="s">
        <v>1880</v>
      </c>
      <c r="I495" s="249" t="s">
        <v>17</v>
      </c>
      <c r="J495" s="254">
        <v>950000000</v>
      </c>
      <c r="K495" s="247" t="s">
        <v>1925</v>
      </c>
    </row>
    <row r="496" spans="1:11" ht="15" customHeight="1">
      <c r="A496" s="243">
        <v>497</v>
      </c>
      <c r="B496" s="244">
        <v>2025010565886</v>
      </c>
      <c r="C496" s="245">
        <v>45952</v>
      </c>
      <c r="D496" s="244">
        <f ca="1">+TODAY()-radicados[[#This Row],[FECHA]]</f>
        <v>44</v>
      </c>
      <c r="E496" s="32" t="str">
        <f>+_xlfn.XLOOKUP(radicados[[#This Row],[MUNICIPIO]],MUNICIPIOS!A:A,MUNICIPIOS!E:E,0,0,1)</f>
        <v>Magdalena Medio</v>
      </c>
      <c r="F496" s="247" t="s">
        <v>339</v>
      </c>
      <c r="G496" s="247">
        <v>818</v>
      </c>
      <c r="H496" s="249" t="s">
        <v>1897</v>
      </c>
      <c r="I496" s="249" t="s">
        <v>17</v>
      </c>
      <c r="J496" s="254">
        <v>1936181795</v>
      </c>
      <c r="K496" s="247"/>
    </row>
    <row r="497" spans="1:11" ht="15" customHeight="1">
      <c r="A497" s="243">
        <v>498</v>
      </c>
      <c r="B497" s="244">
        <v>2025010558139</v>
      </c>
      <c r="C497" s="245">
        <v>45946</v>
      </c>
      <c r="D497" s="244">
        <f ca="1">+TODAY()-radicados[[#This Row],[FECHA]]</f>
        <v>50</v>
      </c>
      <c r="E497" s="32" t="str">
        <f>+_xlfn.XLOOKUP(radicados[[#This Row],[MUNICIPIO]],MUNICIPIOS!A:A,MUNICIPIOS!E:E,0,0,1)</f>
        <v>Oriente</v>
      </c>
      <c r="F497" s="247" t="s">
        <v>323</v>
      </c>
      <c r="G497" s="247">
        <v>819</v>
      </c>
      <c r="H497" s="249" t="s">
        <v>1881</v>
      </c>
      <c r="I497" s="249" t="s">
        <v>17</v>
      </c>
      <c r="J497" s="254">
        <v>7986933277</v>
      </c>
      <c r="K497" s="247"/>
    </row>
    <row r="498" spans="1:11" ht="15" customHeight="1">
      <c r="A498" s="243">
        <v>499</v>
      </c>
      <c r="B498" s="244">
        <v>2025010504042</v>
      </c>
      <c r="C498" s="245">
        <v>45922</v>
      </c>
      <c r="D498" s="244">
        <f ca="1">+TODAY()-radicados[[#This Row],[FECHA]]</f>
        <v>74</v>
      </c>
      <c r="E498" s="32" t="str">
        <f>+_xlfn.XLOOKUP(radicados[[#This Row],[MUNICIPIO]],MUNICIPIOS!A:A,MUNICIPIOS!E:E,0,0,1)</f>
        <v>Urabá</v>
      </c>
      <c r="F498" s="247" t="s">
        <v>118</v>
      </c>
      <c r="G498" s="247">
        <v>820</v>
      </c>
      <c r="H498" s="249" t="s">
        <v>1882</v>
      </c>
      <c r="I498" s="249" t="s">
        <v>17</v>
      </c>
      <c r="J498" s="254"/>
      <c r="K498" s="247" t="s">
        <v>1926</v>
      </c>
    </row>
    <row r="499" spans="1:11" ht="15" customHeight="1">
      <c r="A499" s="243">
        <v>501</v>
      </c>
      <c r="B499" s="244">
        <v>2025010554166</v>
      </c>
      <c r="C499" s="245">
        <v>45945</v>
      </c>
      <c r="D499" s="244">
        <f ca="1">+TODAY()-radicados[[#This Row],[FECHA]]</f>
        <v>51</v>
      </c>
      <c r="E499" s="32" t="str">
        <f>+_xlfn.XLOOKUP(radicados[[#This Row],[MUNICIPIO]],MUNICIPIOS!A:A,MUNICIPIOS!E:E,0,0,1)</f>
        <v>Urabá</v>
      </c>
      <c r="F499" s="247" t="s">
        <v>74</v>
      </c>
      <c r="G499" s="247">
        <v>822</v>
      </c>
      <c r="H499" s="249" t="s">
        <v>1898</v>
      </c>
      <c r="I499" s="249" t="s">
        <v>51</v>
      </c>
      <c r="J499" s="254"/>
      <c r="K499" s="247" t="s">
        <v>1927</v>
      </c>
    </row>
  </sheetData>
  <phoneticPr fontId="11" type="noConversion"/>
  <conditionalFormatting sqref="A1:A499">
    <cfRule type="duplicateValues" dxfId="58" priority="1182"/>
  </conditionalFormatting>
  <conditionalFormatting sqref="A1:A1048576">
    <cfRule type="duplicateValues" dxfId="57" priority="3"/>
  </conditionalFormatting>
  <conditionalFormatting sqref="B2:B499">
    <cfRule type="duplicateValues" dxfId="56" priority="1187"/>
  </conditionalFormatting>
  <conditionalFormatting sqref="B2:B1048576">
    <cfRule type="duplicateValues" dxfId="55" priority="4"/>
  </conditionalFormatting>
  <conditionalFormatting sqref="B1:D1 B2:B499">
    <cfRule type="duplicateValues" dxfId="54" priority="1192"/>
  </conditionalFormatting>
  <conditionalFormatting sqref="G1">
    <cfRule type="duplicateValues" dxfId="53" priority="6"/>
  </conditionalFormatting>
  <conditionalFormatting sqref="J163">
    <cfRule type="duplicateValues" dxfId="52" priority="1"/>
  </conditionalFormatting>
  <hyperlinks>
    <hyperlink ref="B63" r:id="rId1" display="2.02401E+12" xr:uid="{00000000-0004-0000-0200-000000000000}"/>
    <hyperlink ref="B128" r:id="rId2" display="2.02401E+12" xr:uid="{00000000-0004-0000-0200-000001000000}"/>
    <hyperlink ref="B133" r:id="rId3" display="2.02401E+12" xr:uid="{00000000-0004-0000-0200-000002000000}"/>
    <hyperlink ref="B142" r:id="rId4" display="2.02402E+12" xr:uid="{00000000-0004-0000-0200-000003000000}"/>
    <hyperlink ref="B156" r:id="rId5" display="2.02401E+12" xr:uid="{00000000-0004-0000-0200-000004000000}"/>
    <hyperlink ref="B168" r:id="rId6" display="2.02401E+12" xr:uid="{00000000-0004-0000-0200-000005000000}"/>
    <hyperlink ref="B213" r:id="rId7" display="https://mercurio.antioquia.gov.co/mercurio/servlet/ControllerMercurio?command=radrecibido&amp;tipoRadicacion=abrir&amp;firma=0&amp;bolCopia=N&amp;idDocumento=2025010098088" xr:uid="{48798256-E67D-4195-A260-2A912C325AE6}"/>
    <hyperlink ref="B181" r:id="rId8" display="2.02401E+12" xr:uid="{00000000-0004-0000-0200-000006000000}"/>
    <hyperlink ref="B227" r:id="rId9" display="2.02401E+12" xr:uid="{F7A6D350-0F1B-425C-8A08-C80CC6BD4448}"/>
    <hyperlink ref="B257" r:id="rId10" display="https://mercurio.antioquia.gov.co/mercurio/servlet/ControllerMercurio?command=radrecibido&amp;tipoRadicacion=abrir&amp;firma=0&amp;bolCopia=N&amp;idDocumento=2025010230047" xr:uid="{2B8ECE87-8821-4F72-81F1-2342F3D6D2B4}"/>
    <hyperlink ref="B318" r:id="rId11" display="https://mercurio.antioquia.gov.co/mercurio/servlet/ControllerMercurio?command=radrecibido&amp;tipoRadicacion=abrir&amp;firma=0&amp;bolCopia=N&amp;idDocumento=2025010235401" xr:uid="{479013DC-1D08-4FA5-859F-813CDFB1BDA3}"/>
    <hyperlink ref="B390" r:id="rId12" display="https://mercurio.antioquia.gov.co/mercurio/servlet/ControllerMercurio?command=radrecibido&amp;tipoRadicacion=abrir&amp;firma=0&amp;bolCopia=N&amp;idDocumento=2025010234385" xr:uid="{E2918CE7-2F90-4F14-9B78-3F2EBA61A25D}"/>
  </hyperlinks>
  <pageMargins left="0.7" right="0.7" top="0.75" bottom="0.75" header="0.3" footer="0.3"/>
  <tableParts count="1">
    <tablePart r:id="rId13"/>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4000000}">
          <x14:formula1>
            <xm:f>MUNICIPIOS!$A$2:$A$127</xm:f>
          </x14:formula1>
          <xm:sqref>F2:F211 F219:F222 F224:F259 F293:F310 F316:F317 F320:F321 F326:F342 F354:F417</xm:sqref>
        </x14:dataValidation>
        <x14:dataValidation type="list" allowBlank="1" showInputMessage="1" showErrorMessage="1" xr:uid="{D4AB9465-BE47-4B42-84C8-A4E9C06C41BD}">
          <x14:formula1>
            <xm:f>Desplegables!$A$3:$A$5</xm:f>
          </x14:formula1>
          <xm:sqref>I214:I226</xm:sqref>
        </x14:dataValidation>
        <x14:dataValidation type="list" allowBlank="1" showInputMessage="1" showErrorMessage="1" xr:uid="{00000000-0002-0000-0200-000002000000}">
          <x14:formula1>
            <xm:f>Desplegables!#REF!</xm:f>
          </x14:formula1>
          <xm:sqref>F212:F218 F223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7" tint="0.79998168889431442"/>
    <pageSetUpPr fitToPage="1"/>
  </sheetPr>
  <dimension ref="A1:AM702"/>
  <sheetViews>
    <sheetView zoomScale="85" zoomScaleNormal="85" workbookViewId="0">
      <pane ySplit="1" topLeftCell="A676" activePane="bottomLeft" state="frozen"/>
      <selection pane="bottomLeft" activeCell="B705" sqref="B705"/>
    </sheetView>
  </sheetViews>
  <sheetFormatPr baseColWidth="10" defaultColWidth="9.140625" defaultRowHeight="15" customHeight="1"/>
  <cols>
    <col min="1" max="1" width="15.42578125" style="3" customWidth="1"/>
    <col min="2" max="2" width="105" style="37" customWidth="1"/>
    <col min="3" max="3" width="22.42578125" style="34" customWidth="1"/>
    <col min="4" max="4" width="25" style="32" customWidth="1"/>
    <col min="5" max="5" width="18.140625" style="3" customWidth="1"/>
    <col min="6" max="8" width="15" style="156" customWidth="1"/>
    <col min="9" max="9" width="21" style="40" customWidth="1"/>
    <col min="10" max="10" width="32.85546875" style="40" customWidth="1"/>
    <col min="11" max="11" width="15.140625" style="9" customWidth="1"/>
    <col min="12" max="12" width="25.85546875" style="37" customWidth="1"/>
    <col min="13" max="13" width="30.7109375" style="3" customWidth="1"/>
    <col min="14" max="14" width="34.42578125" style="3" customWidth="1"/>
    <col min="15" max="17" width="25.85546875" style="34" customWidth="1"/>
    <col min="18" max="18" width="23.28515625" style="40" customWidth="1"/>
    <col min="19" max="19" width="27.7109375" style="40" customWidth="1"/>
    <col min="20" max="20" width="15.140625" style="9" customWidth="1"/>
    <col min="21" max="21" width="22.28515625" style="157" customWidth="1"/>
    <col min="22" max="23" width="29.140625" style="34" customWidth="1"/>
    <col min="24" max="24" width="22.85546875" customWidth="1"/>
    <col min="25" max="25" width="16.140625" customWidth="1"/>
    <col min="26" max="26" width="26.85546875" style="158" bestFit="1" customWidth="1"/>
    <col min="27" max="27" width="26.85546875" style="3" bestFit="1" customWidth="1"/>
    <col min="28" max="28" width="22.5703125" style="3" bestFit="1" customWidth="1"/>
    <col min="29" max="29" width="21" style="3" bestFit="1" customWidth="1"/>
    <col min="30" max="30" width="30.140625" style="3" bestFit="1" customWidth="1"/>
    <col min="31" max="31" width="20.42578125" style="3" bestFit="1" customWidth="1"/>
    <col min="32" max="32" width="22.42578125" style="3" bestFit="1" customWidth="1"/>
    <col min="33" max="35" width="27.5703125" style="3" bestFit="1" customWidth="1"/>
    <col min="36" max="36" width="16.85546875" style="3" bestFit="1" customWidth="1"/>
    <col min="37" max="37" width="13.7109375" style="3" bestFit="1" customWidth="1"/>
    <col min="38" max="38" width="12.42578125" style="3" bestFit="1" customWidth="1"/>
    <col min="39" max="39" width="13" style="3" bestFit="1" customWidth="1"/>
    <col min="40" max="41" width="20" bestFit="1" customWidth="1"/>
  </cols>
  <sheetData>
    <row r="1" spans="1:39" s="28" customFormat="1" ht="48" customHeight="1">
      <c r="A1" s="56" t="s">
        <v>381</v>
      </c>
      <c r="B1" s="35" t="s">
        <v>382</v>
      </c>
      <c r="C1" s="35" t="s">
        <v>916</v>
      </c>
      <c r="D1" s="51" t="s">
        <v>2</v>
      </c>
      <c r="E1" s="26" t="s">
        <v>383</v>
      </c>
      <c r="F1" s="6" t="s">
        <v>384</v>
      </c>
      <c r="G1" s="6" t="s">
        <v>385</v>
      </c>
      <c r="H1" s="25" t="s">
        <v>386</v>
      </c>
      <c r="I1" s="6" t="s">
        <v>387</v>
      </c>
      <c r="J1" s="6" t="s">
        <v>388</v>
      </c>
      <c r="K1" s="38" t="s">
        <v>389</v>
      </c>
      <c r="L1" s="39" t="s">
        <v>1128</v>
      </c>
      <c r="M1" s="149" t="s">
        <v>946</v>
      </c>
      <c r="N1" s="60" t="s">
        <v>390</v>
      </c>
      <c r="O1" s="60" t="s">
        <v>945</v>
      </c>
      <c r="P1" s="24" t="s">
        <v>391</v>
      </c>
      <c r="Q1" s="38" t="s">
        <v>1231</v>
      </c>
      <c r="R1" s="25" t="s">
        <v>904</v>
      </c>
      <c r="S1" s="25" t="s">
        <v>1229</v>
      </c>
      <c r="T1" s="129" t="s">
        <v>887</v>
      </c>
      <c r="U1" s="138" t="s">
        <v>893</v>
      </c>
      <c r="V1" s="129" t="s">
        <v>894</v>
      </c>
      <c r="W1" s="129" t="s">
        <v>895</v>
      </c>
      <c r="X1" s="130" t="s">
        <v>896</v>
      </c>
      <c r="Y1" s="130" t="s">
        <v>897</v>
      </c>
      <c r="Z1" s="130" t="s">
        <v>898</v>
      </c>
      <c r="AA1" s="131" t="s">
        <v>899</v>
      </c>
      <c r="AB1" s="129" t="s">
        <v>900</v>
      </c>
      <c r="AC1" s="129" t="s">
        <v>901</v>
      </c>
      <c r="AD1" s="129" t="s">
        <v>902</v>
      </c>
      <c r="AE1" s="132" t="s">
        <v>903</v>
      </c>
      <c r="AF1" s="133" t="s">
        <v>888</v>
      </c>
      <c r="AG1" s="133" t="s">
        <v>889</v>
      </c>
      <c r="AH1" s="133" t="s">
        <v>890</v>
      </c>
      <c r="AI1" s="25" t="s">
        <v>1139</v>
      </c>
      <c r="AJ1" s="25" t="s">
        <v>1142</v>
      </c>
    </row>
    <row r="2" spans="1:39">
      <c r="A2" s="44">
        <v>1</v>
      </c>
      <c r="B2" s="37" t="s">
        <v>1350</v>
      </c>
      <c r="C2" s="118">
        <f>+_xlfn.XLOOKUP(PROYECTOS[[#This Row],[ID_NECESIDAD]],'1.RADICADOS'!G:G,'1.RADICADOS'!C:C,0,0,1)*1</f>
        <v>45327</v>
      </c>
      <c r="D2" s="46" t="s">
        <v>4</v>
      </c>
      <c r="E2" s="32" t="str">
        <f>+_xlfn.XLOOKUP(PROYECTOS[[#This Row],[MUNICIPIO]],MUNICIPIOS!A:A,MUNICIPIOS!E:E,0,0,1)</f>
        <v>Nordeste</v>
      </c>
      <c r="F2" s="44">
        <f>+_xlfn.XLOOKUP(PROYECTOS[[#This Row],[MUNICIPIO]],MUNICIPIOS!A:A,MUNICIPIOS!F:F,0,0,1)</f>
        <v>-74.798714000000004</v>
      </c>
      <c r="G2" s="44">
        <f>+_xlfn.XLOOKUP(PROYECTOS[[#This Row],[MUNICIPIO]],MUNICIPIOS!A:A,MUNICIPIOS!G:G,0,0,1)</f>
        <v>6.7735250000000002</v>
      </c>
      <c r="H2" s="44">
        <f>+_xlfn.XLOOKUP(PROYECTOS[[#This Row],[MUNICIPIO]],MUNICIPIOS!A:A,MUNICIPIOS!B:B,0,0,1)</f>
        <v>0</v>
      </c>
      <c r="I2" s="44">
        <f>+_xlfn.XLOOKUP(PROYECTOS[[#This Row],[MUNICIPIO]],MUNICIPIOS!A:A,MUNICIPIOS!C:C,0,0,1)</f>
        <v>1</v>
      </c>
      <c r="J2" s="3" t="str" cm="1">
        <f t="array" ref="J2">_xlfn.TEXTJOIN(" ", TRUE, IF(radicados[ID PROYECTOS]=A2, radicados[RADICADO], ""))</f>
        <v>2024010048235</v>
      </c>
      <c r="K2" s="45">
        <v>1</v>
      </c>
      <c r="L2" s="48"/>
      <c r="M2" s="34" t="s">
        <v>392</v>
      </c>
      <c r="N2" s="40" t="s">
        <v>1079</v>
      </c>
      <c r="O2" s="40" t="s">
        <v>7</v>
      </c>
      <c r="P2" s="37"/>
      <c r="Q2" s="45"/>
      <c r="R2" s="43"/>
      <c r="S2" s="43"/>
      <c r="T2" s="44">
        <f>+_xlfn.XLOOKUP(PROYECTOS[[#This Row],[MUNICIPIO]],'4.CAP_ENDMNT'!B:B,'4.CAP_ENDMNT'!C:C,0,0,1)</f>
        <v>6</v>
      </c>
      <c r="U2" s="139">
        <f>+_xlfn.XLOOKUP(PROYECTOS[[#This Row],[MUNICIPIO]],'4.CAP_ENDMNT'!B:B,'4.CAP_ENDMNT'!D:D,0,0,1)</f>
        <v>14438255937.0725</v>
      </c>
      <c r="V2" s="139">
        <f>+_xlfn.XLOOKUP(PROYECTOS[[#This Row],[MUNICIPIO]],'4.CAP_ENDMNT'!B:B,'4.CAP_ENDMNT'!E:E,0,0,1)</f>
        <v>4668200945.8400002</v>
      </c>
      <c r="W2" s="139">
        <f>+_xlfn.XLOOKUP(PROYECTOS[[#This Row],[MUNICIPIO]],'4.CAP_ENDMNT'!B:B,'4.CAP_ENDMNT'!F:F,0,0,1)</f>
        <v>9770054991.2325001</v>
      </c>
      <c r="X2" s="139">
        <f>+_xlfn.XLOOKUP(PROYECTOS[[#This Row],[MUNICIPIO]],'4.CAP_ENDMNT'!B:B,'4.CAP_ENDMNT'!G:G,0,0,1)</f>
        <v>2534414723</v>
      </c>
      <c r="Y2" s="139">
        <f>+_xlfn.XLOOKUP(PROYECTOS[[#This Row],[MUNICIPIO]],'4.CAP_ENDMNT'!B:B,'4.CAP_ENDMNT'!H:H,0,0,1)</f>
        <v>0</v>
      </c>
      <c r="Z2" s="139">
        <f>+_xlfn.XLOOKUP(PROYECTOS[[#This Row],[MUNICIPIO]],'4.CAP_ENDMNT'!B:B,'4.CAP_ENDMNT'!I:I,0,0,1)</f>
        <v>2534414723</v>
      </c>
      <c r="AA2" s="134">
        <f>+_xlfn.XLOOKUP(PROYECTOS[[#This Row],[MUNICIPIO]],'4.CAP_ENDMNT'!B:B,'4.CAP_ENDMNT'!J:J,0,0,1)</f>
        <v>0.17553468604836753</v>
      </c>
      <c r="AB2" s="139">
        <f>+_xlfn.XLOOKUP(PROYECTOS[[#This Row],[MUNICIPIO]],'4.CAP_ENDMNT'!B:B,'4.CAP_ENDMNT'!K:K,0,0,1)</f>
        <v>11903841214.0725</v>
      </c>
      <c r="AC2" s="139">
        <f>+_xlfn.XLOOKUP(PROYECTOS[[#This Row],[MUNICIPIO]],'4.CAP_ENDMNT'!B:B,'4.CAP_ENDMNT'!L:L,0,0,1)</f>
        <v>9523072971.2580013</v>
      </c>
      <c r="AD2" s="139">
        <f>+_xlfn.XLOOKUP(PROYECTOS[[#This Row],[MUNICIPIO]],'4.CAP_ENDMNT'!B:B,'4.CAP_ENDMNT'!M:M,0,0,1)</f>
        <v>7142304728.4434996</v>
      </c>
      <c r="AE2" s="134">
        <f>+_xlfn.XLOOKUP(PROYECTOS[[#This Row],[MUNICIPIO]],'4.CAP_ENDMNT'!B:B,'4.CAP_ENDMNT'!N:N,0,0,1)</f>
        <v>1</v>
      </c>
      <c r="AF2" s="134">
        <f>+_xlfn.XLOOKUP(PROYECTOS[[#This Row],[MUNICIPIO]],'4.CAP_ENDMNT'!B:B,'4.CAP_ENDMNT'!O:O,0,0,1)</f>
        <v>0.5148707777903756</v>
      </c>
      <c r="AG2" s="134">
        <f>+_xlfn.XLOOKUP(PROYECTOS[[#This Row],[MUNICIPIO]],'4.CAP_ENDMNT'!B:B,'4.CAP_ENDMNT'!P:P,0,0,1)</f>
        <v>0.8</v>
      </c>
      <c r="AH2" s="44" t="str">
        <f>+_xlfn.XLOOKUP(PROYECTOS[[#This Row],[MUNICIPIO]],'4.CAP_ENDMNT'!B:B,'4.CAP_ENDMNT'!Q:Q,0,0,1)</f>
        <v>Cumple</v>
      </c>
      <c r="AI2" s="139">
        <f>+_xlfn.XLOOKUP(PROYECTOS[[#This Row],[MUNICIPIO]],'4.CAP_ENDMNT'!B:B,'4.CAP_ENDMNT'!V:V,0,0,1)</f>
        <v>1428460945.6887</v>
      </c>
      <c r="AJ2" s="139">
        <f>+_xlfn.XLOOKUP(PROYECTOS[[#This Row],[MUNICIPIO]],'4.CAP_ENDMNT'!B:B,'4.CAP_ENDMNT'!Y:Y,0,0,1)</f>
        <v>1100754852.1321993</v>
      </c>
      <c r="AK2"/>
      <c r="AL2"/>
      <c r="AM2"/>
    </row>
    <row r="3" spans="1:39">
      <c r="A3" s="44">
        <v>3</v>
      </c>
      <c r="B3" s="37" t="s">
        <v>16</v>
      </c>
      <c r="C3" s="118">
        <f>+_xlfn.XLOOKUP(PROYECTOS[[#This Row],[ID_NECESIDAD]],'1.RADICADOS'!G:G,'1.RADICADOS'!C:C,0,0,1)*1</f>
        <v>45629</v>
      </c>
      <c r="D3" s="46" t="s">
        <v>15</v>
      </c>
      <c r="E3" s="47" t="str">
        <f>+_xlfn.XLOOKUP(PROYECTOS[[#This Row],[MUNICIPIO]],MUNICIPIOS!A:A,MUNICIPIOS!E:E,0,0,1)</f>
        <v>Valle de Aburrá</v>
      </c>
      <c r="F3" s="44">
        <f>+_xlfn.XLOOKUP(PROYECTOS[[#This Row],[MUNICIPIO]],MUNICIPIOS!A:A,MUNICIPIOS!F:F,0,0,1)</f>
        <v>-75.331626999999997</v>
      </c>
      <c r="G3" s="44" t="str">
        <f>+_xlfn.XLOOKUP(PROYECTOS[[#This Row],[MUNICIPIO]],MUNICIPIOS!A:A,MUNICIPIOS!G:G,0,0,1)</f>
        <v>6,439195</v>
      </c>
      <c r="H3" s="44">
        <f>+_xlfn.XLOOKUP(PROYECTOS[[#This Row],[MUNICIPIO]],MUNICIPIOS!A:A,MUNICIPIOS!B:B,0,0,1)</f>
        <v>0</v>
      </c>
      <c r="I3" s="44">
        <f>+_xlfn.XLOOKUP(PROYECTOS[[#This Row],[MUNICIPIO]],MUNICIPIOS!A:A,MUNICIPIOS!C:C,0,0,1)</f>
        <v>0</v>
      </c>
      <c r="J3" s="3" t="str" cm="1">
        <f t="array" ref="J3">_xlfn.TEXTJOIN(" ", TRUE, IF(radicados[ID PROYECTOS]=A3, radicados[RADICADO], ""))</f>
        <v>2024010111694</v>
      </c>
      <c r="K3" s="45">
        <v>3</v>
      </c>
      <c r="L3" s="48">
        <v>54654511129</v>
      </c>
      <c r="M3" s="34" t="s">
        <v>393</v>
      </c>
      <c r="N3" s="34" t="s">
        <v>394</v>
      </c>
      <c r="O3" s="34" t="s">
        <v>18</v>
      </c>
      <c r="P3" s="37"/>
      <c r="Q3" s="45"/>
      <c r="R3" s="43"/>
      <c r="S3" s="43"/>
      <c r="T3" s="44">
        <f>+_xlfn.XLOOKUP(PROYECTOS[[#This Row],[MUNICIPIO]],'4.CAP_ENDMNT'!B:B,'4.CAP_ENDMNT'!C:C,0,0,1)</f>
        <v>4</v>
      </c>
      <c r="U3" s="139">
        <f>+_xlfn.XLOOKUP(PROYECTOS[[#This Row],[MUNICIPIO]],'4.CAP_ENDMNT'!B:B,'4.CAP_ENDMNT'!D:D,0,0,1)</f>
        <v>56592203197.536499</v>
      </c>
      <c r="V3" s="140">
        <f>+_xlfn.XLOOKUP(PROYECTOS[[#This Row],[MUNICIPIO]],'4.CAP_ENDMNT'!B:B,'4.CAP_ENDMNT'!E:E,0,0,1)</f>
        <v>24375972647.860001</v>
      </c>
      <c r="W3" s="140">
        <f>+_xlfn.XLOOKUP(PROYECTOS[[#This Row],[MUNICIPIO]],'4.CAP_ENDMNT'!B:B,'4.CAP_ENDMNT'!F:F,0,0,1)</f>
        <v>32216230549.676498</v>
      </c>
      <c r="X3" s="140">
        <f>+_xlfn.XLOOKUP(PROYECTOS[[#This Row],[MUNICIPIO]],'4.CAP_ENDMNT'!B:B,'4.CAP_ENDMNT'!G:G,0,0,1)</f>
        <v>0</v>
      </c>
      <c r="Y3" s="140">
        <f>+_xlfn.XLOOKUP(PROYECTOS[[#This Row],[MUNICIPIO]],'4.CAP_ENDMNT'!B:B,'4.CAP_ENDMNT'!H:H,0,0,1)</f>
        <v>15044963334.42</v>
      </c>
      <c r="Z3" s="140">
        <f>+_xlfn.XLOOKUP(PROYECTOS[[#This Row],[MUNICIPIO]],'4.CAP_ENDMNT'!B:B,'4.CAP_ENDMNT'!I:I,0,0,1)</f>
        <v>15044963334.42</v>
      </c>
      <c r="AA3" s="134">
        <f>+_xlfn.XLOOKUP(PROYECTOS[[#This Row],[MUNICIPIO]],'4.CAP_ENDMNT'!B:B,'4.CAP_ENDMNT'!J:J,0,0,1)</f>
        <v>0.26584869442006315</v>
      </c>
      <c r="AB3" s="140">
        <f>+_xlfn.XLOOKUP(PROYECTOS[[#This Row],[MUNICIPIO]],'4.CAP_ENDMNT'!B:B,'4.CAP_ENDMNT'!K:K,0,0,1)</f>
        <v>41547239863.116501</v>
      </c>
      <c r="AC3" s="140">
        <f>+_xlfn.XLOOKUP(PROYECTOS[[#This Row],[MUNICIPIO]],'4.CAP_ENDMNT'!B:B,'4.CAP_ENDMNT'!L:L,0,0,1)</f>
        <v>33237791890.493202</v>
      </c>
      <c r="AD3" s="140">
        <f>+_xlfn.XLOOKUP(PROYECTOS[[#This Row],[MUNICIPIO]],'4.CAP_ENDMNT'!B:B,'4.CAP_ENDMNT'!M:M,0,0,1)</f>
        <v>24928343917.8699</v>
      </c>
      <c r="AE3" s="134">
        <f>+_xlfn.XLOOKUP(PROYECTOS[[#This Row],[MUNICIPIO]],'4.CAP_ENDMNT'!B:B,'4.CAP_ENDMNT'!N:N,0,0,1)</f>
        <v>0</v>
      </c>
      <c r="AF3" s="134">
        <f>+_xlfn.XLOOKUP(PROYECTOS[[#This Row],[MUNICIPIO]],'4.CAP_ENDMNT'!B:B,'4.CAP_ENDMNT'!O:O,0,0,1)</f>
        <v>0.60385208261970102</v>
      </c>
      <c r="AG3" s="134">
        <f>+_xlfn.XLOOKUP(PROYECTOS[[#This Row],[MUNICIPIO]],'4.CAP_ENDMNT'!B:B,'4.CAP_ENDMNT'!P:P,0,0,1)</f>
        <v>0.8</v>
      </c>
      <c r="AH3" s="44" t="str">
        <f>+_xlfn.XLOOKUP(PROYECTOS[[#This Row],[MUNICIPIO]],'4.CAP_ENDMNT'!B:B,'4.CAP_ENDMNT'!Q:Q,0,0,1)</f>
        <v>Cumple</v>
      </c>
      <c r="AI3" s="139">
        <f>+_xlfn.XLOOKUP(PROYECTOS[[#This Row],[MUNICIPIO]],'4.CAP_ENDMNT'!B:B,'4.CAP_ENDMNT'!V:V,0,0,1)</f>
        <v>4985668783.5739803</v>
      </c>
      <c r="AJ3" s="139">
        <f>+_xlfn.XLOOKUP(PROYECTOS[[#This Row],[MUNICIPIO]],'4.CAP_ENDMNT'!B:B,'4.CAP_ENDMNT'!Y:Y,0,0,1)</f>
        <v>-31357431194.556122</v>
      </c>
      <c r="AK3"/>
      <c r="AL3"/>
      <c r="AM3"/>
    </row>
    <row r="4" spans="1:39">
      <c r="A4" s="44">
        <v>4</v>
      </c>
      <c r="B4" s="37" t="s">
        <v>987</v>
      </c>
      <c r="C4" s="118">
        <f>+_xlfn.XLOOKUP(PROYECTOS[[#This Row],[ID_NECESIDAD]],'1.RADICADOS'!G:G,'1.RADICADOS'!C:C,0,0,1)*1</f>
        <v>45476</v>
      </c>
      <c r="D4" s="46" t="s">
        <v>27</v>
      </c>
      <c r="E4" s="47" t="str">
        <f>+_xlfn.XLOOKUP(PROYECTOS[[#This Row],[MUNICIPIO]],MUNICIPIOS!A:A,MUNICIPIOS!E:E,0,0,1)</f>
        <v>Oriente</v>
      </c>
      <c r="F4" s="44">
        <f>+_xlfn.XLOOKUP(PROYECTOS[[#This Row],[MUNICIPIO]],MUNICIPIOS!A:A,MUNICIPIOS!F:F,0,0,1)</f>
        <v>-75.377315999999993</v>
      </c>
      <c r="G4" s="44" t="str">
        <f>+_xlfn.XLOOKUP(PROYECTOS[[#This Row],[MUNICIPIO]],MUNICIPIOS!A:A,MUNICIPIOS!G:G,0,0,1)</f>
        <v>6,147148</v>
      </c>
      <c r="H4" s="44">
        <f>+_xlfn.XLOOKUP(PROYECTOS[[#This Row],[MUNICIPIO]],MUNICIPIOS!A:A,MUNICIPIOS!B:B,0,0,1)</f>
        <v>0</v>
      </c>
      <c r="I4" s="44">
        <f>+_xlfn.XLOOKUP(PROYECTOS[[#This Row],[MUNICIPIO]],MUNICIPIOS!A:A,MUNICIPIOS!C:C,0,0,1)</f>
        <v>0</v>
      </c>
      <c r="J4" s="3" t="str" cm="1">
        <f t="array" ref="J4">_xlfn.TEXTJOIN(" ", TRUE, IF(radicados[ID PROYECTOS]=A4, radicados[RADICADO], ""))</f>
        <v>2024010105045</v>
      </c>
      <c r="K4" s="142">
        <v>3</v>
      </c>
      <c r="L4" s="48">
        <v>8594513471</v>
      </c>
      <c r="M4" s="34" t="s">
        <v>395</v>
      </c>
      <c r="N4" s="40" t="s">
        <v>1079</v>
      </c>
      <c r="O4" s="40" t="s">
        <v>29</v>
      </c>
      <c r="P4" s="37" t="s">
        <v>988</v>
      </c>
      <c r="Q4" s="45"/>
      <c r="R4" s="43"/>
      <c r="S4" s="43"/>
      <c r="T4" s="44">
        <f>+_xlfn.XLOOKUP(PROYECTOS[[#This Row],[MUNICIPIO]],'4.CAP_ENDMNT'!B:B,'4.CAP_ENDMNT'!C:C,0,0,1)</f>
        <v>1</v>
      </c>
      <c r="U4" s="139">
        <f>+_xlfn.XLOOKUP(PROYECTOS[[#This Row],[MUNICIPIO]],'4.CAP_ENDMNT'!B:B,'4.CAP_ENDMNT'!D:D,0,0,1)</f>
        <v>501236439904.31354</v>
      </c>
      <c r="V4" s="140">
        <f>+_xlfn.XLOOKUP(PROYECTOS[[#This Row],[MUNICIPIO]],'4.CAP_ENDMNT'!B:B,'4.CAP_ENDMNT'!E:E,0,0,1)</f>
        <v>112502020079.39</v>
      </c>
      <c r="W4" s="140">
        <f>+_xlfn.XLOOKUP(PROYECTOS[[#This Row],[MUNICIPIO]],'4.CAP_ENDMNT'!B:B,'4.CAP_ENDMNT'!F:F,0,0,1)</f>
        <v>388734419824.92352</v>
      </c>
      <c r="X4" s="140">
        <f>+_xlfn.XLOOKUP(PROYECTOS[[#This Row],[MUNICIPIO]],'4.CAP_ENDMNT'!B:B,'4.CAP_ENDMNT'!G:G,0,0,1)</f>
        <v>85394840514</v>
      </c>
      <c r="Y4" s="140">
        <f>+_xlfn.XLOOKUP(PROYECTOS[[#This Row],[MUNICIPIO]],'4.CAP_ENDMNT'!B:B,'4.CAP_ENDMNT'!H:H,0,0,1)</f>
        <v>114109886446.23999</v>
      </c>
      <c r="Z4" s="140">
        <f>+_xlfn.XLOOKUP(PROYECTOS[[#This Row],[MUNICIPIO]],'4.CAP_ENDMNT'!B:B,'4.CAP_ENDMNT'!I:I,0,0,1)</f>
        <v>199504726960.23999</v>
      </c>
      <c r="AA4" s="134">
        <f>+_xlfn.XLOOKUP(PROYECTOS[[#This Row],[MUNICIPIO]],'4.CAP_ENDMNT'!B:B,'4.CAP_ENDMNT'!J:J,0,0,1)</f>
        <v>0.39802518547599136</v>
      </c>
      <c r="AB4" s="140">
        <f>+_xlfn.XLOOKUP(PROYECTOS[[#This Row],[MUNICIPIO]],'4.CAP_ENDMNT'!B:B,'4.CAP_ENDMNT'!K:K,0,0,1)</f>
        <v>301731712944.07355</v>
      </c>
      <c r="AC4" s="140">
        <f>+_xlfn.XLOOKUP(PROYECTOS[[#This Row],[MUNICIPIO]],'4.CAP_ENDMNT'!B:B,'4.CAP_ENDMNT'!L:L,0,0,1)</f>
        <v>241385370355.25885</v>
      </c>
      <c r="AD4" s="140">
        <f>+_xlfn.XLOOKUP(PROYECTOS[[#This Row],[MUNICIPIO]],'4.CAP_ENDMNT'!B:B,'4.CAP_ENDMNT'!M:M,0,0,1)</f>
        <v>181039027766.44412</v>
      </c>
      <c r="AE4" s="134">
        <f>+_xlfn.XLOOKUP(PROYECTOS[[#This Row],[MUNICIPIO]],'4.CAP_ENDMNT'!B:B,'4.CAP_ENDMNT'!N:N,0,0,1)</f>
        <v>0.42803417149619039</v>
      </c>
      <c r="AF4" s="134">
        <f>+_xlfn.XLOOKUP(PROYECTOS[[#This Row],[MUNICIPIO]],'4.CAP_ENDMNT'!B:B,'4.CAP_ENDMNT'!O:O,0,0,1)</f>
        <v>0.23207277402530038</v>
      </c>
      <c r="AG4" s="134">
        <f>+_xlfn.XLOOKUP(PROYECTOS[[#This Row],[MUNICIPIO]],'4.CAP_ENDMNT'!B:B,'4.CAP_ENDMNT'!P:P,0,0,1)</f>
        <v>0.65</v>
      </c>
      <c r="AH4" s="44" t="str">
        <f>+_xlfn.XLOOKUP(PROYECTOS[[#This Row],[MUNICIPIO]],'4.CAP_ENDMNT'!B:B,'4.CAP_ENDMNT'!Q:Q,0,0,1)</f>
        <v>Cumple</v>
      </c>
      <c r="AI4" s="139">
        <f>+_xlfn.XLOOKUP(PROYECTOS[[#This Row],[MUNICIPIO]],'4.CAP_ENDMNT'!B:B,'4.CAP_ENDMNT'!V:V,0,0,1)</f>
        <v>36207805553.288826</v>
      </c>
      <c r="AJ4" s="139">
        <f>+_xlfn.XLOOKUP(PROYECTOS[[#This Row],[MUNICIPIO]],'4.CAP_ENDMNT'!B:B,'4.CAP_ENDMNT'!Y:Y,0,0,1)</f>
        <v>199470854625.73294</v>
      </c>
      <c r="AK4"/>
      <c r="AL4"/>
      <c r="AM4"/>
    </row>
    <row r="5" spans="1:39">
      <c r="A5" s="44">
        <v>5</v>
      </c>
      <c r="B5" s="37" t="s">
        <v>31</v>
      </c>
      <c r="C5" s="118">
        <f>+_xlfn.XLOOKUP(PROYECTOS[[#This Row],[ID_NECESIDAD]],'1.RADICADOS'!G:G,'1.RADICADOS'!C:C,0,0,1)*1</f>
        <v>45338</v>
      </c>
      <c r="D5" s="46" t="s">
        <v>30</v>
      </c>
      <c r="E5" s="47" t="str">
        <f>+_xlfn.XLOOKUP(PROYECTOS[[#This Row],[MUNICIPIO]],MUNICIPIOS!A:A,MUNICIPIOS!E:E,0,0,1)</f>
        <v>Suroeste</v>
      </c>
      <c r="F5" s="44">
        <f>+_xlfn.XLOOKUP(PROYECTOS[[#This Row],[MUNICIPIO]],MUNICIPIOS!A:A,MUNICIPIOS!F:F,0,0,1)</f>
        <v>-75.567351000000002</v>
      </c>
      <c r="G5" s="44" t="str">
        <f>+_xlfn.XLOOKUP(PROYECTOS[[#This Row],[MUNICIPIO]],MUNICIPIOS!A:A,MUNICIPIOS!G:G,0,0,1)</f>
        <v>5,875527</v>
      </c>
      <c r="H5" s="44">
        <f>+_xlfn.XLOOKUP(PROYECTOS[[#This Row],[MUNICIPIO]],MUNICIPIOS!A:A,MUNICIPIOS!B:B,0,0,1)</f>
        <v>0</v>
      </c>
      <c r="I5" s="44">
        <f>+_xlfn.XLOOKUP(PROYECTOS[[#This Row],[MUNICIPIO]],MUNICIPIOS!A:A,MUNICIPIOS!C:C,0,0,1)</f>
        <v>0</v>
      </c>
      <c r="J5" s="3" t="str" cm="1">
        <f t="array" ref="J5">_xlfn.TEXTJOIN(" ", TRUE, IF(radicados[ID PROYECTOS]=A5, radicados[RADICADO], ""))</f>
        <v>2024010070587</v>
      </c>
      <c r="K5" s="45">
        <v>1</v>
      </c>
      <c r="L5" s="48"/>
      <c r="M5" s="34" t="s">
        <v>396</v>
      </c>
      <c r="N5" s="40" t="s">
        <v>397</v>
      </c>
      <c r="O5" s="40" t="s">
        <v>56</v>
      </c>
      <c r="P5" s="37" t="s">
        <v>1101</v>
      </c>
      <c r="Q5" s="45"/>
      <c r="R5" s="43"/>
      <c r="S5" s="43"/>
      <c r="T5" s="44">
        <f>+_xlfn.XLOOKUP(PROYECTOS[[#This Row],[MUNICIPIO]],'4.CAP_ENDMNT'!B:B,'4.CAP_ENDMNT'!C:C,0,0,1)</f>
        <v>6</v>
      </c>
      <c r="U5" s="139">
        <f>+_xlfn.XLOOKUP(PROYECTOS[[#This Row],[MUNICIPIO]],'4.CAP_ENDMNT'!B:B,'4.CAP_ENDMNT'!D:D,0,0,1)</f>
        <v>12109127304.486</v>
      </c>
      <c r="V5" s="140">
        <f>+_xlfn.XLOOKUP(PROYECTOS[[#This Row],[MUNICIPIO]],'4.CAP_ENDMNT'!B:B,'4.CAP_ENDMNT'!E:E,0,0,1)</f>
        <v>6485076277.8299999</v>
      </c>
      <c r="W5" s="140">
        <f>+_xlfn.XLOOKUP(PROYECTOS[[#This Row],[MUNICIPIO]],'4.CAP_ENDMNT'!B:B,'4.CAP_ENDMNT'!F:F,0,0,1)</f>
        <v>5624051026.6560001</v>
      </c>
      <c r="X5" s="140">
        <f>+_xlfn.XLOOKUP(PROYECTOS[[#This Row],[MUNICIPIO]],'4.CAP_ENDMNT'!B:B,'4.CAP_ENDMNT'!G:G,0,0,1)</f>
        <v>3662325591</v>
      </c>
      <c r="Y5" s="140">
        <f>+_xlfn.XLOOKUP(PROYECTOS[[#This Row],[MUNICIPIO]],'4.CAP_ENDMNT'!B:B,'4.CAP_ENDMNT'!H:H,0,0,1)</f>
        <v>0</v>
      </c>
      <c r="Z5" s="140">
        <f>+_xlfn.XLOOKUP(PROYECTOS[[#This Row],[MUNICIPIO]],'4.CAP_ENDMNT'!B:B,'4.CAP_ENDMNT'!I:I,0,0,1)</f>
        <v>3662325591</v>
      </c>
      <c r="AA5" s="134">
        <f>+_xlfn.XLOOKUP(PROYECTOS[[#This Row],[MUNICIPIO]],'4.CAP_ENDMNT'!B:B,'4.CAP_ENDMNT'!J:J,0,0,1)</f>
        <v>0.30244339653141139</v>
      </c>
      <c r="AB5" s="140">
        <f>+_xlfn.XLOOKUP(PROYECTOS[[#This Row],[MUNICIPIO]],'4.CAP_ENDMNT'!B:B,'4.CAP_ENDMNT'!K:K,0,0,1)</f>
        <v>8446801713.4860001</v>
      </c>
      <c r="AC5" s="140">
        <f>+_xlfn.XLOOKUP(PROYECTOS[[#This Row],[MUNICIPIO]],'4.CAP_ENDMNT'!B:B,'4.CAP_ENDMNT'!L:L,0,0,1)</f>
        <v>6757441370.7888002</v>
      </c>
      <c r="AD5" s="140">
        <f>+_xlfn.XLOOKUP(PROYECTOS[[#This Row],[MUNICIPIO]],'4.CAP_ENDMNT'!B:B,'4.CAP_ENDMNT'!M:M,0,0,1)</f>
        <v>5068081028.0915995</v>
      </c>
      <c r="AE5" s="134">
        <f>+_xlfn.XLOOKUP(PROYECTOS[[#This Row],[MUNICIPIO]],'4.CAP_ENDMNT'!B:B,'4.CAP_ENDMNT'!N:N,0,0,1)</f>
        <v>1</v>
      </c>
      <c r="AF5" s="134">
        <f>+_xlfn.XLOOKUP(PROYECTOS[[#This Row],[MUNICIPIO]],'4.CAP_ENDMNT'!B:B,'4.CAP_ENDMNT'!O:O,0,0,1)</f>
        <v>0.55253262293583549</v>
      </c>
      <c r="AG5" s="134">
        <f>+_xlfn.XLOOKUP(PROYECTOS[[#This Row],[MUNICIPIO]],'4.CAP_ENDMNT'!B:B,'4.CAP_ENDMNT'!P:P,0,0,1)</f>
        <v>0.8</v>
      </c>
      <c r="AH5" s="44" t="str">
        <f>+_xlfn.XLOOKUP(PROYECTOS[[#This Row],[MUNICIPIO]],'4.CAP_ENDMNT'!B:B,'4.CAP_ENDMNT'!Q:Q,0,0,1)</f>
        <v>Cumple</v>
      </c>
      <c r="AI5" s="139">
        <f>+_xlfn.XLOOKUP(PROYECTOS[[#This Row],[MUNICIPIO]],'4.CAP_ENDMNT'!B:B,'4.CAP_ENDMNT'!V:V,0,0,1)</f>
        <v>1013616205.61832</v>
      </c>
      <c r="AJ5" s="139">
        <f>+_xlfn.XLOOKUP(PROYECTOS[[#This Row],[MUNICIPIO]],'4.CAP_ENDMNT'!B:B,'4.CAP_ENDMNT'!Y:Y,0,0,1)</f>
        <v>5281697233.709919</v>
      </c>
      <c r="AK5"/>
      <c r="AL5"/>
      <c r="AM5"/>
    </row>
    <row r="6" spans="1:39">
      <c r="A6" s="44">
        <v>6</v>
      </c>
      <c r="B6" s="37" t="s">
        <v>33</v>
      </c>
      <c r="C6" s="118">
        <f>+_xlfn.XLOOKUP(PROYECTOS[[#This Row],[ID_NECESIDAD]],'1.RADICADOS'!G:G,'1.RADICADOS'!C:C,0,0,1)*1</f>
        <v>45341</v>
      </c>
      <c r="D6" s="46" t="s">
        <v>32</v>
      </c>
      <c r="E6" s="47" t="str">
        <f>+_xlfn.XLOOKUP(PROYECTOS[[#This Row],[MUNICIPIO]],MUNICIPIOS!A:A,MUNICIPIOS!E:E,0,0,1)</f>
        <v>Oriente</v>
      </c>
      <c r="F6" s="44">
        <f>+_xlfn.XLOOKUP(PROYECTOS[[#This Row],[MUNICIPIO]],MUNICIPIOS!A:A,MUNICIPIOS!F:F,0,0,1)</f>
        <v>-75.428738999999993</v>
      </c>
      <c r="G6" s="44">
        <f>+_xlfn.XLOOKUP(PROYECTOS[[#This Row],[MUNICIPIO]],MUNICIPIOS!A:A,MUNICIPIOS!G:G,0,0,1)</f>
        <v>5.7893150000000002</v>
      </c>
      <c r="H6" s="44">
        <f>+_xlfn.XLOOKUP(PROYECTOS[[#This Row],[MUNICIPIO]],MUNICIPIOS!A:A,MUNICIPIOS!B:B,0,0,1)</f>
        <v>0</v>
      </c>
      <c r="I6" s="44">
        <f>+_xlfn.XLOOKUP(PROYECTOS[[#This Row],[MUNICIPIO]],MUNICIPIOS!A:A,MUNICIPIOS!C:C,0,0,1)</f>
        <v>1</v>
      </c>
      <c r="J6" s="3" t="str" cm="1">
        <f t="array" ref="J6">_xlfn.TEXTJOIN(" ", TRUE, IF(radicados[ID PROYECTOS]=A6, radicados[RADICADO], ""))</f>
        <v>2024010071479</v>
      </c>
      <c r="K6" s="45">
        <v>1</v>
      </c>
      <c r="L6" s="48"/>
      <c r="M6" s="34" t="s">
        <v>288</v>
      </c>
      <c r="N6" s="40" t="s">
        <v>398</v>
      </c>
      <c r="O6" s="40" t="s">
        <v>25</v>
      </c>
      <c r="P6" s="37" t="s">
        <v>1351</v>
      </c>
      <c r="Q6" s="45">
        <v>1</v>
      </c>
      <c r="R6" s="43" t="s">
        <v>922</v>
      </c>
      <c r="S6" s="43" t="s">
        <v>1639</v>
      </c>
      <c r="T6" s="44">
        <f>+_xlfn.XLOOKUP(PROYECTOS[[#This Row],[MUNICIPIO]],'4.CAP_ENDMNT'!B:B,'4.CAP_ENDMNT'!C:C,0,0,1)</f>
        <v>6</v>
      </c>
      <c r="U6" s="139">
        <f>+_xlfn.XLOOKUP(PROYECTOS[[#This Row],[MUNICIPIO]],'4.CAP_ENDMNT'!B:B,'4.CAP_ENDMNT'!D:D,0,0,1)</f>
        <v>15030770872.282</v>
      </c>
      <c r="V6" s="140">
        <f>+_xlfn.XLOOKUP(PROYECTOS[[#This Row],[MUNICIPIO]],'4.CAP_ENDMNT'!B:B,'4.CAP_ENDMNT'!E:E,0,0,1)</f>
        <v>4409672661.8199997</v>
      </c>
      <c r="W6" s="140">
        <f>+_xlfn.XLOOKUP(PROYECTOS[[#This Row],[MUNICIPIO]],'4.CAP_ENDMNT'!B:B,'4.CAP_ENDMNT'!F:F,0,0,1)</f>
        <v>10621098210.462</v>
      </c>
      <c r="X6" s="140">
        <f>+_xlfn.XLOOKUP(PROYECTOS[[#This Row],[MUNICIPIO]],'4.CAP_ENDMNT'!B:B,'4.CAP_ENDMNT'!G:G,0,0,1)</f>
        <v>1969764886</v>
      </c>
      <c r="Y6" s="140">
        <f>+_xlfn.XLOOKUP(PROYECTOS[[#This Row],[MUNICIPIO]],'4.CAP_ENDMNT'!B:B,'4.CAP_ENDMNT'!H:H,0,0,1)</f>
        <v>0</v>
      </c>
      <c r="Z6" s="140">
        <f>+_xlfn.XLOOKUP(PROYECTOS[[#This Row],[MUNICIPIO]],'4.CAP_ENDMNT'!B:B,'4.CAP_ENDMNT'!I:I,0,0,1)</f>
        <v>1969764886</v>
      </c>
      <c r="AA6" s="134">
        <f>+_xlfn.XLOOKUP(PROYECTOS[[#This Row],[MUNICIPIO]],'4.CAP_ENDMNT'!B:B,'4.CAP_ENDMNT'!J:J,0,0,1)</f>
        <v>0.13104882661955891</v>
      </c>
      <c r="AB6" s="140">
        <f>+_xlfn.XLOOKUP(PROYECTOS[[#This Row],[MUNICIPIO]],'4.CAP_ENDMNT'!B:B,'4.CAP_ENDMNT'!K:K,0,0,1)</f>
        <v>13061005986.282</v>
      </c>
      <c r="AC6" s="140">
        <f>+_xlfn.XLOOKUP(PROYECTOS[[#This Row],[MUNICIPIO]],'4.CAP_ENDMNT'!B:B,'4.CAP_ENDMNT'!L:L,0,0,1)</f>
        <v>10448804789.0256</v>
      </c>
      <c r="AD6" s="140">
        <f>+_xlfn.XLOOKUP(PROYECTOS[[#This Row],[MUNICIPIO]],'4.CAP_ENDMNT'!B:B,'4.CAP_ENDMNT'!M:M,0,0,1)</f>
        <v>7836603591.7691994</v>
      </c>
      <c r="AE6" s="134">
        <f>+_xlfn.XLOOKUP(PROYECTOS[[#This Row],[MUNICIPIO]],'4.CAP_ENDMNT'!B:B,'4.CAP_ENDMNT'!N:N,0,0,1)</f>
        <v>1</v>
      </c>
      <c r="AF6" s="134">
        <f>+_xlfn.XLOOKUP(PROYECTOS[[#This Row],[MUNICIPIO]],'4.CAP_ENDMNT'!B:B,'4.CAP_ENDMNT'!O:O,0,0,1)</f>
        <v>0.39507659260977307</v>
      </c>
      <c r="AG6" s="134">
        <f>+_xlfn.XLOOKUP(PROYECTOS[[#This Row],[MUNICIPIO]],'4.CAP_ENDMNT'!B:B,'4.CAP_ENDMNT'!P:P,0,0,1)</f>
        <v>0.8</v>
      </c>
      <c r="AH6" s="44" t="str">
        <f>+_xlfn.XLOOKUP(PROYECTOS[[#This Row],[MUNICIPIO]],'4.CAP_ENDMNT'!B:B,'4.CAP_ENDMNT'!Q:Q,0,0,1)</f>
        <v>Cumple</v>
      </c>
      <c r="AI6" s="139">
        <f>+_xlfn.XLOOKUP(PROYECTOS[[#This Row],[MUNICIPIO]],'4.CAP_ENDMNT'!B:B,'4.CAP_ENDMNT'!V:V,0,0,1)</f>
        <v>1567320718.3538399</v>
      </c>
      <c r="AJ6" s="139">
        <f>+_xlfn.XLOOKUP(PROYECTOS[[#This Row],[MUNICIPIO]],'4.CAP_ENDMNT'!B:B,'4.CAP_ENDMNT'!Y:Y,0,0,1)</f>
        <v>4201171682.1230392</v>
      </c>
      <c r="AK6"/>
      <c r="AL6"/>
      <c r="AM6"/>
    </row>
    <row r="7" spans="1:39">
      <c r="A7" s="44">
        <v>7</v>
      </c>
      <c r="B7" s="37" t="s">
        <v>36</v>
      </c>
      <c r="C7" s="118">
        <f>+_xlfn.XLOOKUP(PROYECTOS[[#This Row],[ID_NECESIDAD]],'1.RADICADOS'!G:G,'1.RADICADOS'!C:C,0,0,1)*1</f>
        <v>45308</v>
      </c>
      <c r="D7" s="46" t="s">
        <v>35</v>
      </c>
      <c r="E7" s="47" t="str">
        <f>+_xlfn.XLOOKUP(PROYECTOS[[#This Row],[MUNICIPIO]],MUNICIPIOS!A:A,MUNICIPIOS!E:E,0,0,1)</f>
        <v>Norte</v>
      </c>
      <c r="F7" s="44">
        <f>+_xlfn.XLOOKUP(PROYECTOS[[#This Row],[MUNICIPIO]],MUNICIPIOS!A:A,MUNICIPIOS!F:F,0,0,1)</f>
        <v>-75.392629999999997</v>
      </c>
      <c r="G7" s="44" t="str">
        <f>+_xlfn.XLOOKUP(PROYECTOS[[#This Row],[MUNICIPIO]],MUNICIPIOS!A:A,MUNICIPIOS!G:G,0,0,1)</f>
        <v>6,485603</v>
      </c>
      <c r="H7" s="44">
        <f>+_xlfn.XLOOKUP(PROYECTOS[[#This Row],[MUNICIPIO]],MUNICIPIOS!A:A,MUNICIPIOS!B:B,0,0,1)</f>
        <v>0</v>
      </c>
      <c r="I7" s="44">
        <f>+_xlfn.XLOOKUP(PROYECTOS[[#This Row],[MUNICIPIO]],MUNICIPIOS!A:A,MUNICIPIOS!C:C,0,0,1)</f>
        <v>0</v>
      </c>
      <c r="J7" s="3" t="str" cm="1">
        <f t="array" ref="J7">_xlfn.TEXTJOIN(" ", TRUE, IF(radicados[ID PROYECTOS]=A7, radicados[RADICADO], ""))</f>
        <v>2024010019030</v>
      </c>
      <c r="K7" s="45">
        <v>1</v>
      </c>
      <c r="L7" s="48"/>
      <c r="M7" s="34" t="s">
        <v>396</v>
      </c>
      <c r="N7" s="34" t="s">
        <v>398</v>
      </c>
      <c r="O7" s="34" t="s">
        <v>25</v>
      </c>
      <c r="P7" s="37"/>
      <c r="Q7" s="45"/>
      <c r="R7" s="43"/>
      <c r="S7" s="43"/>
      <c r="T7" s="44">
        <f>+_xlfn.XLOOKUP(PROYECTOS[[#This Row],[MUNICIPIO]],'4.CAP_ENDMNT'!B:B,'4.CAP_ENDMNT'!C:C,0,0,1)</f>
        <v>6</v>
      </c>
      <c r="U7" s="139">
        <f>+_xlfn.XLOOKUP(PROYECTOS[[#This Row],[MUNICIPIO]],'4.CAP_ENDMNT'!B:B,'4.CAP_ENDMNT'!D:D,0,0,1)</f>
        <v>24529039369.539501</v>
      </c>
      <c r="V7" s="140">
        <f>+_xlfn.XLOOKUP(PROYECTOS[[#This Row],[MUNICIPIO]],'4.CAP_ENDMNT'!B:B,'4.CAP_ENDMNT'!E:E,0,0,1)</f>
        <v>8973012363.6700001</v>
      </c>
      <c r="W7" s="140">
        <f>+_xlfn.XLOOKUP(PROYECTOS[[#This Row],[MUNICIPIO]],'4.CAP_ENDMNT'!B:B,'4.CAP_ENDMNT'!F:F,0,0,1)</f>
        <v>15556027005.869501</v>
      </c>
      <c r="X7" s="140">
        <f>+_xlfn.XLOOKUP(PROYECTOS[[#This Row],[MUNICIPIO]],'4.CAP_ENDMNT'!B:B,'4.CAP_ENDMNT'!G:G,0,0,1)</f>
        <v>7973050390</v>
      </c>
      <c r="Y7" s="140">
        <f>+_xlfn.XLOOKUP(PROYECTOS[[#This Row],[MUNICIPIO]],'4.CAP_ENDMNT'!B:B,'4.CAP_ENDMNT'!H:H,0,0,1)</f>
        <v>1625381984</v>
      </c>
      <c r="Z7" s="140">
        <f>+_xlfn.XLOOKUP(PROYECTOS[[#This Row],[MUNICIPIO]],'4.CAP_ENDMNT'!B:B,'4.CAP_ENDMNT'!I:I,0,0,1)</f>
        <v>9598432374</v>
      </c>
      <c r="AA7" s="134">
        <f>+_xlfn.XLOOKUP(PROYECTOS[[#This Row],[MUNICIPIO]],'4.CAP_ENDMNT'!B:B,'4.CAP_ENDMNT'!J:J,0,0,1)</f>
        <v>0.39130893914742809</v>
      </c>
      <c r="AB7" s="140">
        <f>+_xlfn.XLOOKUP(PROYECTOS[[#This Row],[MUNICIPIO]],'4.CAP_ENDMNT'!B:B,'4.CAP_ENDMNT'!K:K,0,0,1)</f>
        <v>14930606995.539501</v>
      </c>
      <c r="AC7" s="140">
        <f>+_xlfn.XLOOKUP(PROYECTOS[[#This Row],[MUNICIPIO]],'4.CAP_ENDMNT'!B:B,'4.CAP_ENDMNT'!L:L,0,0,1)</f>
        <v>11944485596.431602</v>
      </c>
      <c r="AD7" s="140">
        <f>+_xlfn.XLOOKUP(PROYECTOS[[#This Row],[MUNICIPIO]],'4.CAP_ENDMNT'!B:B,'4.CAP_ENDMNT'!M:M,0,0,1)</f>
        <v>8958364197.3237</v>
      </c>
      <c r="AE7" s="134">
        <f>+_xlfn.XLOOKUP(PROYECTOS[[#This Row],[MUNICIPIO]],'4.CAP_ENDMNT'!B:B,'4.CAP_ENDMNT'!N:N,0,0,1)</f>
        <v>0.83066172467883448</v>
      </c>
      <c r="AF7" s="134">
        <f>+_xlfn.XLOOKUP(PROYECTOS[[#This Row],[MUNICIPIO]],'4.CAP_ENDMNT'!B:B,'4.CAP_ENDMNT'!O:O,0,0,1)</f>
        <v>0.53024343717246458</v>
      </c>
      <c r="AG7" s="134">
        <f>+_xlfn.XLOOKUP(PROYECTOS[[#This Row],[MUNICIPIO]],'4.CAP_ENDMNT'!B:B,'4.CAP_ENDMNT'!P:P,0,0,1)</f>
        <v>0.8</v>
      </c>
      <c r="AH7" s="44" t="str">
        <f>+_xlfn.XLOOKUP(PROYECTOS[[#This Row],[MUNICIPIO]],'4.CAP_ENDMNT'!B:B,'4.CAP_ENDMNT'!Q:Q,0,0,1)</f>
        <v>Cumple</v>
      </c>
      <c r="AI7" s="139">
        <f>+_xlfn.XLOOKUP(PROYECTOS[[#This Row],[MUNICIPIO]],'4.CAP_ENDMNT'!B:B,'4.CAP_ENDMNT'!V:V,0,0,1)</f>
        <v>1791672839.46474</v>
      </c>
      <c r="AJ7" s="139">
        <f>+_xlfn.XLOOKUP(PROYECTOS[[#This Row],[MUNICIPIO]],'4.CAP_ENDMNT'!B:B,'4.CAP_ENDMNT'!Y:Y,0,0,1)</f>
        <v>-8164135575.2115593</v>
      </c>
      <c r="AK7"/>
      <c r="AL7"/>
      <c r="AM7"/>
    </row>
    <row r="8" spans="1:39">
      <c r="A8" s="44">
        <v>8</v>
      </c>
      <c r="B8" s="37" t="s">
        <v>39</v>
      </c>
      <c r="C8" s="118">
        <f>+_xlfn.XLOOKUP(PROYECTOS[[#This Row],[ID_NECESIDAD]],'1.RADICADOS'!G:G,'1.RADICADOS'!C:C,0,0,1)*1</f>
        <v>45308</v>
      </c>
      <c r="D8" s="46" t="s">
        <v>38</v>
      </c>
      <c r="E8" s="47" t="str">
        <f>+_xlfn.XLOOKUP(PROYECTOS[[#This Row],[MUNICIPIO]],MUNICIPIOS!A:A,MUNICIPIOS!E:E,0,0,1)</f>
        <v>Urabá</v>
      </c>
      <c r="F8" s="44">
        <f>+_xlfn.XLOOKUP(PROYECTOS[[#This Row],[MUNICIPIO]],MUNICIPIOS!A:A,MUNICIPIOS!F:F,0,0,1)</f>
        <v>-76.652652000000003</v>
      </c>
      <c r="G8" s="44" t="str">
        <f>+_xlfn.XLOOKUP(PROYECTOS[[#This Row],[MUNICIPIO]],MUNICIPIOS!A:A,MUNICIPIOS!G:G,0,0,1)</f>
        <v>7,755148</v>
      </c>
      <c r="H8" s="44">
        <f>+_xlfn.XLOOKUP(PROYECTOS[[#This Row],[MUNICIPIO]],MUNICIPIOS!A:A,MUNICIPIOS!B:B,0,0,1)</f>
        <v>1</v>
      </c>
      <c r="I8" s="44">
        <f>+_xlfn.XLOOKUP(PROYECTOS[[#This Row],[MUNICIPIO]],MUNICIPIOS!A:A,MUNICIPIOS!C:C,0,0,1)</f>
        <v>1</v>
      </c>
      <c r="J8" s="3" t="str" cm="1">
        <f t="array" ref="J8">_xlfn.TEXTJOIN(" ", TRUE, IF(radicados[ID PROYECTOS]=A8, radicados[RADICADO], ""))</f>
        <v>2024010020020</v>
      </c>
      <c r="K8" s="45" t="s">
        <v>1079</v>
      </c>
      <c r="L8" s="48"/>
      <c r="M8" s="34" t="s">
        <v>40</v>
      </c>
      <c r="N8" s="40" t="s">
        <v>1079</v>
      </c>
      <c r="O8" s="40" t="s">
        <v>40</v>
      </c>
      <c r="P8" s="37"/>
      <c r="Q8" s="45"/>
      <c r="R8" s="43"/>
      <c r="S8" s="43"/>
      <c r="T8" s="44">
        <f>+_xlfn.XLOOKUP(PROYECTOS[[#This Row],[MUNICIPIO]],'4.CAP_ENDMNT'!B:B,'4.CAP_ENDMNT'!C:C,0,0,1)</f>
        <v>6</v>
      </c>
      <c r="U8" s="139">
        <f>+_xlfn.XLOOKUP(PROYECTOS[[#This Row],[MUNICIPIO]],'4.CAP_ENDMNT'!B:B,'4.CAP_ENDMNT'!D:D,0,0,1)</f>
        <v>31551501799.776001</v>
      </c>
      <c r="V8" s="140">
        <f>+_xlfn.XLOOKUP(PROYECTOS[[#This Row],[MUNICIPIO]],'4.CAP_ENDMNT'!B:B,'4.CAP_ENDMNT'!E:E,0,0,1)</f>
        <v>12896901947.809999</v>
      </c>
      <c r="W8" s="140">
        <f>+_xlfn.XLOOKUP(PROYECTOS[[#This Row],[MUNICIPIO]],'4.CAP_ENDMNT'!B:B,'4.CAP_ENDMNT'!F:F,0,0,1)</f>
        <v>18654599851.966003</v>
      </c>
      <c r="X8" s="140">
        <f>+_xlfn.XLOOKUP(PROYECTOS[[#This Row],[MUNICIPIO]],'4.CAP_ENDMNT'!B:B,'4.CAP_ENDMNT'!G:G,0,0,1)</f>
        <v>4320802475</v>
      </c>
      <c r="Y8" s="140">
        <f>+_xlfn.XLOOKUP(PROYECTOS[[#This Row],[MUNICIPIO]],'4.CAP_ENDMNT'!B:B,'4.CAP_ENDMNT'!H:H,0,0,1)</f>
        <v>2118562934.45</v>
      </c>
      <c r="Z8" s="140">
        <f>+_xlfn.XLOOKUP(PROYECTOS[[#This Row],[MUNICIPIO]],'4.CAP_ENDMNT'!B:B,'4.CAP_ENDMNT'!I:I,0,0,1)</f>
        <v>6439365409.4499998</v>
      </c>
      <c r="AA8" s="134">
        <f>+_xlfn.XLOOKUP(PROYECTOS[[#This Row],[MUNICIPIO]],'4.CAP_ENDMNT'!B:B,'4.CAP_ENDMNT'!J:J,0,0,1)</f>
        <v>0.20409061509381832</v>
      </c>
      <c r="AB8" s="140">
        <f>+_xlfn.XLOOKUP(PROYECTOS[[#This Row],[MUNICIPIO]],'4.CAP_ENDMNT'!B:B,'4.CAP_ENDMNT'!K:K,0,0,1)</f>
        <v>25112136390.326</v>
      </c>
      <c r="AC8" s="140">
        <f>+_xlfn.XLOOKUP(PROYECTOS[[#This Row],[MUNICIPIO]],'4.CAP_ENDMNT'!B:B,'4.CAP_ENDMNT'!L:L,0,0,1)</f>
        <v>20089709112.260799</v>
      </c>
      <c r="AD8" s="140">
        <f>+_xlfn.XLOOKUP(PROYECTOS[[#This Row],[MUNICIPIO]],'4.CAP_ENDMNT'!B:B,'4.CAP_ENDMNT'!M:M,0,0,1)</f>
        <v>15067281834.195601</v>
      </c>
      <c r="AE8" s="134">
        <f>+_xlfn.XLOOKUP(PROYECTOS[[#This Row],[MUNICIPIO]],'4.CAP_ENDMNT'!B:B,'4.CAP_ENDMNT'!N:N,0,0,1)</f>
        <v>0.67099818076158058</v>
      </c>
      <c r="AF8" s="134">
        <f>+_xlfn.XLOOKUP(PROYECTOS[[#This Row],[MUNICIPIO]],'4.CAP_ENDMNT'!B:B,'4.CAP_ENDMNT'!O:O,0,0,1)</f>
        <v>0.60103296352987046</v>
      </c>
      <c r="AG8" s="134">
        <f>+_xlfn.XLOOKUP(PROYECTOS[[#This Row],[MUNICIPIO]],'4.CAP_ENDMNT'!B:B,'4.CAP_ENDMNT'!P:P,0,0,1)</f>
        <v>0.8</v>
      </c>
      <c r="AH8" s="44" t="str">
        <f>+_xlfn.XLOOKUP(PROYECTOS[[#This Row],[MUNICIPIO]],'4.CAP_ENDMNT'!B:B,'4.CAP_ENDMNT'!Q:Q,0,0,1)</f>
        <v>Cumple</v>
      </c>
      <c r="AI8" s="139">
        <f>+_xlfn.XLOOKUP(PROYECTOS[[#This Row],[MUNICIPIO]],'4.CAP_ENDMNT'!B:B,'4.CAP_ENDMNT'!V:V,0,0,1)</f>
        <v>3013456366.8391204</v>
      </c>
      <c r="AJ8" s="139">
        <f>+_xlfn.XLOOKUP(PROYECTOS[[#This Row],[MUNICIPIO]],'4.CAP_ENDMNT'!B:B,'4.CAP_ENDMNT'!Y:Y,0,0,1)</f>
        <v>10290788523.034721</v>
      </c>
      <c r="AK8"/>
      <c r="AL8"/>
      <c r="AM8"/>
    </row>
    <row r="9" spans="1:39">
      <c r="A9" s="44">
        <v>9</v>
      </c>
      <c r="B9" s="37" t="s">
        <v>42</v>
      </c>
      <c r="C9" s="118">
        <f>+_xlfn.XLOOKUP(PROYECTOS[[#This Row],[ID_NECESIDAD]],'1.RADICADOS'!G:G,'1.RADICADOS'!C:C,0,0,1)*1</f>
        <v>45414</v>
      </c>
      <c r="D9" s="46" t="s">
        <v>4</v>
      </c>
      <c r="E9" s="47" t="str">
        <f>+_xlfn.XLOOKUP(PROYECTOS[[#This Row],[MUNICIPIO]],MUNICIPIOS!A:A,MUNICIPIOS!E:E,0,0,1)</f>
        <v>Nordeste</v>
      </c>
      <c r="F9" s="44">
        <f>+_xlfn.XLOOKUP(PROYECTOS[[#This Row],[MUNICIPIO]],MUNICIPIOS!A:A,MUNICIPIOS!F:F,0,0,1)</f>
        <v>-74.798714000000004</v>
      </c>
      <c r="G9" s="44">
        <f>+_xlfn.XLOOKUP(PROYECTOS[[#This Row],[MUNICIPIO]],MUNICIPIOS!A:A,MUNICIPIOS!G:G,0,0,1)</f>
        <v>6.7735250000000002</v>
      </c>
      <c r="H9" s="44">
        <f>+_xlfn.XLOOKUP(PROYECTOS[[#This Row],[MUNICIPIO]],MUNICIPIOS!A:A,MUNICIPIOS!B:B,0,0,1)</f>
        <v>0</v>
      </c>
      <c r="I9" s="44">
        <f>+_xlfn.XLOOKUP(PROYECTOS[[#This Row],[MUNICIPIO]],MUNICIPIOS!A:A,MUNICIPIOS!C:C,0,0,1)</f>
        <v>1</v>
      </c>
      <c r="J9" s="3" t="str" cm="1">
        <f t="array" ref="J9">_xlfn.TEXTJOIN(" ", TRUE, IF(radicados[ID PROYECTOS]=A9, radicados[RADICADO], ""))</f>
        <v>2024010048752</v>
      </c>
      <c r="K9" s="45">
        <v>1</v>
      </c>
      <c r="L9" s="48"/>
      <c r="M9" s="34" t="s">
        <v>396</v>
      </c>
      <c r="N9" s="34" t="s">
        <v>398</v>
      </c>
      <c r="O9" s="34" t="s">
        <v>25</v>
      </c>
      <c r="P9" s="37"/>
      <c r="Q9" s="45"/>
      <c r="R9" s="43"/>
      <c r="S9" s="43"/>
      <c r="T9" s="44">
        <f>+_xlfn.XLOOKUP(PROYECTOS[[#This Row],[MUNICIPIO]],'4.CAP_ENDMNT'!B:B,'4.CAP_ENDMNT'!C:C,0,0,1)</f>
        <v>6</v>
      </c>
      <c r="U9" s="139">
        <f>+_xlfn.XLOOKUP(PROYECTOS[[#This Row],[MUNICIPIO]],'4.CAP_ENDMNT'!B:B,'4.CAP_ENDMNT'!D:D,0,0,1)</f>
        <v>14438255937.0725</v>
      </c>
      <c r="V9" s="140">
        <f>+_xlfn.XLOOKUP(PROYECTOS[[#This Row],[MUNICIPIO]],'4.CAP_ENDMNT'!B:B,'4.CAP_ENDMNT'!E:E,0,0,1)</f>
        <v>4668200945.8400002</v>
      </c>
      <c r="W9" s="140">
        <f>+_xlfn.XLOOKUP(PROYECTOS[[#This Row],[MUNICIPIO]],'4.CAP_ENDMNT'!B:B,'4.CAP_ENDMNT'!F:F,0,0,1)</f>
        <v>9770054991.2325001</v>
      </c>
      <c r="X9" s="140">
        <f>+_xlfn.XLOOKUP(PROYECTOS[[#This Row],[MUNICIPIO]],'4.CAP_ENDMNT'!B:B,'4.CAP_ENDMNT'!G:G,0,0,1)</f>
        <v>2534414723</v>
      </c>
      <c r="Y9" s="140">
        <f>+_xlfn.XLOOKUP(PROYECTOS[[#This Row],[MUNICIPIO]],'4.CAP_ENDMNT'!B:B,'4.CAP_ENDMNT'!H:H,0,0,1)</f>
        <v>0</v>
      </c>
      <c r="Z9" s="140">
        <f>+_xlfn.XLOOKUP(PROYECTOS[[#This Row],[MUNICIPIO]],'4.CAP_ENDMNT'!B:B,'4.CAP_ENDMNT'!I:I,0,0,1)</f>
        <v>2534414723</v>
      </c>
      <c r="AA9" s="134">
        <f>+_xlfn.XLOOKUP(PROYECTOS[[#This Row],[MUNICIPIO]],'4.CAP_ENDMNT'!B:B,'4.CAP_ENDMNT'!J:J,0,0,1)</f>
        <v>0.17553468604836753</v>
      </c>
      <c r="AB9" s="140">
        <f>+_xlfn.XLOOKUP(PROYECTOS[[#This Row],[MUNICIPIO]],'4.CAP_ENDMNT'!B:B,'4.CAP_ENDMNT'!K:K,0,0,1)</f>
        <v>11903841214.0725</v>
      </c>
      <c r="AC9" s="140">
        <f>+_xlfn.XLOOKUP(PROYECTOS[[#This Row],[MUNICIPIO]],'4.CAP_ENDMNT'!B:B,'4.CAP_ENDMNT'!L:L,0,0,1)</f>
        <v>9523072971.2580013</v>
      </c>
      <c r="AD9" s="140">
        <f>+_xlfn.XLOOKUP(PROYECTOS[[#This Row],[MUNICIPIO]],'4.CAP_ENDMNT'!B:B,'4.CAP_ENDMNT'!M:M,0,0,1)</f>
        <v>7142304728.4434996</v>
      </c>
      <c r="AE9" s="134">
        <f>+_xlfn.XLOOKUP(PROYECTOS[[#This Row],[MUNICIPIO]],'4.CAP_ENDMNT'!B:B,'4.CAP_ENDMNT'!N:N,0,0,1)</f>
        <v>1</v>
      </c>
      <c r="AF9" s="134">
        <f>+_xlfn.XLOOKUP(PROYECTOS[[#This Row],[MUNICIPIO]],'4.CAP_ENDMNT'!B:B,'4.CAP_ENDMNT'!O:O,0,0,1)</f>
        <v>0.5148707777903756</v>
      </c>
      <c r="AG9" s="134">
        <f>+_xlfn.XLOOKUP(PROYECTOS[[#This Row],[MUNICIPIO]],'4.CAP_ENDMNT'!B:B,'4.CAP_ENDMNT'!P:P,0,0,1)</f>
        <v>0.8</v>
      </c>
      <c r="AH9" s="44" t="str">
        <f>+_xlfn.XLOOKUP(PROYECTOS[[#This Row],[MUNICIPIO]],'4.CAP_ENDMNT'!B:B,'4.CAP_ENDMNT'!Q:Q,0,0,1)</f>
        <v>Cumple</v>
      </c>
      <c r="AI9" s="139">
        <f>+_xlfn.XLOOKUP(PROYECTOS[[#This Row],[MUNICIPIO]],'4.CAP_ENDMNT'!B:B,'4.CAP_ENDMNT'!V:V,0,0,1)</f>
        <v>1428460945.6887</v>
      </c>
      <c r="AJ9" s="139">
        <f>+_xlfn.XLOOKUP(PROYECTOS[[#This Row],[MUNICIPIO]],'4.CAP_ENDMNT'!B:B,'4.CAP_ENDMNT'!Y:Y,0,0,1)</f>
        <v>1100754852.1321993</v>
      </c>
      <c r="AK9"/>
      <c r="AL9"/>
      <c r="AM9"/>
    </row>
    <row r="10" spans="1:39">
      <c r="A10" s="44">
        <v>10</v>
      </c>
      <c r="B10" s="37" t="s">
        <v>1352</v>
      </c>
      <c r="C10" s="118">
        <f>+_xlfn.XLOOKUP(PROYECTOS[[#This Row],[ID_NECESIDAD]],'1.RADICADOS'!G:G,'1.RADICADOS'!C:C,0,0,1)*1</f>
        <v>45293</v>
      </c>
      <c r="D10" s="46" t="s">
        <v>45</v>
      </c>
      <c r="E10" s="47" t="str">
        <f>+_xlfn.XLOOKUP(PROYECTOS[[#This Row],[MUNICIPIO]],MUNICIPIOS!A:A,MUNICIPIOS!E:E,0,0,1)</f>
        <v>Bajo Cauca</v>
      </c>
      <c r="F10" s="44">
        <f>+_xlfn.XLOOKUP(PROYECTOS[[#This Row],[MUNICIPIO]],MUNICIPIOS!A:A,MUNICIPIOS!F:F,0,0,1)</f>
        <v>-75.197996000000003</v>
      </c>
      <c r="G10" s="44" t="str">
        <f>+_xlfn.XLOOKUP(PROYECTOS[[#This Row],[MUNICIPIO]],MUNICIPIOS!A:A,MUNICIPIOS!G:G,0,0,1)</f>
        <v>7,977278</v>
      </c>
      <c r="H10" s="44">
        <f>+_xlfn.XLOOKUP(PROYECTOS[[#This Row],[MUNICIPIO]],MUNICIPIOS!A:A,MUNICIPIOS!B:B,0,0,1)</f>
        <v>1</v>
      </c>
      <c r="I10" s="44">
        <f>+_xlfn.XLOOKUP(PROYECTOS[[#This Row],[MUNICIPIO]],MUNICIPIOS!A:A,MUNICIPIOS!C:C,0,0,1)</f>
        <v>1</v>
      </c>
      <c r="J10" s="3" t="str" cm="1">
        <f t="array" ref="J10">_xlfn.TEXTJOIN(" ", TRUE, IF(radicados[ID PROYECTOS]=A10, radicados[RADICADO], ""))</f>
        <v>2024010043395</v>
      </c>
      <c r="K10" s="45">
        <v>2</v>
      </c>
      <c r="L10" s="48"/>
      <c r="M10" s="34" t="s">
        <v>392</v>
      </c>
      <c r="N10" s="40" t="s">
        <v>1079</v>
      </c>
      <c r="O10" s="40" t="s">
        <v>7</v>
      </c>
      <c r="P10" s="37" t="s">
        <v>982</v>
      </c>
      <c r="Q10" s="45"/>
      <c r="R10" s="43"/>
      <c r="S10" s="43"/>
      <c r="T10" s="44">
        <f>+_xlfn.XLOOKUP(PROYECTOS[[#This Row],[MUNICIPIO]],'4.CAP_ENDMNT'!B:B,'4.CAP_ENDMNT'!C:C,0,0,1)</f>
        <v>5</v>
      </c>
      <c r="U10" s="139">
        <f>+_xlfn.XLOOKUP(PROYECTOS[[#This Row],[MUNICIPIO]],'4.CAP_ENDMNT'!B:B,'4.CAP_ENDMNT'!D:D,0,0,1)</f>
        <v>55415011363.643501</v>
      </c>
      <c r="V10" s="140">
        <f>+_xlfn.XLOOKUP(PROYECTOS[[#This Row],[MUNICIPIO]],'4.CAP_ENDMNT'!B:B,'4.CAP_ENDMNT'!E:E,0,0,1)</f>
        <v>24252117123.400002</v>
      </c>
      <c r="W10" s="140">
        <f>+_xlfn.XLOOKUP(PROYECTOS[[#This Row],[MUNICIPIO]],'4.CAP_ENDMNT'!B:B,'4.CAP_ENDMNT'!F:F,0,0,1)</f>
        <v>31162894240.2435</v>
      </c>
      <c r="X10" s="140">
        <f>+_xlfn.XLOOKUP(PROYECTOS[[#This Row],[MUNICIPIO]],'4.CAP_ENDMNT'!B:B,'4.CAP_ENDMNT'!G:G,0,0,1)</f>
        <v>8970758412</v>
      </c>
      <c r="Y10" s="140">
        <f>+_xlfn.XLOOKUP(PROYECTOS[[#This Row],[MUNICIPIO]],'4.CAP_ENDMNT'!B:B,'4.CAP_ENDMNT'!H:H,0,0,1)</f>
        <v>3572173854.98</v>
      </c>
      <c r="Z10" s="140">
        <f>+_xlfn.XLOOKUP(PROYECTOS[[#This Row],[MUNICIPIO]],'4.CAP_ENDMNT'!B:B,'4.CAP_ENDMNT'!I:I,0,0,1)</f>
        <v>12542932266.98</v>
      </c>
      <c r="AA10" s="134">
        <f>+_xlfn.XLOOKUP(PROYECTOS[[#This Row],[MUNICIPIO]],'4.CAP_ENDMNT'!B:B,'4.CAP_ENDMNT'!J:J,0,0,1)</f>
        <v>0.22634538834019124</v>
      </c>
      <c r="AB10" s="140">
        <f>+_xlfn.XLOOKUP(PROYECTOS[[#This Row],[MUNICIPIO]],'4.CAP_ENDMNT'!B:B,'4.CAP_ENDMNT'!K:K,0,0,1)</f>
        <v>42872079096.663498</v>
      </c>
      <c r="AC10" s="140">
        <f>+_xlfn.XLOOKUP(PROYECTOS[[#This Row],[MUNICIPIO]],'4.CAP_ENDMNT'!B:B,'4.CAP_ENDMNT'!L:L,0,0,1)</f>
        <v>34297663277.330799</v>
      </c>
      <c r="AD10" s="140">
        <f>+_xlfn.XLOOKUP(PROYECTOS[[#This Row],[MUNICIPIO]],'4.CAP_ENDMNT'!B:B,'4.CAP_ENDMNT'!M:M,0,0,1)</f>
        <v>25723247457.998096</v>
      </c>
      <c r="AE10" s="134">
        <f>+_xlfn.XLOOKUP(PROYECTOS[[#This Row],[MUNICIPIO]],'4.CAP_ENDMNT'!B:B,'4.CAP_ENDMNT'!N:N,0,0,1)</f>
        <v>0.71520424578996133</v>
      </c>
      <c r="AF10" s="134">
        <f>+_xlfn.XLOOKUP(PROYECTOS[[#This Row],[MUNICIPIO]],'4.CAP_ENDMNT'!B:B,'4.CAP_ENDMNT'!O:O,0,0,1)</f>
        <v>0.67052010826145281</v>
      </c>
      <c r="AG10" s="134">
        <f>+_xlfn.XLOOKUP(PROYECTOS[[#This Row],[MUNICIPIO]],'4.CAP_ENDMNT'!B:B,'4.CAP_ENDMNT'!P:P,0,0,1)</f>
        <v>0.8</v>
      </c>
      <c r="AH10" s="44" t="str">
        <f>+_xlfn.XLOOKUP(PROYECTOS[[#This Row],[MUNICIPIO]],'4.CAP_ENDMNT'!B:B,'4.CAP_ENDMNT'!Q:Q,0,0,1)</f>
        <v>Cumple</v>
      </c>
      <c r="AI10" s="139">
        <f>+_xlfn.XLOOKUP(PROYECTOS[[#This Row],[MUNICIPIO]],'4.CAP_ENDMNT'!B:B,'4.CAP_ENDMNT'!V:V,0,0,1)</f>
        <v>5144649491.5996199</v>
      </c>
      <c r="AJ10" s="139">
        <f>+_xlfn.XLOOKUP(PROYECTOS[[#This Row],[MUNICIPIO]],'4.CAP_ENDMNT'!B:B,'4.CAP_ENDMNT'!Y:Y,0,0,1)</f>
        <v>3549126953.5977173</v>
      </c>
      <c r="AK10"/>
      <c r="AL10"/>
      <c r="AM10"/>
    </row>
    <row r="11" spans="1:39">
      <c r="A11" s="44">
        <v>11</v>
      </c>
      <c r="B11" s="37" t="s">
        <v>1353</v>
      </c>
      <c r="C11" s="118">
        <f>+_xlfn.XLOOKUP(PROYECTOS[[#This Row],[ID_NECESIDAD]],'1.RADICADOS'!G:G,'1.RADICADOS'!C:C,0,0,1)*1</f>
        <v>45338</v>
      </c>
      <c r="D11" s="46" t="s">
        <v>48</v>
      </c>
      <c r="E11" s="47" t="str">
        <f>+_xlfn.XLOOKUP(PROYECTOS[[#This Row],[MUNICIPIO]],MUNICIPIOS!A:A,MUNICIPIOS!E:E,0,0,1)</f>
        <v>Occidente</v>
      </c>
      <c r="F11" s="44">
        <f>+_xlfn.XLOOKUP(PROYECTOS[[#This Row],[MUNICIPIO]],MUNICIPIOS!A:A,MUNICIPIOS!F:F,0,0,1)</f>
        <v>-75.786647000000002</v>
      </c>
      <c r="G11" s="44" t="str">
        <f>+_xlfn.XLOOKUP(PROYECTOS[[#This Row],[MUNICIPIO]],MUNICIPIOS!A:A,MUNICIPIOS!G:G,0,0,1)</f>
        <v>6,155667</v>
      </c>
      <c r="H11" s="44">
        <f>+_xlfn.XLOOKUP(PROYECTOS[[#This Row],[MUNICIPIO]],MUNICIPIOS!A:A,MUNICIPIOS!B:B,0,0,1)</f>
        <v>0</v>
      </c>
      <c r="I11" s="44">
        <f>+_xlfn.XLOOKUP(PROYECTOS[[#This Row],[MUNICIPIO]],MUNICIPIOS!A:A,MUNICIPIOS!C:C,0,0,1)</f>
        <v>0</v>
      </c>
      <c r="J11" s="3" t="str" cm="1">
        <f t="array" ref="J11">_xlfn.TEXTJOIN(" ", TRUE, IF(radicados[ID PROYECTOS]=A11, radicados[RADICADO], ""))</f>
        <v>2024010068835</v>
      </c>
      <c r="K11" s="45">
        <v>1</v>
      </c>
      <c r="L11" s="48"/>
      <c r="M11" s="34" t="s">
        <v>396</v>
      </c>
      <c r="N11" s="34" t="s">
        <v>398</v>
      </c>
      <c r="O11" s="34" t="s">
        <v>25</v>
      </c>
      <c r="P11" s="37"/>
      <c r="Q11" s="45"/>
      <c r="R11" s="43"/>
      <c r="S11" s="43"/>
      <c r="T11" s="44">
        <f>+_xlfn.XLOOKUP(PROYECTOS[[#This Row],[MUNICIPIO]],'4.CAP_ENDMNT'!B:B,'4.CAP_ENDMNT'!C:C,0,0,1)</f>
        <v>6</v>
      </c>
      <c r="U11" s="139">
        <f>+_xlfn.XLOOKUP(PROYECTOS[[#This Row],[MUNICIPIO]],'4.CAP_ENDMNT'!B:B,'4.CAP_ENDMNT'!D:D,0,0,1)</f>
        <v>4667939777.7010002</v>
      </c>
      <c r="V11" s="140">
        <f>+_xlfn.XLOOKUP(PROYECTOS[[#This Row],[MUNICIPIO]],'4.CAP_ENDMNT'!B:B,'4.CAP_ENDMNT'!E:E,0,0,1)</f>
        <v>2029602941.79</v>
      </c>
      <c r="W11" s="140">
        <f>+_xlfn.XLOOKUP(PROYECTOS[[#This Row],[MUNICIPIO]],'4.CAP_ENDMNT'!B:B,'4.CAP_ENDMNT'!F:F,0,0,1)</f>
        <v>2638336835.9110003</v>
      </c>
      <c r="X11" s="140">
        <f>+_xlfn.XLOOKUP(PROYECTOS[[#This Row],[MUNICIPIO]],'4.CAP_ENDMNT'!B:B,'4.CAP_ENDMNT'!G:G,0,0,1)</f>
        <v>355713183</v>
      </c>
      <c r="Y11" s="140">
        <f>+_xlfn.XLOOKUP(PROYECTOS[[#This Row],[MUNICIPIO]],'4.CAP_ENDMNT'!B:B,'4.CAP_ENDMNT'!H:H,0,0,1)</f>
        <v>0</v>
      </c>
      <c r="Z11" s="140">
        <f>+_xlfn.XLOOKUP(PROYECTOS[[#This Row],[MUNICIPIO]],'4.CAP_ENDMNT'!B:B,'4.CAP_ENDMNT'!I:I,0,0,1)</f>
        <v>355713183</v>
      </c>
      <c r="AA11" s="134">
        <f>+_xlfn.XLOOKUP(PROYECTOS[[#This Row],[MUNICIPIO]],'4.CAP_ENDMNT'!B:B,'4.CAP_ENDMNT'!J:J,0,0,1)</f>
        <v>7.6203464470398913E-2</v>
      </c>
      <c r="AB11" s="140">
        <f>+_xlfn.XLOOKUP(PROYECTOS[[#This Row],[MUNICIPIO]],'4.CAP_ENDMNT'!B:B,'4.CAP_ENDMNT'!K:K,0,0,1)</f>
        <v>4312226594.7010002</v>
      </c>
      <c r="AC11" s="140">
        <f>+_xlfn.XLOOKUP(PROYECTOS[[#This Row],[MUNICIPIO]],'4.CAP_ENDMNT'!B:B,'4.CAP_ENDMNT'!L:L,0,0,1)</f>
        <v>3449781275.7608004</v>
      </c>
      <c r="AD11" s="140">
        <f>+_xlfn.XLOOKUP(PROYECTOS[[#This Row],[MUNICIPIO]],'4.CAP_ENDMNT'!B:B,'4.CAP_ENDMNT'!M:M,0,0,1)</f>
        <v>2587335956.8206</v>
      </c>
      <c r="AE11" s="134">
        <f>+_xlfn.XLOOKUP(PROYECTOS[[#This Row],[MUNICIPIO]],'4.CAP_ENDMNT'!B:B,'4.CAP_ENDMNT'!N:N,0,0,1)</f>
        <v>1</v>
      </c>
      <c r="AF11" s="134">
        <f>+_xlfn.XLOOKUP(PROYECTOS[[#This Row],[MUNICIPIO]],'4.CAP_ENDMNT'!B:B,'4.CAP_ENDMNT'!O:O,0,0,1)</f>
        <v>0.65637281757364385</v>
      </c>
      <c r="AG11" s="134">
        <f>+_xlfn.XLOOKUP(PROYECTOS[[#This Row],[MUNICIPIO]],'4.CAP_ENDMNT'!B:B,'4.CAP_ENDMNT'!P:P,0,0,1)</f>
        <v>0.8</v>
      </c>
      <c r="AH11" s="44" t="str">
        <f>+_xlfn.XLOOKUP(PROYECTOS[[#This Row],[MUNICIPIO]],'4.CAP_ENDMNT'!B:B,'4.CAP_ENDMNT'!Q:Q,0,0,1)</f>
        <v>Cumple</v>
      </c>
      <c r="AI11" s="139">
        <f>+_xlfn.XLOOKUP(PROYECTOS[[#This Row],[MUNICIPIO]],'4.CAP_ENDMNT'!B:B,'4.CAP_ENDMNT'!V:V,0,0,1)</f>
        <v>517467191.36412001</v>
      </c>
      <c r="AJ11" s="139">
        <f>+_xlfn.XLOOKUP(PROYECTOS[[#This Row],[MUNICIPIO]],'4.CAP_ENDMNT'!B:B,'4.CAP_ENDMNT'!Y:Y,0,0,1)</f>
        <v>3104803148.18472</v>
      </c>
      <c r="AK11"/>
      <c r="AL11"/>
      <c r="AM11"/>
    </row>
    <row r="12" spans="1:39">
      <c r="A12" s="44">
        <v>13</v>
      </c>
      <c r="B12" s="37" t="s">
        <v>53</v>
      </c>
      <c r="C12" s="118">
        <v>45292</v>
      </c>
      <c r="D12" s="46" t="s">
        <v>52</v>
      </c>
      <c r="E12" s="47" t="str">
        <f>+_xlfn.XLOOKUP(PROYECTOS[[#This Row],[MUNICIPIO]],MUNICIPIOS!A:A,MUNICIPIOS!E:E,0,0,1)</f>
        <v>Suroeste</v>
      </c>
      <c r="F12" s="44">
        <f>+_xlfn.XLOOKUP(PROYECTOS[[#This Row],[MUNICIPIO]],MUNICIPIOS!A:A,MUNICIPIOS!F:F,0,0,1)</f>
        <v>-75.714428999999996</v>
      </c>
      <c r="G12" s="44">
        <f>+_xlfn.XLOOKUP(PROYECTOS[[#This Row],[MUNICIPIO]],MUNICIPIOS!A:A,MUNICIPIOS!G:G,0,0,1)</f>
        <v>5.6646450000000002</v>
      </c>
      <c r="H12" s="44">
        <f>+_xlfn.XLOOKUP(PROYECTOS[[#This Row],[MUNICIPIO]],MUNICIPIOS!A:A,MUNICIPIOS!B:B,0,0,1)</f>
        <v>0</v>
      </c>
      <c r="I12" s="44">
        <f>+_xlfn.XLOOKUP(PROYECTOS[[#This Row],[MUNICIPIO]],MUNICIPIOS!A:A,MUNICIPIOS!C:C,0,0,1)</f>
        <v>0</v>
      </c>
      <c r="J12" s="3" t="str" cm="1">
        <f t="array" ref="J12">_xlfn.TEXTJOIN(" ", TRUE, IF(radicados[ID PROYECTOS]=A12, radicados[RADICADO], ""))</f>
        <v/>
      </c>
      <c r="K12" s="45">
        <v>1</v>
      </c>
      <c r="L12" s="48"/>
      <c r="M12" s="34" t="s">
        <v>288</v>
      </c>
      <c r="N12" s="40" t="s">
        <v>398</v>
      </c>
      <c r="O12" s="40" t="s">
        <v>25</v>
      </c>
      <c r="P12" s="37" t="s">
        <v>1102</v>
      </c>
      <c r="Q12" s="45"/>
      <c r="R12" s="43"/>
      <c r="S12" s="43"/>
      <c r="T12" s="44">
        <f>+_xlfn.XLOOKUP(PROYECTOS[[#This Row],[MUNICIPIO]],'4.CAP_ENDMNT'!B:B,'4.CAP_ENDMNT'!C:C,0,0,1)</f>
        <v>6</v>
      </c>
      <c r="U12" s="139">
        <f>+_xlfn.XLOOKUP(PROYECTOS[[#This Row],[MUNICIPIO]],'4.CAP_ENDMNT'!B:B,'4.CAP_ENDMNT'!D:D,0,0,1)</f>
        <v>13939577899.640499</v>
      </c>
      <c r="V12" s="140">
        <f>+_xlfn.XLOOKUP(PROYECTOS[[#This Row],[MUNICIPIO]],'4.CAP_ENDMNT'!B:B,'4.CAP_ENDMNT'!E:E,0,0,1)</f>
        <v>5408645166.3600006</v>
      </c>
      <c r="W12" s="140">
        <f>+_xlfn.XLOOKUP(PROYECTOS[[#This Row],[MUNICIPIO]],'4.CAP_ENDMNT'!B:B,'4.CAP_ENDMNT'!F:F,0,0,1)</f>
        <v>8530932733.2804985</v>
      </c>
      <c r="X12" s="140">
        <f>+_xlfn.XLOOKUP(PROYECTOS[[#This Row],[MUNICIPIO]],'4.CAP_ENDMNT'!B:B,'4.CAP_ENDMNT'!G:G,0,0,1)</f>
        <v>2408239973</v>
      </c>
      <c r="Y12" s="140">
        <f>+_xlfn.XLOOKUP(PROYECTOS[[#This Row],[MUNICIPIO]],'4.CAP_ENDMNT'!B:B,'4.CAP_ENDMNT'!H:H,0,0,1)</f>
        <v>812109375</v>
      </c>
      <c r="Z12" s="140">
        <f>+_xlfn.XLOOKUP(PROYECTOS[[#This Row],[MUNICIPIO]],'4.CAP_ENDMNT'!B:B,'4.CAP_ENDMNT'!I:I,0,0,1)</f>
        <v>3220349348</v>
      </c>
      <c r="AA12" s="134">
        <f>+_xlfn.XLOOKUP(PROYECTOS[[#This Row],[MUNICIPIO]],'4.CAP_ENDMNT'!B:B,'4.CAP_ENDMNT'!J:J,0,0,1)</f>
        <v>0.23102201309001277</v>
      </c>
      <c r="AB12" s="140">
        <f>+_xlfn.XLOOKUP(PROYECTOS[[#This Row],[MUNICIPIO]],'4.CAP_ENDMNT'!B:B,'4.CAP_ENDMNT'!K:K,0,0,1)</f>
        <v>10719228551.640499</v>
      </c>
      <c r="AC12" s="140">
        <f>+_xlfn.XLOOKUP(PROYECTOS[[#This Row],[MUNICIPIO]],'4.CAP_ENDMNT'!B:B,'4.CAP_ENDMNT'!L:L,0,0,1)</f>
        <v>8575382841.3123999</v>
      </c>
      <c r="AD12" s="140">
        <f>+_xlfn.XLOOKUP(PROYECTOS[[#This Row],[MUNICIPIO]],'4.CAP_ENDMNT'!B:B,'4.CAP_ENDMNT'!M:M,0,0,1)</f>
        <v>6431537130.9842997</v>
      </c>
      <c r="AE12" s="134">
        <f>+_xlfn.XLOOKUP(PROYECTOS[[#This Row],[MUNICIPIO]],'4.CAP_ENDMNT'!B:B,'4.CAP_ENDMNT'!N:N,0,0,1)</f>
        <v>0.74781947942872684</v>
      </c>
      <c r="AF12" s="134">
        <f>+_xlfn.XLOOKUP(PROYECTOS[[#This Row],[MUNICIPIO]],'4.CAP_ENDMNT'!B:B,'4.CAP_ENDMNT'!O:O,0,0,1)</f>
        <v>0.48148969869574604</v>
      </c>
      <c r="AG12" s="134">
        <f>+_xlfn.XLOOKUP(PROYECTOS[[#This Row],[MUNICIPIO]],'4.CAP_ENDMNT'!B:B,'4.CAP_ENDMNT'!P:P,0,0,1)</f>
        <v>0.8</v>
      </c>
      <c r="AH12" s="44" t="str">
        <f>+_xlfn.XLOOKUP(PROYECTOS[[#This Row],[MUNICIPIO]],'4.CAP_ENDMNT'!B:B,'4.CAP_ENDMNT'!Q:Q,0,0,1)</f>
        <v>Cumple</v>
      </c>
      <c r="AI12" s="139">
        <f>+_xlfn.XLOOKUP(PROYECTOS[[#This Row],[MUNICIPIO]],'4.CAP_ENDMNT'!B:B,'4.CAP_ENDMNT'!V:V,0,0,1)</f>
        <v>1286307426.1968601</v>
      </c>
      <c r="AJ12" s="139">
        <f>+_xlfn.XLOOKUP(PROYECTOS[[#This Row],[MUNICIPIO]],'4.CAP_ENDMNT'!B:B,'4.CAP_ENDMNT'!Y:Y,0,0,1)</f>
        <v>-10772171787.81884</v>
      </c>
      <c r="AK12"/>
      <c r="AL12"/>
      <c r="AM12"/>
    </row>
    <row r="13" spans="1:39">
      <c r="A13" s="44">
        <v>14</v>
      </c>
      <c r="B13" s="37" t="s">
        <v>1354</v>
      </c>
      <c r="C13" s="118">
        <f>+_xlfn.XLOOKUP(PROYECTOS[[#This Row],[ID_NECESIDAD]],'1.RADICADOS'!G:G,'1.RADICADOS'!C:C,0,0,1)*1</f>
        <v>45348</v>
      </c>
      <c r="D13" s="46" t="s">
        <v>54</v>
      </c>
      <c r="E13" s="47" t="str">
        <f>+_xlfn.XLOOKUP(PROYECTOS[[#This Row],[MUNICIPIO]],MUNICIPIOS!A:A,MUNICIPIOS!E:E,0,0,1)</f>
        <v>Suroeste</v>
      </c>
      <c r="F13" s="44">
        <f>+_xlfn.XLOOKUP(PROYECTOS[[#This Row],[MUNICIPIO]],MUNICIPIOS!A:A,MUNICIPIOS!F:F,0,0,1)</f>
        <v>-75.822956000000005</v>
      </c>
      <c r="G13" s="44">
        <f>+_xlfn.XLOOKUP(PROYECTOS[[#This Row],[MUNICIPIO]],MUNICIPIOS!A:A,MUNICIPIOS!G:G,0,0,1)</f>
        <v>5.8645420000000001</v>
      </c>
      <c r="H13" s="44">
        <f>+_xlfn.XLOOKUP(PROYECTOS[[#This Row],[MUNICIPIO]],MUNICIPIOS!A:A,MUNICIPIOS!B:B,0,0,1)</f>
        <v>0</v>
      </c>
      <c r="I13" s="44">
        <f>+_xlfn.XLOOKUP(PROYECTOS[[#This Row],[MUNICIPIO]],MUNICIPIOS!A:A,MUNICIPIOS!C:C,0,0,1)</f>
        <v>0</v>
      </c>
      <c r="J13" s="3" t="str" cm="1">
        <f t="array" ref="J13">_xlfn.TEXTJOIN(" ", TRUE, IF(radicados[ID PROYECTOS]=A13, radicados[RADICADO], ""))</f>
        <v>2024010084216</v>
      </c>
      <c r="K13" s="45">
        <v>2</v>
      </c>
      <c r="L13" s="48"/>
      <c r="M13" s="34" t="s">
        <v>396</v>
      </c>
      <c r="N13" s="34" t="s">
        <v>397</v>
      </c>
      <c r="O13" s="34" t="s">
        <v>56</v>
      </c>
      <c r="P13" s="37" t="s">
        <v>1103</v>
      </c>
      <c r="Q13" s="45"/>
      <c r="R13" s="43"/>
      <c r="S13" s="43"/>
      <c r="T13" s="44">
        <f>+_xlfn.XLOOKUP(PROYECTOS[[#This Row],[MUNICIPIO]],'4.CAP_ENDMNT'!B:B,'4.CAP_ENDMNT'!C:C,0,0,1)</f>
        <v>6</v>
      </c>
      <c r="U13" s="139">
        <f>+_xlfn.XLOOKUP(PROYECTOS[[#This Row],[MUNICIPIO]],'4.CAP_ENDMNT'!B:B,'4.CAP_ENDMNT'!D:D,0,0,1)</f>
        <v>9297204605.9125004</v>
      </c>
      <c r="V13" s="140">
        <f>+_xlfn.XLOOKUP(PROYECTOS[[#This Row],[MUNICIPIO]],'4.CAP_ENDMNT'!B:B,'4.CAP_ENDMNT'!E:E,0,0,1)</f>
        <v>4650900904.1300001</v>
      </c>
      <c r="W13" s="140">
        <f>+_xlfn.XLOOKUP(PROYECTOS[[#This Row],[MUNICIPIO]],'4.CAP_ENDMNT'!B:B,'4.CAP_ENDMNT'!F:F,0,0,1)</f>
        <v>4646303701.7825003</v>
      </c>
      <c r="X13" s="140">
        <f>+_xlfn.XLOOKUP(PROYECTOS[[#This Row],[MUNICIPIO]],'4.CAP_ENDMNT'!B:B,'4.CAP_ENDMNT'!G:G,0,0,1)</f>
        <v>1308996768</v>
      </c>
      <c r="Y13" s="140">
        <f>+_xlfn.XLOOKUP(PROYECTOS[[#This Row],[MUNICIPIO]],'4.CAP_ENDMNT'!B:B,'4.CAP_ENDMNT'!H:H,0,0,1)</f>
        <v>0</v>
      </c>
      <c r="Z13" s="140">
        <f>+_xlfn.XLOOKUP(PROYECTOS[[#This Row],[MUNICIPIO]],'4.CAP_ENDMNT'!B:B,'4.CAP_ENDMNT'!I:I,0,0,1)</f>
        <v>1308996768</v>
      </c>
      <c r="AA13" s="134">
        <f>+_xlfn.XLOOKUP(PROYECTOS[[#This Row],[MUNICIPIO]],'4.CAP_ENDMNT'!B:B,'4.CAP_ENDMNT'!J:J,0,0,1)</f>
        <v>0.14079466070560084</v>
      </c>
      <c r="AB13" s="140">
        <f>+_xlfn.XLOOKUP(PROYECTOS[[#This Row],[MUNICIPIO]],'4.CAP_ENDMNT'!B:B,'4.CAP_ENDMNT'!K:K,0,0,1)</f>
        <v>7988207837.9125004</v>
      </c>
      <c r="AC13" s="140">
        <f>+_xlfn.XLOOKUP(PROYECTOS[[#This Row],[MUNICIPIO]],'4.CAP_ENDMNT'!B:B,'4.CAP_ENDMNT'!L:L,0,0,1)</f>
        <v>6390566270.3300009</v>
      </c>
      <c r="AD13" s="140">
        <f>+_xlfn.XLOOKUP(PROYECTOS[[#This Row],[MUNICIPIO]],'4.CAP_ENDMNT'!B:B,'4.CAP_ENDMNT'!M:M,0,0,1)</f>
        <v>4792924702.7475004</v>
      </c>
      <c r="AE13" s="134">
        <f>+_xlfn.XLOOKUP(PROYECTOS[[#This Row],[MUNICIPIO]],'4.CAP_ENDMNT'!B:B,'4.CAP_ENDMNT'!N:N,0,0,1)</f>
        <v>1</v>
      </c>
      <c r="AF13" s="134">
        <f>+_xlfn.XLOOKUP(PROYECTOS[[#This Row],[MUNICIPIO]],'4.CAP_ENDMNT'!B:B,'4.CAP_ENDMNT'!O:O,0,0,1)</f>
        <v>0.67267671220391811</v>
      </c>
      <c r="AG13" s="134">
        <f>+_xlfn.XLOOKUP(PROYECTOS[[#This Row],[MUNICIPIO]],'4.CAP_ENDMNT'!B:B,'4.CAP_ENDMNT'!P:P,0,0,1)</f>
        <v>0.8</v>
      </c>
      <c r="AH13" s="44" t="str">
        <f>+_xlfn.XLOOKUP(PROYECTOS[[#This Row],[MUNICIPIO]],'4.CAP_ENDMNT'!B:B,'4.CAP_ENDMNT'!Q:Q,0,0,1)</f>
        <v>Cumple</v>
      </c>
      <c r="AI13" s="139">
        <f>+_xlfn.XLOOKUP(PROYECTOS[[#This Row],[MUNICIPIO]],'4.CAP_ENDMNT'!B:B,'4.CAP_ENDMNT'!V:V,0,0,1)</f>
        <v>958584940.54950011</v>
      </c>
      <c r="AJ13" s="139">
        <f>+_xlfn.XLOOKUP(PROYECTOS[[#This Row],[MUNICIPIO]],'4.CAP_ENDMNT'!B:B,'4.CAP_ENDMNT'!Y:Y,0,0,1)</f>
        <v>-1217788521.7029991</v>
      </c>
      <c r="AK13"/>
      <c r="AL13"/>
      <c r="AM13"/>
    </row>
    <row r="14" spans="1:39">
      <c r="A14" s="44">
        <v>15</v>
      </c>
      <c r="B14" s="37" t="s">
        <v>58</v>
      </c>
      <c r="C14" s="118">
        <f>+_xlfn.XLOOKUP(PROYECTOS[[#This Row],[ID_NECESIDAD]],'1.RADICADOS'!G:G,'1.RADICADOS'!C:C,0,0,1)*1</f>
        <v>45322</v>
      </c>
      <c r="D14" s="46" t="s">
        <v>57</v>
      </c>
      <c r="E14" s="47" t="str">
        <f>+_xlfn.XLOOKUP(PROYECTOS[[#This Row],[MUNICIPIO]],MUNICIPIOS!A:A,MUNICIPIOS!E:E,0,0,1)</f>
        <v>Norte</v>
      </c>
      <c r="F14" s="44">
        <f>+_xlfn.XLOOKUP(PROYECTOS[[#This Row],[MUNICIPIO]],MUNICIPIOS!A:A,MUNICIPIOS!F:F,0,0,1)</f>
        <v>-75.683351999999999</v>
      </c>
      <c r="G14" s="44" t="str">
        <f>+_xlfn.XLOOKUP(PROYECTOS[[#This Row],[MUNICIPIO]],MUNICIPIOS!A:A,MUNICIPIOS!G:G,0,0,1)</f>
        <v>6,85009</v>
      </c>
      <c r="H14" s="44">
        <f>+_xlfn.XLOOKUP(PROYECTOS[[#This Row],[MUNICIPIO]],MUNICIPIOS!A:A,MUNICIPIOS!B:B,0,0,1)</f>
        <v>0</v>
      </c>
      <c r="I14" s="44">
        <f>+_xlfn.XLOOKUP(PROYECTOS[[#This Row],[MUNICIPIO]],MUNICIPIOS!A:A,MUNICIPIOS!C:C,0,0,1)</f>
        <v>0</v>
      </c>
      <c r="J14" s="3" t="str" cm="1">
        <f t="array" ref="J14">_xlfn.TEXTJOIN(" ", TRUE, IF(radicados[ID PROYECTOS]=A14, radicados[RADICADO], ""))</f>
        <v>2024010041849</v>
      </c>
      <c r="K14" s="45">
        <v>1</v>
      </c>
      <c r="L14" s="48"/>
      <c r="M14" s="34" t="s">
        <v>396</v>
      </c>
      <c r="N14" s="34" t="s">
        <v>394</v>
      </c>
      <c r="O14" s="34" t="s">
        <v>18</v>
      </c>
      <c r="P14" s="37"/>
      <c r="Q14" s="45"/>
      <c r="R14" s="43"/>
      <c r="S14" s="43"/>
      <c r="T14" s="44">
        <f>+_xlfn.XLOOKUP(PROYECTOS[[#This Row],[MUNICIPIO]],'4.CAP_ENDMNT'!B:B,'4.CAP_ENDMNT'!C:C,0,0,1)</f>
        <v>6</v>
      </c>
      <c r="U14" s="139">
        <f>+_xlfn.XLOOKUP(PROYECTOS[[#This Row],[MUNICIPIO]],'4.CAP_ENDMNT'!B:B,'4.CAP_ENDMNT'!D:D,0,0,1)</f>
        <v>5437802568.3275003</v>
      </c>
      <c r="V14" s="140">
        <f>+_xlfn.XLOOKUP(PROYECTOS[[#This Row],[MUNICIPIO]],'4.CAP_ENDMNT'!B:B,'4.CAP_ENDMNT'!E:E,0,0,1)</f>
        <v>2195257843.8499999</v>
      </c>
      <c r="W14" s="140">
        <f>+_xlfn.XLOOKUP(PROYECTOS[[#This Row],[MUNICIPIO]],'4.CAP_ENDMNT'!B:B,'4.CAP_ENDMNT'!F:F,0,0,1)</f>
        <v>3242544724.4775004</v>
      </c>
      <c r="X14" s="140">
        <f>+_xlfn.XLOOKUP(PROYECTOS[[#This Row],[MUNICIPIO]],'4.CAP_ENDMNT'!B:B,'4.CAP_ENDMNT'!G:G,0,0,1)</f>
        <v>1389038990</v>
      </c>
      <c r="Y14" s="140">
        <f>+_xlfn.XLOOKUP(PROYECTOS[[#This Row],[MUNICIPIO]],'4.CAP_ENDMNT'!B:B,'4.CAP_ENDMNT'!H:H,0,0,1)</f>
        <v>0</v>
      </c>
      <c r="Z14" s="140">
        <f>+_xlfn.XLOOKUP(PROYECTOS[[#This Row],[MUNICIPIO]],'4.CAP_ENDMNT'!B:B,'4.CAP_ENDMNT'!I:I,0,0,1)</f>
        <v>1389038990</v>
      </c>
      <c r="AA14" s="134">
        <f>+_xlfn.XLOOKUP(PROYECTOS[[#This Row],[MUNICIPIO]],'4.CAP_ENDMNT'!B:B,'4.CAP_ENDMNT'!J:J,0,0,1)</f>
        <v>0.25544123247329026</v>
      </c>
      <c r="AB14" s="140">
        <f>+_xlfn.XLOOKUP(PROYECTOS[[#This Row],[MUNICIPIO]],'4.CAP_ENDMNT'!B:B,'4.CAP_ENDMNT'!K:K,0,0,1)</f>
        <v>4048763578.3275003</v>
      </c>
      <c r="AC14" s="140">
        <f>+_xlfn.XLOOKUP(PROYECTOS[[#This Row],[MUNICIPIO]],'4.CAP_ENDMNT'!B:B,'4.CAP_ENDMNT'!L:L,0,0,1)</f>
        <v>3239010862.6620007</v>
      </c>
      <c r="AD14" s="140">
        <f>+_xlfn.XLOOKUP(PROYECTOS[[#This Row],[MUNICIPIO]],'4.CAP_ENDMNT'!B:B,'4.CAP_ENDMNT'!M:M,0,0,1)</f>
        <v>2429258146.9965</v>
      </c>
      <c r="AE14" s="134">
        <f>+_xlfn.XLOOKUP(PROYECTOS[[#This Row],[MUNICIPIO]],'4.CAP_ENDMNT'!B:B,'4.CAP_ENDMNT'!N:N,0,0,1)</f>
        <v>1</v>
      </c>
      <c r="AF14" s="134">
        <f>+_xlfn.XLOOKUP(PROYECTOS[[#This Row],[MUNICIPIO]],'4.CAP_ENDMNT'!B:B,'4.CAP_ENDMNT'!O:O,0,0,1)</f>
        <v>0.74230580339650343</v>
      </c>
      <c r="AG14" s="134">
        <f>+_xlfn.XLOOKUP(PROYECTOS[[#This Row],[MUNICIPIO]],'4.CAP_ENDMNT'!B:B,'4.CAP_ENDMNT'!P:P,0,0,1)</f>
        <v>0.8</v>
      </c>
      <c r="AH14" s="44" t="str">
        <f>+_xlfn.XLOOKUP(PROYECTOS[[#This Row],[MUNICIPIO]],'4.CAP_ENDMNT'!B:B,'4.CAP_ENDMNT'!Q:Q,0,0,1)</f>
        <v>Cumple</v>
      </c>
      <c r="AI14" s="139">
        <f>+_xlfn.XLOOKUP(PROYECTOS[[#This Row],[MUNICIPIO]],'4.CAP_ENDMNT'!B:B,'4.CAP_ENDMNT'!V:V,0,0,1)</f>
        <v>485851629.39930004</v>
      </c>
      <c r="AJ14" s="139">
        <f>+_xlfn.XLOOKUP(PROYECTOS[[#This Row],[MUNICIPIO]],'4.CAP_ENDMNT'!B:B,'4.CAP_ENDMNT'!Y:Y,0,0,1)</f>
        <v>-14155936706.6042</v>
      </c>
      <c r="AK14"/>
      <c r="AL14"/>
      <c r="AM14"/>
    </row>
    <row r="15" spans="1:39">
      <c r="A15" s="44">
        <v>16</v>
      </c>
      <c r="B15" s="37" t="s">
        <v>1355</v>
      </c>
      <c r="C15" s="118">
        <f>+_xlfn.XLOOKUP(PROYECTOS[[#This Row],[ID_NECESIDAD]],'1.RADICADOS'!G:G,'1.RADICADOS'!C:C,0,0,1)*1</f>
        <v>45475</v>
      </c>
      <c r="D15" s="46" t="s">
        <v>57</v>
      </c>
      <c r="E15" s="47" t="str">
        <f>+_xlfn.XLOOKUP(PROYECTOS[[#This Row],[MUNICIPIO]],MUNICIPIOS!A:A,MUNICIPIOS!E:E,0,0,1)</f>
        <v>Norte</v>
      </c>
      <c r="F15" s="44">
        <f>+_xlfn.XLOOKUP(PROYECTOS[[#This Row],[MUNICIPIO]],MUNICIPIOS!A:A,MUNICIPIOS!F:F,0,0,1)</f>
        <v>-75.683351999999999</v>
      </c>
      <c r="G15" s="44" t="str">
        <f>+_xlfn.XLOOKUP(PROYECTOS[[#This Row],[MUNICIPIO]],MUNICIPIOS!A:A,MUNICIPIOS!G:G,0,0,1)</f>
        <v>6,85009</v>
      </c>
      <c r="H15" s="44">
        <f>+_xlfn.XLOOKUP(PROYECTOS[[#This Row],[MUNICIPIO]],MUNICIPIOS!A:A,MUNICIPIOS!B:B,0,0,1)</f>
        <v>0</v>
      </c>
      <c r="I15" s="44">
        <f>+_xlfn.XLOOKUP(PROYECTOS[[#This Row],[MUNICIPIO]],MUNICIPIOS!A:A,MUNICIPIOS!C:C,0,0,1)</f>
        <v>0</v>
      </c>
      <c r="J15" s="3" t="str" cm="1">
        <f t="array" ref="J15">_xlfn.TEXTJOIN(" ", TRUE, IF(radicados[ID PROYECTOS]=A15, radicados[RADICADO], ""))</f>
        <v>2024010054228</v>
      </c>
      <c r="K15" s="45">
        <v>3</v>
      </c>
      <c r="L15" s="48">
        <v>3142000000</v>
      </c>
      <c r="M15" s="34" t="s">
        <v>396</v>
      </c>
      <c r="N15" s="34" t="s">
        <v>398</v>
      </c>
      <c r="O15" s="34" t="s">
        <v>25</v>
      </c>
      <c r="P15" s="37"/>
      <c r="Q15" s="45"/>
      <c r="R15" s="43"/>
      <c r="S15" s="43"/>
      <c r="T15" s="44">
        <f>+_xlfn.XLOOKUP(PROYECTOS[[#This Row],[MUNICIPIO]],'4.CAP_ENDMNT'!B:B,'4.CAP_ENDMNT'!C:C,0,0,1)</f>
        <v>6</v>
      </c>
      <c r="U15" s="139">
        <f>+_xlfn.XLOOKUP(PROYECTOS[[#This Row],[MUNICIPIO]],'4.CAP_ENDMNT'!B:B,'4.CAP_ENDMNT'!D:D,0,0,1)</f>
        <v>5437802568.3275003</v>
      </c>
      <c r="V15" s="140">
        <f>+_xlfn.XLOOKUP(PROYECTOS[[#This Row],[MUNICIPIO]],'4.CAP_ENDMNT'!B:B,'4.CAP_ENDMNT'!E:E,0,0,1)</f>
        <v>2195257843.8499999</v>
      </c>
      <c r="W15" s="140">
        <f>+_xlfn.XLOOKUP(PROYECTOS[[#This Row],[MUNICIPIO]],'4.CAP_ENDMNT'!B:B,'4.CAP_ENDMNT'!F:F,0,0,1)</f>
        <v>3242544724.4775004</v>
      </c>
      <c r="X15" s="140">
        <f>+_xlfn.XLOOKUP(PROYECTOS[[#This Row],[MUNICIPIO]],'4.CAP_ENDMNT'!B:B,'4.CAP_ENDMNT'!G:G,0,0,1)</f>
        <v>1389038990</v>
      </c>
      <c r="Y15" s="140">
        <f>+_xlfn.XLOOKUP(PROYECTOS[[#This Row],[MUNICIPIO]],'4.CAP_ENDMNT'!B:B,'4.CAP_ENDMNT'!H:H,0,0,1)</f>
        <v>0</v>
      </c>
      <c r="Z15" s="140">
        <f>+_xlfn.XLOOKUP(PROYECTOS[[#This Row],[MUNICIPIO]],'4.CAP_ENDMNT'!B:B,'4.CAP_ENDMNT'!I:I,0,0,1)</f>
        <v>1389038990</v>
      </c>
      <c r="AA15" s="134">
        <f>+_xlfn.XLOOKUP(PROYECTOS[[#This Row],[MUNICIPIO]],'4.CAP_ENDMNT'!B:B,'4.CAP_ENDMNT'!J:J,0,0,1)</f>
        <v>0.25544123247329026</v>
      </c>
      <c r="AB15" s="140">
        <f>+_xlfn.XLOOKUP(PROYECTOS[[#This Row],[MUNICIPIO]],'4.CAP_ENDMNT'!B:B,'4.CAP_ENDMNT'!K:K,0,0,1)</f>
        <v>4048763578.3275003</v>
      </c>
      <c r="AC15" s="140">
        <f>+_xlfn.XLOOKUP(PROYECTOS[[#This Row],[MUNICIPIO]],'4.CAP_ENDMNT'!B:B,'4.CAP_ENDMNT'!L:L,0,0,1)</f>
        <v>3239010862.6620007</v>
      </c>
      <c r="AD15" s="140">
        <f>+_xlfn.XLOOKUP(PROYECTOS[[#This Row],[MUNICIPIO]],'4.CAP_ENDMNT'!B:B,'4.CAP_ENDMNT'!M:M,0,0,1)</f>
        <v>2429258146.9965</v>
      </c>
      <c r="AE15" s="134">
        <f>+_xlfn.XLOOKUP(PROYECTOS[[#This Row],[MUNICIPIO]],'4.CAP_ENDMNT'!B:B,'4.CAP_ENDMNT'!N:N,0,0,1)</f>
        <v>1</v>
      </c>
      <c r="AF15" s="134">
        <f>+_xlfn.XLOOKUP(PROYECTOS[[#This Row],[MUNICIPIO]],'4.CAP_ENDMNT'!B:B,'4.CAP_ENDMNT'!O:O,0,0,1)</f>
        <v>0.74230580339650343</v>
      </c>
      <c r="AG15" s="134">
        <f>+_xlfn.XLOOKUP(PROYECTOS[[#This Row],[MUNICIPIO]],'4.CAP_ENDMNT'!B:B,'4.CAP_ENDMNT'!P:P,0,0,1)</f>
        <v>0.8</v>
      </c>
      <c r="AH15" s="44" t="str">
        <f>+_xlfn.XLOOKUP(PROYECTOS[[#This Row],[MUNICIPIO]],'4.CAP_ENDMNT'!B:B,'4.CAP_ENDMNT'!Q:Q,0,0,1)</f>
        <v>Cumple</v>
      </c>
      <c r="AI15" s="139">
        <f>+_xlfn.XLOOKUP(PROYECTOS[[#This Row],[MUNICIPIO]],'4.CAP_ENDMNT'!B:B,'4.CAP_ENDMNT'!V:V,0,0,1)</f>
        <v>485851629.39930004</v>
      </c>
      <c r="AJ15" s="139">
        <f>+_xlfn.XLOOKUP(PROYECTOS[[#This Row],[MUNICIPIO]],'4.CAP_ENDMNT'!B:B,'4.CAP_ENDMNT'!Y:Y,0,0,1)</f>
        <v>-14155936706.6042</v>
      </c>
      <c r="AK15"/>
      <c r="AL15"/>
      <c r="AM15"/>
    </row>
    <row r="16" spans="1:39">
      <c r="A16" s="44">
        <v>17</v>
      </c>
      <c r="B16" s="37" t="s">
        <v>62</v>
      </c>
      <c r="C16" s="118">
        <f>+_xlfn.XLOOKUP(PROYECTOS[[#This Row],[ID_NECESIDAD]],'1.RADICADOS'!G:G,'1.RADICADOS'!C:C,0,0,1)*1</f>
        <v>45306</v>
      </c>
      <c r="D16" s="46" t="s">
        <v>61</v>
      </c>
      <c r="E16" s="47" t="str">
        <f>+_xlfn.XLOOKUP(PROYECTOS[[#This Row],[MUNICIPIO]],MUNICIPIOS!A:A,MUNICIPIOS!E:E,0,0,1)</f>
        <v>Suroeste</v>
      </c>
      <c r="F16" s="44">
        <f>+_xlfn.XLOOKUP(PROYECTOS[[#This Row],[MUNICIPIO]],MUNICIPIOS!A:A,MUNICIPIOS!F:F,0,0,1)</f>
        <v>-75.675072</v>
      </c>
      <c r="G16" s="44" t="str">
        <f>+_xlfn.XLOOKUP(PROYECTOS[[#This Row],[MUNICIPIO]],MUNICIPIOS!A:A,MUNICIPIOS!G:G,0,0,1)</f>
        <v>5,928039</v>
      </c>
      <c r="H16" s="44">
        <f>+_xlfn.XLOOKUP(PROYECTOS[[#This Row],[MUNICIPIO]],MUNICIPIOS!A:A,MUNICIPIOS!B:B,0,0,1)</f>
        <v>0</v>
      </c>
      <c r="I16" s="44">
        <f>+_xlfn.XLOOKUP(PROYECTOS[[#This Row],[MUNICIPIO]],MUNICIPIOS!A:A,MUNICIPIOS!C:C,0,0,1)</f>
        <v>0</v>
      </c>
      <c r="J16" s="3" t="str" cm="1">
        <f t="array" ref="J16">_xlfn.TEXTJOIN(" ", TRUE, IF(radicados[ID PROYECTOS]=A16, radicados[RADICADO], ""))</f>
        <v>2024010013378</v>
      </c>
      <c r="K16" s="45">
        <v>1</v>
      </c>
      <c r="L16" s="48"/>
      <c r="M16" s="34" t="s">
        <v>396</v>
      </c>
      <c r="N16" s="34" t="s">
        <v>397</v>
      </c>
      <c r="O16" s="34" t="s">
        <v>56</v>
      </c>
      <c r="P16" s="37" t="s">
        <v>1094</v>
      </c>
      <c r="Q16" s="45"/>
      <c r="R16" s="43"/>
      <c r="S16" s="43"/>
      <c r="T16" s="44">
        <f>+_xlfn.XLOOKUP(PROYECTOS[[#This Row],[MUNICIPIO]],'4.CAP_ENDMNT'!B:B,'4.CAP_ENDMNT'!C:C,0,0,1)</f>
        <v>6</v>
      </c>
      <c r="U16" s="139">
        <f>+_xlfn.XLOOKUP(PROYECTOS[[#This Row],[MUNICIPIO]],'4.CAP_ENDMNT'!B:B,'4.CAP_ENDMNT'!D:D,0,0,1)</f>
        <v>17515986067.273998</v>
      </c>
      <c r="V16" s="140">
        <f>+_xlfn.XLOOKUP(PROYECTOS[[#This Row],[MUNICIPIO]],'4.CAP_ENDMNT'!B:B,'4.CAP_ENDMNT'!E:E,0,0,1)</f>
        <v>8346764868.3600006</v>
      </c>
      <c r="W16" s="140">
        <f>+_xlfn.XLOOKUP(PROYECTOS[[#This Row],[MUNICIPIO]],'4.CAP_ENDMNT'!B:B,'4.CAP_ENDMNT'!F:F,0,0,1)</f>
        <v>9169221198.9139977</v>
      </c>
      <c r="X16" s="140">
        <f>+_xlfn.XLOOKUP(PROYECTOS[[#This Row],[MUNICIPIO]],'4.CAP_ENDMNT'!B:B,'4.CAP_ENDMNT'!G:G,0,0,1)</f>
        <v>0</v>
      </c>
      <c r="Y16" s="140">
        <f>+_xlfn.XLOOKUP(PROYECTOS[[#This Row],[MUNICIPIO]],'4.CAP_ENDMNT'!B:B,'4.CAP_ENDMNT'!H:H,0,0,1)</f>
        <v>6328650461</v>
      </c>
      <c r="Z16" s="140">
        <f>+_xlfn.XLOOKUP(PROYECTOS[[#This Row],[MUNICIPIO]],'4.CAP_ENDMNT'!B:B,'4.CAP_ENDMNT'!I:I,0,0,1)</f>
        <v>6328650461</v>
      </c>
      <c r="AA16" s="134">
        <f>+_xlfn.XLOOKUP(PROYECTOS[[#This Row],[MUNICIPIO]],'4.CAP_ENDMNT'!B:B,'4.CAP_ENDMNT'!J:J,0,0,1)</f>
        <v>0.36130711891945022</v>
      </c>
      <c r="AB16" s="140">
        <f>+_xlfn.XLOOKUP(PROYECTOS[[#This Row],[MUNICIPIO]],'4.CAP_ENDMNT'!B:B,'4.CAP_ENDMNT'!K:K,0,0,1)</f>
        <v>11187335606.273998</v>
      </c>
      <c r="AC16" s="140">
        <f>+_xlfn.XLOOKUP(PROYECTOS[[#This Row],[MUNICIPIO]],'4.CAP_ENDMNT'!B:B,'4.CAP_ENDMNT'!L:L,0,0,1)</f>
        <v>8949868485.0191994</v>
      </c>
      <c r="AD16" s="140">
        <f>+_xlfn.XLOOKUP(PROYECTOS[[#This Row],[MUNICIPIO]],'4.CAP_ENDMNT'!B:B,'4.CAP_ENDMNT'!M:M,0,0,1)</f>
        <v>6712401363.7643986</v>
      </c>
      <c r="AE16" s="134">
        <f>+_xlfn.XLOOKUP(PROYECTOS[[#This Row],[MUNICIPIO]],'4.CAP_ENDMNT'!B:B,'4.CAP_ENDMNT'!N:N,0,0,1)</f>
        <v>0</v>
      </c>
      <c r="AF16" s="134">
        <f>+_xlfn.XLOOKUP(PROYECTOS[[#This Row],[MUNICIPIO]],'4.CAP_ENDMNT'!B:B,'4.CAP_ENDMNT'!O:O,0,0,1)</f>
        <v>0.67376313277740918</v>
      </c>
      <c r="AG16" s="134">
        <f>+_xlfn.XLOOKUP(PROYECTOS[[#This Row],[MUNICIPIO]],'4.CAP_ENDMNT'!B:B,'4.CAP_ENDMNT'!P:P,0,0,1)</f>
        <v>0.8</v>
      </c>
      <c r="AH16" s="44" t="str">
        <f>+_xlfn.XLOOKUP(PROYECTOS[[#This Row],[MUNICIPIO]],'4.CAP_ENDMNT'!B:B,'4.CAP_ENDMNT'!Q:Q,0,0,1)</f>
        <v>Cumple</v>
      </c>
      <c r="AI16" s="139">
        <f>+_xlfn.XLOOKUP(PROYECTOS[[#This Row],[MUNICIPIO]],'4.CAP_ENDMNT'!B:B,'4.CAP_ENDMNT'!V:V,0,0,1)</f>
        <v>1342480272.7528799</v>
      </c>
      <c r="AJ16" s="139">
        <f>+_xlfn.XLOOKUP(PROYECTOS[[#This Row],[MUNICIPIO]],'4.CAP_ENDMNT'!B:B,'4.CAP_ENDMNT'!Y:Y,0,0,1)</f>
        <v>3280962216.5172787</v>
      </c>
      <c r="AK16"/>
      <c r="AL16"/>
      <c r="AM16"/>
    </row>
    <row r="17" spans="1:39">
      <c r="A17" s="44">
        <v>18</v>
      </c>
      <c r="B17" s="37" t="s">
        <v>1356</v>
      </c>
      <c r="C17" s="118">
        <f>+_xlfn.XLOOKUP(PROYECTOS[[#This Row],[ID_NECESIDAD]],'1.RADICADOS'!G:G,'1.RADICADOS'!C:C,0,0,1)*1</f>
        <v>45406</v>
      </c>
      <c r="D17" s="46" t="s">
        <v>63</v>
      </c>
      <c r="E17" s="47" t="str">
        <f>+_xlfn.XLOOKUP(PROYECTOS[[#This Row],[MUNICIPIO]],MUNICIPIOS!A:A,MUNICIPIOS!E:E,0,0,1)</f>
        <v>Urabá</v>
      </c>
      <c r="F17" s="44">
        <f>+_xlfn.XLOOKUP(PROYECTOS[[#This Row],[MUNICIPIO]],MUNICIPIOS!A:A,MUNICIPIOS!F:F,0,0,1)</f>
        <v>-76.380566999999999</v>
      </c>
      <c r="G17" s="44" t="str">
        <f>+_xlfn.XLOOKUP(PROYECTOS[[#This Row],[MUNICIPIO]],MUNICIPIOS!A:A,MUNICIPIOS!G:G,0,0,1)</f>
        <v>8,276884</v>
      </c>
      <c r="H17" s="44">
        <f>+_xlfn.XLOOKUP(PROYECTOS[[#This Row],[MUNICIPIO]],MUNICIPIOS!A:A,MUNICIPIOS!B:B,0,0,1)</f>
        <v>1</v>
      </c>
      <c r="I17" s="44">
        <f>+_xlfn.XLOOKUP(PROYECTOS[[#This Row],[MUNICIPIO]],MUNICIPIOS!A:A,MUNICIPIOS!C:C,0,0,1)</f>
        <v>1</v>
      </c>
      <c r="J17" s="3" t="str" cm="1">
        <f t="array" ref="J17">_xlfn.TEXTJOIN(" ", TRUE, IF(radicados[ID PROYECTOS]=A17, radicados[RADICADO], ""))</f>
        <v>2024010179553</v>
      </c>
      <c r="K17" s="45">
        <v>3</v>
      </c>
      <c r="L17" s="48"/>
      <c r="M17" s="34" t="s">
        <v>401</v>
      </c>
      <c r="N17" s="34" t="s">
        <v>394</v>
      </c>
      <c r="O17" s="34" t="s">
        <v>18</v>
      </c>
      <c r="P17" s="37"/>
      <c r="Q17" s="45"/>
      <c r="R17" s="43"/>
      <c r="S17" s="43"/>
      <c r="T17" s="44">
        <f>+_xlfn.XLOOKUP(PROYECTOS[[#This Row],[MUNICIPIO]],'4.CAP_ENDMNT'!B:B,'4.CAP_ENDMNT'!C:C,0,0,1)</f>
        <v>6</v>
      </c>
      <c r="U17" s="139">
        <f>+_xlfn.XLOOKUP(PROYECTOS[[#This Row],[MUNICIPIO]],'4.CAP_ENDMNT'!B:B,'4.CAP_ENDMNT'!D:D,0,0,1)</f>
        <v>19508372714.52</v>
      </c>
      <c r="V17" s="140">
        <f>+_xlfn.XLOOKUP(PROYECTOS[[#This Row],[MUNICIPIO]],'4.CAP_ENDMNT'!B:B,'4.CAP_ENDMNT'!E:E,0,0,1)</f>
        <v>5389834315.5</v>
      </c>
      <c r="W17" s="140">
        <f>+_xlfn.XLOOKUP(PROYECTOS[[#This Row],[MUNICIPIO]],'4.CAP_ENDMNT'!B:B,'4.CAP_ENDMNT'!F:F,0,0,1)</f>
        <v>14118538399.02</v>
      </c>
      <c r="X17" s="140">
        <f>+_xlfn.XLOOKUP(PROYECTOS[[#This Row],[MUNICIPIO]],'4.CAP_ENDMNT'!B:B,'4.CAP_ENDMNT'!G:G,0,0,1)</f>
        <v>2594281047</v>
      </c>
      <c r="Y17" s="140">
        <f>+_xlfn.XLOOKUP(PROYECTOS[[#This Row],[MUNICIPIO]],'4.CAP_ENDMNT'!B:B,'4.CAP_ENDMNT'!H:H,0,0,1)</f>
        <v>1833333333</v>
      </c>
      <c r="Z17" s="140">
        <f>+_xlfn.XLOOKUP(PROYECTOS[[#This Row],[MUNICIPIO]],'4.CAP_ENDMNT'!B:B,'4.CAP_ENDMNT'!I:I,0,0,1)</f>
        <v>4427614380</v>
      </c>
      <c r="AA17" s="134">
        <f>+_xlfn.XLOOKUP(PROYECTOS[[#This Row],[MUNICIPIO]],'4.CAP_ENDMNT'!B:B,'4.CAP_ENDMNT'!J:J,0,0,1)</f>
        <v>0.22695969801235882</v>
      </c>
      <c r="AB17" s="140">
        <f>+_xlfn.XLOOKUP(PROYECTOS[[#This Row],[MUNICIPIO]],'4.CAP_ENDMNT'!B:B,'4.CAP_ENDMNT'!K:K,0,0,1)</f>
        <v>15080758334.52</v>
      </c>
      <c r="AC17" s="140">
        <f>+_xlfn.XLOOKUP(PROYECTOS[[#This Row],[MUNICIPIO]],'4.CAP_ENDMNT'!B:B,'4.CAP_ENDMNT'!L:L,0,0,1)</f>
        <v>12064606667.616001</v>
      </c>
      <c r="AD17" s="140">
        <f>+_xlfn.XLOOKUP(PROYECTOS[[#This Row],[MUNICIPIO]],'4.CAP_ENDMNT'!B:B,'4.CAP_ENDMNT'!M:M,0,0,1)</f>
        <v>9048455000.7119999</v>
      </c>
      <c r="AE17" s="134">
        <f>+_xlfn.XLOOKUP(PROYECTOS[[#This Row],[MUNICIPIO]],'4.CAP_ENDMNT'!B:B,'4.CAP_ENDMNT'!N:N,0,0,1)</f>
        <v>0.58593202215591322</v>
      </c>
      <c r="AF17" s="134">
        <f>+_xlfn.XLOOKUP(PROYECTOS[[#This Row],[MUNICIPIO]],'4.CAP_ENDMNT'!B:B,'4.CAP_ENDMNT'!O:O,0,0,1)</f>
        <v>0.58851112900500024</v>
      </c>
      <c r="AG17" s="134">
        <f>+_xlfn.XLOOKUP(PROYECTOS[[#This Row],[MUNICIPIO]],'4.CAP_ENDMNT'!B:B,'4.CAP_ENDMNT'!P:P,0,0,1)</f>
        <v>0.8</v>
      </c>
      <c r="AH17" s="44" t="str">
        <f>+_xlfn.XLOOKUP(PROYECTOS[[#This Row],[MUNICIPIO]],'4.CAP_ENDMNT'!B:B,'4.CAP_ENDMNT'!Q:Q,0,0,1)</f>
        <v>Cumple</v>
      </c>
      <c r="AI17" s="139">
        <f>+_xlfn.XLOOKUP(PROYECTOS[[#This Row],[MUNICIPIO]],'4.CAP_ENDMNT'!B:B,'4.CAP_ENDMNT'!V:V,0,0,1)</f>
        <v>1809691000.1424</v>
      </c>
      <c r="AJ17" s="139">
        <f>+_xlfn.XLOOKUP(PROYECTOS[[#This Row],[MUNICIPIO]],'4.CAP_ENDMNT'!B:B,'4.CAP_ENDMNT'!Y:Y,0,0,1)</f>
        <v>-12348843887.145599</v>
      </c>
      <c r="AK17"/>
      <c r="AL17"/>
      <c r="AM17"/>
    </row>
    <row r="18" spans="1:39">
      <c r="A18" s="44">
        <v>19</v>
      </c>
      <c r="B18" s="37" t="s">
        <v>1495</v>
      </c>
      <c r="C18" s="118">
        <f>+_xlfn.XLOOKUP(PROYECTOS[[#This Row],[ID_NECESIDAD]],'1.RADICADOS'!G:G,'1.RADICADOS'!C:C,0,0,1)*1</f>
        <v>45405</v>
      </c>
      <c r="D18" s="46" t="s">
        <v>65</v>
      </c>
      <c r="E18" s="47" t="str">
        <f>+_xlfn.XLOOKUP(PROYECTOS[[#This Row],[MUNICIPIO]],MUNICIPIOS!A:A,MUNICIPIOS!E:E,0,0,1)</f>
        <v>Urabá</v>
      </c>
      <c r="F18" s="44">
        <f>+_xlfn.XLOOKUP(PROYECTOS[[#This Row],[MUNICIPIO]],MUNICIPIOS!A:A,MUNICIPIOS!F:F,0,0,1)</f>
        <v>-76.528570000000002</v>
      </c>
      <c r="G18" s="44" t="str">
        <f>+_xlfn.XLOOKUP(PROYECTOS[[#This Row],[MUNICIPIO]],MUNICIPIOS!A:A,MUNICIPIOS!G:G,0,0,1)</f>
        <v>8,758964</v>
      </c>
      <c r="H18" s="44">
        <f>+_xlfn.XLOOKUP(PROYECTOS[[#This Row],[MUNICIPIO]],MUNICIPIOS!A:A,MUNICIPIOS!B:B,0,0,1)</f>
        <v>0</v>
      </c>
      <c r="I18" s="44">
        <f>+_xlfn.XLOOKUP(PROYECTOS[[#This Row],[MUNICIPIO]],MUNICIPIOS!A:A,MUNICIPIOS!C:C,0,0,1)</f>
        <v>0</v>
      </c>
      <c r="J18" s="34" t="str" cm="1">
        <f t="array" ref="J18">_xlfn.TEXTJOIN(" ", TRUE, IF(radicados[ID PROYECTOS]=A18, radicados[RADICADO], ""))</f>
        <v>2024010178436</v>
      </c>
      <c r="K18" s="45">
        <v>3</v>
      </c>
      <c r="L18" s="48">
        <v>2139964660</v>
      </c>
      <c r="M18" s="34" t="s">
        <v>288</v>
      </c>
      <c r="N18" s="40" t="s">
        <v>398</v>
      </c>
      <c r="O18" s="40" t="s">
        <v>25</v>
      </c>
      <c r="P18" s="37"/>
      <c r="Q18" s="45">
        <v>1</v>
      </c>
      <c r="R18" s="43" t="s">
        <v>922</v>
      </c>
      <c r="S18" s="43" t="s">
        <v>1618</v>
      </c>
      <c r="T18" s="44">
        <f>+_xlfn.XLOOKUP(PROYECTOS[[#This Row],[MUNICIPIO]],'4.CAP_ENDMNT'!B:B,'4.CAP_ENDMNT'!C:C,0,0,1)</f>
        <v>6</v>
      </c>
      <c r="U18" s="167">
        <f>+_xlfn.XLOOKUP(PROYECTOS[[#This Row],[MUNICIPIO]],'4.CAP_ENDMNT'!B:B,'4.CAP_ENDMNT'!D:D,0,0,1)</f>
        <v>21558400486.167</v>
      </c>
      <c r="V18" s="44">
        <f>+_xlfn.XLOOKUP(PROYECTOS[[#This Row],[MUNICIPIO]],'4.CAP_ENDMNT'!B:B,'4.CAP_ENDMNT'!E:E,0,0,1)</f>
        <v>4028552935.2600002</v>
      </c>
      <c r="W18" s="44">
        <f>+_xlfn.XLOOKUP(PROYECTOS[[#This Row],[MUNICIPIO]],'4.CAP_ENDMNT'!B:B,'4.CAP_ENDMNT'!F:F,0,0,1)</f>
        <v>17529847550.906998</v>
      </c>
      <c r="X18" s="44">
        <f>+_xlfn.XLOOKUP(PROYECTOS[[#This Row],[MUNICIPIO]],'4.CAP_ENDMNT'!B:B,'4.CAP_ENDMNT'!G:G,0,0,1)</f>
        <v>573337825</v>
      </c>
      <c r="Y18" s="44">
        <f>+_xlfn.XLOOKUP(PROYECTOS[[#This Row],[MUNICIPIO]],'4.CAP_ENDMNT'!B:B,'4.CAP_ENDMNT'!H:H,0,0,1)</f>
        <v>3454671378</v>
      </c>
      <c r="Z18" s="44">
        <f>+_xlfn.XLOOKUP(PROYECTOS[[#This Row],[MUNICIPIO]],'4.CAP_ENDMNT'!B:B,'4.CAP_ENDMNT'!I:I,0,0,1)</f>
        <v>4028009203</v>
      </c>
      <c r="AA18" s="134">
        <f>+_xlfn.XLOOKUP(PROYECTOS[[#This Row],[MUNICIPIO]],'4.CAP_ENDMNT'!B:B,'4.CAP_ENDMNT'!J:J,0,0,1)</f>
        <v>0.18684174670493675</v>
      </c>
      <c r="AB18" s="44">
        <f>+_xlfn.XLOOKUP(PROYECTOS[[#This Row],[MUNICIPIO]],'4.CAP_ENDMNT'!B:B,'4.CAP_ENDMNT'!K:K,0,0,1)</f>
        <v>17530391283.167</v>
      </c>
      <c r="AC18" s="44">
        <f>+_xlfn.XLOOKUP(PROYECTOS[[#This Row],[MUNICIPIO]],'4.CAP_ENDMNT'!B:B,'4.CAP_ENDMNT'!L:L,0,0,1)</f>
        <v>14024313026.5336</v>
      </c>
      <c r="AD18" s="44">
        <f>+_xlfn.XLOOKUP(PROYECTOS[[#This Row],[MUNICIPIO]],'4.CAP_ENDMNT'!B:B,'4.CAP_ENDMNT'!M:M,0,0,1)</f>
        <v>10518234769.9002</v>
      </c>
      <c r="AE18" s="134">
        <f>+_xlfn.XLOOKUP(PROYECTOS[[#This Row],[MUNICIPIO]],'4.CAP_ENDMNT'!B:B,'4.CAP_ENDMNT'!N:N,0,0,1)</f>
        <v>0.14233776441548016</v>
      </c>
      <c r="AF18" s="134">
        <f>+_xlfn.XLOOKUP(PROYECTOS[[#This Row],[MUNICIPIO]],'4.CAP_ENDMNT'!B:B,'4.CAP_ENDMNT'!O:O,0,0,1)</f>
        <v>0.45202185420266422</v>
      </c>
      <c r="AG18" s="134">
        <f>+_xlfn.XLOOKUP(PROYECTOS[[#This Row],[MUNICIPIO]],'4.CAP_ENDMNT'!B:B,'4.CAP_ENDMNT'!P:P,0,0,1)</f>
        <v>0.8</v>
      </c>
      <c r="AH18" s="44" t="str">
        <f>+_xlfn.XLOOKUP(PROYECTOS[[#This Row],[MUNICIPIO]],'4.CAP_ENDMNT'!B:B,'4.CAP_ENDMNT'!Q:Q,0,0,1)</f>
        <v>Cumple</v>
      </c>
      <c r="AI18" s="139">
        <f>+_xlfn.XLOOKUP(PROYECTOS[[#This Row],[MUNICIPIO]],'4.CAP_ENDMNT'!B:B,'4.CAP_ENDMNT'!V:V,0,0,1)</f>
        <v>2103646953.9800401</v>
      </c>
      <c r="AJ18" s="139">
        <f>+_xlfn.XLOOKUP(PROYECTOS[[#This Row],[MUNICIPIO]],'4.CAP_ENDMNT'!B:B,'4.CAP_ENDMNT'!Y:Y,0,0,1)</f>
        <v>5454222483.8802395</v>
      </c>
      <c r="AK18"/>
      <c r="AL18"/>
      <c r="AM18"/>
    </row>
    <row r="19" spans="1:39">
      <c r="A19" s="44">
        <v>20</v>
      </c>
      <c r="B19" s="37" t="s">
        <v>68</v>
      </c>
      <c r="C19" s="118">
        <f>+_xlfn.XLOOKUP(PROYECTOS[[#This Row],[ID_NECESIDAD]],'1.RADICADOS'!G:G,'1.RADICADOS'!C:C,0,0,1)*1</f>
        <v>45405</v>
      </c>
      <c r="D19" s="46" t="s">
        <v>67</v>
      </c>
      <c r="E19" s="47" t="str">
        <f>+_xlfn.XLOOKUP(PROYECTOS[[#This Row],[MUNICIPIO]],MUNICIPIOS!A:A,MUNICIPIOS!E:E,0,0,1)</f>
        <v>Nordeste</v>
      </c>
      <c r="F19" s="44">
        <f>+_xlfn.XLOOKUP(PROYECTOS[[#This Row],[MUNICIPIO]],MUNICIPIOS!A:A,MUNICIPIOS!F:F,0,0,1)</f>
        <v>-75.013385</v>
      </c>
      <c r="G19" s="44">
        <f>+_xlfn.XLOOKUP(PROYECTOS[[#This Row],[MUNICIPIO]],MUNICIPIOS!A:A,MUNICIPIOS!G:G,0,0,1)</f>
        <v>6.5945109999999998</v>
      </c>
      <c r="H19" s="44">
        <f>+_xlfn.XLOOKUP(PROYECTOS[[#This Row],[MUNICIPIO]],MUNICIPIOS!A:A,MUNICIPIOS!B:B,0,0,1)</f>
        <v>0</v>
      </c>
      <c r="I19" s="44">
        <f>+_xlfn.XLOOKUP(PROYECTOS[[#This Row],[MUNICIPIO]],MUNICIPIOS!A:A,MUNICIPIOS!C:C,0,0,1)</f>
        <v>1</v>
      </c>
      <c r="J19" s="3" t="str" cm="1">
        <f t="array" ref="J19">_xlfn.TEXTJOIN(" ", TRUE, IF(radicados[ID PROYECTOS]=A19, radicados[RADICADO], ""))</f>
        <v>2024010178733</v>
      </c>
      <c r="K19" s="128">
        <v>1</v>
      </c>
      <c r="L19" s="48"/>
      <c r="M19" s="34" t="s">
        <v>396</v>
      </c>
      <c r="N19" s="34" t="s">
        <v>394</v>
      </c>
      <c r="O19" s="34" t="s">
        <v>18</v>
      </c>
      <c r="P19" s="37" t="s">
        <v>948</v>
      </c>
      <c r="Q19" s="45"/>
      <c r="R19" s="43"/>
      <c r="S19" s="43"/>
      <c r="T19" s="44">
        <f>+_xlfn.XLOOKUP(PROYECTOS[[#This Row],[MUNICIPIO]],'4.CAP_ENDMNT'!B:B,'4.CAP_ENDMNT'!C:C,0,0,1)</f>
        <v>6</v>
      </c>
      <c r="U19" s="139">
        <f>+_xlfn.XLOOKUP(PROYECTOS[[#This Row],[MUNICIPIO]],'4.CAP_ENDMNT'!B:B,'4.CAP_ENDMNT'!D:D,0,0,1)</f>
        <v>18632663202.9925</v>
      </c>
      <c r="V19" s="140">
        <f>+_xlfn.XLOOKUP(PROYECTOS[[#This Row],[MUNICIPIO]],'4.CAP_ENDMNT'!B:B,'4.CAP_ENDMNT'!E:E,0,0,1)</f>
        <v>4332293517.3299999</v>
      </c>
      <c r="W19" s="140">
        <f>+_xlfn.XLOOKUP(PROYECTOS[[#This Row],[MUNICIPIO]],'4.CAP_ENDMNT'!B:B,'4.CAP_ENDMNT'!F:F,0,0,1)</f>
        <v>14300369685.6625</v>
      </c>
      <c r="X19" s="140">
        <f>+_xlfn.XLOOKUP(PROYECTOS[[#This Row],[MUNICIPIO]],'4.CAP_ENDMNT'!B:B,'4.CAP_ENDMNT'!G:G,0,0,1)</f>
        <v>3970281006</v>
      </c>
      <c r="Y19" s="140">
        <f>+_xlfn.XLOOKUP(PROYECTOS[[#This Row],[MUNICIPIO]],'4.CAP_ENDMNT'!B:B,'4.CAP_ENDMNT'!H:H,0,0,1)</f>
        <v>1500000000</v>
      </c>
      <c r="Z19" s="140">
        <f>+_xlfn.XLOOKUP(PROYECTOS[[#This Row],[MUNICIPIO]],'4.CAP_ENDMNT'!B:B,'4.CAP_ENDMNT'!I:I,0,0,1)</f>
        <v>5470281006</v>
      </c>
      <c r="AA19" s="134">
        <f>+_xlfn.XLOOKUP(PROYECTOS[[#This Row],[MUNICIPIO]],'4.CAP_ENDMNT'!B:B,'4.CAP_ENDMNT'!J:J,0,0,1)</f>
        <v>0.29358556779588252</v>
      </c>
      <c r="AB19" s="140">
        <f>+_xlfn.XLOOKUP(PROYECTOS[[#This Row],[MUNICIPIO]],'4.CAP_ENDMNT'!B:B,'4.CAP_ENDMNT'!K:K,0,0,1)</f>
        <v>13162382196.9925</v>
      </c>
      <c r="AC19" s="140">
        <f>+_xlfn.XLOOKUP(PROYECTOS[[#This Row],[MUNICIPIO]],'4.CAP_ENDMNT'!B:B,'4.CAP_ENDMNT'!L:L,0,0,1)</f>
        <v>10529905757.594002</v>
      </c>
      <c r="AD19" s="140">
        <f>+_xlfn.XLOOKUP(PROYECTOS[[#This Row],[MUNICIPIO]],'4.CAP_ENDMNT'!B:B,'4.CAP_ENDMNT'!M:M,0,0,1)</f>
        <v>7897429318.1954994</v>
      </c>
      <c r="AE19" s="134">
        <f>+_xlfn.XLOOKUP(PROYECTOS[[#This Row],[MUNICIPIO]],'4.CAP_ENDMNT'!B:B,'4.CAP_ENDMNT'!N:N,0,0,1)</f>
        <v>0.72579105198531002</v>
      </c>
      <c r="AF19" s="134">
        <f>+_xlfn.XLOOKUP(PROYECTOS[[#This Row],[MUNICIPIO]],'4.CAP_ENDMNT'!B:B,'4.CAP_ENDMNT'!O:O,0,0,1)</f>
        <v>0.44683077557401057</v>
      </c>
      <c r="AG19" s="134">
        <f>+_xlfn.XLOOKUP(PROYECTOS[[#This Row],[MUNICIPIO]],'4.CAP_ENDMNT'!B:B,'4.CAP_ENDMNT'!P:P,0,0,1)</f>
        <v>0.8</v>
      </c>
      <c r="AH19" s="44" t="str">
        <f>+_xlfn.XLOOKUP(PROYECTOS[[#This Row],[MUNICIPIO]],'4.CAP_ENDMNT'!B:B,'4.CAP_ENDMNT'!Q:Q,0,0,1)</f>
        <v>Cumple</v>
      </c>
      <c r="AI19" s="139">
        <f>+_xlfn.XLOOKUP(PROYECTOS[[#This Row],[MUNICIPIO]],'4.CAP_ENDMNT'!B:B,'4.CAP_ENDMNT'!V:V,0,0,1)</f>
        <v>1579485863.6391001</v>
      </c>
      <c r="AJ19" s="139">
        <f>+_xlfn.XLOOKUP(PROYECTOS[[#This Row],[MUNICIPIO]],'4.CAP_ENDMNT'!B:B,'4.CAP_ENDMNT'!Y:Y,0,0,1)</f>
        <v>2111158837.8345985</v>
      </c>
      <c r="AK19"/>
      <c r="AL19"/>
      <c r="AM19"/>
    </row>
    <row r="20" spans="1:39">
      <c r="A20" s="44">
        <v>21</v>
      </c>
      <c r="B20" s="37" t="s">
        <v>989</v>
      </c>
      <c r="C20" s="118">
        <f>+_xlfn.XLOOKUP(PROYECTOS[[#This Row],[ID_NECESIDAD]],'1.RADICADOS'!G:G,'1.RADICADOS'!C:C,0,0,1)*1</f>
        <v>45398</v>
      </c>
      <c r="D20" s="46" t="s">
        <v>27</v>
      </c>
      <c r="E20" s="47" t="str">
        <f>+_xlfn.XLOOKUP(PROYECTOS[[#This Row],[MUNICIPIO]],MUNICIPIOS!A:A,MUNICIPIOS!E:E,0,0,1)</f>
        <v>Oriente</v>
      </c>
      <c r="F20" s="44">
        <f>+_xlfn.XLOOKUP(PROYECTOS[[#This Row],[MUNICIPIO]],MUNICIPIOS!A:A,MUNICIPIOS!F:F,0,0,1)</f>
        <v>-75.377315999999993</v>
      </c>
      <c r="G20" s="44" t="str">
        <f>+_xlfn.XLOOKUP(PROYECTOS[[#This Row],[MUNICIPIO]],MUNICIPIOS!A:A,MUNICIPIOS!G:G,0,0,1)</f>
        <v>6,147148</v>
      </c>
      <c r="H20" s="44">
        <f>+_xlfn.XLOOKUP(PROYECTOS[[#This Row],[MUNICIPIO]],MUNICIPIOS!A:A,MUNICIPIOS!B:B,0,0,1)</f>
        <v>0</v>
      </c>
      <c r="I20" s="44">
        <f>+_xlfn.XLOOKUP(PROYECTOS[[#This Row],[MUNICIPIO]],MUNICIPIOS!A:A,MUNICIPIOS!C:C,0,0,1)</f>
        <v>0</v>
      </c>
      <c r="J20" s="3" t="str" cm="1">
        <f t="array" ref="J20">_xlfn.TEXTJOIN(" ", TRUE, IF(radicados[ID PROYECTOS]=A20, radicados[RADICADO], ""))</f>
        <v>2024020016404</v>
      </c>
      <c r="K20" s="45">
        <v>3</v>
      </c>
      <c r="L20" s="48">
        <v>1578945342</v>
      </c>
      <c r="M20" s="34" t="s">
        <v>392</v>
      </c>
      <c r="N20" s="40" t="s">
        <v>1079</v>
      </c>
      <c r="O20" s="40" t="s">
        <v>7</v>
      </c>
      <c r="P20" s="37" t="s">
        <v>988</v>
      </c>
      <c r="Q20" s="45"/>
      <c r="R20" s="43"/>
      <c r="S20" s="43"/>
      <c r="T20" s="44">
        <f>+_xlfn.XLOOKUP(PROYECTOS[[#This Row],[MUNICIPIO]],'4.CAP_ENDMNT'!B:B,'4.CAP_ENDMNT'!C:C,0,0,1)</f>
        <v>1</v>
      </c>
      <c r="U20" s="139">
        <f>+_xlfn.XLOOKUP(PROYECTOS[[#This Row],[MUNICIPIO]],'4.CAP_ENDMNT'!B:B,'4.CAP_ENDMNT'!D:D,0,0,1)</f>
        <v>501236439904.31354</v>
      </c>
      <c r="V20" s="140">
        <f>+_xlfn.XLOOKUP(PROYECTOS[[#This Row],[MUNICIPIO]],'4.CAP_ENDMNT'!B:B,'4.CAP_ENDMNT'!E:E,0,0,1)</f>
        <v>112502020079.39</v>
      </c>
      <c r="W20" s="140">
        <f>+_xlfn.XLOOKUP(PROYECTOS[[#This Row],[MUNICIPIO]],'4.CAP_ENDMNT'!B:B,'4.CAP_ENDMNT'!F:F,0,0,1)</f>
        <v>388734419824.92352</v>
      </c>
      <c r="X20" s="140">
        <f>+_xlfn.XLOOKUP(PROYECTOS[[#This Row],[MUNICIPIO]],'4.CAP_ENDMNT'!B:B,'4.CAP_ENDMNT'!G:G,0,0,1)</f>
        <v>85394840514</v>
      </c>
      <c r="Y20" s="140">
        <f>+_xlfn.XLOOKUP(PROYECTOS[[#This Row],[MUNICIPIO]],'4.CAP_ENDMNT'!B:B,'4.CAP_ENDMNT'!H:H,0,0,1)</f>
        <v>114109886446.23999</v>
      </c>
      <c r="Z20" s="140">
        <f>+_xlfn.XLOOKUP(PROYECTOS[[#This Row],[MUNICIPIO]],'4.CAP_ENDMNT'!B:B,'4.CAP_ENDMNT'!I:I,0,0,1)</f>
        <v>199504726960.23999</v>
      </c>
      <c r="AA20" s="134">
        <f>+_xlfn.XLOOKUP(PROYECTOS[[#This Row],[MUNICIPIO]],'4.CAP_ENDMNT'!B:B,'4.CAP_ENDMNT'!J:J,0,0,1)</f>
        <v>0.39802518547599136</v>
      </c>
      <c r="AB20" s="140">
        <f>+_xlfn.XLOOKUP(PROYECTOS[[#This Row],[MUNICIPIO]],'4.CAP_ENDMNT'!B:B,'4.CAP_ENDMNT'!K:K,0,0,1)</f>
        <v>301731712944.07355</v>
      </c>
      <c r="AC20" s="140">
        <f>+_xlfn.XLOOKUP(PROYECTOS[[#This Row],[MUNICIPIO]],'4.CAP_ENDMNT'!B:B,'4.CAP_ENDMNT'!L:L,0,0,1)</f>
        <v>241385370355.25885</v>
      </c>
      <c r="AD20" s="140">
        <f>+_xlfn.XLOOKUP(PROYECTOS[[#This Row],[MUNICIPIO]],'4.CAP_ENDMNT'!B:B,'4.CAP_ENDMNT'!M:M,0,0,1)</f>
        <v>181039027766.44412</v>
      </c>
      <c r="AE20" s="134">
        <f>+_xlfn.XLOOKUP(PROYECTOS[[#This Row],[MUNICIPIO]],'4.CAP_ENDMNT'!B:B,'4.CAP_ENDMNT'!N:N,0,0,1)</f>
        <v>0.42803417149619039</v>
      </c>
      <c r="AF20" s="134">
        <f>+_xlfn.XLOOKUP(PROYECTOS[[#This Row],[MUNICIPIO]],'4.CAP_ENDMNT'!B:B,'4.CAP_ENDMNT'!O:O,0,0,1)</f>
        <v>0.23207277402530038</v>
      </c>
      <c r="AG20" s="134">
        <f>+_xlfn.XLOOKUP(PROYECTOS[[#This Row],[MUNICIPIO]],'4.CAP_ENDMNT'!B:B,'4.CAP_ENDMNT'!P:P,0,0,1)</f>
        <v>0.65</v>
      </c>
      <c r="AH20" s="44" t="str">
        <f>+_xlfn.XLOOKUP(PROYECTOS[[#This Row],[MUNICIPIO]],'4.CAP_ENDMNT'!B:B,'4.CAP_ENDMNT'!Q:Q,0,0,1)</f>
        <v>Cumple</v>
      </c>
      <c r="AI20" s="139">
        <f>+_xlfn.XLOOKUP(PROYECTOS[[#This Row],[MUNICIPIO]],'4.CAP_ENDMNT'!B:B,'4.CAP_ENDMNT'!V:V,0,0,1)</f>
        <v>36207805553.288826</v>
      </c>
      <c r="AJ20" s="139">
        <f>+_xlfn.XLOOKUP(PROYECTOS[[#This Row],[MUNICIPIO]],'4.CAP_ENDMNT'!B:B,'4.CAP_ENDMNT'!Y:Y,0,0,1)</f>
        <v>199470854625.73294</v>
      </c>
      <c r="AK20"/>
      <c r="AL20"/>
      <c r="AM20"/>
    </row>
    <row r="21" spans="1:39">
      <c r="A21" s="44">
        <v>22</v>
      </c>
      <c r="B21" s="37" t="s">
        <v>71</v>
      </c>
      <c r="C21" s="118">
        <f>+_xlfn.XLOOKUP(PROYECTOS[[#This Row],[ID_NECESIDAD]],'1.RADICADOS'!G:G,'1.RADICADOS'!C:C,0,0,1)*1</f>
        <v>45400</v>
      </c>
      <c r="D21" s="46" t="s">
        <v>70</v>
      </c>
      <c r="E21" s="47" t="str">
        <f>+_xlfn.XLOOKUP(PROYECTOS[[#This Row],[MUNICIPIO]],MUNICIPIOS!A:A,MUNICIPIOS!E:E,0,0,1)</f>
        <v>Oriente</v>
      </c>
      <c r="F21" s="44">
        <f>+_xlfn.XLOOKUP(PROYECTOS[[#This Row],[MUNICIPIO]],MUNICIPIOS!A:A,MUNICIPIOS!F:F,0,0,1)</f>
        <v>-75.141345999999999</v>
      </c>
      <c r="G21" s="44" t="str">
        <f>+_xlfn.XLOOKUP(PROYECTOS[[#This Row],[MUNICIPIO]],MUNICIPIOS!A:A,MUNICIPIOS!G:G,0,0,1)</f>
        <v>6,376061</v>
      </c>
      <c r="H21" s="44">
        <f>+_xlfn.XLOOKUP(PROYECTOS[[#This Row],[MUNICIPIO]],MUNICIPIOS!A:A,MUNICIPIOS!B:B,0,0,1)</f>
        <v>0</v>
      </c>
      <c r="I21" s="44">
        <f>+_xlfn.XLOOKUP(PROYECTOS[[#This Row],[MUNICIPIO]],MUNICIPIOS!A:A,MUNICIPIOS!C:C,0,0,1)</f>
        <v>1</v>
      </c>
      <c r="J21" s="3" t="str" cm="1">
        <f t="array" ref="J21">_xlfn.TEXTJOIN(" ", TRUE, IF(radicados[ID PROYECTOS]=A21, radicados[RADICADO], ""))</f>
        <v>2024010171235</v>
      </c>
      <c r="K21" s="45">
        <v>1</v>
      </c>
      <c r="L21" s="48"/>
      <c r="M21" s="34" t="s">
        <v>402</v>
      </c>
      <c r="N21" s="40" t="s">
        <v>1079</v>
      </c>
      <c r="O21" s="40" t="s">
        <v>72</v>
      </c>
      <c r="P21" s="37" t="s">
        <v>964</v>
      </c>
      <c r="Q21" s="45"/>
      <c r="R21" s="43"/>
      <c r="S21" s="43"/>
      <c r="T21" s="44">
        <f>+_xlfn.XLOOKUP(PROYECTOS[[#This Row],[MUNICIPIO]],'4.CAP_ENDMNT'!B:B,'4.CAP_ENDMNT'!C:C,0,0,1)</f>
        <v>6</v>
      </c>
      <c r="U21" s="139">
        <f>+_xlfn.XLOOKUP(PROYECTOS[[#This Row],[MUNICIPIO]],'4.CAP_ENDMNT'!B:B,'4.CAP_ENDMNT'!D:D,0,0,1)</f>
        <v>8362831920.7600002</v>
      </c>
      <c r="V21" s="140">
        <f>+_xlfn.XLOOKUP(PROYECTOS[[#This Row],[MUNICIPIO]],'4.CAP_ENDMNT'!B:B,'4.CAP_ENDMNT'!E:E,0,0,1)</f>
        <v>2199279418.0799999</v>
      </c>
      <c r="W21" s="140">
        <f>+_xlfn.XLOOKUP(PROYECTOS[[#This Row],[MUNICIPIO]],'4.CAP_ENDMNT'!B:B,'4.CAP_ENDMNT'!F:F,0,0,1)</f>
        <v>6163552502.6800003</v>
      </c>
      <c r="X21" s="140">
        <f>+_xlfn.XLOOKUP(PROYECTOS[[#This Row],[MUNICIPIO]],'4.CAP_ENDMNT'!B:B,'4.CAP_ENDMNT'!G:G,0,0,1)</f>
        <v>284104325</v>
      </c>
      <c r="Y21" s="140">
        <f>+_xlfn.XLOOKUP(PROYECTOS[[#This Row],[MUNICIPIO]],'4.CAP_ENDMNT'!B:B,'4.CAP_ENDMNT'!H:H,0,0,1)</f>
        <v>209000000</v>
      </c>
      <c r="Z21" s="140">
        <f>+_xlfn.XLOOKUP(PROYECTOS[[#This Row],[MUNICIPIO]],'4.CAP_ENDMNT'!B:B,'4.CAP_ENDMNT'!I:I,0,0,1)</f>
        <v>493104325</v>
      </c>
      <c r="AA21" s="134">
        <f>+_xlfn.XLOOKUP(PROYECTOS[[#This Row],[MUNICIPIO]],'4.CAP_ENDMNT'!B:B,'4.CAP_ENDMNT'!J:J,0,0,1)</f>
        <v>5.8963797152961017E-2</v>
      </c>
      <c r="AB21" s="140">
        <f>+_xlfn.XLOOKUP(PROYECTOS[[#This Row],[MUNICIPIO]],'4.CAP_ENDMNT'!B:B,'4.CAP_ENDMNT'!K:K,0,0,1)</f>
        <v>7869727595.7600002</v>
      </c>
      <c r="AC21" s="140">
        <f>+_xlfn.XLOOKUP(PROYECTOS[[#This Row],[MUNICIPIO]],'4.CAP_ENDMNT'!B:B,'4.CAP_ENDMNT'!L:L,0,0,1)</f>
        <v>6295782076.6080008</v>
      </c>
      <c r="AD21" s="140">
        <f>+_xlfn.XLOOKUP(PROYECTOS[[#This Row],[MUNICIPIO]],'4.CAP_ENDMNT'!B:B,'4.CAP_ENDMNT'!M:M,0,0,1)</f>
        <v>4721836557.4560003</v>
      </c>
      <c r="AE21" s="134">
        <f>+_xlfn.XLOOKUP(PROYECTOS[[#This Row],[MUNICIPIO]],'4.CAP_ENDMNT'!B:B,'4.CAP_ENDMNT'!N:N,0,0,1)</f>
        <v>0.57615459973911198</v>
      </c>
      <c r="AF21" s="134">
        <f>+_xlfn.XLOOKUP(PROYECTOS[[#This Row],[MUNICIPIO]],'4.CAP_ENDMNT'!B:B,'4.CAP_ENDMNT'!O:O,0,0,1)</f>
        <v>0.61308928502962989</v>
      </c>
      <c r="AG21" s="134">
        <f>+_xlfn.XLOOKUP(PROYECTOS[[#This Row],[MUNICIPIO]],'4.CAP_ENDMNT'!B:B,'4.CAP_ENDMNT'!P:P,0,0,1)</f>
        <v>0.8</v>
      </c>
      <c r="AH21" s="44" t="str">
        <f>+_xlfn.XLOOKUP(PROYECTOS[[#This Row],[MUNICIPIO]],'4.CAP_ENDMNT'!B:B,'4.CAP_ENDMNT'!Q:Q,0,0,1)</f>
        <v>Cumple</v>
      </c>
      <c r="AI21" s="139">
        <f>+_xlfn.XLOOKUP(PROYECTOS[[#This Row],[MUNICIPIO]],'4.CAP_ENDMNT'!B:B,'4.CAP_ENDMNT'!V:V,0,0,1)</f>
        <v>944367311.49120009</v>
      </c>
      <c r="AJ21" s="139">
        <f>+_xlfn.XLOOKUP(PROYECTOS[[#This Row],[MUNICIPIO]],'4.CAP_ENDMNT'!B:B,'4.CAP_ENDMNT'!Y:Y,0,0,1)</f>
        <v>-7856322705.0527992</v>
      </c>
      <c r="AK21"/>
      <c r="AL21"/>
      <c r="AM21"/>
    </row>
    <row r="22" spans="1:39">
      <c r="A22" s="44">
        <v>23</v>
      </c>
      <c r="B22" s="37" t="s">
        <v>1357</v>
      </c>
      <c r="C22" s="118">
        <f>+_xlfn.XLOOKUP(PROYECTOS[[#This Row],[ID_NECESIDAD]],'1.RADICADOS'!G:G,'1.RADICADOS'!C:C,0,0,1)*1</f>
        <v>45569</v>
      </c>
      <c r="D22" s="46" t="s">
        <v>35</v>
      </c>
      <c r="E22" s="47" t="str">
        <f>+_xlfn.XLOOKUP(PROYECTOS[[#This Row],[MUNICIPIO]],MUNICIPIOS!A:A,MUNICIPIOS!E:E,0,0,1)</f>
        <v>Norte</v>
      </c>
      <c r="F22" s="44">
        <f>+_xlfn.XLOOKUP(PROYECTOS[[#This Row],[MUNICIPIO]],MUNICIPIOS!A:A,MUNICIPIOS!F:F,0,0,1)</f>
        <v>-75.392629999999997</v>
      </c>
      <c r="G22" s="44" t="str">
        <f>+_xlfn.XLOOKUP(PROYECTOS[[#This Row],[MUNICIPIO]],MUNICIPIOS!A:A,MUNICIPIOS!G:G,0,0,1)</f>
        <v>6,485603</v>
      </c>
      <c r="H22" s="44">
        <f>+_xlfn.XLOOKUP(PROYECTOS[[#This Row],[MUNICIPIO]],MUNICIPIOS!A:A,MUNICIPIOS!B:B,0,0,1)</f>
        <v>0</v>
      </c>
      <c r="I22" s="44">
        <f>+_xlfn.XLOOKUP(PROYECTOS[[#This Row],[MUNICIPIO]],MUNICIPIOS!A:A,MUNICIPIOS!C:C,0,0,1)</f>
        <v>0</v>
      </c>
      <c r="J22" s="3" t="str" cm="1">
        <f t="array" ref="J22">_xlfn.TEXTJOIN(" ", TRUE, IF(radicados[ID PROYECTOS]=A22, radicados[RADICADO], ""))</f>
        <v>2024010153392 2024010238427</v>
      </c>
      <c r="K22" s="45">
        <v>1</v>
      </c>
      <c r="L22" s="48"/>
      <c r="M22" s="34" t="s">
        <v>392</v>
      </c>
      <c r="N22" s="40" t="s">
        <v>1079</v>
      </c>
      <c r="O22" s="40" t="s">
        <v>7</v>
      </c>
      <c r="P22" s="37" t="s">
        <v>943</v>
      </c>
      <c r="Q22" s="45"/>
      <c r="R22" s="43"/>
      <c r="S22" s="43"/>
      <c r="T22" s="44">
        <f>+_xlfn.XLOOKUP(PROYECTOS[[#This Row],[MUNICIPIO]],'4.CAP_ENDMNT'!B:B,'4.CAP_ENDMNT'!C:C,0,0,1)</f>
        <v>6</v>
      </c>
      <c r="U22" s="139">
        <f>+_xlfn.XLOOKUP(PROYECTOS[[#This Row],[MUNICIPIO]],'4.CAP_ENDMNT'!B:B,'4.CAP_ENDMNT'!D:D,0,0,1)</f>
        <v>24529039369.539501</v>
      </c>
      <c r="V22" s="140">
        <f>+_xlfn.XLOOKUP(PROYECTOS[[#This Row],[MUNICIPIO]],'4.CAP_ENDMNT'!B:B,'4.CAP_ENDMNT'!E:E,0,0,1)</f>
        <v>8973012363.6700001</v>
      </c>
      <c r="W22" s="140">
        <f>+_xlfn.XLOOKUP(PROYECTOS[[#This Row],[MUNICIPIO]],'4.CAP_ENDMNT'!B:B,'4.CAP_ENDMNT'!F:F,0,0,1)</f>
        <v>15556027005.869501</v>
      </c>
      <c r="X22" s="140">
        <f>+_xlfn.XLOOKUP(PROYECTOS[[#This Row],[MUNICIPIO]],'4.CAP_ENDMNT'!B:B,'4.CAP_ENDMNT'!G:G,0,0,1)</f>
        <v>7973050390</v>
      </c>
      <c r="Y22" s="140">
        <f>+_xlfn.XLOOKUP(PROYECTOS[[#This Row],[MUNICIPIO]],'4.CAP_ENDMNT'!B:B,'4.CAP_ENDMNT'!H:H,0,0,1)</f>
        <v>1625381984</v>
      </c>
      <c r="Z22" s="140">
        <f>+_xlfn.XLOOKUP(PROYECTOS[[#This Row],[MUNICIPIO]],'4.CAP_ENDMNT'!B:B,'4.CAP_ENDMNT'!I:I,0,0,1)</f>
        <v>9598432374</v>
      </c>
      <c r="AA22" s="134">
        <f>+_xlfn.XLOOKUP(PROYECTOS[[#This Row],[MUNICIPIO]],'4.CAP_ENDMNT'!B:B,'4.CAP_ENDMNT'!J:J,0,0,1)</f>
        <v>0.39130893914742809</v>
      </c>
      <c r="AB22" s="140">
        <f>+_xlfn.XLOOKUP(PROYECTOS[[#This Row],[MUNICIPIO]],'4.CAP_ENDMNT'!B:B,'4.CAP_ENDMNT'!K:K,0,0,1)</f>
        <v>14930606995.539501</v>
      </c>
      <c r="AC22" s="140">
        <f>+_xlfn.XLOOKUP(PROYECTOS[[#This Row],[MUNICIPIO]],'4.CAP_ENDMNT'!B:B,'4.CAP_ENDMNT'!L:L,0,0,1)</f>
        <v>11944485596.431602</v>
      </c>
      <c r="AD22" s="140">
        <f>+_xlfn.XLOOKUP(PROYECTOS[[#This Row],[MUNICIPIO]],'4.CAP_ENDMNT'!B:B,'4.CAP_ENDMNT'!M:M,0,0,1)</f>
        <v>8958364197.3237</v>
      </c>
      <c r="AE22" s="134">
        <f>+_xlfn.XLOOKUP(PROYECTOS[[#This Row],[MUNICIPIO]],'4.CAP_ENDMNT'!B:B,'4.CAP_ENDMNT'!N:N,0,0,1)</f>
        <v>0.83066172467883448</v>
      </c>
      <c r="AF22" s="134">
        <f>+_xlfn.XLOOKUP(PROYECTOS[[#This Row],[MUNICIPIO]],'4.CAP_ENDMNT'!B:B,'4.CAP_ENDMNT'!O:O,0,0,1)</f>
        <v>0.53024343717246458</v>
      </c>
      <c r="AG22" s="134">
        <f>+_xlfn.XLOOKUP(PROYECTOS[[#This Row],[MUNICIPIO]],'4.CAP_ENDMNT'!B:B,'4.CAP_ENDMNT'!P:P,0,0,1)</f>
        <v>0.8</v>
      </c>
      <c r="AH22" s="44" t="str">
        <f>+_xlfn.XLOOKUP(PROYECTOS[[#This Row],[MUNICIPIO]],'4.CAP_ENDMNT'!B:B,'4.CAP_ENDMNT'!Q:Q,0,0,1)</f>
        <v>Cumple</v>
      </c>
      <c r="AI22" s="139">
        <f>+_xlfn.XLOOKUP(PROYECTOS[[#This Row],[MUNICIPIO]],'4.CAP_ENDMNT'!B:B,'4.CAP_ENDMNT'!V:V,0,0,1)</f>
        <v>1791672839.46474</v>
      </c>
      <c r="AJ22" s="139">
        <f>+_xlfn.XLOOKUP(PROYECTOS[[#This Row],[MUNICIPIO]],'4.CAP_ENDMNT'!B:B,'4.CAP_ENDMNT'!Y:Y,0,0,1)</f>
        <v>-8164135575.2115593</v>
      </c>
      <c r="AK22"/>
      <c r="AL22"/>
      <c r="AM22"/>
    </row>
    <row r="23" spans="1:39">
      <c r="A23" s="44">
        <v>24</v>
      </c>
      <c r="B23" s="192" t="s">
        <v>75</v>
      </c>
      <c r="C23" s="118">
        <f>+_xlfn.XLOOKUP(PROYECTOS[[#This Row],[ID_NECESIDAD]],'1.RADICADOS'!G:G,'1.RADICADOS'!C:C,0,0,1)*1</f>
        <v>45509</v>
      </c>
      <c r="D23" s="46" t="s">
        <v>74</v>
      </c>
      <c r="E23" s="47" t="str">
        <f>+_xlfn.XLOOKUP(PROYECTOS[[#This Row],[MUNICIPIO]],MUNICIPIOS!A:A,MUNICIPIOS!E:E,0,0,1)</f>
        <v>Urabá</v>
      </c>
      <c r="F23" s="44">
        <f>+_xlfn.XLOOKUP(PROYECTOS[[#This Row],[MUNICIPIO]],MUNICIPIOS!A:A,MUNICIPIOS!F:F,0,0,1)</f>
        <v>-76.728858000000002</v>
      </c>
      <c r="G23" s="44">
        <f>+_xlfn.XLOOKUP(PROYECTOS[[#This Row],[MUNICIPIO]],MUNICIPIOS!A:A,MUNICIPIOS!G:G,0,0,1)</f>
        <v>8.0899289999999997</v>
      </c>
      <c r="H23" s="44">
        <f>+_xlfn.XLOOKUP(PROYECTOS[[#This Row],[MUNICIPIO]],MUNICIPIOS!A:A,MUNICIPIOS!B:B,0,0,1)</f>
        <v>1</v>
      </c>
      <c r="I23" s="44">
        <f>+_xlfn.XLOOKUP(PROYECTOS[[#This Row],[MUNICIPIO]],MUNICIPIOS!A:A,MUNICIPIOS!C:C,0,0,1)</f>
        <v>1</v>
      </c>
      <c r="J23" s="3" t="str" cm="1">
        <f t="array" ref="J23">_xlfn.TEXTJOIN(" ", TRUE, IF(radicados[ID PROYECTOS]=A23, radicados[RADICADO], ""))</f>
        <v>2024010207402</v>
      </c>
      <c r="K23" s="45">
        <v>2</v>
      </c>
      <c r="L23" s="48"/>
      <c r="M23" s="34" t="s">
        <v>403</v>
      </c>
      <c r="N23" s="40" t="s">
        <v>1079</v>
      </c>
      <c r="O23" s="40" t="s">
        <v>7</v>
      </c>
      <c r="Q23" s="45"/>
      <c r="R23" s="43"/>
      <c r="S23" s="43"/>
      <c r="T23" s="44">
        <f>+_xlfn.XLOOKUP(PROYECTOS[[#This Row],[MUNICIPIO]],'4.CAP_ENDMNT'!B:B,'4.CAP_ENDMNT'!C:C,0,0,1)</f>
        <v>5</v>
      </c>
      <c r="U23" s="139">
        <f>+_xlfn.XLOOKUP(PROYECTOS[[#This Row],[MUNICIPIO]],'4.CAP_ENDMNT'!B:B,'4.CAP_ENDMNT'!D:D,0,0,1)</f>
        <v>57277943756.629501</v>
      </c>
      <c r="V23" s="140">
        <f>+_xlfn.XLOOKUP(PROYECTOS[[#This Row],[MUNICIPIO]],'4.CAP_ENDMNT'!B:B,'4.CAP_ENDMNT'!E:E,0,0,1)</f>
        <v>34159399600.959999</v>
      </c>
      <c r="W23" s="140">
        <f>+_xlfn.XLOOKUP(PROYECTOS[[#This Row],[MUNICIPIO]],'4.CAP_ENDMNT'!B:B,'4.CAP_ENDMNT'!F:F,0,0,1)</f>
        <v>23118544155.669502</v>
      </c>
      <c r="X23" s="140">
        <f>+_xlfn.XLOOKUP(PROYECTOS[[#This Row],[MUNICIPIO]],'4.CAP_ENDMNT'!B:B,'4.CAP_ENDMNT'!G:G,0,0,1)</f>
        <v>3450000000</v>
      </c>
      <c r="Y23" s="140">
        <f>+_xlfn.XLOOKUP(PROYECTOS[[#This Row],[MUNICIPIO]],'4.CAP_ENDMNT'!B:B,'4.CAP_ENDMNT'!H:H,0,0,1)</f>
        <v>21452083665</v>
      </c>
      <c r="Z23" s="140">
        <f>+_xlfn.XLOOKUP(PROYECTOS[[#This Row],[MUNICIPIO]],'4.CAP_ENDMNT'!B:B,'4.CAP_ENDMNT'!I:I,0,0,1)</f>
        <v>24902083665</v>
      </c>
      <c r="AA23" s="134">
        <f>+_xlfn.XLOOKUP(PROYECTOS[[#This Row],[MUNICIPIO]],'4.CAP_ENDMNT'!B:B,'4.CAP_ENDMNT'!J:J,0,0,1)</f>
        <v>0.43475868775610099</v>
      </c>
      <c r="AB23" s="140">
        <f>+_xlfn.XLOOKUP(PROYECTOS[[#This Row],[MUNICIPIO]],'4.CAP_ENDMNT'!B:B,'4.CAP_ENDMNT'!K:K,0,0,1)</f>
        <v>32375860091.629501</v>
      </c>
      <c r="AC23" s="140">
        <f>+_xlfn.XLOOKUP(PROYECTOS[[#This Row],[MUNICIPIO]],'4.CAP_ENDMNT'!B:B,'4.CAP_ENDMNT'!L:L,0,0,1)</f>
        <v>25900688073.303604</v>
      </c>
      <c r="AD23" s="140">
        <f>+_xlfn.XLOOKUP(PROYECTOS[[#This Row],[MUNICIPIO]],'4.CAP_ENDMNT'!B:B,'4.CAP_ENDMNT'!M:M,0,0,1)</f>
        <v>19425516054.977699</v>
      </c>
      <c r="AE23" s="134">
        <f>+_xlfn.XLOOKUP(PROYECTOS[[#This Row],[MUNICIPIO]],'4.CAP_ENDMNT'!B:B,'4.CAP_ENDMNT'!N:N,0,0,1)</f>
        <v>0.13854262343712995</v>
      </c>
      <c r="AF23" s="134">
        <f>+_xlfn.XLOOKUP(PROYECTOS[[#This Row],[MUNICIPIO]],'4.CAP_ENDMNT'!B:B,'4.CAP_ENDMNT'!O:O,0,0,1)</f>
        <v>0.87015152665365447</v>
      </c>
      <c r="AG23" s="134">
        <f>+_xlfn.XLOOKUP(PROYECTOS[[#This Row],[MUNICIPIO]],'4.CAP_ENDMNT'!B:B,'4.CAP_ENDMNT'!P:P,0,0,1)</f>
        <v>0.8</v>
      </c>
      <c r="AH23" s="44" t="str">
        <f>+_xlfn.XLOOKUP(PROYECTOS[[#This Row],[MUNICIPIO]],'4.CAP_ENDMNT'!B:B,'4.CAP_ENDMNT'!Q:Q,0,0,1)</f>
        <v>Incumple</v>
      </c>
      <c r="AI23" s="139">
        <f>+_xlfn.XLOOKUP(PROYECTOS[[#This Row],[MUNICIPIO]],'4.CAP_ENDMNT'!B:B,'4.CAP_ENDMNT'!V:V,0,0,1)</f>
        <v>3885103210.9955401</v>
      </c>
      <c r="AJ23" s="139">
        <f>+_xlfn.XLOOKUP(PROYECTOS[[#This Row],[MUNICIPIO]],'4.CAP_ENDMNT'!B:B,'4.CAP_ENDMNT'!Y:Y,0,0,1)</f>
        <v>-114052861009.72676</v>
      </c>
      <c r="AK23"/>
      <c r="AL23"/>
      <c r="AM23"/>
    </row>
    <row r="24" spans="1:39">
      <c r="A24" s="44">
        <v>26</v>
      </c>
      <c r="B24" s="37" t="s">
        <v>79</v>
      </c>
      <c r="C24" s="118">
        <f>+_xlfn.XLOOKUP(PROYECTOS[[#This Row],[ID_NECESIDAD]],'1.RADICADOS'!G:G,'1.RADICADOS'!C:C,0,0,1)*1</f>
        <v>45436</v>
      </c>
      <c r="D24" s="46" t="s">
        <v>70</v>
      </c>
      <c r="E24" s="47" t="str">
        <f>+_xlfn.XLOOKUP(PROYECTOS[[#This Row],[MUNICIPIO]],MUNICIPIOS!A:A,MUNICIPIOS!E:E,0,0,1)</f>
        <v>Oriente</v>
      </c>
      <c r="F24" s="44">
        <f>+_xlfn.XLOOKUP(PROYECTOS[[#This Row],[MUNICIPIO]],MUNICIPIOS!A:A,MUNICIPIOS!F:F,0,0,1)</f>
        <v>-75.141345999999999</v>
      </c>
      <c r="G24" s="44" t="str">
        <f>+_xlfn.XLOOKUP(PROYECTOS[[#This Row],[MUNICIPIO]],MUNICIPIOS!A:A,MUNICIPIOS!G:G,0,0,1)</f>
        <v>6,376061</v>
      </c>
      <c r="H24" s="44">
        <f>+_xlfn.XLOOKUP(PROYECTOS[[#This Row],[MUNICIPIO]],MUNICIPIOS!A:A,MUNICIPIOS!B:B,0,0,1)</f>
        <v>0</v>
      </c>
      <c r="I24" s="44">
        <f>+_xlfn.XLOOKUP(PROYECTOS[[#This Row],[MUNICIPIO]],MUNICIPIOS!A:A,MUNICIPIOS!C:C,0,0,1)</f>
        <v>1</v>
      </c>
      <c r="J24" s="3" t="str" cm="1">
        <f t="array" ref="J24">_xlfn.TEXTJOIN(" ", TRUE, IF(radicados[ID PROYECTOS]=A24, radicados[RADICADO], ""))</f>
        <v>2024010232610</v>
      </c>
      <c r="K24" s="45">
        <v>3</v>
      </c>
      <c r="L24" s="48">
        <v>4805691053</v>
      </c>
      <c r="M24" s="34" t="s">
        <v>396</v>
      </c>
      <c r="N24" s="34" t="s">
        <v>394</v>
      </c>
      <c r="O24" s="34" t="s">
        <v>18</v>
      </c>
      <c r="P24" s="37"/>
      <c r="Q24" s="45"/>
      <c r="R24" s="43"/>
      <c r="S24" s="43"/>
      <c r="T24" s="44">
        <f>+_xlfn.XLOOKUP(PROYECTOS[[#This Row],[MUNICIPIO]],'4.CAP_ENDMNT'!B:B,'4.CAP_ENDMNT'!C:C,0,0,1)</f>
        <v>6</v>
      </c>
      <c r="U24" s="139">
        <f>+_xlfn.XLOOKUP(PROYECTOS[[#This Row],[MUNICIPIO]],'4.CAP_ENDMNT'!B:B,'4.CAP_ENDMNT'!D:D,0,0,1)</f>
        <v>8362831920.7600002</v>
      </c>
      <c r="V24" s="140">
        <f>+_xlfn.XLOOKUP(PROYECTOS[[#This Row],[MUNICIPIO]],'4.CAP_ENDMNT'!B:B,'4.CAP_ENDMNT'!E:E,0,0,1)</f>
        <v>2199279418.0799999</v>
      </c>
      <c r="W24" s="140">
        <f>+_xlfn.XLOOKUP(PROYECTOS[[#This Row],[MUNICIPIO]],'4.CAP_ENDMNT'!B:B,'4.CAP_ENDMNT'!F:F,0,0,1)</f>
        <v>6163552502.6800003</v>
      </c>
      <c r="X24" s="140">
        <f>+_xlfn.XLOOKUP(PROYECTOS[[#This Row],[MUNICIPIO]],'4.CAP_ENDMNT'!B:B,'4.CAP_ENDMNT'!G:G,0,0,1)</f>
        <v>284104325</v>
      </c>
      <c r="Y24" s="140">
        <f>+_xlfn.XLOOKUP(PROYECTOS[[#This Row],[MUNICIPIO]],'4.CAP_ENDMNT'!B:B,'4.CAP_ENDMNT'!H:H,0,0,1)</f>
        <v>209000000</v>
      </c>
      <c r="Z24" s="140">
        <f>+_xlfn.XLOOKUP(PROYECTOS[[#This Row],[MUNICIPIO]],'4.CAP_ENDMNT'!B:B,'4.CAP_ENDMNT'!I:I,0,0,1)</f>
        <v>493104325</v>
      </c>
      <c r="AA24" s="134">
        <f>+_xlfn.XLOOKUP(PROYECTOS[[#This Row],[MUNICIPIO]],'4.CAP_ENDMNT'!B:B,'4.CAP_ENDMNT'!J:J,0,0,1)</f>
        <v>5.8963797152961017E-2</v>
      </c>
      <c r="AB24" s="140">
        <f>+_xlfn.XLOOKUP(PROYECTOS[[#This Row],[MUNICIPIO]],'4.CAP_ENDMNT'!B:B,'4.CAP_ENDMNT'!K:K,0,0,1)</f>
        <v>7869727595.7600002</v>
      </c>
      <c r="AC24" s="140">
        <f>+_xlfn.XLOOKUP(PROYECTOS[[#This Row],[MUNICIPIO]],'4.CAP_ENDMNT'!B:B,'4.CAP_ENDMNT'!L:L,0,0,1)</f>
        <v>6295782076.6080008</v>
      </c>
      <c r="AD24" s="140">
        <f>+_xlfn.XLOOKUP(PROYECTOS[[#This Row],[MUNICIPIO]],'4.CAP_ENDMNT'!B:B,'4.CAP_ENDMNT'!M:M,0,0,1)</f>
        <v>4721836557.4560003</v>
      </c>
      <c r="AE24" s="134">
        <f>+_xlfn.XLOOKUP(PROYECTOS[[#This Row],[MUNICIPIO]],'4.CAP_ENDMNT'!B:B,'4.CAP_ENDMNT'!N:N,0,0,1)</f>
        <v>0.57615459973911198</v>
      </c>
      <c r="AF24" s="134">
        <f>+_xlfn.XLOOKUP(PROYECTOS[[#This Row],[MUNICIPIO]],'4.CAP_ENDMNT'!B:B,'4.CAP_ENDMNT'!O:O,0,0,1)</f>
        <v>0.61308928502962989</v>
      </c>
      <c r="AG24" s="134">
        <f>+_xlfn.XLOOKUP(PROYECTOS[[#This Row],[MUNICIPIO]],'4.CAP_ENDMNT'!B:B,'4.CAP_ENDMNT'!P:P,0,0,1)</f>
        <v>0.8</v>
      </c>
      <c r="AH24" s="44" t="str">
        <f>+_xlfn.XLOOKUP(PROYECTOS[[#This Row],[MUNICIPIO]],'4.CAP_ENDMNT'!B:B,'4.CAP_ENDMNT'!Q:Q,0,0,1)</f>
        <v>Cumple</v>
      </c>
      <c r="AI24" s="139">
        <f>+_xlfn.XLOOKUP(PROYECTOS[[#This Row],[MUNICIPIO]],'4.CAP_ENDMNT'!B:B,'4.CAP_ENDMNT'!V:V,0,0,1)</f>
        <v>944367311.49120009</v>
      </c>
      <c r="AJ24" s="139">
        <f>+_xlfn.XLOOKUP(PROYECTOS[[#This Row],[MUNICIPIO]],'4.CAP_ENDMNT'!B:B,'4.CAP_ENDMNT'!Y:Y,0,0,1)</f>
        <v>-7856322705.0527992</v>
      </c>
      <c r="AK24"/>
      <c r="AL24"/>
      <c r="AM24"/>
    </row>
    <row r="25" spans="1:39">
      <c r="A25" s="44">
        <v>27</v>
      </c>
      <c r="B25" s="37" t="s">
        <v>80</v>
      </c>
      <c r="C25" s="118">
        <f>+_xlfn.XLOOKUP(PROYECTOS[[#This Row],[ID_NECESIDAD]],'1.RADICADOS'!G:G,'1.RADICADOS'!C:C,0,0,1)*1</f>
        <v>45436</v>
      </c>
      <c r="D25" s="46" t="s">
        <v>11</v>
      </c>
      <c r="E25" s="47" t="str">
        <f>+_xlfn.XLOOKUP(PROYECTOS[[#This Row],[MUNICIPIO]],MUNICIPIOS!A:A,MUNICIPIOS!E:E,0,0,1)</f>
        <v>Magdalena Medio</v>
      </c>
      <c r="F25" s="44">
        <f>+_xlfn.XLOOKUP(PROYECTOS[[#This Row],[MUNICIPIO]],MUNICIPIOS!A:A,MUNICIPIOS!F:F,0,0,1)</f>
        <v>-74.641189999999995</v>
      </c>
      <c r="G25" s="44" t="str">
        <f>+_xlfn.XLOOKUP(PROYECTOS[[#This Row],[MUNICIPIO]],MUNICIPIOS!A:A,MUNICIPIOS!G:G,0,0,1)</f>
        <v>5,871318</v>
      </c>
      <c r="H25" s="44">
        <f>+_xlfn.XLOOKUP(PROYECTOS[[#This Row],[MUNICIPIO]],MUNICIPIOS!A:A,MUNICIPIOS!B:B,0,0,1)</f>
        <v>0</v>
      </c>
      <c r="I25" s="44">
        <f>+_xlfn.XLOOKUP(PROYECTOS[[#This Row],[MUNICIPIO]],MUNICIPIOS!A:A,MUNICIPIOS!C:C,0,0,1)</f>
        <v>0</v>
      </c>
      <c r="J25" s="3" t="str" cm="1">
        <f t="array" ref="J25">_xlfn.TEXTJOIN(" ", TRUE, IF(radicados[ID PROYECTOS]=A25, radicados[RADICADO], ""))</f>
        <v>2024010233575</v>
      </c>
      <c r="K25" s="45">
        <v>1</v>
      </c>
      <c r="L25" s="48"/>
      <c r="M25" s="34" t="s">
        <v>403</v>
      </c>
      <c r="N25" s="40" t="s">
        <v>1079</v>
      </c>
      <c r="O25" s="40" t="s">
        <v>7</v>
      </c>
      <c r="P25" s="37" t="s">
        <v>940</v>
      </c>
      <c r="Q25" s="45"/>
      <c r="R25" s="43"/>
      <c r="S25" s="43"/>
      <c r="T25" s="44">
        <f>+_xlfn.XLOOKUP(PROYECTOS[[#This Row],[MUNICIPIO]],'4.CAP_ENDMNT'!B:B,'4.CAP_ENDMNT'!C:C,0,0,1)</f>
        <v>6</v>
      </c>
      <c r="U25" s="139">
        <f>+_xlfn.XLOOKUP(PROYECTOS[[#This Row],[MUNICIPIO]],'4.CAP_ENDMNT'!B:B,'4.CAP_ENDMNT'!D:D,0,0,1)</f>
        <v>22896432570.9105</v>
      </c>
      <c r="V25" s="140">
        <f>+_xlfn.XLOOKUP(PROYECTOS[[#This Row],[MUNICIPIO]],'4.CAP_ENDMNT'!B:B,'4.CAP_ENDMNT'!E:E,0,0,1)</f>
        <v>6514105665.9899998</v>
      </c>
      <c r="W25" s="140">
        <f>+_xlfn.XLOOKUP(PROYECTOS[[#This Row],[MUNICIPIO]],'4.CAP_ENDMNT'!B:B,'4.CAP_ENDMNT'!F:F,0,0,1)</f>
        <v>16382326904.9205</v>
      </c>
      <c r="X25" s="140">
        <f>+_xlfn.XLOOKUP(PROYECTOS[[#This Row],[MUNICIPIO]],'4.CAP_ENDMNT'!B:B,'4.CAP_ENDMNT'!G:G,0,0,1)</f>
        <v>15087488121</v>
      </c>
      <c r="Y25" s="140">
        <f>+_xlfn.XLOOKUP(PROYECTOS[[#This Row],[MUNICIPIO]],'4.CAP_ENDMNT'!B:B,'4.CAP_ENDMNT'!H:H,0,0,1)</f>
        <v>152370595</v>
      </c>
      <c r="Z25" s="140">
        <f>+_xlfn.XLOOKUP(PROYECTOS[[#This Row],[MUNICIPIO]],'4.CAP_ENDMNT'!B:B,'4.CAP_ENDMNT'!I:I,0,0,1)</f>
        <v>15239858716</v>
      </c>
      <c r="AA25" s="134">
        <f>+_xlfn.XLOOKUP(PROYECTOS[[#This Row],[MUNICIPIO]],'4.CAP_ENDMNT'!B:B,'4.CAP_ENDMNT'!J:J,0,0,1)</f>
        <v>0.66559970287082904</v>
      </c>
      <c r="AB25" s="140">
        <f>+_xlfn.XLOOKUP(PROYECTOS[[#This Row],[MUNICIPIO]],'4.CAP_ENDMNT'!B:B,'4.CAP_ENDMNT'!K:K,0,0,1)</f>
        <v>7656573854.9104996</v>
      </c>
      <c r="AC25" s="140">
        <f>+_xlfn.XLOOKUP(PROYECTOS[[#This Row],[MUNICIPIO]],'4.CAP_ENDMNT'!B:B,'4.CAP_ENDMNT'!L:L,0,0,1)</f>
        <v>6125259083.9284</v>
      </c>
      <c r="AD25" s="140">
        <f>+_xlfn.XLOOKUP(PROYECTOS[[#This Row],[MUNICIPIO]],'4.CAP_ENDMNT'!B:B,'4.CAP_ENDMNT'!M:M,0,0,1)</f>
        <v>4593944312.9462996</v>
      </c>
      <c r="AE25" s="134">
        <f>+_xlfn.XLOOKUP(PROYECTOS[[#This Row],[MUNICIPIO]],'4.CAP_ENDMNT'!B:B,'4.CAP_ENDMNT'!N:N,0,0,1)</f>
        <v>0.99000183677293352</v>
      </c>
      <c r="AF25" s="134">
        <f>+_xlfn.XLOOKUP(PROYECTOS[[#This Row],[MUNICIPIO]],'4.CAP_ENDMNT'!B:B,'4.CAP_ENDMNT'!O:O,0,0,1)</f>
        <v>0.53987925149269589</v>
      </c>
      <c r="AG25" s="134">
        <f>+_xlfn.XLOOKUP(PROYECTOS[[#This Row],[MUNICIPIO]],'4.CAP_ENDMNT'!B:B,'4.CAP_ENDMNT'!P:P,0,0,1)</f>
        <v>0.8</v>
      </c>
      <c r="AH25" s="44" t="str">
        <f>+_xlfn.XLOOKUP(PROYECTOS[[#This Row],[MUNICIPIO]],'4.CAP_ENDMNT'!B:B,'4.CAP_ENDMNT'!Q:Q,0,0,1)</f>
        <v>Cumple</v>
      </c>
      <c r="AI25" s="139">
        <f>+_xlfn.XLOOKUP(PROYECTOS[[#This Row],[MUNICIPIO]],'4.CAP_ENDMNT'!B:B,'4.CAP_ENDMNT'!V:V,0,0,1)</f>
        <v>918788862.58925998</v>
      </c>
      <c r="AJ25" s="139">
        <f>+_xlfn.XLOOKUP(PROYECTOS[[#This Row],[MUNICIPIO]],'4.CAP_ENDMNT'!B:B,'4.CAP_ENDMNT'!Y:Y,0,0,1)</f>
        <v>-5124042499.4644403</v>
      </c>
      <c r="AK25"/>
      <c r="AL25"/>
      <c r="AM25"/>
    </row>
    <row r="26" spans="1:39">
      <c r="A26" s="44">
        <v>28</v>
      </c>
      <c r="B26" s="37" t="s">
        <v>81</v>
      </c>
      <c r="C26" s="118">
        <f>+_xlfn.XLOOKUP(PROYECTOS[[#This Row],[ID_NECESIDAD]],'1.RADICADOS'!G:G,'1.RADICADOS'!C:C,0,0,1)*1</f>
        <v>45448</v>
      </c>
      <c r="D26" s="46" t="s">
        <v>15</v>
      </c>
      <c r="E26" s="47" t="str">
        <f>+_xlfn.XLOOKUP(PROYECTOS[[#This Row],[MUNICIPIO]],MUNICIPIOS!A:A,MUNICIPIOS!E:E,0,0,1)</f>
        <v>Valle de Aburrá</v>
      </c>
      <c r="F26" s="44">
        <f>+_xlfn.XLOOKUP(PROYECTOS[[#This Row],[MUNICIPIO]],MUNICIPIOS!A:A,MUNICIPIOS!F:F,0,0,1)</f>
        <v>-75.331626999999997</v>
      </c>
      <c r="G26" s="44" t="str">
        <f>+_xlfn.XLOOKUP(PROYECTOS[[#This Row],[MUNICIPIO]],MUNICIPIOS!A:A,MUNICIPIOS!G:G,0,0,1)</f>
        <v>6,439195</v>
      </c>
      <c r="H26" s="44">
        <f>+_xlfn.XLOOKUP(PROYECTOS[[#This Row],[MUNICIPIO]],MUNICIPIOS!A:A,MUNICIPIOS!B:B,0,0,1)</f>
        <v>0</v>
      </c>
      <c r="I26" s="44">
        <f>+_xlfn.XLOOKUP(PROYECTOS[[#This Row],[MUNICIPIO]],MUNICIPIOS!A:A,MUNICIPIOS!C:C,0,0,1)</f>
        <v>0</v>
      </c>
      <c r="J26" s="3" t="str" cm="1">
        <f t="array" ref="J26">_xlfn.TEXTJOIN(" ", TRUE, IF(radicados[ID PROYECTOS]=A26, radicados[RADICADO], ""))</f>
        <v>2024010201559</v>
      </c>
      <c r="K26" s="142">
        <v>2</v>
      </c>
      <c r="L26" s="48"/>
      <c r="M26" s="34" t="s">
        <v>396</v>
      </c>
      <c r="N26" s="34" t="s">
        <v>397</v>
      </c>
      <c r="O26" s="34" t="s">
        <v>56</v>
      </c>
      <c r="P26" s="37" t="s">
        <v>1112</v>
      </c>
      <c r="Q26" s="45"/>
      <c r="R26" s="43"/>
      <c r="S26" s="43"/>
      <c r="T26" s="44">
        <f>+_xlfn.XLOOKUP(PROYECTOS[[#This Row],[MUNICIPIO]],'4.CAP_ENDMNT'!B:B,'4.CAP_ENDMNT'!C:C,0,0,1)</f>
        <v>4</v>
      </c>
      <c r="U26" s="139">
        <f>+_xlfn.XLOOKUP(PROYECTOS[[#This Row],[MUNICIPIO]],'4.CAP_ENDMNT'!B:B,'4.CAP_ENDMNT'!D:D,0,0,1)</f>
        <v>56592203197.536499</v>
      </c>
      <c r="V26" s="140">
        <f>+_xlfn.XLOOKUP(PROYECTOS[[#This Row],[MUNICIPIO]],'4.CAP_ENDMNT'!B:B,'4.CAP_ENDMNT'!E:E,0,0,1)</f>
        <v>24375972647.860001</v>
      </c>
      <c r="W26" s="140">
        <f>+_xlfn.XLOOKUP(PROYECTOS[[#This Row],[MUNICIPIO]],'4.CAP_ENDMNT'!B:B,'4.CAP_ENDMNT'!F:F,0,0,1)</f>
        <v>32216230549.676498</v>
      </c>
      <c r="X26" s="140">
        <f>+_xlfn.XLOOKUP(PROYECTOS[[#This Row],[MUNICIPIO]],'4.CAP_ENDMNT'!B:B,'4.CAP_ENDMNT'!G:G,0,0,1)</f>
        <v>0</v>
      </c>
      <c r="Y26" s="140">
        <f>+_xlfn.XLOOKUP(PROYECTOS[[#This Row],[MUNICIPIO]],'4.CAP_ENDMNT'!B:B,'4.CAP_ENDMNT'!H:H,0,0,1)</f>
        <v>15044963334.42</v>
      </c>
      <c r="Z26" s="140">
        <f>+_xlfn.XLOOKUP(PROYECTOS[[#This Row],[MUNICIPIO]],'4.CAP_ENDMNT'!B:B,'4.CAP_ENDMNT'!I:I,0,0,1)</f>
        <v>15044963334.42</v>
      </c>
      <c r="AA26" s="134">
        <f>+_xlfn.XLOOKUP(PROYECTOS[[#This Row],[MUNICIPIO]],'4.CAP_ENDMNT'!B:B,'4.CAP_ENDMNT'!J:J,0,0,1)</f>
        <v>0.26584869442006315</v>
      </c>
      <c r="AB26" s="140">
        <f>+_xlfn.XLOOKUP(PROYECTOS[[#This Row],[MUNICIPIO]],'4.CAP_ENDMNT'!B:B,'4.CAP_ENDMNT'!K:K,0,0,1)</f>
        <v>41547239863.116501</v>
      </c>
      <c r="AC26" s="140">
        <f>+_xlfn.XLOOKUP(PROYECTOS[[#This Row],[MUNICIPIO]],'4.CAP_ENDMNT'!B:B,'4.CAP_ENDMNT'!L:L,0,0,1)</f>
        <v>33237791890.493202</v>
      </c>
      <c r="AD26" s="140">
        <f>+_xlfn.XLOOKUP(PROYECTOS[[#This Row],[MUNICIPIO]],'4.CAP_ENDMNT'!B:B,'4.CAP_ENDMNT'!M:M,0,0,1)</f>
        <v>24928343917.8699</v>
      </c>
      <c r="AE26" s="134">
        <f>+_xlfn.XLOOKUP(PROYECTOS[[#This Row],[MUNICIPIO]],'4.CAP_ENDMNT'!B:B,'4.CAP_ENDMNT'!N:N,0,0,1)</f>
        <v>0</v>
      </c>
      <c r="AF26" s="134">
        <f>+_xlfn.XLOOKUP(PROYECTOS[[#This Row],[MUNICIPIO]],'4.CAP_ENDMNT'!B:B,'4.CAP_ENDMNT'!O:O,0,0,1)</f>
        <v>0.60385208261970102</v>
      </c>
      <c r="AG26" s="134">
        <f>+_xlfn.XLOOKUP(PROYECTOS[[#This Row],[MUNICIPIO]],'4.CAP_ENDMNT'!B:B,'4.CAP_ENDMNT'!P:P,0,0,1)</f>
        <v>0.8</v>
      </c>
      <c r="AH26" s="44" t="str">
        <f>+_xlfn.XLOOKUP(PROYECTOS[[#This Row],[MUNICIPIO]],'4.CAP_ENDMNT'!B:B,'4.CAP_ENDMNT'!Q:Q,0,0,1)</f>
        <v>Cumple</v>
      </c>
      <c r="AI26" s="139">
        <f>+_xlfn.XLOOKUP(PROYECTOS[[#This Row],[MUNICIPIO]],'4.CAP_ENDMNT'!B:B,'4.CAP_ENDMNT'!V:V,0,0,1)</f>
        <v>4985668783.5739803</v>
      </c>
      <c r="AJ26" s="139">
        <f>+_xlfn.XLOOKUP(PROYECTOS[[#This Row],[MUNICIPIO]],'4.CAP_ENDMNT'!B:B,'4.CAP_ENDMNT'!Y:Y,0,0,1)</f>
        <v>-31357431194.556122</v>
      </c>
      <c r="AK26"/>
      <c r="AL26"/>
      <c r="AM26"/>
    </row>
    <row r="27" spans="1:39">
      <c r="A27" s="44">
        <v>29</v>
      </c>
      <c r="B27" s="37" t="s">
        <v>83</v>
      </c>
      <c r="C27" s="118">
        <f>+_xlfn.XLOOKUP(PROYECTOS[[#This Row],[ID_NECESIDAD]],'1.RADICADOS'!G:G,'1.RADICADOS'!C:C,0,0,1)*1</f>
        <v>45540</v>
      </c>
      <c r="D27" s="46" t="s">
        <v>324</v>
      </c>
      <c r="E27" s="47" t="str">
        <f>+_xlfn.XLOOKUP(PROYECTOS[[#This Row],[MUNICIPIO]],MUNICIPIOS!A:A,MUNICIPIOS!E:E,0,0,1)</f>
        <v>Norte</v>
      </c>
      <c r="F27" s="44">
        <f>+_xlfn.XLOOKUP(PROYECTOS[[#This Row],[MUNICIPIO]],MUNICIPIOS!A:A,MUNICIPIOS!F:F,0,0,1)</f>
        <v>-75.460723000000002</v>
      </c>
      <c r="G27" s="44" t="str">
        <f>+_xlfn.XLOOKUP(PROYECTOS[[#This Row],[MUNICIPIO]],MUNICIPIOS!A:A,MUNICIPIOS!G:G,0,0,1)</f>
        <v>6,643366</v>
      </c>
      <c r="H27" s="44">
        <f>+_xlfn.XLOOKUP(PROYECTOS[[#This Row],[MUNICIPIO]],MUNICIPIOS!A:A,MUNICIPIOS!B:B,0,0,1)</f>
        <v>0</v>
      </c>
      <c r="I27" s="44">
        <f>+_xlfn.XLOOKUP(PROYECTOS[[#This Row],[MUNICIPIO]],MUNICIPIOS!A:A,MUNICIPIOS!C:C,0,0,1)</f>
        <v>0</v>
      </c>
      <c r="J27" s="3" t="str" cm="1">
        <f t="array" ref="J27">_xlfn.TEXTJOIN(" ", TRUE, IF(radicados[ID PROYECTOS]=A27, radicados[RADICADO], ""))</f>
        <v>2024010209802</v>
      </c>
      <c r="K27" s="45">
        <v>1</v>
      </c>
      <c r="L27" s="48"/>
      <c r="M27" s="34" t="s">
        <v>396</v>
      </c>
      <c r="N27" s="34" t="s">
        <v>397</v>
      </c>
      <c r="O27" s="34" t="s">
        <v>56</v>
      </c>
      <c r="P27" s="37"/>
      <c r="Q27" s="45"/>
      <c r="R27" s="43"/>
      <c r="S27" s="43"/>
      <c r="T27" s="44">
        <f>+_xlfn.XLOOKUP(PROYECTOS[[#This Row],[MUNICIPIO]],'4.CAP_ENDMNT'!B:B,'4.CAP_ENDMNT'!C:C,0,0,1)</f>
        <v>5</v>
      </c>
      <c r="U27" s="139">
        <f>+_xlfn.XLOOKUP(PROYECTOS[[#This Row],[MUNICIPIO]],'4.CAP_ENDMNT'!B:B,'4.CAP_ENDMNT'!D:D,0,0,1)</f>
        <v>37911059539.454002</v>
      </c>
      <c r="V27" s="140">
        <f>+_xlfn.XLOOKUP(PROYECTOS[[#This Row],[MUNICIPIO]],'4.CAP_ENDMNT'!B:B,'4.CAP_ENDMNT'!E:E,0,0,1)</f>
        <v>12962308085.960001</v>
      </c>
      <c r="W27" s="140">
        <f>+_xlfn.XLOOKUP(PROYECTOS[[#This Row],[MUNICIPIO]],'4.CAP_ENDMNT'!B:B,'4.CAP_ENDMNT'!F:F,0,0,1)</f>
        <v>24948751453.494003</v>
      </c>
      <c r="X27" s="140">
        <f>+_xlfn.XLOOKUP(PROYECTOS[[#This Row],[MUNICIPIO]],'4.CAP_ENDMNT'!B:B,'4.CAP_ENDMNT'!G:G,0,0,1)</f>
        <v>8258858552.8800001</v>
      </c>
      <c r="Y27" s="140">
        <f>+_xlfn.XLOOKUP(PROYECTOS[[#This Row],[MUNICIPIO]],'4.CAP_ENDMNT'!B:B,'4.CAP_ENDMNT'!H:H,0,0,1)</f>
        <v>2659839682.1199999</v>
      </c>
      <c r="Z27" s="140">
        <f>+_xlfn.XLOOKUP(PROYECTOS[[#This Row],[MUNICIPIO]],'4.CAP_ENDMNT'!B:B,'4.CAP_ENDMNT'!I:I,0,0,1)</f>
        <v>10918698235</v>
      </c>
      <c r="AA27" s="134">
        <f>+_xlfn.XLOOKUP(PROYECTOS[[#This Row],[MUNICIPIO]],'4.CAP_ENDMNT'!B:B,'4.CAP_ENDMNT'!J:J,0,0,1)</f>
        <v>0.28800825847763295</v>
      </c>
      <c r="AB27" s="140">
        <f>+_xlfn.XLOOKUP(PROYECTOS[[#This Row],[MUNICIPIO]],'4.CAP_ENDMNT'!B:B,'4.CAP_ENDMNT'!K:K,0,0,1)</f>
        <v>26992361304.454002</v>
      </c>
      <c r="AC27" s="140">
        <f>+_xlfn.XLOOKUP(PROYECTOS[[#This Row],[MUNICIPIO]],'4.CAP_ENDMNT'!B:B,'4.CAP_ENDMNT'!L:L,0,0,1)</f>
        <v>21593889043.563202</v>
      </c>
      <c r="AD27" s="140">
        <f>+_xlfn.XLOOKUP(PROYECTOS[[#This Row],[MUNICIPIO]],'4.CAP_ENDMNT'!B:B,'4.CAP_ENDMNT'!M:M,0,0,1)</f>
        <v>16195416782.672401</v>
      </c>
      <c r="AE27" s="134">
        <f>+_xlfn.XLOOKUP(PROYECTOS[[#This Row],[MUNICIPIO]],'4.CAP_ENDMNT'!B:B,'4.CAP_ENDMNT'!N:N,0,0,1)</f>
        <v>0.75639589767268622</v>
      </c>
      <c r="AF27" s="134">
        <f>+_xlfn.XLOOKUP(PROYECTOS[[#This Row],[MUNICIPIO]],'4.CAP_ENDMNT'!B:B,'4.CAP_ENDMNT'!O:O,0,0,1)</f>
        <v>0.52584208336367533</v>
      </c>
      <c r="AG27" s="134">
        <f>+_xlfn.XLOOKUP(PROYECTOS[[#This Row],[MUNICIPIO]],'4.CAP_ENDMNT'!B:B,'4.CAP_ENDMNT'!P:P,0,0,1)</f>
        <v>0.8</v>
      </c>
      <c r="AH27" s="44" t="str">
        <f>+_xlfn.XLOOKUP(PROYECTOS[[#This Row],[MUNICIPIO]],'4.CAP_ENDMNT'!B:B,'4.CAP_ENDMNT'!Q:Q,0,0,1)</f>
        <v>Cumple</v>
      </c>
      <c r="AI27" s="139">
        <f>+_xlfn.XLOOKUP(PROYECTOS[[#This Row],[MUNICIPIO]],'4.CAP_ENDMNT'!B:B,'4.CAP_ENDMNT'!V:V,0,0,1)</f>
        <v>3239083356.5344806</v>
      </c>
      <c r="AJ27" s="139">
        <f>+_xlfn.XLOOKUP(PROYECTOS[[#This Row],[MUNICIPIO]],'4.CAP_ENDMNT'!B:B,'4.CAP_ENDMNT'!Y:Y,0,0,1)</f>
        <v>19434500139.206882</v>
      </c>
      <c r="AK27"/>
      <c r="AL27"/>
      <c r="AM27"/>
    </row>
    <row r="28" spans="1:39">
      <c r="A28" s="44">
        <v>30</v>
      </c>
      <c r="B28" s="37" t="s">
        <v>85</v>
      </c>
      <c r="C28" s="118">
        <f>+_xlfn.XLOOKUP(PROYECTOS[[#This Row],[ID_NECESIDAD]],'1.RADICADOS'!G:G,'1.RADICADOS'!C:C,0,0,1)*1</f>
        <v>45432</v>
      </c>
      <c r="D28" s="46" t="s">
        <v>84</v>
      </c>
      <c r="E28" s="47" t="str">
        <f>+_xlfn.XLOOKUP(PROYECTOS[[#This Row],[MUNICIPIO]],MUNICIPIOS!A:A,MUNICIPIOS!E:E,0,0,1)</f>
        <v>Oriente</v>
      </c>
      <c r="F28" s="44">
        <f>+_xlfn.XLOOKUP(PROYECTOS[[#This Row],[MUNICIPIO]],MUNICIPIOS!A:A,MUNICIPIOS!F:F,0,0,1)</f>
        <v>-75.309595999999999</v>
      </c>
      <c r="G28" s="44" t="str">
        <f>+_xlfn.XLOOKUP(PROYECTOS[[#This Row],[MUNICIPIO]],MUNICIPIOS!A:A,MUNICIPIOS!G:G,0,0,1)</f>
        <v>5,714851</v>
      </c>
      <c r="H28" s="44">
        <f>+_xlfn.XLOOKUP(PROYECTOS[[#This Row],[MUNICIPIO]],MUNICIPIOS!A:A,MUNICIPIOS!B:B,0,0,1)</f>
        <v>0</v>
      </c>
      <c r="I28" s="44">
        <f>+_xlfn.XLOOKUP(PROYECTOS[[#This Row],[MUNICIPIO]],MUNICIPIOS!A:A,MUNICIPIOS!C:C,0,0,1)</f>
        <v>1</v>
      </c>
      <c r="J28" s="3" t="str" cm="1">
        <f t="array" ref="J28">_xlfn.TEXTJOIN(" ", TRUE, IF(radicados[ID PROYECTOS]=A28, radicados[RADICADO], ""))</f>
        <v>2024010224714</v>
      </c>
      <c r="K28" s="45">
        <v>3</v>
      </c>
      <c r="L28" s="48">
        <v>4281286508</v>
      </c>
      <c r="M28" s="34" t="s">
        <v>396</v>
      </c>
      <c r="N28" s="34" t="s">
        <v>394</v>
      </c>
      <c r="O28" s="34" t="s">
        <v>18</v>
      </c>
      <c r="P28" s="37"/>
      <c r="Q28" s="45"/>
      <c r="R28" s="43"/>
      <c r="S28" s="43"/>
      <c r="T28" s="44">
        <f>+_xlfn.XLOOKUP(PROYECTOS[[#This Row],[MUNICIPIO]],'4.CAP_ENDMNT'!B:B,'4.CAP_ENDMNT'!C:C,0,0,1)</f>
        <v>5</v>
      </c>
      <c r="U28" s="139">
        <f>+_xlfn.XLOOKUP(PROYECTOS[[#This Row],[MUNICIPIO]],'4.CAP_ENDMNT'!B:B,'4.CAP_ENDMNT'!D:D,0,0,1)</f>
        <v>35695767669.016502</v>
      </c>
      <c r="V28" s="140">
        <f>+_xlfn.XLOOKUP(PROYECTOS[[#This Row],[MUNICIPIO]],'4.CAP_ENDMNT'!B:B,'4.CAP_ENDMNT'!E:E,0,0,1)</f>
        <v>13532488388.23</v>
      </c>
      <c r="W28" s="140">
        <f>+_xlfn.XLOOKUP(PROYECTOS[[#This Row],[MUNICIPIO]],'4.CAP_ENDMNT'!B:B,'4.CAP_ENDMNT'!F:F,0,0,1)</f>
        <v>22163279280.786503</v>
      </c>
      <c r="X28" s="140">
        <f>+_xlfn.XLOOKUP(PROYECTOS[[#This Row],[MUNICIPIO]],'4.CAP_ENDMNT'!B:B,'4.CAP_ENDMNT'!G:G,0,0,1)</f>
        <v>1067761948</v>
      </c>
      <c r="Y28" s="140">
        <f>+_xlfn.XLOOKUP(PROYECTOS[[#This Row],[MUNICIPIO]],'4.CAP_ENDMNT'!B:B,'4.CAP_ENDMNT'!H:H,0,0,1)</f>
        <v>4932032890</v>
      </c>
      <c r="Z28" s="140">
        <f>+_xlfn.XLOOKUP(PROYECTOS[[#This Row],[MUNICIPIO]],'4.CAP_ENDMNT'!B:B,'4.CAP_ENDMNT'!I:I,0,0,1)</f>
        <v>5999794838</v>
      </c>
      <c r="AA28" s="134">
        <f>+_xlfn.XLOOKUP(PROYECTOS[[#This Row],[MUNICIPIO]],'4.CAP_ENDMNT'!B:B,'4.CAP_ENDMNT'!J:J,0,0,1)</f>
        <v>0.16808140655867587</v>
      </c>
      <c r="AB28" s="140">
        <f>+_xlfn.XLOOKUP(PROYECTOS[[#This Row],[MUNICIPIO]],'4.CAP_ENDMNT'!B:B,'4.CAP_ENDMNT'!K:K,0,0,1)</f>
        <v>29695972831.016502</v>
      </c>
      <c r="AC28" s="140">
        <f>+_xlfn.XLOOKUP(PROYECTOS[[#This Row],[MUNICIPIO]],'4.CAP_ENDMNT'!B:B,'4.CAP_ENDMNT'!L:L,0,0,1)</f>
        <v>23756778264.813202</v>
      </c>
      <c r="AD28" s="140">
        <f>+_xlfn.XLOOKUP(PROYECTOS[[#This Row],[MUNICIPIO]],'4.CAP_ENDMNT'!B:B,'4.CAP_ENDMNT'!M:M,0,0,1)</f>
        <v>17817583698.609901</v>
      </c>
      <c r="AE28" s="134">
        <f>+_xlfn.XLOOKUP(PROYECTOS[[#This Row],[MUNICIPIO]],'4.CAP_ENDMNT'!B:B,'4.CAP_ENDMNT'!N:N,0,0,1)</f>
        <v>0.17796640999076777</v>
      </c>
      <c r="AF28" s="134">
        <f>+_xlfn.XLOOKUP(PROYECTOS[[#This Row],[MUNICIPIO]],'4.CAP_ENDMNT'!B:B,'4.CAP_ENDMNT'!O:O,0,0,1)</f>
        <v>0.4016729815979605</v>
      </c>
      <c r="AG28" s="134">
        <f>+_xlfn.XLOOKUP(PROYECTOS[[#This Row],[MUNICIPIO]],'4.CAP_ENDMNT'!B:B,'4.CAP_ENDMNT'!P:P,0,0,1)</f>
        <v>0.8</v>
      </c>
      <c r="AH28" s="44" t="str">
        <f>+_xlfn.XLOOKUP(PROYECTOS[[#This Row],[MUNICIPIO]],'4.CAP_ENDMNT'!B:B,'4.CAP_ENDMNT'!Q:Q,0,0,1)</f>
        <v>Cumple</v>
      </c>
      <c r="AI28" s="139">
        <f>+_xlfn.XLOOKUP(PROYECTOS[[#This Row],[MUNICIPIO]],'4.CAP_ENDMNT'!B:B,'4.CAP_ENDMNT'!V:V,0,0,1)</f>
        <v>3563516739.7219806</v>
      </c>
      <c r="AJ28" s="139">
        <f>+_xlfn.XLOOKUP(PROYECTOS[[#This Row],[MUNICIPIO]],'4.CAP_ENDMNT'!B:B,'4.CAP_ENDMNT'!Y:Y,0,0,1)</f>
        <v>-46557238264.668121</v>
      </c>
      <c r="AK28"/>
      <c r="AL28"/>
      <c r="AM28"/>
    </row>
    <row r="29" spans="1:39">
      <c r="A29" s="44">
        <v>31</v>
      </c>
      <c r="B29" s="37" t="s">
        <v>1358</v>
      </c>
      <c r="C29" s="118">
        <f>+_xlfn.XLOOKUP(PROYECTOS[[#This Row],[ID_NECESIDAD]],'1.RADICADOS'!G:G,'1.RADICADOS'!C:C,0,0,1)*1</f>
        <v>45436</v>
      </c>
      <c r="D29" s="46" t="s">
        <v>15</v>
      </c>
      <c r="E29" s="47" t="str">
        <f>+_xlfn.XLOOKUP(PROYECTOS[[#This Row],[MUNICIPIO]],MUNICIPIOS!A:A,MUNICIPIOS!E:E,0,0,1)</f>
        <v>Valle de Aburrá</v>
      </c>
      <c r="F29" s="44">
        <f>+_xlfn.XLOOKUP(PROYECTOS[[#This Row],[MUNICIPIO]],MUNICIPIOS!A:A,MUNICIPIOS!F:F,0,0,1)</f>
        <v>-75.331626999999997</v>
      </c>
      <c r="G29" s="44" t="str">
        <f>+_xlfn.XLOOKUP(PROYECTOS[[#This Row],[MUNICIPIO]],MUNICIPIOS!A:A,MUNICIPIOS!G:G,0,0,1)</f>
        <v>6,439195</v>
      </c>
      <c r="H29" s="44">
        <f>+_xlfn.XLOOKUP(PROYECTOS[[#This Row],[MUNICIPIO]],MUNICIPIOS!A:A,MUNICIPIOS!B:B,0,0,1)</f>
        <v>0</v>
      </c>
      <c r="I29" s="44">
        <f>+_xlfn.XLOOKUP(PROYECTOS[[#This Row],[MUNICIPIO]],MUNICIPIOS!A:A,MUNICIPIOS!C:C,0,0,1)</f>
        <v>0</v>
      </c>
      <c r="J29" s="3" t="str" cm="1">
        <f t="array" ref="J29">_xlfn.TEXTJOIN(" ", TRUE, IF(radicados[ID PROYECTOS]=A29, radicados[RADICADO], ""))</f>
        <v>2024010233254</v>
      </c>
      <c r="K29" s="45">
        <v>1</v>
      </c>
      <c r="L29" s="48"/>
      <c r="M29" s="34" t="s">
        <v>396</v>
      </c>
      <c r="N29" s="34" t="s">
        <v>397</v>
      </c>
      <c r="O29" s="34" t="s">
        <v>25</v>
      </c>
      <c r="P29" s="37" t="s">
        <v>1114</v>
      </c>
      <c r="Q29" s="45"/>
      <c r="R29" s="43"/>
      <c r="S29" s="43"/>
      <c r="T29" s="44">
        <f>+_xlfn.XLOOKUP(PROYECTOS[[#This Row],[MUNICIPIO]],'4.CAP_ENDMNT'!B:B,'4.CAP_ENDMNT'!C:C,0,0,1)</f>
        <v>4</v>
      </c>
      <c r="U29" s="139">
        <f>+_xlfn.XLOOKUP(PROYECTOS[[#This Row],[MUNICIPIO]],'4.CAP_ENDMNT'!B:B,'4.CAP_ENDMNT'!D:D,0,0,1)</f>
        <v>56592203197.536499</v>
      </c>
      <c r="V29" s="140">
        <f>+_xlfn.XLOOKUP(PROYECTOS[[#This Row],[MUNICIPIO]],'4.CAP_ENDMNT'!B:B,'4.CAP_ENDMNT'!E:E,0,0,1)</f>
        <v>24375972647.860001</v>
      </c>
      <c r="W29" s="140">
        <f>+_xlfn.XLOOKUP(PROYECTOS[[#This Row],[MUNICIPIO]],'4.CAP_ENDMNT'!B:B,'4.CAP_ENDMNT'!F:F,0,0,1)</f>
        <v>32216230549.676498</v>
      </c>
      <c r="X29" s="140">
        <f>+_xlfn.XLOOKUP(PROYECTOS[[#This Row],[MUNICIPIO]],'4.CAP_ENDMNT'!B:B,'4.CAP_ENDMNT'!G:G,0,0,1)</f>
        <v>0</v>
      </c>
      <c r="Y29" s="140">
        <f>+_xlfn.XLOOKUP(PROYECTOS[[#This Row],[MUNICIPIO]],'4.CAP_ENDMNT'!B:B,'4.CAP_ENDMNT'!H:H,0,0,1)</f>
        <v>15044963334.42</v>
      </c>
      <c r="Z29" s="140">
        <f>+_xlfn.XLOOKUP(PROYECTOS[[#This Row],[MUNICIPIO]],'4.CAP_ENDMNT'!B:B,'4.CAP_ENDMNT'!I:I,0,0,1)</f>
        <v>15044963334.42</v>
      </c>
      <c r="AA29" s="134">
        <f>+_xlfn.XLOOKUP(PROYECTOS[[#This Row],[MUNICIPIO]],'4.CAP_ENDMNT'!B:B,'4.CAP_ENDMNT'!J:J,0,0,1)</f>
        <v>0.26584869442006315</v>
      </c>
      <c r="AB29" s="140">
        <f>+_xlfn.XLOOKUP(PROYECTOS[[#This Row],[MUNICIPIO]],'4.CAP_ENDMNT'!B:B,'4.CAP_ENDMNT'!K:K,0,0,1)</f>
        <v>41547239863.116501</v>
      </c>
      <c r="AC29" s="140">
        <f>+_xlfn.XLOOKUP(PROYECTOS[[#This Row],[MUNICIPIO]],'4.CAP_ENDMNT'!B:B,'4.CAP_ENDMNT'!L:L,0,0,1)</f>
        <v>33237791890.493202</v>
      </c>
      <c r="AD29" s="140">
        <f>+_xlfn.XLOOKUP(PROYECTOS[[#This Row],[MUNICIPIO]],'4.CAP_ENDMNT'!B:B,'4.CAP_ENDMNT'!M:M,0,0,1)</f>
        <v>24928343917.8699</v>
      </c>
      <c r="AE29" s="134">
        <f>+_xlfn.XLOOKUP(PROYECTOS[[#This Row],[MUNICIPIO]],'4.CAP_ENDMNT'!B:B,'4.CAP_ENDMNT'!N:N,0,0,1)</f>
        <v>0</v>
      </c>
      <c r="AF29" s="134">
        <f>+_xlfn.XLOOKUP(PROYECTOS[[#This Row],[MUNICIPIO]],'4.CAP_ENDMNT'!B:B,'4.CAP_ENDMNT'!O:O,0,0,1)</f>
        <v>0.60385208261970102</v>
      </c>
      <c r="AG29" s="134">
        <f>+_xlfn.XLOOKUP(PROYECTOS[[#This Row],[MUNICIPIO]],'4.CAP_ENDMNT'!B:B,'4.CAP_ENDMNT'!P:P,0,0,1)</f>
        <v>0.8</v>
      </c>
      <c r="AH29" s="44" t="str">
        <f>+_xlfn.XLOOKUP(PROYECTOS[[#This Row],[MUNICIPIO]],'4.CAP_ENDMNT'!B:B,'4.CAP_ENDMNT'!Q:Q,0,0,1)</f>
        <v>Cumple</v>
      </c>
      <c r="AI29" s="139">
        <f>+_xlfn.XLOOKUP(PROYECTOS[[#This Row],[MUNICIPIO]],'4.CAP_ENDMNT'!B:B,'4.CAP_ENDMNT'!V:V,0,0,1)</f>
        <v>4985668783.5739803</v>
      </c>
      <c r="AJ29" s="139">
        <f>+_xlfn.XLOOKUP(PROYECTOS[[#This Row],[MUNICIPIO]],'4.CAP_ENDMNT'!B:B,'4.CAP_ENDMNT'!Y:Y,0,0,1)</f>
        <v>-31357431194.556122</v>
      </c>
      <c r="AK29"/>
      <c r="AL29"/>
      <c r="AM29"/>
    </row>
    <row r="30" spans="1:39">
      <c r="A30" s="44">
        <v>32</v>
      </c>
      <c r="B30" s="37" t="s">
        <v>1359</v>
      </c>
      <c r="C30" s="118">
        <f>+_xlfn.XLOOKUP(PROYECTOS[[#This Row],[ID_NECESIDAD]],'1.RADICADOS'!G:G,'1.RADICADOS'!C:C,0,0,1)*1</f>
        <v>45388</v>
      </c>
      <c r="D30" s="46" t="s">
        <v>63</v>
      </c>
      <c r="E30" s="47" t="str">
        <f>+_xlfn.XLOOKUP(PROYECTOS[[#This Row],[MUNICIPIO]],MUNICIPIOS!A:A,MUNICIPIOS!E:E,0,0,1)</f>
        <v>Urabá</v>
      </c>
      <c r="F30" s="44">
        <f>+_xlfn.XLOOKUP(PROYECTOS[[#This Row],[MUNICIPIO]],MUNICIPIOS!A:A,MUNICIPIOS!F:F,0,0,1)</f>
        <v>-76.380566999999999</v>
      </c>
      <c r="G30" s="44" t="str">
        <f>+_xlfn.XLOOKUP(PROYECTOS[[#This Row],[MUNICIPIO]],MUNICIPIOS!A:A,MUNICIPIOS!G:G,0,0,1)</f>
        <v>8,276884</v>
      </c>
      <c r="H30" s="44">
        <f>+_xlfn.XLOOKUP(PROYECTOS[[#This Row],[MUNICIPIO]],MUNICIPIOS!A:A,MUNICIPIOS!B:B,0,0,1)</f>
        <v>1</v>
      </c>
      <c r="I30" s="44">
        <f>+_xlfn.XLOOKUP(PROYECTOS[[#This Row],[MUNICIPIO]],MUNICIPIOS!A:A,MUNICIPIOS!C:C,0,0,1)</f>
        <v>1</v>
      </c>
      <c r="J30" s="3" t="str" cm="1">
        <f t="array" ref="J30">_xlfn.TEXTJOIN(" ", TRUE, IF(radicados[ID PROYECTOS]=A30, radicados[RADICADO], ""))</f>
        <v>2024010246827</v>
      </c>
      <c r="K30" s="45">
        <v>3</v>
      </c>
      <c r="L30" s="48">
        <v>2256305783</v>
      </c>
      <c r="M30" s="34" t="s">
        <v>396</v>
      </c>
      <c r="N30" s="34" t="s">
        <v>394</v>
      </c>
      <c r="O30" s="34" t="s">
        <v>18</v>
      </c>
      <c r="P30" s="37"/>
      <c r="Q30" s="45"/>
      <c r="R30" s="43"/>
      <c r="S30" s="43"/>
      <c r="T30" s="44">
        <f>+_xlfn.XLOOKUP(PROYECTOS[[#This Row],[MUNICIPIO]],'4.CAP_ENDMNT'!B:B,'4.CAP_ENDMNT'!C:C,0,0,1)</f>
        <v>6</v>
      </c>
      <c r="U30" s="139">
        <f>+_xlfn.XLOOKUP(PROYECTOS[[#This Row],[MUNICIPIO]],'4.CAP_ENDMNT'!B:B,'4.CAP_ENDMNT'!D:D,0,0,1)</f>
        <v>19508372714.52</v>
      </c>
      <c r="V30" s="140">
        <f>+_xlfn.XLOOKUP(PROYECTOS[[#This Row],[MUNICIPIO]],'4.CAP_ENDMNT'!B:B,'4.CAP_ENDMNT'!E:E,0,0,1)</f>
        <v>5389834315.5</v>
      </c>
      <c r="W30" s="140">
        <f>+_xlfn.XLOOKUP(PROYECTOS[[#This Row],[MUNICIPIO]],'4.CAP_ENDMNT'!B:B,'4.CAP_ENDMNT'!F:F,0,0,1)</f>
        <v>14118538399.02</v>
      </c>
      <c r="X30" s="140">
        <f>+_xlfn.XLOOKUP(PROYECTOS[[#This Row],[MUNICIPIO]],'4.CAP_ENDMNT'!B:B,'4.CAP_ENDMNT'!G:G,0,0,1)</f>
        <v>2594281047</v>
      </c>
      <c r="Y30" s="140">
        <f>+_xlfn.XLOOKUP(PROYECTOS[[#This Row],[MUNICIPIO]],'4.CAP_ENDMNT'!B:B,'4.CAP_ENDMNT'!H:H,0,0,1)</f>
        <v>1833333333</v>
      </c>
      <c r="Z30" s="140">
        <f>+_xlfn.XLOOKUP(PROYECTOS[[#This Row],[MUNICIPIO]],'4.CAP_ENDMNT'!B:B,'4.CAP_ENDMNT'!I:I,0,0,1)</f>
        <v>4427614380</v>
      </c>
      <c r="AA30" s="134">
        <f>+_xlfn.XLOOKUP(PROYECTOS[[#This Row],[MUNICIPIO]],'4.CAP_ENDMNT'!B:B,'4.CAP_ENDMNT'!J:J,0,0,1)</f>
        <v>0.22695969801235882</v>
      </c>
      <c r="AB30" s="140">
        <f>+_xlfn.XLOOKUP(PROYECTOS[[#This Row],[MUNICIPIO]],'4.CAP_ENDMNT'!B:B,'4.CAP_ENDMNT'!K:K,0,0,1)</f>
        <v>15080758334.52</v>
      </c>
      <c r="AC30" s="140">
        <f>+_xlfn.XLOOKUP(PROYECTOS[[#This Row],[MUNICIPIO]],'4.CAP_ENDMNT'!B:B,'4.CAP_ENDMNT'!L:L,0,0,1)</f>
        <v>12064606667.616001</v>
      </c>
      <c r="AD30" s="140">
        <f>+_xlfn.XLOOKUP(PROYECTOS[[#This Row],[MUNICIPIO]],'4.CAP_ENDMNT'!B:B,'4.CAP_ENDMNT'!M:M,0,0,1)</f>
        <v>9048455000.7119999</v>
      </c>
      <c r="AE30" s="134">
        <f>+_xlfn.XLOOKUP(PROYECTOS[[#This Row],[MUNICIPIO]],'4.CAP_ENDMNT'!B:B,'4.CAP_ENDMNT'!N:N,0,0,1)</f>
        <v>0.58593202215591322</v>
      </c>
      <c r="AF30" s="134">
        <f>+_xlfn.XLOOKUP(PROYECTOS[[#This Row],[MUNICIPIO]],'4.CAP_ENDMNT'!B:B,'4.CAP_ENDMNT'!O:O,0,0,1)</f>
        <v>0.58851112900500024</v>
      </c>
      <c r="AG30" s="134">
        <f>+_xlfn.XLOOKUP(PROYECTOS[[#This Row],[MUNICIPIO]],'4.CAP_ENDMNT'!B:B,'4.CAP_ENDMNT'!P:P,0,0,1)</f>
        <v>0.8</v>
      </c>
      <c r="AH30" s="44" t="str">
        <f>+_xlfn.XLOOKUP(PROYECTOS[[#This Row],[MUNICIPIO]],'4.CAP_ENDMNT'!B:B,'4.CAP_ENDMNT'!Q:Q,0,0,1)</f>
        <v>Cumple</v>
      </c>
      <c r="AI30" s="139">
        <f>+_xlfn.XLOOKUP(PROYECTOS[[#This Row],[MUNICIPIO]],'4.CAP_ENDMNT'!B:B,'4.CAP_ENDMNT'!V:V,0,0,1)</f>
        <v>1809691000.1424</v>
      </c>
      <c r="AJ30" s="139">
        <f>+_xlfn.XLOOKUP(PROYECTOS[[#This Row],[MUNICIPIO]],'4.CAP_ENDMNT'!B:B,'4.CAP_ENDMNT'!Y:Y,0,0,1)</f>
        <v>-12348843887.145599</v>
      </c>
      <c r="AK30"/>
      <c r="AL30"/>
      <c r="AM30"/>
    </row>
    <row r="31" spans="1:39">
      <c r="A31" s="44">
        <v>33</v>
      </c>
      <c r="B31" s="59" t="s">
        <v>89</v>
      </c>
      <c r="C31" s="119">
        <f>+_xlfn.XLOOKUP(PROYECTOS[[#This Row],[ID_NECESIDAD]],'1.RADICADOS'!G:G,'1.RADICADOS'!C:C,0,0,1)*1</f>
        <v>45602</v>
      </c>
      <c r="D31" s="46" t="s">
        <v>88</v>
      </c>
      <c r="E31" s="47" t="str">
        <f>+_xlfn.XLOOKUP(PROYECTOS[[#This Row],[MUNICIPIO]],MUNICIPIOS!A:A,MUNICIPIOS!E:E,0,0,1)</f>
        <v>Suroeste</v>
      </c>
      <c r="F31" s="44">
        <f>+_xlfn.XLOOKUP(PROYECTOS[[#This Row],[MUNICIPIO]],MUNICIPIOS!A:A,MUNICIPIOS!F:F,0,0,1)</f>
        <v>-75.839903000000007</v>
      </c>
      <c r="G31" s="44" t="str">
        <f>+_xlfn.XLOOKUP(PROYECTOS[[#This Row],[MUNICIPIO]],MUNICIPIOS!A:A,MUNICIPIOS!G:G,0,0,1)</f>
        <v>5,79158</v>
      </c>
      <c r="H31" s="44">
        <f>+_xlfn.XLOOKUP(PROYECTOS[[#This Row],[MUNICIPIO]],MUNICIPIOS!A:A,MUNICIPIOS!B:B,0,0,1)</f>
        <v>0</v>
      </c>
      <c r="I31" s="44">
        <f>+_xlfn.XLOOKUP(PROYECTOS[[#This Row],[MUNICIPIO]],MUNICIPIOS!A:A,MUNICIPIOS!C:C,0,0,1)</f>
        <v>0</v>
      </c>
      <c r="J31" s="3" t="str" cm="1">
        <f t="array" ref="J31">_xlfn.TEXTJOIN(" ", TRUE, IF(radicados[ID PROYECTOS]=A31, radicados[RADICADO], ""))</f>
        <v>2024010258317</v>
      </c>
      <c r="K31" s="45">
        <v>3</v>
      </c>
      <c r="L31" s="48">
        <v>4943542014</v>
      </c>
      <c r="M31" s="34" t="s">
        <v>396</v>
      </c>
      <c r="N31" s="34" t="s">
        <v>397</v>
      </c>
      <c r="O31" s="34" t="s">
        <v>56</v>
      </c>
      <c r="P31" s="37" t="s">
        <v>1360</v>
      </c>
      <c r="Q31" s="45"/>
      <c r="R31" s="43"/>
      <c r="S31" s="43"/>
      <c r="T31" s="44">
        <f>+_xlfn.XLOOKUP(PROYECTOS[[#This Row],[MUNICIPIO]],'4.CAP_ENDMNT'!B:B,'4.CAP_ENDMNT'!C:C,0,0,1)</f>
        <v>6</v>
      </c>
      <c r="U31" s="139">
        <f>+_xlfn.XLOOKUP(PROYECTOS[[#This Row],[MUNICIPIO]],'4.CAP_ENDMNT'!B:B,'4.CAP_ENDMNT'!D:D,0,0,1)</f>
        <v>7408957946.4439993</v>
      </c>
      <c r="V31" s="140">
        <f>+_xlfn.XLOOKUP(PROYECTOS[[#This Row],[MUNICIPIO]],'4.CAP_ENDMNT'!B:B,'4.CAP_ENDMNT'!E:E,0,0,1)</f>
        <v>2726179218.2000003</v>
      </c>
      <c r="W31" s="140">
        <f>+_xlfn.XLOOKUP(PROYECTOS[[#This Row],[MUNICIPIO]],'4.CAP_ENDMNT'!B:B,'4.CAP_ENDMNT'!F:F,0,0,1)</f>
        <v>4682778728.2439995</v>
      </c>
      <c r="X31" s="140">
        <f>+_xlfn.XLOOKUP(PROYECTOS[[#This Row],[MUNICIPIO]],'4.CAP_ENDMNT'!B:B,'4.CAP_ENDMNT'!G:G,0,0,1)</f>
        <v>1117539497</v>
      </c>
      <c r="Y31" s="140">
        <f>+_xlfn.XLOOKUP(PROYECTOS[[#This Row],[MUNICIPIO]],'4.CAP_ENDMNT'!B:B,'4.CAP_ENDMNT'!H:H,0,0,1)</f>
        <v>0</v>
      </c>
      <c r="Z31" s="140">
        <f>+_xlfn.XLOOKUP(PROYECTOS[[#This Row],[MUNICIPIO]],'4.CAP_ENDMNT'!B:B,'4.CAP_ENDMNT'!I:I,0,0,1)</f>
        <v>1117539497</v>
      </c>
      <c r="AA31" s="134">
        <f>+_xlfn.XLOOKUP(PROYECTOS[[#This Row],[MUNICIPIO]],'4.CAP_ENDMNT'!B:B,'4.CAP_ENDMNT'!J:J,0,0,1)</f>
        <v>0.15083625863153588</v>
      </c>
      <c r="AB31" s="140">
        <f>+_xlfn.XLOOKUP(PROYECTOS[[#This Row],[MUNICIPIO]],'4.CAP_ENDMNT'!B:B,'4.CAP_ENDMNT'!K:K,0,0,1)</f>
        <v>6291418449.4439993</v>
      </c>
      <c r="AC31" s="140">
        <f>+_xlfn.XLOOKUP(PROYECTOS[[#This Row],[MUNICIPIO]],'4.CAP_ENDMNT'!B:B,'4.CAP_ENDMNT'!L:L,0,0,1)</f>
        <v>5033134759.5551996</v>
      </c>
      <c r="AD31" s="140">
        <f>+_xlfn.XLOOKUP(PROYECTOS[[#This Row],[MUNICIPIO]],'4.CAP_ENDMNT'!B:B,'4.CAP_ENDMNT'!M:M,0,0,1)</f>
        <v>3774851069.6663995</v>
      </c>
      <c r="AE31" s="134">
        <f>+_xlfn.XLOOKUP(PROYECTOS[[#This Row],[MUNICIPIO]],'4.CAP_ENDMNT'!B:B,'4.CAP_ENDMNT'!N:N,0,0,1)</f>
        <v>1</v>
      </c>
      <c r="AF31" s="134">
        <f>+_xlfn.XLOOKUP(PROYECTOS[[#This Row],[MUNICIPIO]],'4.CAP_ENDMNT'!B:B,'4.CAP_ENDMNT'!O:O,0,0,1)</f>
        <v>0.78495373596781126</v>
      </c>
      <c r="AG31" s="134">
        <f>+_xlfn.XLOOKUP(PROYECTOS[[#This Row],[MUNICIPIO]],'4.CAP_ENDMNT'!B:B,'4.CAP_ENDMNT'!P:P,0,0,1)</f>
        <v>0.8</v>
      </c>
      <c r="AH31" s="44" t="str">
        <f>+_xlfn.XLOOKUP(PROYECTOS[[#This Row],[MUNICIPIO]],'4.CAP_ENDMNT'!B:B,'4.CAP_ENDMNT'!Q:Q,0,0,1)</f>
        <v>Riesgo</v>
      </c>
      <c r="AI31" s="139">
        <f>+_xlfn.XLOOKUP(PROYECTOS[[#This Row],[MUNICIPIO]],'4.CAP_ENDMNT'!B:B,'4.CAP_ENDMNT'!V:V,0,0,1)</f>
        <v>754970213.93327999</v>
      </c>
      <c r="AJ31" s="139">
        <f>+_xlfn.XLOOKUP(PROYECTOS[[#This Row],[MUNICIPIO]],'4.CAP_ENDMNT'!B:B,'4.CAP_ENDMNT'!Y:Y,0,0,1)</f>
        <v>-4520144590.4003201</v>
      </c>
      <c r="AK31"/>
      <c r="AL31"/>
      <c r="AM31"/>
    </row>
    <row r="32" spans="1:39">
      <c r="A32" s="44">
        <v>34</v>
      </c>
      <c r="B32" s="37" t="s">
        <v>91</v>
      </c>
      <c r="C32" s="118">
        <f>+_xlfn.XLOOKUP(PROYECTOS[[#This Row],[ID_NECESIDAD]],'1.RADICADOS'!G:G,'1.RADICADOS'!C:C,0,0,1)*1</f>
        <v>45539</v>
      </c>
      <c r="D32" s="46" t="s">
        <v>90</v>
      </c>
      <c r="E32" s="47" t="str">
        <f>+_xlfn.XLOOKUP(PROYECTOS[[#This Row],[MUNICIPIO]],MUNICIPIOS!A:A,MUNICIPIOS!E:E,0,0,1)</f>
        <v>Suroeste</v>
      </c>
      <c r="F32" s="44">
        <f>+_xlfn.XLOOKUP(PROYECTOS[[#This Row],[MUNICIPIO]],MUNICIPIOS!A:A,MUNICIPIOS!F:F,0,0,1)</f>
        <v>-75.624452000000005</v>
      </c>
      <c r="G32" s="44">
        <f>+_xlfn.XLOOKUP(PROYECTOS[[#This Row],[MUNICIPIO]],MUNICIPIOS!A:A,MUNICIPIOS!G:G,0,0,1)</f>
        <v>5.6145550000000002</v>
      </c>
      <c r="H32" s="44">
        <f>+_xlfn.XLOOKUP(PROYECTOS[[#This Row],[MUNICIPIO]],MUNICIPIOS!A:A,MUNICIPIOS!B:B,0,0,1)</f>
        <v>0</v>
      </c>
      <c r="I32" s="44">
        <f>+_xlfn.XLOOKUP(PROYECTOS[[#This Row],[MUNICIPIO]],MUNICIPIOS!A:A,MUNICIPIOS!C:C,0,0,1)</f>
        <v>0</v>
      </c>
      <c r="J32" s="3" t="str" cm="1">
        <f t="array" ref="J32">_xlfn.TEXTJOIN(" ", TRUE, IF(radicados[ID PROYECTOS]=A32, radicados[RADICADO], ""))</f>
        <v>2024010152199</v>
      </c>
      <c r="K32" s="45">
        <v>1</v>
      </c>
      <c r="L32" s="48"/>
      <c r="M32" s="34" t="s">
        <v>392</v>
      </c>
      <c r="N32" s="40" t="s">
        <v>1079</v>
      </c>
      <c r="O32" s="40" t="s">
        <v>7</v>
      </c>
      <c r="P32" s="37" t="s">
        <v>1107</v>
      </c>
      <c r="Q32" s="45"/>
      <c r="R32" s="43"/>
      <c r="S32" s="43"/>
      <c r="T32" s="44">
        <f>+_xlfn.XLOOKUP(PROYECTOS[[#This Row],[MUNICIPIO]],'4.CAP_ENDMNT'!B:B,'4.CAP_ENDMNT'!C:C,0,0,1)</f>
        <v>6</v>
      </c>
      <c r="U32" s="139">
        <f>+_xlfn.XLOOKUP(PROYECTOS[[#This Row],[MUNICIPIO]],'4.CAP_ENDMNT'!B:B,'4.CAP_ENDMNT'!D:D,0,0,1)</f>
        <v>6485715716.868001</v>
      </c>
      <c r="V32" s="140">
        <f>+_xlfn.XLOOKUP(PROYECTOS[[#This Row],[MUNICIPIO]],'4.CAP_ENDMNT'!B:B,'4.CAP_ENDMNT'!E:E,0,0,1)</f>
        <v>3717110032.7600002</v>
      </c>
      <c r="W32" s="140">
        <f>+_xlfn.XLOOKUP(PROYECTOS[[#This Row],[MUNICIPIO]],'4.CAP_ENDMNT'!B:B,'4.CAP_ENDMNT'!F:F,0,0,1)</f>
        <v>2768605684.1080008</v>
      </c>
      <c r="X32" s="140">
        <f>+_xlfn.XLOOKUP(PROYECTOS[[#This Row],[MUNICIPIO]],'4.CAP_ENDMNT'!B:B,'4.CAP_ENDMNT'!G:G,0,0,1)</f>
        <v>598561755.20000005</v>
      </c>
      <c r="Y32" s="140">
        <f>+_xlfn.XLOOKUP(PROYECTOS[[#This Row],[MUNICIPIO]],'4.CAP_ENDMNT'!B:B,'4.CAP_ENDMNT'!H:H,0,0,1)</f>
        <v>823222224</v>
      </c>
      <c r="Z32" s="140">
        <f>+_xlfn.XLOOKUP(PROYECTOS[[#This Row],[MUNICIPIO]],'4.CAP_ENDMNT'!B:B,'4.CAP_ENDMNT'!I:I,0,0,1)</f>
        <v>1421783979.2</v>
      </c>
      <c r="AA32" s="134">
        <f>+_xlfn.XLOOKUP(PROYECTOS[[#This Row],[MUNICIPIO]],'4.CAP_ENDMNT'!B:B,'4.CAP_ENDMNT'!J:J,0,0,1)</f>
        <v>0.21921774577665112</v>
      </c>
      <c r="AB32" s="140">
        <f>+_xlfn.XLOOKUP(PROYECTOS[[#This Row],[MUNICIPIO]],'4.CAP_ENDMNT'!B:B,'4.CAP_ENDMNT'!K:K,0,0,1)</f>
        <v>5063931737.6680012</v>
      </c>
      <c r="AC32" s="140">
        <f>+_xlfn.XLOOKUP(PROYECTOS[[#This Row],[MUNICIPIO]],'4.CAP_ENDMNT'!B:B,'4.CAP_ENDMNT'!L:L,0,0,1)</f>
        <v>4051145390.1344013</v>
      </c>
      <c r="AD32" s="140">
        <f>+_xlfn.XLOOKUP(PROYECTOS[[#This Row],[MUNICIPIO]],'4.CAP_ENDMNT'!B:B,'4.CAP_ENDMNT'!M:M,0,0,1)</f>
        <v>3038359042.6008005</v>
      </c>
      <c r="AE32" s="134">
        <f>+_xlfn.XLOOKUP(PROYECTOS[[#This Row],[MUNICIPIO]],'4.CAP_ENDMNT'!B:B,'4.CAP_ENDMNT'!N:N,0,0,1)</f>
        <v>0.42099345889155032</v>
      </c>
      <c r="AF32" s="134">
        <f>+_xlfn.XLOOKUP(PROYECTOS[[#This Row],[MUNICIPIO]],'4.CAP_ENDMNT'!B:B,'4.CAP_ENDMNT'!O:O,0,0,1)</f>
        <v>0.68598337343648785</v>
      </c>
      <c r="AG32" s="134">
        <f>+_xlfn.XLOOKUP(PROYECTOS[[#This Row],[MUNICIPIO]],'4.CAP_ENDMNT'!B:B,'4.CAP_ENDMNT'!P:P,0,0,1)</f>
        <v>0.8</v>
      </c>
      <c r="AH32" s="44" t="str">
        <f>+_xlfn.XLOOKUP(PROYECTOS[[#This Row],[MUNICIPIO]],'4.CAP_ENDMNT'!B:B,'4.CAP_ENDMNT'!Q:Q,0,0,1)</f>
        <v>Cumple</v>
      </c>
      <c r="AI32" s="139">
        <f>+_xlfn.XLOOKUP(PROYECTOS[[#This Row],[MUNICIPIO]],'4.CAP_ENDMNT'!B:B,'4.CAP_ENDMNT'!V:V,0,0,1)</f>
        <v>607671808.52016008</v>
      </c>
      <c r="AJ32" s="139">
        <f>+_xlfn.XLOOKUP(PROYECTOS[[#This Row],[MUNICIPIO]],'4.CAP_ENDMNT'!B:B,'4.CAP_ENDMNT'!Y:Y,0,0,1)</f>
        <v>-1701336321.8790393</v>
      </c>
      <c r="AK32"/>
      <c r="AL32"/>
      <c r="AM32"/>
    </row>
    <row r="33" spans="1:39">
      <c r="A33" s="44">
        <v>35</v>
      </c>
      <c r="B33" s="37" t="s">
        <v>93</v>
      </c>
      <c r="C33" s="118">
        <f>+_xlfn.XLOOKUP(PROYECTOS[[#This Row],[ID_NECESIDAD]],'1.RADICADOS'!G:G,'1.RADICADOS'!C:C,0,0,1)*1</f>
        <v>45630</v>
      </c>
      <c r="D33" s="46" t="s">
        <v>92</v>
      </c>
      <c r="E33" s="47" t="str">
        <f>+_xlfn.XLOOKUP(PROYECTOS[[#This Row],[MUNICIPIO]],MUNICIPIOS!A:A,MUNICIPIOS!E:E,0,0,1)</f>
        <v>Suroeste</v>
      </c>
      <c r="F33" s="44">
        <f>+_xlfn.XLOOKUP(PROYECTOS[[#This Row],[MUNICIPIO]],MUNICIPIOS!A:A,MUNICIPIOS!F:F,0,0,1)</f>
        <v>-75.702188000000007</v>
      </c>
      <c r="G33" s="44" t="str">
        <f>+_xlfn.XLOOKUP(PROYECTOS[[#This Row],[MUNICIPIO]],MUNICIPIOS!A:A,MUNICIPIOS!G:G,0,0,1)</f>
        <v>6,038708</v>
      </c>
      <c r="H33" s="44">
        <f>+_xlfn.XLOOKUP(PROYECTOS[[#This Row],[MUNICIPIO]],MUNICIPIOS!A:A,MUNICIPIOS!B:B,0,0,1)</f>
        <v>0</v>
      </c>
      <c r="I33" s="44">
        <f>+_xlfn.XLOOKUP(PROYECTOS[[#This Row],[MUNICIPIO]],MUNICIPIOS!A:A,MUNICIPIOS!C:C,0,0,1)</f>
        <v>0</v>
      </c>
      <c r="J33" s="3" t="str" cm="1">
        <f t="array" ref="J33">_xlfn.TEXTJOIN(" ", TRUE, IF(radicados[ID PROYECTOS]=A33, radicados[RADICADO], ""))</f>
        <v>2024010159071 2024020058554</v>
      </c>
      <c r="K33" s="45">
        <v>2</v>
      </c>
      <c r="L33" s="48"/>
      <c r="M33" s="34" t="s">
        <v>404</v>
      </c>
      <c r="N33" s="40" t="s">
        <v>1079</v>
      </c>
      <c r="O33" s="40" t="s">
        <v>29</v>
      </c>
      <c r="P33" s="37" t="s">
        <v>1092</v>
      </c>
      <c r="Q33" s="45"/>
      <c r="R33" s="43"/>
      <c r="S33" s="43"/>
      <c r="T33" s="44">
        <f>+_xlfn.XLOOKUP(PROYECTOS[[#This Row],[MUNICIPIO]],'4.CAP_ENDMNT'!B:B,'4.CAP_ENDMNT'!C:C,0,0,1)</f>
        <v>6</v>
      </c>
      <c r="U33" s="139">
        <f>+_xlfn.XLOOKUP(PROYECTOS[[#This Row],[MUNICIPIO]],'4.CAP_ENDMNT'!B:B,'4.CAP_ENDMNT'!D:D,0,0,1)</f>
        <v>25390387392.328503</v>
      </c>
      <c r="V33" s="140">
        <f>+_xlfn.XLOOKUP(PROYECTOS[[#This Row],[MUNICIPIO]],'4.CAP_ENDMNT'!B:B,'4.CAP_ENDMNT'!E:E,0,0,1)</f>
        <v>8357833556.3299999</v>
      </c>
      <c r="W33" s="140">
        <f>+_xlfn.XLOOKUP(PROYECTOS[[#This Row],[MUNICIPIO]],'4.CAP_ENDMNT'!B:B,'4.CAP_ENDMNT'!F:F,0,0,1)</f>
        <v>17032553835.998503</v>
      </c>
      <c r="X33" s="140">
        <f>+_xlfn.XLOOKUP(PROYECTOS[[#This Row],[MUNICIPIO]],'4.CAP_ENDMNT'!B:B,'4.CAP_ENDMNT'!G:G,0,0,1)</f>
        <v>4689987006</v>
      </c>
      <c r="Y33" s="140">
        <f>+_xlfn.XLOOKUP(PROYECTOS[[#This Row],[MUNICIPIO]],'4.CAP_ENDMNT'!B:B,'4.CAP_ENDMNT'!H:H,0,0,1)</f>
        <v>6272045606</v>
      </c>
      <c r="Z33" s="140">
        <f>+_xlfn.XLOOKUP(PROYECTOS[[#This Row],[MUNICIPIO]],'4.CAP_ENDMNT'!B:B,'4.CAP_ENDMNT'!I:I,0,0,1)</f>
        <v>10962032612</v>
      </c>
      <c r="AA33" s="134">
        <f>+_xlfn.XLOOKUP(PROYECTOS[[#This Row],[MUNICIPIO]],'4.CAP_ENDMNT'!B:B,'4.CAP_ENDMNT'!J:J,0,0,1)</f>
        <v>0.43173947851272598</v>
      </c>
      <c r="AB33" s="140">
        <f>+_xlfn.XLOOKUP(PROYECTOS[[#This Row],[MUNICIPIO]],'4.CAP_ENDMNT'!B:B,'4.CAP_ENDMNT'!K:K,0,0,1)</f>
        <v>14428354780.328503</v>
      </c>
      <c r="AC33" s="140">
        <f>+_xlfn.XLOOKUP(PROYECTOS[[#This Row],[MUNICIPIO]],'4.CAP_ENDMNT'!B:B,'4.CAP_ENDMNT'!L:L,0,0,1)</f>
        <v>11542683824.262802</v>
      </c>
      <c r="AD33" s="140">
        <f>+_xlfn.XLOOKUP(PROYECTOS[[#This Row],[MUNICIPIO]],'4.CAP_ENDMNT'!B:B,'4.CAP_ENDMNT'!M:M,0,0,1)</f>
        <v>8657012868.1971016</v>
      </c>
      <c r="AE33" s="134">
        <f>+_xlfn.XLOOKUP(PROYECTOS[[#This Row],[MUNICIPIO]],'4.CAP_ENDMNT'!B:B,'4.CAP_ENDMNT'!N:N,0,0,1)</f>
        <v>0.42783917654705111</v>
      </c>
      <c r="AF33" s="134">
        <f>+_xlfn.XLOOKUP(PROYECTOS[[#This Row],[MUNICIPIO]],'4.CAP_ENDMNT'!B:B,'4.CAP_ENDMNT'!O:O,0,0,1)</f>
        <v>0.46347626739589709</v>
      </c>
      <c r="AG33" s="134">
        <f>+_xlfn.XLOOKUP(PROYECTOS[[#This Row],[MUNICIPIO]],'4.CAP_ENDMNT'!B:B,'4.CAP_ENDMNT'!P:P,0,0,1)</f>
        <v>0.8</v>
      </c>
      <c r="AH33" s="44" t="str">
        <f>+_xlfn.XLOOKUP(PROYECTOS[[#This Row],[MUNICIPIO]],'4.CAP_ENDMNT'!B:B,'4.CAP_ENDMNT'!Q:Q,0,0,1)</f>
        <v>Cumple</v>
      </c>
      <c r="AI33" s="139">
        <f>+_xlfn.XLOOKUP(PROYECTOS[[#This Row],[MUNICIPIO]],'4.CAP_ENDMNT'!B:B,'4.CAP_ENDMNT'!V:V,0,0,1)</f>
        <v>1731402573.6394205</v>
      </c>
      <c r="AJ33" s="139">
        <f>+_xlfn.XLOOKUP(PROYECTOS[[#This Row],[MUNICIPIO]],'4.CAP_ENDMNT'!B:B,'4.CAP_ENDMNT'!Y:Y,0,0,1)</f>
        <v>4806760366.8365211</v>
      </c>
      <c r="AK33"/>
      <c r="AL33"/>
      <c r="AM33"/>
    </row>
    <row r="34" spans="1:39">
      <c r="A34" s="44">
        <v>36</v>
      </c>
      <c r="B34" s="37" t="s">
        <v>94</v>
      </c>
      <c r="C34" s="118">
        <f>+_xlfn.XLOOKUP(PROYECTOS[[#This Row],[ID_NECESIDAD]],'1.RADICADOS'!G:G,'1.RADICADOS'!C:C,0,0,1)*1</f>
        <v>45398</v>
      </c>
      <c r="D34" s="46" t="s">
        <v>63</v>
      </c>
      <c r="E34" s="47" t="str">
        <f>+_xlfn.XLOOKUP(PROYECTOS[[#This Row],[MUNICIPIO]],MUNICIPIOS!A:A,MUNICIPIOS!E:E,0,0,1)</f>
        <v>Urabá</v>
      </c>
      <c r="F34" s="44">
        <f>+_xlfn.XLOOKUP(PROYECTOS[[#This Row],[MUNICIPIO]],MUNICIPIOS!A:A,MUNICIPIOS!F:F,0,0,1)</f>
        <v>-76.380566999999999</v>
      </c>
      <c r="G34" s="44" t="str">
        <f>+_xlfn.XLOOKUP(PROYECTOS[[#This Row],[MUNICIPIO]],MUNICIPIOS!A:A,MUNICIPIOS!G:G,0,0,1)</f>
        <v>8,276884</v>
      </c>
      <c r="H34" s="44">
        <f>+_xlfn.XLOOKUP(PROYECTOS[[#This Row],[MUNICIPIO]],MUNICIPIOS!A:A,MUNICIPIOS!B:B,0,0,1)</f>
        <v>1</v>
      </c>
      <c r="I34" s="44">
        <f>+_xlfn.XLOOKUP(PROYECTOS[[#This Row],[MUNICIPIO]],MUNICIPIOS!A:A,MUNICIPIOS!C:C,0,0,1)</f>
        <v>1</v>
      </c>
      <c r="J34" s="3" t="str" cm="1">
        <f t="array" ref="J34">_xlfn.TEXTJOIN(" ", TRUE, IF(radicados[ID PROYECTOS]=A34, radicados[RADICADO], ""))</f>
        <v>2024010163837</v>
      </c>
      <c r="K34" s="45">
        <v>3</v>
      </c>
      <c r="L34" s="48">
        <v>2500751722</v>
      </c>
      <c r="M34" s="34" t="s">
        <v>392</v>
      </c>
      <c r="N34" s="40" t="s">
        <v>1079</v>
      </c>
      <c r="O34" s="40" t="s">
        <v>7</v>
      </c>
      <c r="P34" s="37"/>
      <c r="Q34" s="45"/>
      <c r="R34" s="43"/>
      <c r="S34" s="43"/>
      <c r="T34" s="44">
        <f>+_xlfn.XLOOKUP(PROYECTOS[[#This Row],[MUNICIPIO]],'4.CAP_ENDMNT'!B:B,'4.CAP_ENDMNT'!C:C,0,0,1)</f>
        <v>6</v>
      </c>
      <c r="U34" s="139">
        <f>+_xlfn.XLOOKUP(PROYECTOS[[#This Row],[MUNICIPIO]],'4.CAP_ENDMNT'!B:B,'4.CAP_ENDMNT'!D:D,0,0,1)</f>
        <v>19508372714.52</v>
      </c>
      <c r="V34" s="140">
        <f>+_xlfn.XLOOKUP(PROYECTOS[[#This Row],[MUNICIPIO]],'4.CAP_ENDMNT'!B:B,'4.CAP_ENDMNT'!E:E,0,0,1)</f>
        <v>5389834315.5</v>
      </c>
      <c r="W34" s="140">
        <f>+_xlfn.XLOOKUP(PROYECTOS[[#This Row],[MUNICIPIO]],'4.CAP_ENDMNT'!B:B,'4.CAP_ENDMNT'!F:F,0,0,1)</f>
        <v>14118538399.02</v>
      </c>
      <c r="X34" s="140">
        <f>+_xlfn.XLOOKUP(PROYECTOS[[#This Row],[MUNICIPIO]],'4.CAP_ENDMNT'!B:B,'4.CAP_ENDMNT'!G:G,0,0,1)</f>
        <v>2594281047</v>
      </c>
      <c r="Y34" s="140">
        <f>+_xlfn.XLOOKUP(PROYECTOS[[#This Row],[MUNICIPIO]],'4.CAP_ENDMNT'!B:B,'4.CAP_ENDMNT'!H:H,0,0,1)</f>
        <v>1833333333</v>
      </c>
      <c r="Z34" s="140">
        <f>+_xlfn.XLOOKUP(PROYECTOS[[#This Row],[MUNICIPIO]],'4.CAP_ENDMNT'!B:B,'4.CAP_ENDMNT'!I:I,0,0,1)</f>
        <v>4427614380</v>
      </c>
      <c r="AA34" s="134">
        <f>+_xlfn.XLOOKUP(PROYECTOS[[#This Row],[MUNICIPIO]],'4.CAP_ENDMNT'!B:B,'4.CAP_ENDMNT'!J:J,0,0,1)</f>
        <v>0.22695969801235882</v>
      </c>
      <c r="AB34" s="140">
        <f>+_xlfn.XLOOKUP(PROYECTOS[[#This Row],[MUNICIPIO]],'4.CAP_ENDMNT'!B:B,'4.CAP_ENDMNT'!K:K,0,0,1)</f>
        <v>15080758334.52</v>
      </c>
      <c r="AC34" s="140">
        <f>+_xlfn.XLOOKUP(PROYECTOS[[#This Row],[MUNICIPIO]],'4.CAP_ENDMNT'!B:B,'4.CAP_ENDMNT'!L:L,0,0,1)</f>
        <v>12064606667.616001</v>
      </c>
      <c r="AD34" s="140">
        <f>+_xlfn.XLOOKUP(PROYECTOS[[#This Row],[MUNICIPIO]],'4.CAP_ENDMNT'!B:B,'4.CAP_ENDMNT'!M:M,0,0,1)</f>
        <v>9048455000.7119999</v>
      </c>
      <c r="AE34" s="134">
        <f>+_xlfn.XLOOKUP(PROYECTOS[[#This Row],[MUNICIPIO]],'4.CAP_ENDMNT'!B:B,'4.CAP_ENDMNT'!N:N,0,0,1)</f>
        <v>0.58593202215591322</v>
      </c>
      <c r="AF34" s="134">
        <f>+_xlfn.XLOOKUP(PROYECTOS[[#This Row],[MUNICIPIO]],'4.CAP_ENDMNT'!B:B,'4.CAP_ENDMNT'!O:O,0,0,1)</f>
        <v>0.58851112900500024</v>
      </c>
      <c r="AG34" s="134">
        <f>+_xlfn.XLOOKUP(PROYECTOS[[#This Row],[MUNICIPIO]],'4.CAP_ENDMNT'!B:B,'4.CAP_ENDMNT'!P:P,0,0,1)</f>
        <v>0.8</v>
      </c>
      <c r="AH34" s="44" t="str">
        <f>+_xlfn.XLOOKUP(PROYECTOS[[#This Row],[MUNICIPIO]],'4.CAP_ENDMNT'!B:B,'4.CAP_ENDMNT'!Q:Q,0,0,1)</f>
        <v>Cumple</v>
      </c>
      <c r="AI34" s="139">
        <f>+_xlfn.XLOOKUP(PROYECTOS[[#This Row],[MUNICIPIO]],'4.CAP_ENDMNT'!B:B,'4.CAP_ENDMNT'!V:V,0,0,1)</f>
        <v>1809691000.1424</v>
      </c>
      <c r="AJ34" s="139">
        <f>+_xlfn.XLOOKUP(PROYECTOS[[#This Row],[MUNICIPIO]],'4.CAP_ENDMNT'!B:B,'4.CAP_ENDMNT'!Y:Y,0,0,1)</f>
        <v>-12348843887.145599</v>
      </c>
      <c r="AK34"/>
      <c r="AL34"/>
      <c r="AM34"/>
    </row>
    <row r="35" spans="1:39">
      <c r="A35" s="44">
        <v>37</v>
      </c>
      <c r="B35" s="37" t="s">
        <v>96</v>
      </c>
      <c r="C35" s="118">
        <f>+_xlfn.XLOOKUP(PROYECTOS[[#This Row],[ID_NECESIDAD]],'1.RADICADOS'!G:G,'1.RADICADOS'!C:C,0,0,1)*1</f>
        <v>45440</v>
      </c>
      <c r="D35" s="46" t="s">
        <v>95</v>
      </c>
      <c r="E35" s="47" t="str">
        <f>+_xlfn.XLOOKUP(PROYECTOS[[#This Row],[MUNICIPIO]],MUNICIPIOS!A:A,MUNICIPIOS!E:E,0,0,1)</f>
        <v>Occidente</v>
      </c>
      <c r="F35" s="44">
        <f>+_xlfn.XLOOKUP(PROYECTOS[[#This Row],[MUNICIPIO]],MUNICIPIOS!A:A,MUNICIPIOS!F:F,0,0,1)</f>
        <v>-75.747377999999998</v>
      </c>
      <c r="G35" s="44">
        <f>+_xlfn.XLOOKUP(PROYECTOS[[#This Row],[MUNICIPIO]],MUNICIPIOS!A:A,MUNICIPIOS!G:G,0,0,1)</f>
        <v>6.5007450000000002</v>
      </c>
      <c r="H35" s="44">
        <f>+_xlfn.XLOOKUP(PROYECTOS[[#This Row],[MUNICIPIO]],MUNICIPIOS!A:A,MUNICIPIOS!B:B,0,0,1)</f>
        <v>0</v>
      </c>
      <c r="I35" s="44">
        <f>+_xlfn.XLOOKUP(PROYECTOS[[#This Row],[MUNICIPIO]],MUNICIPIOS!A:A,MUNICIPIOS!C:C,0,0,1)</f>
        <v>0</v>
      </c>
      <c r="J35" s="3" t="str" cm="1">
        <f t="array" ref="J35">_xlfn.TEXTJOIN(" ", TRUE, IF(radicados[ID PROYECTOS]=A35, radicados[RADICADO], ""))</f>
        <v>2024010238039</v>
      </c>
      <c r="K35" s="45">
        <v>3</v>
      </c>
      <c r="L35" s="48">
        <v>16955817824</v>
      </c>
      <c r="M35" s="34" t="s">
        <v>396</v>
      </c>
      <c r="N35" s="34" t="s">
        <v>397</v>
      </c>
      <c r="O35" s="34" t="s">
        <v>56</v>
      </c>
      <c r="P35" s="37"/>
      <c r="Q35" s="45"/>
      <c r="R35" s="43"/>
      <c r="S35" s="43"/>
      <c r="T35" s="44">
        <f>+_xlfn.XLOOKUP(PROYECTOS[[#This Row],[MUNICIPIO]],'4.CAP_ENDMNT'!B:B,'4.CAP_ENDMNT'!C:C,0,0,1)</f>
        <v>6</v>
      </c>
      <c r="U35" s="139">
        <f>+_xlfn.XLOOKUP(PROYECTOS[[#This Row],[MUNICIPIO]],'4.CAP_ENDMNT'!B:B,'4.CAP_ENDMNT'!D:D,0,0,1)</f>
        <v>16347842057.745998</v>
      </c>
      <c r="V35" s="140">
        <f>+_xlfn.XLOOKUP(PROYECTOS[[#This Row],[MUNICIPIO]],'4.CAP_ENDMNT'!B:B,'4.CAP_ENDMNT'!E:E,0,0,1)</f>
        <v>7901643157.3299999</v>
      </c>
      <c r="W35" s="140">
        <f>+_xlfn.XLOOKUP(PROYECTOS[[#This Row],[MUNICIPIO]],'4.CAP_ENDMNT'!B:B,'4.CAP_ENDMNT'!F:F,0,0,1)</f>
        <v>8446198900.4159985</v>
      </c>
      <c r="X35" s="140">
        <f>+_xlfn.XLOOKUP(PROYECTOS[[#This Row],[MUNICIPIO]],'4.CAP_ENDMNT'!B:B,'4.CAP_ENDMNT'!G:G,0,0,1)</f>
        <v>1620905965.8499999</v>
      </c>
      <c r="Y35" s="140">
        <f>+_xlfn.XLOOKUP(PROYECTOS[[#This Row],[MUNICIPIO]],'4.CAP_ENDMNT'!B:B,'4.CAP_ENDMNT'!H:H,0,0,1)</f>
        <v>2416666620</v>
      </c>
      <c r="Z35" s="140">
        <f>+_xlfn.XLOOKUP(PROYECTOS[[#This Row],[MUNICIPIO]],'4.CAP_ENDMNT'!B:B,'4.CAP_ENDMNT'!I:I,0,0,1)</f>
        <v>4037572585.8499999</v>
      </c>
      <c r="AA35" s="134">
        <f>+_xlfn.XLOOKUP(PROYECTOS[[#This Row],[MUNICIPIO]],'4.CAP_ENDMNT'!B:B,'4.CAP_ENDMNT'!J:J,0,0,1)</f>
        <v>0.24697893285168493</v>
      </c>
      <c r="AB35" s="140">
        <f>+_xlfn.XLOOKUP(PROYECTOS[[#This Row],[MUNICIPIO]],'4.CAP_ENDMNT'!B:B,'4.CAP_ENDMNT'!K:K,0,0,1)</f>
        <v>12310269471.895998</v>
      </c>
      <c r="AC35" s="140">
        <f>+_xlfn.XLOOKUP(PROYECTOS[[#This Row],[MUNICIPIO]],'4.CAP_ENDMNT'!B:B,'4.CAP_ENDMNT'!L:L,0,0,1)</f>
        <v>9848215577.516798</v>
      </c>
      <c r="AD35" s="140">
        <f>+_xlfn.XLOOKUP(PROYECTOS[[#This Row],[MUNICIPIO]],'4.CAP_ENDMNT'!B:B,'4.CAP_ENDMNT'!M:M,0,0,1)</f>
        <v>7386161683.137599</v>
      </c>
      <c r="AE35" s="134">
        <f>+_xlfn.XLOOKUP(PROYECTOS[[#This Row],[MUNICIPIO]],'4.CAP_ENDMNT'!B:B,'4.CAP_ENDMNT'!N:N,0,0,1)</f>
        <v>0.40145556058375176</v>
      </c>
      <c r="AF35" s="134">
        <f>+_xlfn.XLOOKUP(PROYECTOS[[#This Row],[MUNICIPIO]],'4.CAP_ENDMNT'!B:B,'4.CAP_ENDMNT'!O:O,0,0,1)</f>
        <v>0.5852153455768756</v>
      </c>
      <c r="AG35" s="134">
        <f>+_xlfn.XLOOKUP(PROYECTOS[[#This Row],[MUNICIPIO]],'4.CAP_ENDMNT'!B:B,'4.CAP_ENDMNT'!P:P,0,0,1)</f>
        <v>0.8</v>
      </c>
      <c r="AH35" s="44" t="str">
        <f>+_xlfn.XLOOKUP(PROYECTOS[[#This Row],[MUNICIPIO]],'4.CAP_ENDMNT'!B:B,'4.CAP_ENDMNT'!Q:Q,0,0,1)</f>
        <v>Cumple</v>
      </c>
      <c r="AI35" s="139">
        <f>+_xlfn.XLOOKUP(PROYECTOS[[#This Row],[MUNICIPIO]],'4.CAP_ENDMNT'!B:B,'4.CAP_ENDMNT'!V:V,0,0,1)</f>
        <v>1477232336.6275198</v>
      </c>
      <c r="AJ35" s="139">
        <f>+_xlfn.XLOOKUP(PROYECTOS[[#This Row],[MUNICIPIO]],'4.CAP_ENDMNT'!B:B,'4.CAP_ENDMNT'!Y:Y,0,0,1)</f>
        <v>-11946219029.23488</v>
      </c>
      <c r="AK35"/>
      <c r="AL35"/>
      <c r="AM35"/>
    </row>
    <row r="36" spans="1:39">
      <c r="A36" s="44">
        <v>39</v>
      </c>
      <c r="B36" s="37" t="s">
        <v>99</v>
      </c>
      <c r="C36" s="118">
        <f>+_xlfn.XLOOKUP(PROYECTOS[[#This Row],[ID_NECESIDAD]],'1.RADICADOS'!G:G,'1.RADICADOS'!C:C,0,0,1)*1</f>
        <v>45554</v>
      </c>
      <c r="D36" s="46" t="s">
        <v>35</v>
      </c>
      <c r="E36" s="47" t="str">
        <f>+_xlfn.XLOOKUP(PROYECTOS[[#This Row],[MUNICIPIO]],MUNICIPIOS!A:A,MUNICIPIOS!E:E,0,0,1)</f>
        <v>Norte</v>
      </c>
      <c r="F36" s="44">
        <f>+_xlfn.XLOOKUP(PROYECTOS[[#This Row],[MUNICIPIO]],MUNICIPIOS!A:A,MUNICIPIOS!F:F,0,0,1)</f>
        <v>-75.392629999999997</v>
      </c>
      <c r="G36" s="44" t="str">
        <f>+_xlfn.XLOOKUP(PROYECTOS[[#This Row],[MUNICIPIO]],MUNICIPIOS!A:A,MUNICIPIOS!G:G,0,0,1)</f>
        <v>6,485603</v>
      </c>
      <c r="H36" s="44">
        <f>+_xlfn.XLOOKUP(PROYECTOS[[#This Row],[MUNICIPIO]],MUNICIPIOS!A:A,MUNICIPIOS!B:B,0,0,1)</f>
        <v>0</v>
      </c>
      <c r="I36" s="44">
        <f>+_xlfn.XLOOKUP(PROYECTOS[[#This Row],[MUNICIPIO]],MUNICIPIOS!A:A,MUNICIPIOS!C:C,0,0,1)</f>
        <v>0</v>
      </c>
      <c r="J36" s="3" t="str" cm="1">
        <f t="array" ref="J36">_xlfn.TEXTJOIN(" ", TRUE, IF(radicados[ID PROYECTOS]=A36, radicados[RADICADO], ""))</f>
        <v>2024010273696 2024010429631</v>
      </c>
      <c r="K36" s="45">
        <v>3</v>
      </c>
      <c r="L36" s="48">
        <v>7948407205</v>
      </c>
      <c r="M36" s="34" t="s">
        <v>396</v>
      </c>
      <c r="N36" s="34" t="s">
        <v>398</v>
      </c>
      <c r="O36" s="34" t="s">
        <v>25</v>
      </c>
      <c r="P36" s="37"/>
      <c r="Q36" s="45"/>
      <c r="R36" s="43"/>
      <c r="S36" s="43"/>
      <c r="T36" s="44">
        <f>+_xlfn.XLOOKUP(PROYECTOS[[#This Row],[MUNICIPIO]],'4.CAP_ENDMNT'!B:B,'4.CAP_ENDMNT'!C:C,0,0,1)</f>
        <v>6</v>
      </c>
      <c r="U36" s="139">
        <f>+_xlfn.XLOOKUP(PROYECTOS[[#This Row],[MUNICIPIO]],'4.CAP_ENDMNT'!B:B,'4.CAP_ENDMNT'!D:D,0,0,1)</f>
        <v>24529039369.539501</v>
      </c>
      <c r="V36" s="140">
        <f>+_xlfn.XLOOKUP(PROYECTOS[[#This Row],[MUNICIPIO]],'4.CAP_ENDMNT'!B:B,'4.CAP_ENDMNT'!E:E,0,0,1)</f>
        <v>8973012363.6700001</v>
      </c>
      <c r="W36" s="140">
        <f>+_xlfn.XLOOKUP(PROYECTOS[[#This Row],[MUNICIPIO]],'4.CAP_ENDMNT'!B:B,'4.CAP_ENDMNT'!F:F,0,0,1)</f>
        <v>15556027005.869501</v>
      </c>
      <c r="X36" s="140">
        <f>+_xlfn.XLOOKUP(PROYECTOS[[#This Row],[MUNICIPIO]],'4.CAP_ENDMNT'!B:B,'4.CAP_ENDMNT'!G:G,0,0,1)</f>
        <v>7973050390</v>
      </c>
      <c r="Y36" s="140">
        <f>+_xlfn.XLOOKUP(PROYECTOS[[#This Row],[MUNICIPIO]],'4.CAP_ENDMNT'!B:B,'4.CAP_ENDMNT'!H:H,0,0,1)</f>
        <v>1625381984</v>
      </c>
      <c r="Z36" s="140">
        <f>+_xlfn.XLOOKUP(PROYECTOS[[#This Row],[MUNICIPIO]],'4.CAP_ENDMNT'!B:B,'4.CAP_ENDMNT'!I:I,0,0,1)</f>
        <v>9598432374</v>
      </c>
      <c r="AA36" s="134">
        <f>+_xlfn.XLOOKUP(PROYECTOS[[#This Row],[MUNICIPIO]],'4.CAP_ENDMNT'!B:B,'4.CAP_ENDMNT'!J:J,0,0,1)</f>
        <v>0.39130893914742809</v>
      </c>
      <c r="AB36" s="140">
        <f>+_xlfn.XLOOKUP(PROYECTOS[[#This Row],[MUNICIPIO]],'4.CAP_ENDMNT'!B:B,'4.CAP_ENDMNT'!K:K,0,0,1)</f>
        <v>14930606995.539501</v>
      </c>
      <c r="AC36" s="140">
        <f>+_xlfn.XLOOKUP(PROYECTOS[[#This Row],[MUNICIPIO]],'4.CAP_ENDMNT'!B:B,'4.CAP_ENDMNT'!L:L,0,0,1)</f>
        <v>11944485596.431602</v>
      </c>
      <c r="AD36" s="140">
        <f>+_xlfn.XLOOKUP(PROYECTOS[[#This Row],[MUNICIPIO]],'4.CAP_ENDMNT'!B:B,'4.CAP_ENDMNT'!M:M,0,0,1)</f>
        <v>8958364197.3237</v>
      </c>
      <c r="AE36" s="134">
        <f>+_xlfn.XLOOKUP(PROYECTOS[[#This Row],[MUNICIPIO]],'4.CAP_ENDMNT'!B:B,'4.CAP_ENDMNT'!N:N,0,0,1)</f>
        <v>0.83066172467883448</v>
      </c>
      <c r="AF36" s="134">
        <f>+_xlfn.XLOOKUP(PROYECTOS[[#This Row],[MUNICIPIO]],'4.CAP_ENDMNT'!B:B,'4.CAP_ENDMNT'!O:O,0,0,1)</f>
        <v>0.53024343717246458</v>
      </c>
      <c r="AG36" s="134">
        <f>+_xlfn.XLOOKUP(PROYECTOS[[#This Row],[MUNICIPIO]],'4.CAP_ENDMNT'!B:B,'4.CAP_ENDMNT'!P:P,0,0,1)</f>
        <v>0.8</v>
      </c>
      <c r="AH36" s="44" t="str">
        <f>+_xlfn.XLOOKUP(PROYECTOS[[#This Row],[MUNICIPIO]],'4.CAP_ENDMNT'!B:B,'4.CAP_ENDMNT'!Q:Q,0,0,1)</f>
        <v>Cumple</v>
      </c>
      <c r="AI36" s="139">
        <f>+_xlfn.XLOOKUP(PROYECTOS[[#This Row],[MUNICIPIO]],'4.CAP_ENDMNT'!B:B,'4.CAP_ENDMNT'!V:V,0,0,1)</f>
        <v>1791672839.46474</v>
      </c>
      <c r="AJ36" s="139">
        <f>+_xlfn.XLOOKUP(PROYECTOS[[#This Row],[MUNICIPIO]],'4.CAP_ENDMNT'!B:B,'4.CAP_ENDMNT'!Y:Y,0,0,1)</f>
        <v>-8164135575.2115593</v>
      </c>
      <c r="AK36"/>
      <c r="AL36"/>
      <c r="AM36"/>
    </row>
    <row r="37" spans="1:39">
      <c r="A37" s="44">
        <v>40</v>
      </c>
      <c r="B37" s="37" t="s">
        <v>100</v>
      </c>
      <c r="C37" s="118">
        <f>+_xlfn.XLOOKUP(PROYECTOS[[#This Row],[ID_NECESIDAD]],'1.RADICADOS'!G:G,'1.RADICADOS'!C:C,0,0,1)*1</f>
        <v>45464</v>
      </c>
      <c r="D37" s="46" t="s">
        <v>88</v>
      </c>
      <c r="E37" s="47" t="str">
        <f>+_xlfn.XLOOKUP(PROYECTOS[[#This Row],[MUNICIPIO]],MUNICIPIOS!A:A,MUNICIPIOS!E:E,0,0,1)</f>
        <v>Suroeste</v>
      </c>
      <c r="F37" s="44">
        <f>+_xlfn.XLOOKUP(PROYECTOS[[#This Row],[MUNICIPIO]],MUNICIPIOS!A:A,MUNICIPIOS!F:F,0,0,1)</f>
        <v>-75.839903000000007</v>
      </c>
      <c r="G37" s="44" t="str">
        <f>+_xlfn.XLOOKUP(PROYECTOS[[#This Row],[MUNICIPIO]],MUNICIPIOS!A:A,MUNICIPIOS!G:G,0,0,1)</f>
        <v>5,79158</v>
      </c>
      <c r="H37" s="44">
        <f>+_xlfn.XLOOKUP(PROYECTOS[[#This Row],[MUNICIPIO]],MUNICIPIOS!A:A,MUNICIPIOS!B:B,0,0,1)</f>
        <v>0</v>
      </c>
      <c r="I37" s="44">
        <f>+_xlfn.XLOOKUP(PROYECTOS[[#This Row],[MUNICIPIO]],MUNICIPIOS!A:A,MUNICIPIOS!C:C,0,0,1)</f>
        <v>0</v>
      </c>
      <c r="J37" s="3" t="str" cm="1">
        <f t="array" ref="J37">_xlfn.TEXTJOIN(" ", TRUE, IF(radicados[ID PROYECTOS]=A37, radicados[RADICADO], ""))</f>
        <v>2024010277200</v>
      </c>
      <c r="K37" s="45">
        <v>3</v>
      </c>
      <c r="L37" s="48">
        <v>4106423860</v>
      </c>
      <c r="M37" s="34" t="s">
        <v>401</v>
      </c>
      <c r="N37" s="34" t="s">
        <v>398</v>
      </c>
      <c r="O37" s="34" t="s">
        <v>25</v>
      </c>
      <c r="P37" s="37" t="s">
        <v>1361</v>
      </c>
      <c r="Q37" s="45"/>
      <c r="R37" s="43"/>
      <c r="S37" s="43"/>
      <c r="T37" s="44">
        <f>+_xlfn.XLOOKUP(PROYECTOS[[#This Row],[MUNICIPIO]],'4.CAP_ENDMNT'!B:B,'4.CAP_ENDMNT'!C:C,0,0,1)</f>
        <v>6</v>
      </c>
      <c r="U37" s="139">
        <f>+_xlfn.XLOOKUP(PROYECTOS[[#This Row],[MUNICIPIO]],'4.CAP_ENDMNT'!B:B,'4.CAP_ENDMNT'!D:D,0,0,1)</f>
        <v>7408957946.4439993</v>
      </c>
      <c r="V37" s="140">
        <f>+_xlfn.XLOOKUP(PROYECTOS[[#This Row],[MUNICIPIO]],'4.CAP_ENDMNT'!B:B,'4.CAP_ENDMNT'!E:E,0,0,1)</f>
        <v>2726179218.2000003</v>
      </c>
      <c r="W37" s="140">
        <f>+_xlfn.XLOOKUP(PROYECTOS[[#This Row],[MUNICIPIO]],'4.CAP_ENDMNT'!B:B,'4.CAP_ENDMNT'!F:F,0,0,1)</f>
        <v>4682778728.2439995</v>
      </c>
      <c r="X37" s="140">
        <f>+_xlfn.XLOOKUP(PROYECTOS[[#This Row],[MUNICIPIO]],'4.CAP_ENDMNT'!B:B,'4.CAP_ENDMNT'!G:G,0,0,1)</f>
        <v>1117539497</v>
      </c>
      <c r="Y37" s="140">
        <f>+_xlfn.XLOOKUP(PROYECTOS[[#This Row],[MUNICIPIO]],'4.CAP_ENDMNT'!B:B,'4.CAP_ENDMNT'!H:H,0,0,1)</f>
        <v>0</v>
      </c>
      <c r="Z37" s="140">
        <f>+_xlfn.XLOOKUP(PROYECTOS[[#This Row],[MUNICIPIO]],'4.CAP_ENDMNT'!B:B,'4.CAP_ENDMNT'!I:I,0,0,1)</f>
        <v>1117539497</v>
      </c>
      <c r="AA37" s="134">
        <f>+_xlfn.XLOOKUP(PROYECTOS[[#This Row],[MUNICIPIO]],'4.CAP_ENDMNT'!B:B,'4.CAP_ENDMNT'!J:J,0,0,1)</f>
        <v>0.15083625863153588</v>
      </c>
      <c r="AB37" s="140">
        <f>+_xlfn.XLOOKUP(PROYECTOS[[#This Row],[MUNICIPIO]],'4.CAP_ENDMNT'!B:B,'4.CAP_ENDMNT'!K:K,0,0,1)</f>
        <v>6291418449.4439993</v>
      </c>
      <c r="AC37" s="140">
        <f>+_xlfn.XLOOKUP(PROYECTOS[[#This Row],[MUNICIPIO]],'4.CAP_ENDMNT'!B:B,'4.CAP_ENDMNT'!L:L,0,0,1)</f>
        <v>5033134759.5551996</v>
      </c>
      <c r="AD37" s="140">
        <f>+_xlfn.XLOOKUP(PROYECTOS[[#This Row],[MUNICIPIO]],'4.CAP_ENDMNT'!B:B,'4.CAP_ENDMNT'!M:M,0,0,1)</f>
        <v>3774851069.6663995</v>
      </c>
      <c r="AE37" s="134">
        <f>+_xlfn.XLOOKUP(PROYECTOS[[#This Row],[MUNICIPIO]],'4.CAP_ENDMNT'!B:B,'4.CAP_ENDMNT'!N:N,0,0,1)</f>
        <v>1</v>
      </c>
      <c r="AF37" s="134">
        <f>+_xlfn.XLOOKUP(PROYECTOS[[#This Row],[MUNICIPIO]],'4.CAP_ENDMNT'!B:B,'4.CAP_ENDMNT'!O:O,0,0,1)</f>
        <v>0.78495373596781126</v>
      </c>
      <c r="AG37" s="134">
        <f>+_xlfn.XLOOKUP(PROYECTOS[[#This Row],[MUNICIPIO]],'4.CAP_ENDMNT'!B:B,'4.CAP_ENDMNT'!P:P,0,0,1)</f>
        <v>0.8</v>
      </c>
      <c r="AH37" s="44" t="str">
        <f>+_xlfn.XLOOKUP(PROYECTOS[[#This Row],[MUNICIPIO]],'4.CAP_ENDMNT'!B:B,'4.CAP_ENDMNT'!Q:Q,0,0,1)</f>
        <v>Riesgo</v>
      </c>
      <c r="AI37" s="139">
        <f>+_xlfn.XLOOKUP(PROYECTOS[[#This Row],[MUNICIPIO]],'4.CAP_ENDMNT'!B:B,'4.CAP_ENDMNT'!V:V,0,0,1)</f>
        <v>754970213.93327999</v>
      </c>
      <c r="AJ37" s="139">
        <f>+_xlfn.XLOOKUP(PROYECTOS[[#This Row],[MUNICIPIO]],'4.CAP_ENDMNT'!B:B,'4.CAP_ENDMNT'!Y:Y,0,0,1)</f>
        <v>-4520144590.4003201</v>
      </c>
      <c r="AK37"/>
      <c r="AL37"/>
      <c r="AM37"/>
    </row>
    <row r="38" spans="1:39">
      <c r="A38" s="44">
        <v>42</v>
      </c>
      <c r="B38" s="37" t="s">
        <v>405</v>
      </c>
      <c r="C38" s="118">
        <f>+_xlfn.XLOOKUP(PROYECTOS[[#This Row],[ID_NECESIDAD]],'1.RADICADOS'!G:G,'1.RADICADOS'!C:C,0,0,1)*1</f>
        <v>45429</v>
      </c>
      <c r="D38" s="46" t="s">
        <v>103</v>
      </c>
      <c r="E38" s="47" t="str">
        <f>+_xlfn.XLOOKUP(PROYECTOS[[#This Row],[MUNICIPIO]],MUNICIPIOS!A:A,MUNICIPIOS!E:E,0,0,1)</f>
        <v>Oriente</v>
      </c>
      <c r="F38" s="44">
        <f>+_xlfn.XLOOKUP(PROYECTOS[[#This Row],[MUNICIPIO]],MUNICIPIOS!A:A,MUNICIPIOS!F:F,0,0,1)</f>
        <v>-75.257587000000001</v>
      </c>
      <c r="G38" s="44" t="str">
        <f>+_xlfn.XLOOKUP(PROYECTOS[[#This Row],[MUNICIPIO]],MUNICIPIOS!A:A,MUNICIPIOS!G:G,0,0,1)</f>
        <v>6,394348</v>
      </c>
      <c r="H38" s="44">
        <f>+_xlfn.XLOOKUP(PROYECTOS[[#This Row],[MUNICIPIO]],MUNICIPIOS!A:A,MUNICIPIOS!B:B,0,0,1)</f>
        <v>0</v>
      </c>
      <c r="I38" s="44">
        <f>+_xlfn.XLOOKUP(PROYECTOS[[#This Row],[MUNICIPIO]],MUNICIPIOS!A:A,MUNICIPIOS!C:C,0,0,1)</f>
        <v>1</v>
      </c>
      <c r="J38" s="3" t="str" cm="1">
        <f t="array" ref="J38">_xlfn.TEXTJOIN(" ", TRUE, IF(radicados[ID PROYECTOS]=A38, radicados[RADICADO], ""))</f>
        <v>2024010279803</v>
      </c>
      <c r="K38" s="45">
        <v>1</v>
      </c>
      <c r="L38" s="48"/>
      <c r="M38" s="34" t="s">
        <v>396</v>
      </c>
      <c r="N38" s="34" t="s">
        <v>397</v>
      </c>
      <c r="O38" s="34" t="s">
        <v>56</v>
      </c>
      <c r="P38" s="37" t="s">
        <v>406</v>
      </c>
      <c r="Q38" s="45"/>
      <c r="R38" s="43"/>
      <c r="S38" s="43"/>
      <c r="T38" s="44">
        <f>+_xlfn.XLOOKUP(PROYECTOS[[#This Row],[MUNICIPIO]],'4.CAP_ENDMNT'!B:B,'4.CAP_ENDMNT'!C:C,0,0,1)</f>
        <v>6</v>
      </c>
      <c r="U38" s="139">
        <f>+_xlfn.XLOOKUP(PROYECTOS[[#This Row],[MUNICIPIO]],'4.CAP_ENDMNT'!B:B,'4.CAP_ENDMNT'!D:D,0,0,1)</f>
        <v>8725724060.9459991</v>
      </c>
      <c r="V38" s="140">
        <f>+_xlfn.XLOOKUP(PROYECTOS[[#This Row],[MUNICIPIO]],'4.CAP_ENDMNT'!B:B,'4.CAP_ENDMNT'!E:E,0,0,1)</f>
        <v>1935290211.05</v>
      </c>
      <c r="W38" s="140">
        <f>+_xlfn.XLOOKUP(PROYECTOS[[#This Row],[MUNICIPIO]],'4.CAP_ENDMNT'!B:B,'4.CAP_ENDMNT'!F:F,0,0,1)</f>
        <v>6790433849.895999</v>
      </c>
      <c r="X38" s="140">
        <f>+_xlfn.XLOOKUP(PROYECTOS[[#This Row],[MUNICIPIO]],'4.CAP_ENDMNT'!B:B,'4.CAP_ENDMNT'!G:G,0,0,1)</f>
        <v>661232494</v>
      </c>
      <c r="Y38" s="140">
        <f>+_xlfn.XLOOKUP(PROYECTOS[[#This Row],[MUNICIPIO]],'4.CAP_ENDMNT'!B:B,'4.CAP_ENDMNT'!H:H,0,0,1)</f>
        <v>0</v>
      </c>
      <c r="Z38" s="140">
        <f>+_xlfn.XLOOKUP(PROYECTOS[[#This Row],[MUNICIPIO]],'4.CAP_ENDMNT'!B:B,'4.CAP_ENDMNT'!I:I,0,0,1)</f>
        <v>661232494</v>
      </c>
      <c r="AA38" s="134">
        <f>+_xlfn.XLOOKUP(PROYECTOS[[#This Row],[MUNICIPIO]],'4.CAP_ENDMNT'!B:B,'4.CAP_ENDMNT'!J:J,0,0,1)</f>
        <v>7.5779670475657063E-2</v>
      </c>
      <c r="AB38" s="140">
        <f>+_xlfn.XLOOKUP(PROYECTOS[[#This Row],[MUNICIPIO]],'4.CAP_ENDMNT'!B:B,'4.CAP_ENDMNT'!K:K,0,0,1)</f>
        <v>8064491566.9459991</v>
      </c>
      <c r="AC38" s="140">
        <f>+_xlfn.XLOOKUP(PROYECTOS[[#This Row],[MUNICIPIO]],'4.CAP_ENDMNT'!B:B,'4.CAP_ENDMNT'!L:L,0,0,1)</f>
        <v>6451593253.5567999</v>
      </c>
      <c r="AD38" s="140">
        <f>+_xlfn.XLOOKUP(PROYECTOS[[#This Row],[MUNICIPIO]],'4.CAP_ENDMNT'!B:B,'4.CAP_ENDMNT'!M:M,0,0,1)</f>
        <v>4838694940.1675997</v>
      </c>
      <c r="AE38" s="134">
        <f>+_xlfn.XLOOKUP(PROYECTOS[[#This Row],[MUNICIPIO]],'4.CAP_ENDMNT'!B:B,'4.CAP_ENDMNT'!N:N,0,0,1)</f>
        <v>1</v>
      </c>
      <c r="AF38" s="134">
        <f>+_xlfn.XLOOKUP(PROYECTOS[[#This Row],[MUNICIPIO]],'4.CAP_ENDMNT'!B:B,'4.CAP_ENDMNT'!O:O,0,0,1)</f>
        <v>0.53402239411083863</v>
      </c>
      <c r="AG38" s="134">
        <f>+_xlfn.XLOOKUP(PROYECTOS[[#This Row],[MUNICIPIO]],'4.CAP_ENDMNT'!B:B,'4.CAP_ENDMNT'!P:P,0,0,1)</f>
        <v>0.8</v>
      </c>
      <c r="AH38" s="44" t="str">
        <f>+_xlfn.XLOOKUP(PROYECTOS[[#This Row],[MUNICIPIO]],'4.CAP_ENDMNT'!B:B,'4.CAP_ENDMNT'!Q:Q,0,0,1)</f>
        <v>Cumple</v>
      </c>
      <c r="AI38" s="139">
        <f>+_xlfn.XLOOKUP(PROYECTOS[[#This Row],[MUNICIPIO]],'4.CAP_ENDMNT'!B:B,'4.CAP_ENDMNT'!V:V,0,0,1)</f>
        <v>967738988.03351998</v>
      </c>
      <c r="AJ38" s="139">
        <f>+_xlfn.XLOOKUP(PROYECTOS[[#This Row],[MUNICIPIO]],'4.CAP_ENDMNT'!B:B,'4.CAP_ENDMNT'!Y:Y,0,0,1)</f>
        <v>5806433928.2011194</v>
      </c>
      <c r="AK38"/>
      <c r="AL38"/>
      <c r="AM38"/>
    </row>
    <row r="39" spans="1:39">
      <c r="A39" s="44">
        <v>43</v>
      </c>
      <c r="B39" s="37" t="s">
        <v>1362</v>
      </c>
      <c r="C39" s="118">
        <f>+_xlfn.XLOOKUP(PROYECTOS[[#This Row],[ID_NECESIDAD]],'1.RADICADOS'!G:G,'1.RADICADOS'!C:C,0,0,1)*1</f>
        <v>45442</v>
      </c>
      <c r="D39" s="46" t="s">
        <v>84</v>
      </c>
      <c r="E39" s="47" t="str">
        <f>+_xlfn.XLOOKUP(PROYECTOS[[#This Row],[MUNICIPIO]],MUNICIPIOS!A:A,MUNICIPIOS!E:E,0,0,1)</f>
        <v>Oriente</v>
      </c>
      <c r="F39" s="44">
        <f>+_xlfn.XLOOKUP(PROYECTOS[[#This Row],[MUNICIPIO]],MUNICIPIOS!A:A,MUNICIPIOS!F:F,0,0,1)</f>
        <v>-75.309595999999999</v>
      </c>
      <c r="G39" s="44" t="str">
        <f>+_xlfn.XLOOKUP(PROYECTOS[[#This Row],[MUNICIPIO]],MUNICIPIOS!A:A,MUNICIPIOS!G:G,0,0,1)</f>
        <v>5,714851</v>
      </c>
      <c r="H39" s="44">
        <f>+_xlfn.XLOOKUP(PROYECTOS[[#This Row],[MUNICIPIO]],MUNICIPIOS!A:A,MUNICIPIOS!B:B,0,0,1)</f>
        <v>0</v>
      </c>
      <c r="I39" s="44">
        <f>+_xlfn.XLOOKUP(PROYECTOS[[#This Row],[MUNICIPIO]],MUNICIPIOS!A:A,MUNICIPIOS!C:C,0,0,1)</f>
        <v>1</v>
      </c>
      <c r="J39" s="3" t="str" cm="1">
        <f t="array" ref="J39">_xlfn.TEXTJOIN(" ", TRUE, IF(radicados[ID PROYECTOS]=A39, radicados[RADICADO], ""))</f>
        <v>2024010220650</v>
      </c>
      <c r="K39" s="45">
        <v>3</v>
      </c>
      <c r="L39" s="48">
        <v>11094609252</v>
      </c>
      <c r="M39" s="34" t="s">
        <v>402</v>
      </c>
      <c r="N39" s="40" t="s">
        <v>1079</v>
      </c>
      <c r="O39" s="40" t="s">
        <v>29</v>
      </c>
      <c r="P39" s="37"/>
      <c r="Q39" s="45"/>
      <c r="R39" s="43"/>
      <c r="S39" s="43"/>
      <c r="T39" s="44">
        <f>+_xlfn.XLOOKUP(PROYECTOS[[#This Row],[MUNICIPIO]],'4.CAP_ENDMNT'!B:B,'4.CAP_ENDMNT'!C:C,0,0,1)</f>
        <v>5</v>
      </c>
      <c r="U39" s="139">
        <f>+_xlfn.XLOOKUP(PROYECTOS[[#This Row],[MUNICIPIO]],'4.CAP_ENDMNT'!B:B,'4.CAP_ENDMNT'!D:D,0,0,1)</f>
        <v>35695767669.016502</v>
      </c>
      <c r="V39" s="140">
        <f>+_xlfn.XLOOKUP(PROYECTOS[[#This Row],[MUNICIPIO]],'4.CAP_ENDMNT'!B:B,'4.CAP_ENDMNT'!E:E,0,0,1)</f>
        <v>13532488388.23</v>
      </c>
      <c r="W39" s="140">
        <f>+_xlfn.XLOOKUP(PROYECTOS[[#This Row],[MUNICIPIO]],'4.CAP_ENDMNT'!B:B,'4.CAP_ENDMNT'!F:F,0,0,1)</f>
        <v>22163279280.786503</v>
      </c>
      <c r="X39" s="140">
        <f>+_xlfn.XLOOKUP(PROYECTOS[[#This Row],[MUNICIPIO]],'4.CAP_ENDMNT'!B:B,'4.CAP_ENDMNT'!G:G,0,0,1)</f>
        <v>1067761948</v>
      </c>
      <c r="Y39" s="140">
        <f>+_xlfn.XLOOKUP(PROYECTOS[[#This Row],[MUNICIPIO]],'4.CAP_ENDMNT'!B:B,'4.CAP_ENDMNT'!H:H,0,0,1)</f>
        <v>4932032890</v>
      </c>
      <c r="Z39" s="140">
        <f>+_xlfn.XLOOKUP(PROYECTOS[[#This Row],[MUNICIPIO]],'4.CAP_ENDMNT'!B:B,'4.CAP_ENDMNT'!I:I,0,0,1)</f>
        <v>5999794838</v>
      </c>
      <c r="AA39" s="134">
        <f>+_xlfn.XLOOKUP(PROYECTOS[[#This Row],[MUNICIPIO]],'4.CAP_ENDMNT'!B:B,'4.CAP_ENDMNT'!J:J,0,0,1)</f>
        <v>0.16808140655867587</v>
      </c>
      <c r="AB39" s="140">
        <f>+_xlfn.XLOOKUP(PROYECTOS[[#This Row],[MUNICIPIO]],'4.CAP_ENDMNT'!B:B,'4.CAP_ENDMNT'!K:K,0,0,1)</f>
        <v>29695972831.016502</v>
      </c>
      <c r="AC39" s="140">
        <f>+_xlfn.XLOOKUP(PROYECTOS[[#This Row],[MUNICIPIO]],'4.CAP_ENDMNT'!B:B,'4.CAP_ENDMNT'!L:L,0,0,1)</f>
        <v>23756778264.813202</v>
      </c>
      <c r="AD39" s="140">
        <f>+_xlfn.XLOOKUP(PROYECTOS[[#This Row],[MUNICIPIO]],'4.CAP_ENDMNT'!B:B,'4.CAP_ENDMNT'!M:M,0,0,1)</f>
        <v>17817583698.609901</v>
      </c>
      <c r="AE39" s="134">
        <f>+_xlfn.XLOOKUP(PROYECTOS[[#This Row],[MUNICIPIO]],'4.CAP_ENDMNT'!B:B,'4.CAP_ENDMNT'!N:N,0,0,1)</f>
        <v>0.17796640999076777</v>
      </c>
      <c r="AF39" s="134">
        <f>+_xlfn.XLOOKUP(PROYECTOS[[#This Row],[MUNICIPIO]],'4.CAP_ENDMNT'!B:B,'4.CAP_ENDMNT'!O:O,0,0,1)</f>
        <v>0.4016729815979605</v>
      </c>
      <c r="AG39" s="134">
        <f>+_xlfn.XLOOKUP(PROYECTOS[[#This Row],[MUNICIPIO]],'4.CAP_ENDMNT'!B:B,'4.CAP_ENDMNT'!P:P,0,0,1)</f>
        <v>0.8</v>
      </c>
      <c r="AH39" s="44" t="str">
        <f>+_xlfn.XLOOKUP(PROYECTOS[[#This Row],[MUNICIPIO]],'4.CAP_ENDMNT'!B:B,'4.CAP_ENDMNT'!Q:Q,0,0,1)</f>
        <v>Cumple</v>
      </c>
      <c r="AI39" s="139">
        <f>+_xlfn.XLOOKUP(PROYECTOS[[#This Row],[MUNICIPIO]],'4.CAP_ENDMNT'!B:B,'4.CAP_ENDMNT'!V:V,0,0,1)</f>
        <v>3563516739.7219806</v>
      </c>
      <c r="AJ39" s="139">
        <f>+_xlfn.XLOOKUP(PROYECTOS[[#This Row],[MUNICIPIO]],'4.CAP_ENDMNT'!B:B,'4.CAP_ENDMNT'!Y:Y,0,0,1)</f>
        <v>-46557238264.668121</v>
      </c>
      <c r="AK39"/>
      <c r="AL39"/>
      <c r="AM39"/>
    </row>
    <row r="40" spans="1:39">
      <c r="A40" s="44">
        <v>44</v>
      </c>
      <c r="B40" s="37" t="s">
        <v>1363</v>
      </c>
      <c r="C40" s="118">
        <f>+_xlfn.XLOOKUP(PROYECTOS[[#This Row],[ID_NECESIDAD]],'1.RADICADOS'!G:G,'1.RADICADOS'!C:C,0,0,1)*1</f>
        <v>45464</v>
      </c>
      <c r="D40" s="46" t="s">
        <v>54</v>
      </c>
      <c r="E40" s="47" t="str">
        <f>+_xlfn.XLOOKUP(PROYECTOS[[#This Row],[MUNICIPIO]],MUNICIPIOS!A:A,MUNICIPIOS!E:E,0,0,1)</f>
        <v>Suroeste</v>
      </c>
      <c r="F40" s="44">
        <f>+_xlfn.XLOOKUP(PROYECTOS[[#This Row],[MUNICIPIO]],MUNICIPIOS!A:A,MUNICIPIOS!F:F,0,0,1)</f>
        <v>-75.822956000000005</v>
      </c>
      <c r="G40" s="44">
        <f>+_xlfn.XLOOKUP(PROYECTOS[[#This Row],[MUNICIPIO]],MUNICIPIOS!A:A,MUNICIPIOS!G:G,0,0,1)</f>
        <v>5.8645420000000001</v>
      </c>
      <c r="H40" s="44">
        <f>+_xlfn.XLOOKUP(PROYECTOS[[#This Row],[MUNICIPIO]],MUNICIPIOS!A:A,MUNICIPIOS!B:B,0,0,1)</f>
        <v>0</v>
      </c>
      <c r="I40" s="44">
        <f>+_xlfn.XLOOKUP(PROYECTOS[[#This Row],[MUNICIPIO]],MUNICIPIOS!A:A,MUNICIPIOS!C:C,0,0,1)</f>
        <v>0</v>
      </c>
      <c r="J40" s="3" t="str" cm="1">
        <f t="array" ref="J40">_xlfn.TEXTJOIN(" ", TRUE, IF(radicados[ID PROYECTOS]=A40, radicados[RADICADO], ""))</f>
        <v>2024010242499</v>
      </c>
      <c r="K40" s="45">
        <v>3</v>
      </c>
      <c r="L40" s="48">
        <v>288779865</v>
      </c>
      <c r="M40" s="34" t="s">
        <v>288</v>
      </c>
      <c r="N40" s="34" t="s">
        <v>398</v>
      </c>
      <c r="O40" s="34" t="s">
        <v>25</v>
      </c>
      <c r="P40" s="37" t="s">
        <v>1104</v>
      </c>
      <c r="Q40" s="45"/>
      <c r="R40" s="43"/>
      <c r="S40" s="43"/>
      <c r="T40" s="44">
        <f>+_xlfn.XLOOKUP(PROYECTOS[[#This Row],[MUNICIPIO]],'4.CAP_ENDMNT'!B:B,'4.CAP_ENDMNT'!C:C,0,0,1)</f>
        <v>6</v>
      </c>
      <c r="U40" s="139">
        <f>+_xlfn.XLOOKUP(PROYECTOS[[#This Row],[MUNICIPIO]],'4.CAP_ENDMNT'!B:B,'4.CAP_ENDMNT'!D:D,0,0,1)</f>
        <v>9297204605.9125004</v>
      </c>
      <c r="V40" s="140">
        <f>+_xlfn.XLOOKUP(PROYECTOS[[#This Row],[MUNICIPIO]],'4.CAP_ENDMNT'!B:B,'4.CAP_ENDMNT'!E:E,0,0,1)</f>
        <v>4650900904.1300001</v>
      </c>
      <c r="W40" s="140">
        <f>+_xlfn.XLOOKUP(PROYECTOS[[#This Row],[MUNICIPIO]],'4.CAP_ENDMNT'!B:B,'4.CAP_ENDMNT'!F:F,0,0,1)</f>
        <v>4646303701.7825003</v>
      </c>
      <c r="X40" s="140">
        <f>+_xlfn.XLOOKUP(PROYECTOS[[#This Row],[MUNICIPIO]],'4.CAP_ENDMNT'!B:B,'4.CAP_ENDMNT'!G:G,0,0,1)</f>
        <v>1308996768</v>
      </c>
      <c r="Y40" s="140">
        <f>+_xlfn.XLOOKUP(PROYECTOS[[#This Row],[MUNICIPIO]],'4.CAP_ENDMNT'!B:B,'4.CAP_ENDMNT'!H:H,0,0,1)</f>
        <v>0</v>
      </c>
      <c r="Z40" s="140">
        <f>+_xlfn.XLOOKUP(PROYECTOS[[#This Row],[MUNICIPIO]],'4.CAP_ENDMNT'!B:B,'4.CAP_ENDMNT'!I:I,0,0,1)</f>
        <v>1308996768</v>
      </c>
      <c r="AA40" s="134">
        <f>+_xlfn.XLOOKUP(PROYECTOS[[#This Row],[MUNICIPIO]],'4.CAP_ENDMNT'!B:B,'4.CAP_ENDMNT'!J:J,0,0,1)</f>
        <v>0.14079466070560084</v>
      </c>
      <c r="AB40" s="140">
        <f>+_xlfn.XLOOKUP(PROYECTOS[[#This Row],[MUNICIPIO]],'4.CAP_ENDMNT'!B:B,'4.CAP_ENDMNT'!K:K,0,0,1)</f>
        <v>7988207837.9125004</v>
      </c>
      <c r="AC40" s="140">
        <f>+_xlfn.XLOOKUP(PROYECTOS[[#This Row],[MUNICIPIO]],'4.CAP_ENDMNT'!B:B,'4.CAP_ENDMNT'!L:L,0,0,1)</f>
        <v>6390566270.3300009</v>
      </c>
      <c r="AD40" s="140">
        <f>+_xlfn.XLOOKUP(PROYECTOS[[#This Row],[MUNICIPIO]],'4.CAP_ENDMNT'!B:B,'4.CAP_ENDMNT'!M:M,0,0,1)</f>
        <v>4792924702.7475004</v>
      </c>
      <c r="AE40" s="134">
        <f>+_xlfn.XLOOKUP(PROYECTOS[[#This Row],[MUNICIPIO]],'4.CAP_ENDMNT'!B:B,'4.CAP_ENDMNT'!N:N,0,0,1)</f>
        <v>1</v>
      </c>
      <c r="AF40" s="134">
        <f>+_xlfn.XLOOKUP(PROYECTOS[[#This Row],[MUNICIPIO]],'4.CAP_ENDMNT'!B:B,'4.CAP_ENDMNT'!O:O,0,0,1)</f>
        <v>0.67267671220391811</v>
      </c>
      <c r="AG40" s="134">
        <f>+_xlfn.XLOOKUP(PROYECTOS[[#This Row],[MUNICIPIO]],'4.CAP_ENDMNT'!B:B,'4.CAP_ENDMNT'!P:P,0,0,1)</f>
        <v>0.8</v>
      </c>
      <c r="AH40" s="44" t="str">
        <f>+_xlfn.XLOOKUP(PROYECTOS[[#This Row],[MUNICIPIO]],'4.CAP_ENDMNT'!B:B,'4.CAP_ENDMNT'!Q:Q,0,0,1)</f>
        <v>Cumple</v>
      </c>
      <c r="AI40" s="139">
        <f>+_xlfn.XLOOKUP(PROYECTOS[[#This Row],[MUNICIPIO]],'4.CAP_ENDMNT'!B:B,'4.CAP_ENDMNT'!V:V,0,0,1)</f>
        <v>958584940.54950011</v>
      </c>
      <c r="AJ40" s="139">
        <f>+_xlfn.XLOOKUP(PROYECTOS[[#This Row],[MUNICIPIO]],'4.CAP_ENDMNT'!B:B,'4.CAP_ENDMNT'!Y:Y,0,0,1)</f>
        <v>-1217788521.7029991</v>
      </c>
      <c r="AK40"/>
      <c r="AL40"/>
      <c r="AM40"/>
    </row>
    <row r="41" spans="1:39">
      <c r="A41" s="44">
        <v>45</v>
      </c>
      <c r="B41" s="37" t="s">
        <v>107</v>
      </c>
      <c r="C41" s="118">
        <f>+_xlfn.XLOOKUP(PROYECTOS[[#This Row],[ID_NECESIDAD]],'1.RADICADOS'!G:G,'1.RADICADOS'!C:C,0,0,1)*1</f>
        <v>45441</v>
      </c>
      <c r="D41" s="46" t="s">
        <v>27</v>
      </c>
      <c r="E41" s="47" t="str">
        <f>+_xlfn.XLOOKUP(PROYECTOS[[#This Row],[MUNICIPIO]],MUNICIPIOS!A:A,MUNICIPIOS!E:E,0,0,1)</f>
        <v>Oriente</v>
      </c>
      <c r="F41" s="44">
        <f>+_xlfn.XLOOKUP(PROYECTOS[[#This Row],[MUNICIPIO]],MUNICIPIOS!A:A,MUNICIPIOS!F:F,0,0,1)</f>
        <v>-75.377315999999993</v>
      </c>
      <c r="G41" s="44" t="str">
        <f>+_xlfn.XLOOKUP(PROYECTOS[[#This Row],[MUNICIPIO]],MUNICIPIOS!A:A,MUNICIPIOS!G:G,0,0,1)</f>
        <v>6,147148</v>
      </c>
      <c r="H41" s="44">
        <f>+_xlfn.XLOOKUP(PROYECTOS[[#This Row],[MUNICIPIO]],MUNICIPIOS!A:A,MUNICIPIOS!B:B,0,0,1)</f>
        <v>0</v>
      </c>
      <c r="I41" s="44">
        <f>+_xlfn.XLOOKUP(PROYECTOS[[#This Row],[MUNICIPIO]],MUNICIPIOS!A:A,MUNICIPIOS!C:C,0,0,1)</f>
        <v>0</v>
      </c>
      <c r="J41" s="3" t="str" cm="1">
        <f t="array" ref="J41">_xlfn.TEXTJOIN(" ", TRUE, IF(radicados[ID PROYECTOS]=A41, radicados[RADICADO], ""))</f>
        <v>2024010278154</v>
      </c>
      <c r="K41" s="45">
        <v>3</v>
      </c>
      <c r="L41" s="48"/>
      <c r="M41" s="34" t="s">
        <v>404</v>
      </c>
      <c r="N41" s="40" t="s">
        <v>1079</v>
      </c>
      <c r="O41" s="40" t="s">
        <v>29</v>
      </c>
      <c r="P41" s="37" t="s">
        <v>1145</v>
      </c>
      <c r="Q41" s="45"/>
      <c r="R41" s="43"/>
      <c r="S41" s="43"/>
      <c r="T41" s="44">
        <f>+_xlfn.XLOOKUP(PROYECTOS[[#This Row],[MUNICIPIO]],'4.CAP_ENDMNT'!B:B,'4.CAP_ENDMNT'!C:C,0,0,1)</f>
        <v>1</v>
      </c>
      <c r="U41" s="139">
        <f>+_xlfn.XLOOKUP(PROYECTOS[[#This Row],[MUNICIPIO]],'4.CAP_ENDMNT'!B:B,'4.CAP_ENDMNT'!D:D,0,0,1)</f>
        <v>501236439904.31354</v>
      </c>
      <c r="V41" s="140">
        <f>+_xlfn.XLOOKUP(PROYECTOS[[#This Row],[MUNICIPIO]],'4.CAP_ENDMNT'!B:B,'4.CAP_ENDMNT'!E:E,0,0,1)</f>
        <v>112502020079.39</v>
      </c>
      <c r="W41" s="140">
        <f>+_xlfn.XLOOKUP(PROYECTOS[[#This Row],[MUNICIPIO]],'4.CAP_ENDMNT'!B:B,'4.CAP_ENDMNT'!F:F,0,0,1)</f>
        <v>388734419824.92352</v>
      </c>
      <c r="X41" s="140">
        <f>+_xlfn.XLOOKUP(PROYECTOS[[#This Row],[MUNICIPIO]],'4.CAP_ENDMNT'!B:B,'4.CAP_ENDMNT'!G:G,0,0,1)</f>
        <v>85394840514</v>
      </c>
      <c r="Y41" s="140">
        <f>+_xlfn.XLOOKUP(PROYECTOS[[#This Row],[MUNICIPIO]],'4.CAP_ENDMNT'!B:B,'4.CAP_ENDMNT'!H:H,0,0,1)</f>
        <v>114109886446.23999</v>
      </c>
      <c r="Z41" s="140">
        <f>+_xlfn.XLOOKUP(PROYECTOS[[#This Row],[MUNICIPIO]],'4.CAP_ENDMNT'!B:B,'4.CAP_ENDMNT'!I:I,0,0,1)</f>
        <v>199504726960.23999</v>
      </c>
      <c r="AA41" s="134">
        <f>+_xlfn.XLOOKUP(PROYECTOS[[#This Row],[MUNICIPIO]],'4.CAP_ENDMNT'!B:B,'4.CAP_ENDMNT'!J:J,0,0,1)</f>
        <v>0.39802518547599136</v>
      </c>
      <c r="AB41" s="140">
        <f>+_xlfn.XLOOKUP(PROYECTOS[[#This Row],[MUNICIPIO]],'4.CAP_ENDMNT'!B:B,'4.CAP_ENDMNT'!K:K,0,0,1)</f>
        <v>301731712944.07355</v>
      </c>
      <c r="AC41" s="140">
        <f>+_xlfn.XLOOKUP(PROYECTOS[[#This Row],[MUNICIPIO]],'4.CAP_ENDMNT'!B:B,'4.CAP_ENDMNT'!L:L,0,0,1)</f>
        <v>241385370355.25885</v>
      </c>
      <c r="AD41" s="140">
        <f>+_xlfn.XLOOKUP(PROYECTOS[[#This Row],[MUNICIPIO]],'4.CAP_ENDMNT'!B:B,'4.CAP_ENDMNT'!M:M,0,0,1)</f>
        <v>181039027766.44412</v>
      </c>
      <c r="AE41" s="134">
        <f>+_xlfn.XLOOKUP(PROYECTOS[[#This Row],[MUNICIPIO]],'4.CAP_ENDMNT'!B:B,'4.CAP_ENDMNT'!N:N,0,0,1)</f>
        <v>0.42803417149619039</v>
      </c>
      <c r="AF41" s="134">
        <f>+_xlfn.XLOOKUP(PROYECTOS[[#This Row],[MUNICIPIO]],'4.CAP_ENDMNT'!B:B,'4.CAP_ENDMNT'!O:O,0,0,1)</f>
        <v>0.23207277402530038</v>
      </c>
      <c r="AG41" s="134">
        <f>+_xlfn.XLOOKUP(PROYECTOS[[#This Row],[MUNICIPIO]],'4.CAP_ENDMNT'!B:B,'4.CAP_ENDMNT'!P:P,0,0,1)</f>
        <v>0.65</v>
      </c>
      <c r="AH41" s="44" t="str">
        <f>+_xlfn.XLOOKUP(PROYECTOS[[#This Row],[MUNICIPIO]],'4.CAP_ENDMNT'!B:B,'4.CAP_ENDMNT'!Q:Q,0,0,1)</f>
        <v>Cumple</v>
      </c>
      <c r="AI41" s="139">
        <f>+_xlfn.XLOOKUP(PROYECTOS[[#This Row],[MUNICIPIO]],'4.CAP_ENDMNT'!B:B,'4.CAP_ENDMNT'!V:V,0,0,1)</f>
        <v>36207805553.288826</v>
      </c>
      <c r="AJ41" s="139">
        <f>+_xlfn.XLOOKUP(PROYECTOS[[#This Row],[MUNICIPIO]],'4.CAP_ENDMNT'!B:B,'4.CAP_ENDMNT'!Y:Y,0,0,1)</f>
        <v>199470854625.73294</v>
      </c>
      <c r="AK41"/>
      <c r="AL41"/>
      <c r="AM41"/>
    </row>
    <row r="42" spans="1:39">
      <c r="A42" s="44">
        <v>46</v>
      </c>
      <c r="B42" s="37" t="s">
        <v>1364</v>
      </c>
      <c r="C42" s="118">
        <f>+_xlfn.XLOOKUP(PROYECTOS[[#This Row],[ID_NECESIDAD]],'1.RADICADOS'!G:G,'1.RADICADOS'!C:C,0,0,1)*1</f>
        <v>45441</v>
      </c>
      <c r="D42" s="46" t="s">
        <v>63</v>
      </c>
      <c r="E42" s="47" t="str">
        <f>+_xlfn.XLOOKUP(PROYECTOS[[#This Row],[MUNICIPIO]],MUNICIPIOS!A:A,MUNICIPIOS!E:E,0,0,1)</f>
        <v>Urabá</v>
      </c>
      <c r="F42" s="44">
        <f>+_xlfn.XLOOKUP(PROYECTOS[[#This Row],[MUNICIPIO]],MUNICIPIOS!A:A,MUNICIPIOS!F:F,0,0,1)</f>
        <v>-76.380566999999999</v>
      </c>
      <c r="G42" s="44" t="str">
        <f>+_xlfn.XLOOKUP(PROYECTOS[[#This Row],[MUNICIPIO]],MUNICIPIOS!A:A,MUNICIPIOS!G:G,0,0,1)</f>
        <v>8,276884</v>
      </c>
      <c r="H42" s="44">
        <f>+_xlfn.XLOOKUP(PROYECTOS[[#This Row],[MUNICIPIO]],MUNICIPIOS!A:A,MUNICIPIOS!B:B,0,0,1)</f>
        <v>1</v>
      </c>
      <c r="I42" s="44">
        <f>+_xlfn.XLOOKUP(PROYECTOS[[#This Row],[MUNICIPIO]],MUNICIPIOS!A:A,MUNICIPIOS!C:C,0,0,1)</f>
        <v>1</v>
      </c>
      <c r="J42" s="3" t="str" cm="1">
        <f t="array" ref="J42">_xlfn.TEXTJOIN(" ", TRUE, IF(radicados[ID PROYECTOS]=A42, radicados[RADICADO], ""))</f>
        <v>2024010240568</v>
      </c>
      <c r="K42" s="45">
        <v>3</v>
      </c>
      <c r="L42" s="48">
        <v>883515930</v>
      </c>
      <c r="M42" s="34" t="s">
        <v>392</v>
      </c>
      <c r="N42" s="40" t="s">
        <v>1079</v>
      </c>
      <c r="O42" s="40" t="s">
        <v>7</v>
      </c>
      <c r="P42" s="37"/>
      <c r="Q42" s="45"/>
      <c r="R42" s="43"/>
      <c r="S42" s="43"/>
      <c r="T42" s="44">
        <f>+_xlfn.XLOOKUP(PROYECTOS[[#This Row],[MUNICIPIO]],'4.CAP_ENDMNT'!B:B,'4.CAP_ENDMNT'!C:C,0,0,1)</f>
        <v>6</v>
      </c>
      <c r="U42" s="139">
        <f>+_xlfn.XLOOKUP(PROYECTOS[[#This Row],[MUNICIPIO]],'4.CAP_ENDMNT'!B:B,'4.CAP_ENDMNT'!D:D,0,0,1)</f>
        <v>19508372714.52</v>
      </c>
      <c r="V42" s="140">
        <f>+_xlfn.XLOOKUP(PROYECTOS[[#This Row],[MUNICIPIO]],'4.CAP_ENDMNT'!B:B,'4.CAP_ENDMNT'!E:E,0,0,1)</f>
        <v>5389834315.5</v>
      </c>
      <c r="W42" s="140">
        <f>+_xlfn.XLOOKUP(PROYECTOS[[#This Row],[MUNICIPIO]],'4.CAP_ENDMNT'!B:B,'4.CAP_ENDMNT'!F:F,0,0,1)</f>
        <v>14118538399.02</v>
      </c>
      <c r="X42" s="140">
        <f>+_xlfn.XLOOKUP(PROYECTOS[[#This Row],[MUNICIPIO]],'4.CAP_ENDMNT'!B:B,'4.CAP_ENDMNT'!G:G,0,0,1)</f>
        <v>2594281047</v>
      </c>
      <c r="Y42" s="140">
        <f>+_xlfn.XLOOKUP(PROYECTOS[[#This Row],[MUNICIPIO]],'4.CAP_ENDMNT'!B:B,'4.CAP_ENDMNT'!H:H,0,0,1)</f>
        <v>1833333333</v>
      </c>
      <c r="Z42" s="140">
        <f>+_xlfn.XLOOKUP(PROYECTOS[[#This Row],[MUNICIPIO]],'4.CAP_ENDMNT'!B:B,'4.CAP_ENDMNT'!I:I,0,0,1)</f>
        <v>4427614380</v>
      </c>
      <c r="AA42" s="134">
        <f>+_xlfn.XLOOKUP(PROYECTOS[[#This Row],[MUNICIPIO]],'4.CAP_ENDMNT'!B:B,'4.CAP_ENDMNT'!J:J,0,0,1)</f>
        <v>0.22695969801235882</v>
      </c>
      <c r="AB42" s="140">
        <f>+_xlfn.XLOOKUP(PROYECTOS[[#This Row],[MUNICIPIO]],'4.CAP_ENDMNT'!B:B,'4.CAP_ENDMNT'!K:K,0,0,1)</f>
        <v>15080758334.52</v>
      </c>
      <c r="AC42" s="140">
        <f>+_xlfn.XLOOKUP(PROYECTOS[[#This Row],[MUNICIPIO]],'4.CAP_ENDMNT'!B:B,'4.CAP_ENDMNT'!L:L,0,0,1)</f>
        <v>12064606667.616001</v>
      </c>
      <c r="AD42" s="140">
        <f>+_xlfn.XLOOKUP(PROYECTOS[[#This Row],[MUNICIPIO]],'4.CAP_ENDMNT'!B:B,'4.CAP_ENDMNT'!M:M,0,0,1)</f>
        <v>9048455000.7119999</v>
      </c>
      <c r="AE42" s="134">
        <f>+_xlfn.XLOOKUP(PROYECTOS[[#This Row],[MUNICIPIO]],'4.CAP_ENDMNT'!B:B,'4.CAP_ENDMNT'!N:N,0,0,1)</f>
        <v>0.58593202215591322</v>
      </c>
      <c r="AF42" s="134">
        <f>+_xlfn.XLOOKUP(PROYECTOS[[#This Row],[MUNICIPIO]],'4.CAP_ENDMNT'!B:B,'4.CAP_ENDMNT'!O:O,0,0,1)</f>
        <v>0.58851112900500024</v>
      </c>
      <c r="AG42" s="134">
        <f>+_xlfn.XLOOKUP(PROYECTOS[[#This Row],[MUNICIPIO]],'4.CAP_ENDMNT'!B:B,'4.CAP_ENDMNT'!P:P,0,0,1)</f>
        <v>0.8</v>
      </c>
      <c r="AH42" s="44" t="str">
        <f>+_xlfn.XLOOKUP(PROYECTOS[[#This Row],[MUNICIPIO]],'4.CAP_ENDMNT'!B:B,'4.CAP_ENDMNT'!Q:Q,0,0,1)</f>
        <v>Cumple</v>
      </c>
      <c r="AI42" s="139">
        <f>+_xlfn.XLOOKUP(PROYECTOS[[#This Row],[MUNICIPIO]],'4.CAP_ENDMNT'!B:B,'4.CAP_ENDMNT'!V:V,0,0,1)</f>
        <v>1809691000.1424</v>
      </c>
      <c r="AJ42" s="139">
        <f>+_xlfn.XLOOKUP(PROYECTOS[[#This Row],[MUNICIPIO]],'4.CAP_ENDMNT'!B:B,'4.CAP_ENDMNT'!Y:Y,0,0,1)</f>
        <v>-12348843887.145599</v>
      </c>
      <c r="AK42"/>
      <c r="AL42"/>
      <c r="AM42"/>
    </row>
    <row r="43" spans="1:39">
      <c r="A43" s="44">
        <v>47</v>
      </c>
      <c r="B43" s="37" t="s">
        <v>110</v>
      </c>
      <c r="C43" s="118">
        <f>+_xlfn.XLOOKUP(PROYECTOS[[#This Row],[ID_NECESIDAD]],'1.RADICADOS'!G:G,'1.RADICADOS'!C:C,0,0,1)*1</f>
        <v>45542</v>
      </c>
      <c r="D43" s="46" t="s">
        <v>63</v>
      </c>
      <c r="E43" s="47" t="str">
        <f>+_xlfn.XLOOKUP(PROYECTOS[[#This Row],[MUNICIPIO]],MUNICIPIOS!A:A,MUNICIPIOS!E:E,0,0,1)</f>
        <v>Urabá</v>
      </c>
      <c r="F43" s="44">
        <f>+_xlfn.XLOOKUP(PROYECTOS[[#This Row],[MUNICIPIO]],MUNICIPIOS!A:A,MUNICIPIOS!F:F,0,0,1)</f>
        <v>-76.380566999999999</v>
      </c>
      <c r="G43" s="44" t="str">
        <f>+_xlfn.XLOOKUP(PROYECTOS[[#This Row],[MUNICIPIO]],MUNICIPIOS!A:A,MUNICIPIOS!G:G,0,0,1)</f>
        <v>8,276884</v>
      </c>
      <c r="H43" s="44">
        <f>+_xlfn.XLOOKUP(PROYECTOS[[#This Row],[MUNICIPIO]],MUNICIPIOS!A:A,MUNICIPIOS!B:B,0,0,1)</f>
        <v>1</v>
      </c>
      <c r="I43" s="44">
        <f>+_xlfn.XLOOKUP(PROYECTOS[[#This Row],[MUNICIPIO]],MUNICIPIOS!A:A,MUNICIPIOS!C:C,0,0,1)</f>
        <v>1</v>
      </c>
      <c r="J43" s="3" t="str" cm="1">
        <f t="array" ref="J43">_xlfn.TEXTJOIN(" ", TRUE, IF(radicados[ID PROYECTOS]=A43, radicados[RADICADO], ""))</f>
        <v>2024010240685</v>
      </c>
      <c r="K43" s="45" t="s">
        <v>1079</v>
      </c>
      <c r="L43" s="48"/>
      <c r="M43" s="34" t="s">
        <v>40</v>
      </c>
      <c r="N43" s="40" t="s">
        <v>1079</v>
      </c>
      <c r="O43" s="40" t="s">
        <v>40</v>
      </c>
      <c r="P43" s="37"/>
      <c r="Q43" s="45"/>
      <c r="R43" s="43"/>
      <c r="S43" s="43"/>
      <c r="T43" s="44">
        <f>+_xlfn.XLOOKUP(PROYECTOS[[#This Row],[MUNICIPIO]],'4.CAP_ENDMNT'!B:B,'4.CAP_ENDMNT'!C:C,0,0,1)</f>
        <v>6</v>
      </c>
      <c r="U43" s="139">
        <f>+_xlfn.XLOOKUP(PROYECTOS[[#This Row],[MUNICIPIO]],'4.CAP_ENDMNT'!B:B,'4.CAP_ENDMNT'!D:D,0,0,1)</f>
        <v>19508372714.52</v>
      </c>
      <c r="V43" s="140">
        <f>+_xlfn.XLOOKUP(PROYECTOS[[#This Row],[MUNICIPIO]],'4.CAP_ENDMNT'!B:B,'4.CAP_ENDMNT'!E:E,0,0,1)</f>
        <v>5389834315.5</v>
      </c>
      <c r="W43" s="140">
        <f>+_xlfn.XLOOKUP(PROYECTOS[[#This Row],[MUNICIPIO]],'4.CAP_ENDMNT'!B:B,'4.CAP_ENDMNT'!F:F,0,0,1)</f>
        <v>14118538399.02</v>
      </c>
      <c r="X43" s="140">
        <f>+_xlfn.XLOOKUP(PROYECTOS[[#This Row],[MUNICIPIO]],'4.CAP_ENDMNT'!B:B,'4.CAP_ENDMNT'!G:G,0,0,1)</f>
        <v>2594281047</v>
      </c>
      <c r="Y43" s="140">
        <f>+_xlfn.XLOOKUP(PROYECTOS[[#This Row],[MUNICIPIO]],'4.CAP_ENDMNT'!B:B,'4.CAP_ENDMNT'!H:H,0,0,1)</f>
        <v>1833333333</v>
      </c>
      <c r="Z43" s="140">
        <f>+_xlfn.XLOOKUP(PROYECTOS[[#This Row],[MUNICIPIO]],'4.CAP_ENDMNT'!B:B,'4.CAP_ENDMNT'!I:I,0,0,1)</f>
        <v>4427614380</v>
      </c>
      <c r="AA43" s="134">
        <f>+_xlfn.XLOOKUP(PROYECTOS[[#This Row],[MUNICIPIO]],'4.CAP_ENDMNT'!B:B,'4.CAP_ENDMNT'!J:J,0,0,1)</f>
        <v>0.22695969801235882</v>
      </c>
      <c r="AB43" s="140">
        <f>+_xlfn.XLOOKUP(PROYECTOS[[#This Row],[MUNICIPIO]],'4.CAP_ENDMNT'!B:B,'4.CAP_ENDMNT'!K:K,0,0,1)</f>
        <v>15080758334.52</v>
      </c>
      <c r="AC43" s="140">
        <f>+_xlfn.XLOOKUP(PROYECTOS[[#This Row],[MUNICIPIO]],'4.CAP_ENDMNT'!B:B,'4.CAP_ENDMNT'!L:L,0,0,1)</f>
        <v>12064606667.616001</v>
      </c>
      <c r="AD43" s="140">
        <f>+_xlfn.XLOOKUP(PROYECTOS[[#This Row],[MUNICIPIO]],'4.CAP_ENDMNT'!B:B,'4.CAP_ENDMNT'!M:M,0,0,1)</f>
        <v>9048455000.7119999</v>
      </c>
      <c r="AE43" s="134">
        <f>+_xlfn.XLOOKUP(PROYECTOS[[#This Row],[MUNICIPIO]],'4.CAP_ENDMNT'!B:B,'4.CAP_ENDMNT'!N:N,0,0,1)</f>
        <v>0.58593202215591322</v>
      </c>
      <c r="AF43" s="134">
        <f>+_xlfn.XLOOKUP(PROYECTOS[[#This Row],[MUNICIPIO]],'4.CAP_ENDMNT'!B:B,'4.CAP_ENDMNT'!O:O,0,0,1)</f>
        <v>0.58851112900500024</v>
      </c>
      <c r="AG43" s="134">
        <f>+_xlfn.XLOOKUP(PROYECTOS[[#This Row],[MUNICIPIO]],'4.CAP_ENDMNT'!B:B,'4.CAP_ENDMNT'!P:P,0,0,1)</f>
        <v>0.8</v>
      </c>
      <c r="AH43" s="44" t="str">
        <f>+_xlfn.XLOOKUP(PROYECTOS[[#This Row],[MUNICIPIO]],'4.CAP_ENDMNT'!B:B,'4.CAP_ENDMNT'!Q:Q,0,0,1)</f>
        <v>Cumple</v>
      </c>
      <c r="AI43" s="139">
        <f>+_xlfn.XLOOKUP(PROYECTOS[[#This Row],[MUNICIPIO]],'4.CAP_ENDMNT'!B:B,'4.CAP_ENDMNT'!V:V,0,0,1)</f>
        <v>1809691000.1424</v>
      </c>
      <c r="AJ43" s="139">
        <f>+_xlfn.XLOOKUP(PROYECTOS[[#This Row],[MUNICIPIO]],'4.CAP_ENDMNT'!B:B,'4.CAP_ENDMNT'!Y:Y,0,0,1)</f>
        <v>-12348843887.145599</v>
      </c>
      <c r="AK43"/>
      <c r="AL43"/>
      <c r="AM43"/>
    </row>
    <row r="44" spans="1:39">
      <c r="A44" s="44">
        <v>48</v>
      </c>
      <c r="B44" s="36" t="s">
        <v>1365</v>
      </c>
      <c r="C44" s="120">
        <f>+_xlfn.XLOOKUP(PROYECTOS[[#This Row],[ID_NECESIDAD]],'1.RADICADOS'!G:G,'1.RADICADOS'!C:C,0,0,1)*1</f>
        <v>45602</v>
      </c>
      <c r="D44" s="46" t="s">
        <v>111</v>
      </c>
      <c r="E44" s="47" t="str">
        <f>+_xlfn.XLOOKUP(PROYECTOS[[#This Row],[MUNICIPIO]],MUNICIPIOS!A:A,MUNICIPIOS!E:E,0,0,1)</f>
        <v>Urabá</v>
      </c>
      <c r="F44" s="44">
        <f>+_xlfn.XLOOKUP(PROYECTOS[[#This Row],[MUNICIPIO]],MUNICIPIOS!A:A,MUNICIPIOS!F:F,0,0,1)</f>
        <v>-76.625279000000006</v>
      </c>
      <c r="G44" s="44" t="str">
        <f>+_xlfn.XLOOKUP(PROYECTOS[[#This Row],[MUNICIPIO]],MUNICIPIOS!A:A,MUNICIPIOS!G:G,0,0,1)</f>
        <v>7,882968</v>
      </c>
      <c r="H44" s="44">
        <f>+_xlfn.XLOOKUP(PROYECTOS[[#This Row],[MUNICIPIO]],MUNICIPIOS!A:A,MUNICIPIOS!B:B,0,0,1)</f>
        <v>1</v>
      </c>
      <c r="I44" s="44">
        <f>+_xlfn.XLOOKUP(PROYECTOS[[#This Row],[MUNICIPIO]],MUNICIPIOS!A:A,MUNICIPIOS!C:C,0,0,1)</f>
        <v>1</v>
      </c>
      <c r="J44" s="3" t="str" cm="1">
        <f t="array" ref="J44">_xlfn.TEXTJOIN(" ", TRUE, IF(radicados[ID PROYECTOS]=A44, radicados[RADICADO], ""))</f>
        <v>2024010304650 2024010344153</v>
      </c>
      <c r="K44" s="45">
        <v>3</v>
      </c>
      <c r="L44" s="48">
        <v>7999391717</v>
      </c>
      <c r="M44" s="34" t="s">
        <v>401</v>
      </c>
      <c r="N44" s="34" t="s">
        <v>394</v>
      </c>
      <c r="O44" s="34" t="s">
        <v>18</v>
      </c>
      <c r="P44" s="37"/>
      <c r="Q44" s="45"/>
      <c r="R44" s="43"/>
      <c r="S44" s="43"/>
      <c r="T44" s="44">
        <f>+_xlfn.XLOOKUP(PROYECTOS[[#This Row],[MUNICIPIO]],'4.CAP_ENDMNT'!B:B,'4.CAP_ENDMNT'!C:C,0,0,1)</f>
        <v>3</v>
      </c>
      <c r="U44" s="139">
        <f>+_xlfn.XLOOKUP(PROYECTOS[[#This Row],[MUNICIPIO]],'4.CAP_ENDMNT'!B:B,'4.CAP_ENDMNT'!D:D,0,0,1)</f>
        <v>77784648137.448013</v>
      </c>
      <c r="V44" s="140">
        <f>+_xlfn.XLOOKUP(PROYECTOS[[#This Row],[MUNICIPIO]],'4.CAP_ENDMNT'!B:B,'4.CAP_ENDMNT'!E:E,0,0,1)</f>
        <v>31716114442.57</v>
      </c>
      <c r="W44" s="140">
        <f>+_xlfn.XLOOKUP(PROYECTOS[[#This Row],[MUNICIPIO]],'4.CAP_ENDMNT'!B:B,'4.CAP_ENDMNT'!F:F,0,0,1)</f>
        <v>46068533694.878014</v>
      </c>
      <c r="X44" s="140">
        <f>+_xlfn.XLOOKUP(PROYECTOS[[#This Row],[MUNICIPIO]],'4.CAP_ENDMNT'!B:B,'4.CAP_ENDMNT'!G:G,0,0,1)</f>
        <v>43139212620</v>
      </c>
      <c r="Y44" s="140">
        <f>+_xlfn.XLOOKUP(PROYECTOS[[#This Row],[MUNICIPIO]],'4.CAP_ENDMNT'!B:B,'4.CAP_ENDMNT'!H:H,0,0,1)</f>
        <v>17341932907.400002</v>
      </c>
      <c r="Z44" s="140">
        <f>+_xlfn.XLOOKUP(PROYECTOS[[#This Row],[MUNICIPIO]],'4.CAP_ENDMNT'!B:B,'4.CAP_ENDMNT'!I:I,0,0,1)</f>
        <v>60481145527.400002</v>
      </c>
      <c r="AA44" s="134">
        <f>+_xlfn.XLOOKUP(PROYECTOS[[#This Row],[MUNICIPIO]],'4.CAP_ENDMNT'!B:B,'4.CAP_ENDMNT'!J:J,0,0,1)</f>
        <v>0.77754604508241576</v>
      </c>
      <c r="AB44" s="140">
        <f>+_xlfn.XLOOKUP(PROYECTOS[[#This Row],[MUNICIPIO]],'4.CAP_ENDMNT'!B:B,'4.CAP_ENDMNT'!K:K,0,0,1)</f>
        <v>17303502610.048012</v>
      </c>
      <c r="AC44" s="140">
        <f>+_xlfn.XLOOKUP(PROYECTOS[[#This Row],[MUNICIPIO]],'4.CAP_ENDMNT'!B:B,'4.CAP_ENDMNT'!L:L,0,0,1)</f>
        <v>13842802088.03841</v>
      </c>
      <c r="AD44" s="140">
        <f>+_xlfn.XLOOKUP(PROYECTOS[[#This Row],[MUNICIPIO]],'4.CAP_ENDMNT'!B:B,'4.CAP_ENDMNT'!M:M,0,0,1)</f>
        <v>10382101566.028807</v>
      </c>
      <c r="AE44" s="134">
        <f>+_xlfn.XLOOKUP(PROYECTOS[[#This Row],[MUNICIPIO]],'4.CAP_ENDMNT'!B:B,'4.CAP_ENDMNT'!N:N,0,0,1)</f>
        <v>0.71326712223822675</v>
      </c>
      <c r="AF44" s="134">
        <f>+_xlfn.XLOOKUP(PROYECTOS[[#This Row],[MUNICIPIO]],'4.CAP_ENDMNT'!B:B,'4.CAP_ENDMNT'!O:O,0,0,1)</f>
        <v>0.57328291579513591</v>
      </c>
      <c r="AG44" s="134">
        <f>+_xlfn.XLOOKUP(PROYECTOS[[#This Row],[MUNICIPIO]],'4.CAP_ENDMNT'!B:B,'4.CAP_ENDMNT'!P:P,0,0,1)</f>
        <v>0.7</v>
      </c>
      <c r="AH44" s="44" t="str">
        <f>+_xlfn.XLOOKUP(PROYECTOS[[#This Row],[MUNICIPIO]],'4.CAP_ENDMNT'!B:B,'4.CAP_ENDMNT'!Q:Q,0,0,1)</f>
        <v>Cumple</v>
      </c>
      <c r="AI44" s="139">
        <f>+_xlfn.XLOOKUP(PROYECTOS[[#This Row],[MUNICIPIO]],'4.CAP_ENDMNT'!B:B,'4.CAP_ENDMNT'!V:V,0,0,1)</f>
        <v>2076420313.2057614</v>
      </c>
      <c r="AJ44" s="139">
        <f>+_xlfn.XLOOKUP(PROYECTOS[[#This Row],[MUNICIPIO]],'4.CAP_ENDMNT'!B:B,'4.CAP_ENDMNT'!Y:Y,0,0,1)</f>
        <v>-13466841257.765432</v>
      </c>
      <c r="AK44"/>
      <c r="AL44"/>
      <c r="AM44"/>
    </row>
    <row r="45" spans="1:39">
      <c r="A45" s="44">
        <v>49</v>
      </c>
      <c r="B45" s="37" t="s">
        <v>114</v>
      </c>
      <c r="C45" s="118">
        <f>+_xlfn.XLOOKUP(PROYECTOS[[#This Row],[ID_NECESIDAD]],'1.RADICADOS'!G:G,'1.RADICADOS'!C:C,0,0,1)*1</f>
        <v>45572</v>
      </c>
      <c r="D45" s="46" t="s">
        <v>113</v>
      </c>
      <c r="E45" s="47" t="str">
        <f>+_xlfn.XLOOKUP(PROYECTOS[[#This Row],[MUNICIPIO]],MUNICIPIOS!A:A,MUNICIPIOS!E:E,0,0,1)</f>
        <v>Oriente</v>
      </c>
      <c r="F45" s="44">
        <f>+_xlfn.XLOOKUP(PROYECTOS[[#This Row],[MUNICIPIO]],MUNICIPIOS!A:A,MUNICIPIOS!F:F,0,0,1)</f>
        <v>-75.101562000000001</v>
      </c>
      <c r="G45" s="44" t="str">
        <f>+_xlfn.XLOOKUP(PROYECTOS[[#This Row],[MUNICIPIO]],MUNICIPIOS!A:A,MUNICIPIOS!G:G,0,0,1)</f>
        <v>5,963476</v>
      </c>
      <c r="H45" s="44">
        <f>+_xlfn.XLOOKUP(PROYECTOS[[#This Row],[MUNICIPIO]],MUNICIPIOS!A:A,MUNICIPIOS!B:B,0,0,1)</f>
        <v>0</v>
      </c>
      <c r="I45" s="44">
        <f>+_xlfn.XLOOKUP(PROYECTOS[[#This Row],[MUNICIPIO]],MUNICIPIOS!A:A,MUNICIPIOS!C:C,0,0,1)</f>
        <v>1</v>
      </c>
      <c r="J45" s="3" t="str" cm="1">
        <f t="array" ref="J45">_xlfn.TEXTJOIN(" ", TRUE, IF(radicados[ID PROYECTOS]=A45, radicados[RADICADO], ""))</f>
        <v>2024010258944</v>
      </c>
      <c r="K45" s="45">
        <v>2</v>
      </c>
      <c r="L45" s="48"/>
      <c r="M45" s="34" t="s">
        <v>392</v>
      </c>
      <c r="N45" s="40" t="s">
        <v>1079</v>
      </c>
      <c r="O45" s="40" t="s">
        <v>7</v>
      </c>
      <c r="P45" s="37"/>
      <c r="Q45" s="45"/>
      <c r="R45" s="43"/>
      <c r="S45" s="43"/>
      <c r="T45" s="44">
        <f>+_xlfn.XLOOKUP(PROYECTOS[[#This Row],[MUNICIPIO]],'4.CAP_ENDMNT'!B:B,'4.CAP_ENDMNT'!C:C,0,0,1)</f>
        <v>6</v>
      </c>
      <c r="U45" s="139">
        <f>+_xlfn.XLOOKUP(PROYECTOS[[#This Row],[MUNICIPIO]],'4.CAP_ENDMNT'!B:B,'4.CAP_ENDMNT'!D:D,0,0,1)</f>
        <v>7763487077.335</v>
      </c>
      <c r="V45" s="140">
        <f>+_xlfn.XLOOKUP(PROYECTOS[[#This Row],[MUNICIPIO]],'4.CAP_ENDMNT'!B:B,'4.CAP_ENDMNT'!E:E,0,0,1)</f>
        <v>2329929022.3600001</v>
      </c>
      <c r="W45" s="140">
        <f>+_xlfn.XLOOKUP(PROYECTOS[[#This Row],[MUNICIPIO]],'4.CAP_ENDMNT'!B:B,'4.CAP_ENDMNT'!F:F,0,0,1)</f>
        <v>5433558054.9750004</v>
      </c>
      <c r="X45" s="140">
        <f>+_xlfn.XLOOKUP(PROYECTOS[[#This Row],[MUNICIPIO]],'4.CAP_ENDMNT'!B:B,'4.CAP_ENDMNT'!G:G,0,0,1)</f>
        <v>1217107364.4400001</v>
      </c>
      <c r="Y45" s="140">
        <f>+_xlfn.XLOOKUP(PROYECTOS[[#This Row],[MUNICIPIO]],'4.CAP_ENDMNT'!B:B,'4.CAP_ENDMNT'!H:H,0,0,1)</f>
        <v>0</v>
      </c>
      <c r="Z45" s="140">
        <f>+_xlfn.XLOOKUP(PROYECTOS[[#This Row],[MUNICIPIO]],'4.CAP_ENDMNT'!B:B,'4.CAP_ENDMNT'!I:I,0,0,1)</f>
        <v>1217107364.4400001</v>
      </c>
      <c r="AA45" s="134">
        <f>+_xlfn.XLOOKUP(PROYECTOS[[#This Row],[MUNICIPIO]],'4.CAP_ENDMNT'!B:B,'4.CAP_ENDMNT'!J:J,0,0,1)</f>
        <v>0.15677328400446064</v>
      </c>
      <c r="AB45" s="140">
        <f>+_xlfn.XLOOKUP(PROYECTOS[[#This Row],[MUNICIPIO]],'4.CAP_ENDMNT'!B:B,'4.CAP_ENDMNT'!K:K,0,0,1)</f>
        <v>6546379712.8950005</v>
      </c>
      <c r="AC45" s="140">
        <f>+_xlfn.XLOOKUP(PROYECTOS[[#This Row],[MUNICIPIO]],'4.CAP_ENDMNT'!B:B,'4.CAP_ENDMNT'!L:L,0,0,1)</f>
        <v>5237103770.3160009</v>
      </c>
      <c r="AD45" s="140">
        <f>+_xlfn.XLOOKUP(PROYECTOS[[#This Row],[MUNICIPIO]],'4.CAP_ENDMNT'!B:B,'4.CAP_ENDMNT'!M:M,0,0,1)</f>
        <v>3927827827.737</v>
      </c>
      <c r="AE45" s="134">
        <f>+_xlfn.XLOOKUP(PROYECTOS[[#This Row],[MUNICIPIO]],'4.CAP_ENDMNT'!B:B,'4.CAP_ENDMNT'!N:N,0,0,1)</f>
        <v>1</v>
      </c>
      <c r="AF45" s="134">
        <f>+_xlfn.XLOOKUP(PROYECTOS[[#This Row],[MUNICIPIO]],'4.CAP_ENDMNT'!B:B,'4.CAP_ENDMNT'!O:O,0,0,1)</f>
        <v>0.68141761997590633</v>
      </c>
      <c r="AG45" s="134">
        <f>+_xlfn.XLOOKUP(PROYECTOS[[#This Row],[MUNICIPIO]],'4.CAP_ENDMNT'!B:B,'4.CAP_ENDMNT'!P:P,0,0,1)</f>
        <v>0.8</v>
      </c>
      <c r="AH45" s="44" t="str">
        <f>+_xlfn.XLOOKUP(PROYECTOS[[#This Row],[MUNICIPIO]],'4.CAP_ENDMNT'!B:B,'4.CAP_ENDMNT'!Q:Q,0,0,1)</f>
        <v>Cumple</v>
      </c>
      <c r="AI45" s="139">
        <f>+_xlfn.XLOOKUP(PROYECTOS[[#This Row],[MUNICIPIO]],'4.CAP_ENDMNT'!B:B,'4.CAP_ENDMNT'!V:V,0,0,1)</f>
        <v>785565565.5474</v>
      </c>
      <c r="AJ45" s="139">
        <f>+_xlfn.XLOOKUP(PROYECTOS[[#This Row],[MUNICIPIO]],'4.CAP_ENDMNT'!B:B,'4.CAP_ENDMNT'!Y:Y,0,0,1)</f>
        <v>-10352204929.605598</v>
      </c>
      <c r="AK45"/>
      <c r="AL45"/>
      <c r="AM45"/>
    </row>
    <row r="46" spans="1:39">
      <c r="A46" s="44">
        <v>50</v>
      </c>
      <c r="B46" s="37" t="s">
        <v>116</v>
      </c>
      <c r="C46" s="118">
        <f>+_xlfn.XLOOKUP(PROYECTOS[[#This Row],[ID_NECESIDAD]],'1.RADICADOS'!G:G,'1.RADICADOS'!C:C,0,0,1)*1</f>
        <v>45490</v>
      </c>
      <c r="D46" s="46" t="s">
        <v>115</v>
      </c>
      <c r="E46" s="47" t="str">
        <f>+_xlfn.XLOOKUP(PROYECTOS[[#This Row],[MUNICIPIO]],MUNICIPIOS!A:A,MUNICIPIOS!E:E,0,0,1)</f>
        <v>Oriente</v>
      </c>
      <c r="F46" s="44">
        <f>+_xlfn.XLOOKUP(PROYECTOS[[#This Row],[MUNICIPIO]],MUNICIPIOS!A:A,MUNICIPIOS!F:F,0,0,1)</f>
        <v>-75.429433000000003</v>
      </c>
      <c r="G46" s="44" t="str">
        <f>+_xlfn.XLOOKUP(PROYECTOS[[#This Row],[MUNICIPIO]],MUNICIPIOS!A:A,MUNICIPIOS!G:G,0,0,1)</f>
        <v>6,028062</v>
      </c>
      <c r="H46" s="44">
        <f>+_xlfn.XLOOKUP(PROYECTOS[[#This Row],[MUNICIPIO]],MUNICIPIOS!A:A,MUNICIPIOS!B:B,0,0,1)</f>
        <v>0</v>
      </c>
      <c r="I46" s="44">
        <f>+_xlfn.XLOOKUP(PROYECTOS[[#This Row],[MUNICIPIO]],MUNICIPIOS!A:A,MUNICIPIOS!C:C,0,0,1)</f>
        <v>0</v>
      </c>
      <c r="J46" s="3" t="str" cm="1">
        <f t="array" ref="J46">_xlfn.TEXTJOIN(" ", TRUE, IF(radicados[ID PROYECTOS]=A46, radicados[RADICADO], ""))</f>
        <v>2024010308663</v>
      </c>
      <c r="K46" s="142">
        <v>2</v>
      </c>
      <c r="L46" s="48"/>
      <c r="M46" s="34" t="s">
        <v>404</v>
      </c>
      <c r="N46" s="40" t="s">
        <v>1079</v>
      </c>
      <c r="O46" s="40" t="s">
        <v>29</v>
      </c>
      <c r="P46" s="37" t="s">
        <v>976</v>
      </c>
      <c r="Q46" s="45"/>
      <c r="R46" s="43"/>
      <c r="S46" s="43"/>
      <c r="T46" s="44">
        <f>+_xlfn.XLOOKUP(PROYECTOS[[#This Row],[MUNICIPIO]],'4.CAP_ENDMNT'!B:B,'4.CAP_ENDMNT'!C:C,0,0,1)</f>
        <v>2</v>
      </c>
      <c r="U46" s="139">
        <f>+_xlfn.XLOOKUP(PROYECTOS[[#This Row],[MUNICIPIO]],'4.CAP_ENDMNT'!B:B,'4.CAP_ENDMNT'!D:D,0,0,1)</f>
        <v>102691614388.099</v>
      </c>
      <c r="V46" s="140">
        <f>+_xlfn.XLOOKUP(PROYECTOS[[#This Row],[MUNICIPIO]],'4.CAP_ENDMNT'!B:B,'4.CAP_ENDMNT'!E:E,0,0,1)</f>
        <v>29123622287.32</v>
      </c>
      <c r="W46" s="140">
        <f>+_xlfn.XLOOKUP(PROYECTOS[[#This Row],[MUNICIPIO]],'4.CAP_ENDMNT'!B:B,'4.CAP_ENDMNT'!F:F,0,0,1)</f>
        <v>73567992100.778992</v>
      </c>
      <c r="X46" s="140">
        <f>+_xlfn.XLOOKUP(PROYECTOS[[#This Row],[MUNICIPIO]],'4.CAP_ENDMNT'!B:B,'4.CAP_ENDMNT'!G:G,0,0,1)</f>
        <v>5166195556</v>
      </c>
      <c r="Y46" s="140">
        <f>+_xlfn.XLOOKUP(PROYECTOS[[#This Row],[MUNICIPIO]],'4.CAP_ENDMNT'!B:B,'4.CAP_ENDMNT'!H:H,0,0,1)</f>
        <v>27283390599</v>
      </c>
      <c r="Z46" s="140">
        <f>+_xlfn.XLOOKUP(PROYECTOS[[#This Row],[MUNICIPIO]],'4.CAP_ENDMNT'!B:B,'4.CAP_ENDMNT'!I:I,0,0,1)</f>
        <v>32449586155</v>
      </c>
      <c r="AA46" s="134">
        <f>+_xlfn.XLOOKUP(PROYECTOS[[#This Row],[MUNICIPIO]],'4.CAP_ENDMNT'!B:B,'4.CAP_ENDMNT'!J:J,0,0,1)</f>
        <v>0.3159906127521217</v>
      </c>
      <c r="AB46" s="140">
        <f>+_xlfn.XLOOKUP(PROYECTOS[[#This Row],[MUNICIPIO]],'4.CAP_ENDMNT'!B:B,'4.CAP_ENDMNT'!K:K,0,0,1)</f>
        <v>70242028233.098999</v>
      </c>
      <c r="AC46" s="140">
        <f>+_xlfn.XLOOKUP(PROYECTOS[[#This Row],[MUNICIPIO]],'4.CAP_ENDMNT'!B:B,'4.CAP_ENDMNT'!L:L,0,0,1)</f>
        <v>56193622586.479202</v>
      </c>
      <c r="AD46" s="140">
        <f>+_xlfn.XLOOKUP(PROYECTOS[[#This Row],[MUNICIPIO]],'4.CAP_ENDMNT'!B:B,'4.CAP_ENDMNT'!M:M,0,0,1)</f>
        <v>42145216939.859398</v>
      </c>
      <c r="AE46" s="134">
        <f>+_xlfn.XLOOKUP(PROYECTOS[[#This Row],[MUNICIPIO]],'4.CAP_ENDMNT'!B:B,'4.CAP_ENDMNT'!N:N,0,0,1)</f>
        <v>0.15920682412783146</v>
      </c>
      <c r="AF46" s="134">
        <f>+_xlfn.XLOOKUP(PROYECTOS[[#This Row],[MUNICIPIO]],'4.CAP_ENDMNT'!B:B,'4.CAP_ENDMNT'!O:O,0,0,1)</f>
        <v>0.28977187660096981</v>
      </c>
      <c r="AG46" s="134">
        <f>+_xlfn.XLOOKUP(PROYECTOS[[#This Row],[MUNICIPIO]],'4.CAP_ENDMNT'!B:B,'4.CAP_ENDMNT'!P:P,0,0,1)</f>
        <v>0.7</v>
      </c>
      <c r="AH46" s="44" t="str">
        <f>+_xlfn.XLOOKUP(PROYECTOS[[#This Row],[MUNICIPIO]],'4.CAP_ENDMNT'!B:B,'4.CAP_ENDMNT'!Q:Q,0,0,1)</f>
        <v>Cumple</v>
      </c>
      <c r="AI46" s="139">
        <f>+_xlfn.XLOOKUP(PROYECTOS[[#This Row],[MUNICIPIO]],'4.CAP_ENDMNT'!B:B,'4.CAP_ENDMNT'!V:V,0,0,1)</f>
        <v>8429043387.97188</v>
      </c>
      <c r="AJ46" s="139">
        <f>+_xlfn.XLOOKUP(PROYECTOS[[#This Row],[MUNICIPIO]],'4.CAP_ENDMNT'!B:B,'4.CAP_ENDMNT'!Y:Y,0,0,1)</f>
        <v>45609749252.831276</v>
      </c>
      <c r="AK46"/>
      <c r="AL46"/>
      <c r="AM46"/>
    </row>
    <row r="47" spans="1:39">
      <c r="A47" s="44">
        <v>51</v>
      </c>
      <c r="B47" s="37" t="s">
        <v>1366</v>
      </c>
      <c r="C47" s="118">
        <f>+_xlfn.XLOOKUP(PROYECTOS[[#This Row],[ID_NECESIDAD]],'1.RADICADOS'!G:G,'1.RADICADOS'!C:C,0,0,1)*1</f>
        <v>45633</v>
      </c>
      <c r="D47" s="46" t="s">
        <v>118</v>
      </c>
      <c r="E47" s="47" t="str">
        <f>+_xlfn.XLOOKUP(PROYECTOS[[#This Row],[MUNICIPIO]],MUNICIPIOS!A:A,MUNICIPIOS!E:E,0,0,1)</f>
        <v>Urabá</v>
      </c>
      <c r="F47" s="44">
        <f>+_xlfn.XLOOKUP(PROYECTOS[[#This Row],[MUNICIPIO]],MUNICIPIOS!A:A,MUNICIPIOS!F:F,0,0,1)</f>
        <v>-76.681531000000007</v>
      </c>
      <c r="G47" s="44" t="str">
        <f>+_xlfn.XLOOKUP(PROYECTOS[[#This Row],[MUNICIPIO]],MUNICIPIOS!A:A,MUNICIPIOS!G:G,0,0,1)</f>
        <v>7,666147</v>
      </c>
      <c r="H47" s="44">
        <f>+_xlfn.XLOOKUP(PROYECTOS[[#This Row],[MUNICIPIO]],MUNICIPIOS!A:A,MUNICIPIOS!B:B,0,0,1)</f>
        <v>1</v>
      </c>
      <c r="I47" s="44">
        <f>+_xlfn.XLOOKUP(PROYECTOS[[#This Row],[MUNICIPIO]],MUNICIPIOS!A:A,MUNICIPIOS!C:C,0,0,1)</f>
        <v>1</v>
      </c>
      <c r="J47" s="3" t="str" cm="1">
        <f t="array" ref="J47">_xlfn.TEXTJOIN(" ", TRUE, IF(radicados[ID PROYECTOS]=A47, radicados[RADICADO], ""))</f>
        <v>2024010308857</v>
      </c>
      <c r="K47" s="45">
        <v>3</v>
      </c>
      <c r="L47" s="48">
        <v>4215630027</v>
      </c>
      <c r="M47" s="34" t="s">
        <v>401</v>
      </c>
      <c r="N47" s="34" t="s">
        <v>394</v>
      </c>
      <c r="O47" s="34" t="s">
        <v>18</v>
      </c>
      <c r="P47" s="37"/>
      <c r="Q47" s="45"/>
      <c r="R47" s="43"/>
      <c r="S47" s="43"/>
      <c r="T47" s="44">
        <f>+_xlfn.XLOOKUP(PROYECTOS[[#This Row],[MUNICIPIO]],'4.CAP_ENDMNT'!B:B,'4.CAP_ENDMNT'!C:C,0,0,1)</f>
        <v>6</v>
      </c>
      <c r="U47" s="139">
        <f>+_xlfn.XLOOKUP(PROYECTOS[[#This Row],[MUNICIPIO]],'4.CAP_ENDMNT'!B:B,'4.CAP_ENDMNT'!D:D,0,0,1)</f>
        <v>31480625713.601501</v>
      </c>
      <c r="V47" s="140">
        <f>+_xlfn.XLOOKUP(PROYECTOS[[#This Row],[MUNICIPIO]],'4.CAP_ENDMNT'!B:B,'4.CAP_ENDMNT'!E:E,0,0,1)</f>
        <v>12012746210.970001</v>
      </c>
      <c r="W47" s="140">
        <f>+_xlfn.XLOOKUP(PROYECTOS[[#This Row],[MUNICIPIO]],'4.CAP_ENDMNT'!B:B,'4.CAP_ENDMNT'!F:F,0,0,1)</f>
        <v>19467879502.6315</v>
      </c>
      <c r="X47" s="140">
        <f>+_xlfn.XLOOKUP(PROYECTOS[[#This Row],[MUNICIPIO]],'4.CAP_ENDMNT'!B:B,'4.CAP_ENDMNT'!G:G,0,0,1)</f>
        <v>990257688</v>
      </c>
      <c r="Y47" s="140">
        <f>+_xlfn.XLOOKUP(PROYECTOS[[#This Row],[MUNICIPIO]],'4.CAP_ENDMNT'!B:B,'4.CAP_ENDMNT'!H:H,0,0,1)</f>
        <v>4241046406.5999999</v>
      </c>
      <c r="Z47" s="140">
        <f>+_xlfn.XLOOKUP(PROYECTOS[[#This Row],[MUNICIPIO]],'4.CAP_ENDMNT'!B:B,'4.CAP_ENDMNT'!I:I,0,0,1)</f>
        <v>5231304094.6000004</v>
      </c>
      <c r="AA47" s="134">
        <f>+_xlfn.XLOOKUP(PROYECTOS[[#This Row],[MUNICIPIO]],'4.CAP_ENDMNT'!B:B,'4.CAP_ENDMNT'!J:J,0,0,1)</f>
        <v>0.16617535312647125</v>
      </c>
      <c r="AB47" s="140">
        <f>+_xlfn.XLOOKUP(PROYECTOS[[#This Row],[MUNICIPIO]],'4.CAP_ENDMNT'!B:B,'4.CAP_ENDMNT'!K:K,0,0,1)</f>
        <v>26249321619.001503</v>
      </c>
      <c r="AC47" s="140">
        <f>+_xlfn.XLOOKUP(PROYECTOS[[#This Row],[MUNICIPIO]],'4.CAP_ENDMNT'!B:B,'4.CAP_ENDMNT'!L:L,0,0,1)</f>
        <v>20999457295.201202</v>
      </c>
      <c r="AD47" s="140">
        <f>+_xlfn.XLOOKUP(PROYECTOS[[#This Row],[MUNICIPIO]],'4.CAP_ENDMNT'!B:B,'4.CAP_ENDMNT'!M:M,0,0,1)</f>
        <v>15749592971.400902</v>
      </c>
      <c r="AE47" s="134">
        <f>+_xlfn.XLOOKUP(PROYECTOS[[#This Row],[MUNICIPIO]],'4.CAP_ENDMNT'!B:B,'4.CAP_ENDMNT'!N:N,0,0,1)</f>
        <v>0.18929461375074541</v>
      </c>
      <c r="AF47" s="134">
        <f>+_xlfn.XLOOKUP(PROYECTOS[[#This Row],[MUNICIPIO]],'4.CAP_ENDMNT'!B:B,'4.CAP_ENDMNT'!O:O,0,0,1)</f>
        <v>0.57128723877428544</v>
      </c>
      <c r="AG47" s="134">
        <f>+_xlfn.XLOOKUP(PROYECTOS[[#This Row],[MUNICIPIO]],'4.CAP_ENDMNT'!B:B,'4.CAP_ENDMNT'!P:P,0,0,1)</f>
        <v>0.8</v>
      </c>
      <c r="AH47" s="44" t="str">
        <f>+_xlfn.XLOOKUP(PROYECTOS[[#This Row],[MUNICIPIO]],'4.CAP_ENDMNT'!B:B,'4.CAP_ENDMNT'!Q:Q,0,0,1)</f>
        <v>Cumple</v>
      </c>
      <c r="AI47" s="139">
        <f>+_xlfn.XLOOKUP(PROYECTOS[[#This Row],[MUNICIPIO]],'4.CAP_ENDMNT'!B:B,'4.CAP_ENDMNT'!V:V,0,0,1)</f>
        <v>3149918594.2801805</v>
      </c>
      <c r="AJ47" s="139">
        <f>+_xlfn.XLOOKUP(PROYECTOS[[#This Row],[MUNICIPIO]],'4.CAP_ENDMNT'!B:B,'4.CAP_ENDMNT'!Y:Y,0,0,1)</f>
        <v>-159577103574.2489</v>
      </c>
      <c r="AK47"/>
      <c r="AL47"/>
      <c r="AM47"/>
    </row>
    <row r="48" spans="1:39">
      <c r="A48" s="44">
        <v>52</v>
      </c>
      <c r="B48" s="37" t="s">
        <v>1367</v>
      </c>
      <c r="C48" s="118">
        <f>+_xlfn.XLOOKUP(PROYECTOS[[#This Row],[ID_NECESIDAD]],'1.RADICADOS'!G:G,'1.RADICADOS'!C:C,0,0,1)*1</f>
        <v>45358</v>
      </c>
      <c r="D48" s="46" t="s">
        <v>120</v>
      </c>
      <c r="E48" s="47" t="str">
        <f>+_xlfn.XLOOKUP(PROYECTOS[[#This Row],[MUNICIPIO]],MUNICIPIOS!A:A,MUNICIPIOS!E:E,0,0,1)</f>
        <v>Norte</v>
      </c>
      <c r="F48" s="44">
        <f>+_xlfn.XLOOKUP(PROYECTOS[[#This Row],[MUNICIPIO]],MUNICIPIOS!A:A,MUNICIPIOS!F:F,0,0,1)</f>
        <v>-75.418828000000005</v>
      </c>
      <c r="G48" s="44">
        <f>+_xlfn.XLOOKUP(PROYECTOS[[#This Row],[MUNICIPIO]],MUNICIPIOS!A:A,MUNICIPIOS!G:G,0,0,1)</f>
        <v>6.963832</v>
      </c>
      <c r="H48" s="44">
        <f>+_xlfn.XLOOKUP(PROYECTOS[[#This Row],[MUNICIPIO]],MUNICIPIOS!A:A,MUNICIPIOS!B:B,0,0,1)</f>
        <v>0</v>
      </c>
      <c r="I48" s="44">
        <f>+_xlfn.XLOOKUP(PROYECTOS[[#This Row],[MUNICIPIO]],MUNICIPIOS!A:A,MUNICIPIOS!C:C,0,0,1)</f>
        <v>1</v>
      </c>
      <c r="J48" s="3" t="str" cm="1">
        <f t="array" ref="J48">_xlfn.TEXTJOIN(" ", TRUE, IF(radicados[ID PROYECTOS]=A48, radicados[RADICADO], ""))</f>
        <v>2024010313514</v>
      </c>
      <c r="K48" s="128">
        <v>3</v>
      </c>
      <c r="L48" s="48"/>
      <c r="M48" s="34" t="s">
        <v>407</v>
      </c>
      <c r="N48" s="34" t="s">
        <v>398</v>
      </c>
      <c r="O48" s="34" t="s">
        <v>25</v>
      </c>
      <c r="P48" s="37" t="s">
        <v>1261</v>
      </c>
      <c r="Q48" s="45">
        <v>1</v>
      </c>
      <c r="R48" s="43" t="s">
        <v>922</v>
      </c>
      <c r="S48" s="43" t="s">
        <v>1643</v>
      </c>
      <c r="T48" s="44">
        <f>+_xlfn.XLOOKUP(PROYECTOS[[#This Row],[MUNICIPIO]],'4.CAP_ENDMNT'!B:B,'4.CAP_ENDMNT'!C:C,0,0,1)</f>
        <v>5</v>
      </c>
      <c r="U48" s="139">
        <f>+_xlfn.XLOOKUP(PROYECTOS[[#This Row],[MUNICIPIO]],'4.CAP_ENDMNT'!B:B,'4.CAP_ENDMNT'!D:D,0,0,1)</f>
        <v>36204719778.619003</v>
      </c>
      <c r="V48" s="140">
        <f>+_xlfn.XLOOKUP(PROYECTOS[[#This Row],[MUNICIPIO]],'4.CAP_ENDMNT'!B:B,'4.CAP_ENDMNT'!E:E,0,0,1)</f>
        <v>11082623753.610001</v>
      </c>
      <c r="W48" s="140">
        <f>+_xlfn.XLOOKUP(PROYECTOS[[#This Row],[MUNICIPIO]],'4.CAP_ENDMNT'!B:B,'4.CAP_ENDMNT'!F:F,0,0,1)</f>
        <v>25122096025.009003</v>
      </c>
      <c r="X48" s="140">
        <f>+_xlfn.XLOOKUP(PROYECTOS[[#This Row],[MUNICIPIO]],'4.CAP_ENDMNT'!B:B,'4.CAP_ENDMNT'!G:G,0,0,1)</f>
        <v>1291156679</v>
      </c>
      <c r="Y48" s="140">
        <f>+_xlfn.XLOOKUP(PROYECTOS[[#This Row],[MUNICIPIO]],'4.CAP_ENDMNT'!B:B,'4.CAP_ENDMNT'!H:H,0,0,1)</f>
        <v>12320355879.07</v>
      </c>
      <c r="Z48" s="140">
        <f>+_xlfn.XLOOKUP(PROYECTOS[[#This Row],[MUNICIPIO]],'4.CAP_ENDMNT'!B:B,'4.CAP_ENDMNT'!I:I,0,0,1)</f>
        <v>13611512558.07</v>
      </c>
      <c r="AA48" s="134">
        <f>+_xlfn.XLOOKUP(PROYECTOS[[#This Row],[MUNICIPIO]],'4.CAP_ENDMNT'!B:B,'4.CAP_ENDMNT'!J:J,0,0,1)</f>
        <v>0.37595961635113639</v>
      </c>
      <c r="AB48" s="140">
        <f>+_xlfn.XLOOKUP(PROYECTOS[[#This Row],[MUNICIPIO]],'4.CAP_ENDMNT'!B:B,'4.CAP_ENDMNT'!K:K,0,0,1)</f>
        <v>22593207220.549004</v>
      </c>
      <c r="AC48" s="140">
        <f>+_xlfn.XLOOKUP(PROYECTOS[[#This Row],[MUNICIPIO]],'4.CAP_ENDMNT'!B:B,'4.CAP_ENDMNT'!L:L,0,0,1)</f>
        <v>18074565776.439205</v>
      </c>
      <c r="AD48" s="140">
        <f>+_xlfn.XLOOKUP(PROYECTOS[[#This Row],[MUNICIPIO]],'4.CAP_ENDMNT'!B:B,'4.CAP_ENDMNT'!M:M,0,0,1)</f>
        <v>13555924332.329401</v>
      </c>
      <c r="AE48" s="134">
        <f>+_xlfn.XLOOKUP(PROYECTOS[[#This Row],[MUNICIPIO]],'4.CAP_ENDMNT'!B:B,'4.CAP_ENDMNT'!N:N,0,0,1)</f>
        <v>9.4857692963336279E-2</v>
      </c>
      <c r="AF48" s="134">
        <f>+_xlfn.XLOOKUP(PROYECTOS[[#This Row],[MUNICIPIO]],'4.CAP_ENDMNT'!B:B,'4.CAP_ENDMNT'!O:O,0,0,1)</f>
        <v>0.39053077044629697</v>
      </c>
      <c r="AG48" s="134">
        <f>+_xlfn.XLOOKUP(PROYECTOS[[#This Row],[MUNICIPIO]],'4.CAP_ENDMNT'!B:B,'4.CAP_ENDMNT'!P:P,0,0,1)</f>
        <v>0.8</v>
      </c>
      <c r="AH48" s="44" t="str">
        <f>+_xlfn.XLOOKUP(PROYECTOS[[#This Row],[MUNICIPIO]],'4.CAP_ENDMNT'!B:B,'4.CAP_ENDMNT'!Q:Q,0,0,1)</f>
        <v>Cumple</v>
      </c>
      <c r="AI48" s="139">
        <f>+_xlfn.XLOOKUP(PROYECTOS[[#This Row],[MUNICIPIO]],'4.CAP_ENDMNT'!B:B,'4.CAP_ENDMNT'!V:V,0,0,1)</f>
        <v>2711184866.4658804</v>
      </c>
      <c r="AJ48" s="139">
        <f>+_xlfn.XLOOKUP(PROYECTOS[[#This Row],[MUNICIPIO]],'4.CAP_ENDMNT'!B:B,'4.CAP_ENDMNT'!Y:Y,0,0,1)</f>
        <v>-192411827505.20471</v>
      </c>
      <c r="AK48"/>
      <c r="AL48"/>
      <c r="AM48"/>
    </row>
    <row r="49" spans="1:39">
      <c r="A49" s="44">
        <v>53</v>
      </c>
      <c r="B49" s="37" t="s">
        <v>122</v>
      </c>
      <c r="C49" s="118">
        <f>+_xlfn.XLOOKUP(PROYECTOS[[#This Row],[ID_NECESIDAD]],'1.RADICADOS'!G:G,'1.RADICADOS'!C:C,0,0,1)*1</f>
        <v>45603</v>
      </c>
      <c r="D49" s="46" t="s">
        <v>95</v>
      </c>
      <c r="E49" s="47" t="str">
        <f>+_xlfn.XLOOKUP(PROYECTOS[[#This Row],[MUNICIPIO]],MUNICIPIOS!A:A,MUNICIPIOS!E:E,0,0,1)</f>
        <v>Occidente</v>
      </c>
      <c r="F49" s="44">
        <f>+_xlfn.XLOOKUP(PROYECTOS[[#This Row],[MUNICIPIO]],MUNICIPIOS!A:A,MUNICIPIOS!F:F,0,0,1)</f>
        <v>-75.747377999999998</v>
      </c>
      <c r="G49" s="44">
        <f>+_xlfn.XLOOKUP(PROYECTOS[[#This Row],[MUNICIPIO]],MUNICIPIOS!A:A,MUNICIPIOS!G:G,0,0,1)</f>
        <v>6.5007450000000002</v>
      </c>
      <c r="H49" s="44">
        <f>+_xlfn.XLOOKUP(PROYECTOS[[#This Row],[MUNICIPIO]],MUNICIPIOS!A:A,MUNICIPIOS!B:B,0,0,1)</f>
        <v>0</v>
      </c>
      <c r="I49" s="44">
        <f>+_xlfn.XLOOKUP(PROYECTOS[[#This Row],[MUNICIPIO]],MUNICIPIOS!A:A,MUNICIPIOS!C:C,0,0,1)</f>
        <v>0</v>
      </c>
      <c r="J49" s="3" t="str" cm="1">
        <f t="array" ref="J49">_xlfn.TEXTJOIN(" ", TRUE, IF(radicados[ID PROYECTOS]=A49, radicados[RADICADO], ""))</f>
        <v>2024010295409</v>
      </c>
      <c r="K49" s="45">
        <v>1</v>
      </c>
      <c r="L49" s="48"/>
      <c r="M49" s="34" t="s">
        <v>396</v>
      </c>
      <c r="N49" s="34" t="s">
        <v>398</v>
      </c>
      <c r="O49" s="34" t="s">
        <v>25</v>
      </c>
      <c r="P49" s="37" t="s">
        <v>960</v>
      </c>
      <c r="Q49" s="45"/>
      <c r="R49" s="43"/>
      <c r="S49" s="43"/>
      <c r="T49" s="44">
        <f>+_xlfn.XLOOKUP(PROYECTOS[[#This Row],[MUNICIPIO]],'4.CAP_ENDMNT'!B:B,'4.CAP_ENDMNT'!C:C,0,0,1)</f>
        <v>6</v>
      </c>
      <c r="U49" s="139">
        <f>+_xlfn.XLOOKUP(PROYECTOS[[#This Row],[MUNICIPIO]],'4.CAP_ENDMNT'!B:B,'4.CAP_ENDMNT'!D:D,0,0,1)</f>
        <v>16347842057.745998</v>
      </c>
      <c r="V49" s="140">
        <f>+_xlfn.XLOOKUP(PROYECTOS[[#This Row],[MUNICIPIO]],'4.CAP_ENDMNT'!B:B,'4.CAP_ENDMNT'!E:E,0,0,1)</f>
        <v>7901643157.3299999</v>
      </c>
      <c r="W49" s="140">
        <f>+_xlfn.XLOOKUP(PROYECTOS[[#This Row],[MUNICIPIO]],'4.CAP_ENDMNT'!B:B,'4.CAP_ENDMNT'!F:F,0,0,1)</f>
        <v>8446198900.4159985</v>
      </c>
      <c r="X49" s="140">
        <f>+_xlfn.XLOOKUP(PROYECTOS[[#This Row],[MUNICIPIO]],'4.CAP_ENDMNT'!B:B,'4.CAP_ENDMNT'!G:G,0,0,1)</f>
        <v>1620905965.8499999</v>
      </c>
      <c r="Y49" s="140">
        <f>+_xlfn.XLOOKUP(PROYECTOS[[#This Row],[MUNICIPIO]],'4.CAP_ENDMNT'!B:B,'4.CAP_ENDMNT'!H:H,0,0,1)</f>
        <v>2416666620</v>
      </c>
      <c r="Z49" s="140">
        <f>+_xlfn.XLOOKUP(PROYECTOS[[#This Row],[MUNICIPIO]],'4.CAP_ENDMNT'!B:B,'4.CAP_ENDMNT'!I:I,0,0,1)</f>
        <v>4037572585.8499999</v>
      </c>
      <c r="AA49" s="134">
        <f>+_xlfn.XLOOKUP(PROYECTOS[[#This Row],[MUNICIPIO]],'4.CAP_ENDMNT'!B:B,'4.CAP_ENDMNT'!J:J,0,0,1)</f>
        <v>0.24697893285168493</v>
      </c>
      <c r="AB49" s="140">
        <f>+_xlfn.XLOOKUP(PROYECTOS[[#This Row],[MUNICIPIO]],'4.CAP_ENDMNT'!B:B,'4.CAP_ENDMNT'!K:K,0,0,1)</f>
        <v>12310269471.895998</v>
      </c>
      <c r="AC49" s="140">
        <f>+_xlfn.XLOOKUP(PROYECTOS[[#This Row],[MUNICIPIO]],'4.CAP_ENDMNT'!B:B,'4.CAP_ENDMNT'!L:L,0,0,1)</f>
        <v>9848215577.516798</v>
      </c>
      <c r="AD49" s="140">
        <f>+_xlfn.XLOOKUP(PROYECTOS[[#This Row],[MUNICIPIO]],'4.CAP_ENDMNT'!B:B,'4.CAP_ENDMNT'!M:M,0,0,1)</f>
        <v>7386161683.137599</v>
      </c>
      <c r="AE49" s="134">
        <f>+_xlfn.XLOOKUP(PROYECTOS[[#This Row],[MUNICIPIO]],'4.CAP_ENDMNT'!B:B,'4.CAP_ENDMNT'!N:N,0,0,1)</f>
        <v>0.40145556058375176</v>
      </c>
      <c r="AF49" s="134">
        <f>+_xlfn.XLOOKUP(PROYECTOS[[#This Row],[MUNICIPIO]],'4.CAP_ENDMNT'!B:B,'4.CAP_ENDMNT'!O:O,0,0,1)</f>
        <v>0.5852153455768756</v>
      </c>
      <c r="AG49" s="134">
        <f>+_xlfn.XLOOKUP(PROYECTOS[[#This Row],[MUNICIPIO]],'4.CAP_ENDMNT'!B:B,'4.CAP_ENDMNT'!P:P,0,0,1)</f>
        <v>0.8</v>
      </c>
      <c r="AH49" s="44" t="str">
        <f>+_xlfn.XLOOKUP(PROYECTOS[[#This Row],[MUNICIPIO]],'4.CAP_ENDMNT'!B:B,'4.CAP_ENDMNT'!Q:Q,0,0,1)</f>
        <v>Cumple</v>
      </c>
      <c r="AI49" s="139">
        <f>+_xlfn.XLOOKUP(PROYECTOS[[#This Row],[MUNICIPIO]],'4.CAP_ENDMNT'!B:B,'4.CAP_ENDMNT'!V:V,0,0,1)</f>
        <v>1477232336.6275198</v>
      </c>
      <c r="AJ49" s="139">
        <f>+_xlfn.XLOOKUP(PROYECTOS[[#This Row],[MUNICIPIO]],'4.CAP_ENDMNT'!B:B,'4.CAP_ENDMNT'!Y:Y,0,0,1)</f>
        <v>-11946219029.23488</v>
      </c>
      <c r="AK49"/>
      <c r="AL49"/>
      <c r="AM49"/>
    </row>
    <row r="50" spans="1:39">
      <c r="A50" s="44">
        <v>54</v>
      </c>
      <c r="B50" s="37" t="s">
        <v>981</v>
      </c>
      <c r="C50" s="118">
        <f>+_xlfn.XLOOKUP(PROYECTOS[[#This Row],[ID_NECESIDAD]],'1.RADICADOS'!G:G,'1.RADICADOS'!C:C,0,0,1)*1</f>
        <v>45344</v>
      </c>
      <c r="D50" s="46" t="s">
        <v>52</v>
      </c>
      <c r="E50" s="47" t="str">
        <f>+_xlfn.XLOOKUP(PROYECTOS[[#This Row],[MUNICIPIO]],MUNICIPIOS!A:A,MUNICIPIOS!E:E,0,0,1)</f>
        <v>Suroeste</v>
      </c>
      <c r="F50" s="44">
        <f>+_xlfn.XLOOKUP(PROYECTOS[[#This Row],[MUNICIPIO]],MUNICIPIOS!A:A,MUNICIPIOS!F:F,0,0,1)</f>
        <v>-75.714428999999996</v>
      </c>
      <c r="G50" s="44">
        <f>+_xlfn.XLOOKUP(PROYECTOS[[#This Row],[MUNICIPIO]],MUNICIPIOS!A:A,MUNICIPIOS!G:G,0,0,1)</f>
        <v>5.6646450000000002</v>
      </c>
      <c r="H50" s="44">
        <f>+_xlfn.XLOOKUP(PROYECTOS[[#This Row],[MUNICIPIO]],MUNICIPIOS!A:A,MUNICIPIOS!B:B,0,0,1)</f>
        <v>0</v>
      </c>
      <c r="I50" s="44">
        <f>+_xlfn.XLOOKUP(PROYECTOS[[#This Row],[MUNICIPIO]],MUNICIPIOS!A:A,MUNICIPIOS!C:C,0,0,1)</f>
        <v>0</v>
      </c>
      <c r="J50" s="3" t="str" cm="1">
        <f t="array" ref="J50">_xlfn.TEXTJOIN(" ", TRUE, IF(radicados[ID PROYECTOS]=A50, radicados[RADICADO], ""))</f>
        <v>2024010078784 2024010309743 2024010402790</v>
      </c>
      <c r="K50" s="45">
        <v>3</v>
      </c>
      <c r="L50" s="48">
        <v>4369072228</v>
      </c>
      <c r="M50" s="34" t="s">
        <v>288</v>
      </c>
      <c r="N50" s="34" t="s">
        <v>397</v>
      </c>
      <c r="O50" s="34" t="s">
        <v>56</v>
      </c>
      <c r="P50" s="37" t="s">
        <v>1575</v>
      </c>
      <c r="Q50" s="45"/>
      <c r="R50" s="43"/>
      <c r="S50" s="43"/>
      <c r="T50" s="44">
        <f>+_xlfn.XLOOKUP(PROYECTOS[[#This Row],[MUNICIPIO]],'4.CAP_ENDMNT'!B:B,'4.CAP_ENDMNT'!C:C,0,0,1)</f>
        <v>6</v>
      </c>
      <c r="U50" s="139">
        <f>+_xlfn.XLOOKUP(PROYECTOS[[#This Row],[MUNICIPIO]],'4.CAP_ENDMNT'!B:B,'4.CAP_ENDMNT'!D:D,0,0,1)</f>
        <v>13939577899.640499</v>
      </c>
      <c r="V50" s="140">
        <f>+_xlfn.XLOOKUP(PROYECTOS[[#This Row],[MUNICIPIO]],'4.CAP_ENDMNT'!B:B,'4.CAP_ENDMNT'!E:E,0,0,1)</f>
        <v>5408645166.3600006</v>
      </c>
      <c r="W50" s="140">
        <f>+_xlfn.XLOOKUP(PROYECTOS[[#This Row],[MUNICIPIO]],'4.CAP_ENDMNT'!B:B,'4.CAP_ENDMNT'!F:F,0,0,1)</f>
        <v>8530932733.2804985</v>
      </c>
      <c r="X50" s="140">
        <f>+_xlfn.XLOOKUP(PROYECTOS[[#This Row],[MUNICIPIO]],'4.CAP_ENDMNT'!B:B,'4.CAP_ENDMNT'!G:G,0,0,1)</f>
        <v>2408239973</v>
      </c>
      <c r="Y50" s="140">
        <f>+_xlfn.XLOOKUP(PROYECTOS[[#This Row],[MUNICIPIO]],'4.CAP_ENDMNT'!B:B,'4.CAP_ENDMNT'!H:H,0,0,1)</f>
        <v>812109375</v>
      </c>
      <c r="Z50" s="140">
        <f>+_xlfn.XLOOKUP(PROYECTOS[[#This Row],[MUNICIPIO]],'4.CAP_ENDMNT'!B:B,'4.CAP_ENDMNT'!I:I,0,0,1)</f>
        <v>3220349348</v>
      </c>
      <c r="AA50" s="134">
        <f>+_xlfn.XLOOKUP(PROYECTOS[[#This Row],[MUNICIPIO]],'4.CAP_ENDMNT'!B:B,'4.CAP_ENDMNT'!J:J,0,0,1)</f>
        <v>0.23102201309001277</v>
      </c>
      <c r="AB50" s="140">
        <f>+_xlfn.XLOOKUP(PROYECTOS[[#This Row],[MUNICIPIO]],'4.CAP_ENDMNT'!B:B,'4.CAP_ENDMNT'!K:K,0,0,1)</f>
        <v>10719228551.640499</v>
      </c>
      <c r="AC50" s="140">
        <f>+_xlfn.XLOOKUP(PROYECTOS[[#This Row],[MUNICIPIO]],'4.CAP_ENDMNT'!B:B,'4.CAP_ENDMNT'!L:L,0,0,1)</f>
        <v>8575382841.3123999</v>
      </c>
      <c r="AD50" s="140">
        <f>+_xlfn.XLOOKUP(PROYECTOS[[#This Row],[MUNICIPIO]],'4.CAP_ENDMNT'!B:B,'4.CAP_ENDMNT'!M:M,0,0,1)</f>
        <v>6431537130.9842997</v>
      </c>
      <c r="AE50" s="134">
        <f>+_xlfn.XLOOKUP(PROYECTOS[[#This Row],[MUNICIPIO]],'4.CAP_ENDMNT'!B:B,'4.CAP_ENDMNT'!N:N,0,0,1)</f>
        <v>0.74781947942872684</v>
      </c>
      <c r="AF50" s="134">
        <f>+_xlfn.XLOOKUP(PROYECTOS[[#This Row],[MUNICIPIO]],'4.CAP_ENDMNT'!B:B,'4.CAP_ENDMNT'!O:O,0,0,1)</f>
        <v>0.48148969869574604</v>
      </c>
      <c r="AG50" s="134">
        <f>+_xlfn.XLOOKUP(PROYECTOS[[#This Row],[MUNICIPIO]],'4.CAP_ENDMNT'!B:B,'4.CAP_ENDMNT'!P:P,0,0,1)</f>
        <v>0.8</v>
      </c>
      <c r="AH50" s="44" t="str">
        <f>+_xlfn.XLOOKUP(PROYECTOS[[#This Row],[MUNICIPIO]],'4.CAP_ENDMNT'!B:B,'4.CAP_ENDMNT'!Q:Q,0,0,1)</f>
        <v>Cumple</v>
      </c>
      <c r="AI50" s="139">
        <f>+_xlfn.XLOOKUP(PROYECTOS[[#This Row],[MUNICIPIO]],'4.CAP_ENDMNT'!B:B,'4.CAP_ENDMNT'!V:V,0,0,1)</f>
        <v>1286307426.1968601</v>
      </c>
      <c r="AJ50" s="139">
        <f>+_xlfn.XLOOKUP(PROYECTOS[[#This Row],[MUNICIPIO]],'4.CAP_ENDMNT'!B:B,'4.CAP_ENDMNT'!Y:Y,0,0,1)</f>
        <v>-10772171787.81884</v>
      </c>
      <c r="AK50"/>
      <c r="AL50"/>
      <c r="AM50"/>
    </row>
    <row r="51" spans="1:39">
      <c r="A51" s="44">
        <v>55</v>
      </c>
      <c r="B51" s="37" t="s">
        <v>124</v>
      </c>
      <c r="C51" s="118">
        <f>+_xlfn.XLOOKUP(PROYECTOS[[#This Row],[ID_NECESIDAD]],'1.RADICADOS'!G:G,'1.RADICADOS'!C:C,0,0,1)*1</f>
        <v>45634</v>
      </c>
      <c r="D51" s="46" t="s">
        <v>84</v>
      </c>
      <c r="E51" s="47" t="str">
        <f>+_xlfn.XLOOKUP(PROYECTOS[[#This Row],[MUNICIPIO]],MUNICIPIOS!A:A,MUNICIPIOS!E:E,0,0,1)</f>
        <v>Oriente</v>
      </c>
      <c r="F51" s="44">
        <f>+_xlfn.XLOOKUP(PROYECTOS[[#This Row],[MUNICIPIO]],MUNICIPIOS!A:A,MUNICIPIOS!F:F,0,0,1)</f>
        <v>-75.309595999999999</v>
      </c>
      <c r="G51" s="44" t="str">
        <f>+_xlfn.XLOOKUP(PROYECTOS[[#This Row],[MUNICIPIO]],MUNICIPIOS!A:A,MUNICIPIOS!G:G,0,0,1)</f>
        <v>5,714851</v>
      </c>
      <c r="H51" s="44">
        <f>+_xlfn.XLOOKUP(PROYECTOS[[#This Row],[MUNICIPIO]],MUNICIPIOS!A:A,MUNICIPIOS!B:B,0,0,1)</f>
        <v>0</v>
      </c>
      <c r="I51" s="44">
        <f>+_xlfn.XLOOKUP(PROYECTOS[[#This Row],[MUNICIPIO]],MUNICIPIOS!A:A,MUNICIPIOS!C:C,0,0,1)</f>
        <v>1</v>
      </c>
      <c r="J51" s="3" t="str" cm="1">
        <f t="array" ref="J51">_xlfn.TEXTJOIN(" ", TRUE, IF(radicados[ID PROYECTOS]=A51, radicados[RADICADO], ""))</f>
        <v>2024010319437</v>
      </c>
      <c r="K51" s="45">
        <v>3</v>
      </c>
      <c r="L51" s="48">
        <v>684345500</v>
      </c>
      <c r="M51" s="34" t="s">
        <v>401</v>
      </c>
      <c r="N51" s="34" t="s">
        <v>398</v>
      </c>
      <c r="O51" s="34" t="s">
        <v>25</v>
      </c>
      <c r="P51" s="37"/>
      <c r="Q51" s="45"/>
      <c r="R51" s="43"/>
      <c r="S51" s="43"/>
      <c r="T51" s="44">
        <f>+_xlfn.XLOOKUP(PROYECTOS[[#This Row],[MUNICIPIO]],'4.CAP_ENDMNT'!B:B,'4.CAP_ENDMNT'!C:C,0,0,1)</f>
        <v>5</v>
      </c>
      <c r="U51" s="139">
        <f>+_xlfn.XLOOKUP(PROYECTOS[[#This Row],[MUNICIPIO]],'4.CAP_ENDMNT'!B:B,'4.CAP_ENDMNT'!D:D,0,0,1)</f>
        <v>35695767669.016502</v>
      </c>
      <c r="V51" s="140">
        <f>+_xlfn.XLOOKUP(PROYECTOS[[#This Row],[MUNICIPIO]],'4.CAP_ENDMNT'!B:B,'4.CAP_ENDMNT'!E:E,0,0,1)</f>
        <v>13532488388.23</v>
      </c>
      <c r="W51" s="140">
        <f>+_xlfn.XLOOKUP(PROYECTOS[[#This Row],[MUNICIPIO]],'4.CAP_ENDMNT'!B:B,'4.CAP_ENDMNT'!F:F,0,0,1)</f>
        <v>22163279280.786503</v>
      </c>
      <c r="X51" s="140">
        <f>+_xlfn.XLOOKUP(PROYECTOS[[#This Row],[MUNICIPIO]],'4.CAP_ENDMNT'!B:B,'4.CAP_ENDMNT'!G:G,0,0,1)</f>
        <v>1067761948</v>
      </c>
      <c r="Y51" s="140">
        <f>+_xlfn.XLOOKUP(PROYECTOS[[#This Row],[MUNICIPIO]],'4.CAP_ENDMNT'!B:B,'4.CAP_ENDMNT'!H:H,0,0,1)</f>
        <v>4932032890</v>
      </c>
      <c r="Z51" s="140">
        <f>+_xlfn.XLOOKUP(PROYECTOS[[#This Row],[MUNICIPIO]],'4.CAP_ENDMNT'!B:B,'4.CAP_ENDMNT'!I:I,0,0,1)</f>
        <v>5999794838</v>
      </c>
      <c r="AA51" s="134">
        <f>+_xlfn.XLOOKUP(PROYECTOS[[#This Row],[MUNICIPIO]],'4.CAP_ENDMNT'!B:B,'4.CAP_ENDMNT'!J:J,0,0,1)</f>
        <v>0.16808140655867587</v>
      </c>
      <c r="AB51" s="140">
        <f>+_xlfn.XLOOKUP(PROYECTOS[[#This Row],[MUNICIPIO]],'4.CAP_ENDMNT'!B:B,'4.CAP_ENDMNT'!K:K,0,0,1)</f>
        <v>29695972831.016502</v>
      </c>
      <c r="AC51" s="140">
        <f>+_xlfn.XLOOKUP(PROYECTOS[[#This Row],[MUNICIPIO]],'4.CAP_ENDMNT'!B:B,'4.CAP_ENDMNT'!L:L,0,0,1)</f>
        <v>23756778264.813202</v>
      </c>
      <c r="AD51" s="140">
        <f>+_xlfn.XLOOKUP(PROYECTOS[[#This Row],[MUNICIPIO]],'4.CAP_ENDMNT'!B:B,'4.CAP_ENDMNT'!M:M,0,0,1)</f>
        <v>17817583698.609901</v>
      </c>
      <c r="AE51" s="134">
        <f>+_xlfn.XLOOKUP(PROYECTOS[[#This Row],[MUNICIPIO]],'4.CAP_ENDMNT'!B:B,'4.CAP_ENDMNT'!N:N,0,0,1)</f>
        <v>0.17796640999076777</v>
      </c>
      <c r="AF51" s="134">
        <f>+_xlfn.XLOOKUP(PROYECTOS[[#This Row],[MUNICIPIO]],'4.CAP_ENDMNT'!B:B,'4.CAP_ENDMNT'!O:O,0,0,1)</f>
        <v>0.4016729815979605</v>
      </c>
      <c r="AG51" s="134">
        <f>+_xlfn.XLOOKUP(PROYECTOS[[#This Row],[MUNICIPIO]],'4.CAP_ENDMNT'!B:B,'4.CAP_ENDMNT'!P:P,0,0,1)</f>
        <v>0.8</v>
      </c>
      <c r="AH51" s="44" t="str">
        <f>+_xlfn.XLOOKUP(PROYECTOS[[#This Row],[MUNICIPIO]],'4.CAP_ENDMNT'!B:B,'4.CAP_ENDMNT'!Q:Q,0,0,1)</f>
        <v>Cumple</v>
      </c>
      <c r="AI51" s="139">
        <f>+_xlfn.XLOOKUP(PROYECTOS[[#This Row],[MUNICIPIO]],'4.CAP_ENDMNT'!B:B,'4.CAP_ENDMNT'!V:V,0,0,1)</f>
        <v>3563516739.7219806</v>
      </c>
      <c r="AJ51" s="139">
        <f>+_xlfn.XLOOKUP(PROYECTOS[[#This Row],[MUNICIPIO]],'4.CAP_ENDMNT'!B:B,'4.CAP_ENDMNT'!Y:Y,0,0,1)</f>
        <v>-46557238264.668121</v>
      </c>
      <c r="AK51"/>
      <c r="AL51"/>
      <c r="AM51"/>
    </row>
    <row r="52" spans="1:39">
      <c r="A52" s="44">
        <v>56</v>
      </c>
      <c r="B52" s="37" t="s">
        <v>1368</v>
      </c>
      <c r="C52" s="118">
        <f>+_xlfn.XLOOKUP(PROYECTOS[[#This Row],[ID_NECESIDAD]],'1.RADICADOS'!G:G,'1.RADICADOS'!C:C,0,0,1)*1</f>
        <v>45634</v>
      </c>
      <c r="D52" s="46" t="s">
        <v>125</v>
      </c>
      <c r="E52" s="47" t="str">
        <f>+_xlfn.XLOOKUP(PROYECTOS[[#This Row],[MUNICIPIO]],MUNICIPIOS!A:A,MUNICIPIOS!E:E,0,0,1)</f>
        <v>Oriente</v>
      </c>
      <c r="F52" s="44">
        <f>+_xlfn.XLOOKUP(PROYECTOS[[#This Row],[MUNICIPIO]],MUNICIPIOS!A:A,MUNICIPIOS!F:F,0,0,1)</f>
        <v>-75.185483000000005</v>
      </c>
      <c r="G52" s="44" t="str">
        <f>+_xlfn.XLOOKUP(PROYECTOS[[#This Row],[MUNICIPIO]],MUNICIPIOS!A:A,MUNICIPIOS!G:G,0,0,1)</f>
        <v>6,058295</v>
      </c>
      <c r="H52" s="44">
        <f>+_xlfn.XLOOKUP(PROYECTOS[[#This Row],[MUNICIPIO]],MUNICIPIOS!A:A,MUNICIPIOS!B:B,0,0,1)</f>
        <v>0</v>
      </c>
      <c r="I52" s="44">
        <f>+_xlfn.XLOOKUP(PROYECTOS[[#This Row],[MUNICIPIO]],MUNICIPIOS!A:A,MUNICIPIOS!C:C,0,0,1)</f>
        <v>1</v>
      </c>
      <c r="J52" s="3" t="str" cm="1">
        <f t="array" ref="J52">_xlfn.TEXTJOIN(" ", TRUE, IF(radicados[ID PROYECTOS]=A52, radicados[RADICADO], ""))</f>
        <v>2024010361194</v>
      </c>
      <c r="K52" s="142">
        <v>2</v>
      </c>
      <c r="L52" s="48"/>
      <c r="M52" s="34" t="s">
        <v>401</v>
      </c>
      <c r="N52" s="34" t="s">
        <v>398</v>
      </c>
      <c r="O52" s="34" t="s">
        <v>25</v>
      </c>
      <c r="P52" s="37" t="s">
        <v>969</v>
      </c>
      <c r="Q52" s="45"/>
      <c r="R52" s="43"/>
      <c r="S52" s="43"/>
      <c r="T52" s="44">
        <f>+_xlfn.XLOOKUP(PROYECTOS[[#This Row],[MUNICIPIO]],'4.CAP_ENDMNT'!B:B,'4.CAP_ENDMNT'!C:C,0,0,1)</f>
        <v>6</v>
      </c>
      <c r="U52" s="139">
        <f>+_xlfn.XLOOKUP(PROYECTOS[[#This Row],[MUNICIPIO]],'4.CAP_ENDMNT'!B:B,'4.CAP_ENDMNT'!D:D,0,0,1)</f>
        <v>12327690626.8465</v>
      </c>
      <c r="V52" s="140">
        <f>+_xlfn.XLOOKUP(PROYECTOS[[#This Row],[MUNICIPIO]],'4.CAP_ENDMNT'!B:B,'4.CAP_ENDMNT'!E:E,0,0,1)</f>
        <v>4723680091.2799997</v>
      </c>
      <c r="W52" s="140">
        <f>+_xlfn.XLOOKUP(PROYECTOS[[#This Row],[MUNICIPIO]],'4.CAP_ENDMNT'!B:B,'4.CAP_ENDMNT'!F:F,0,0,1)</f>
        <v>7604010535.5665007</v>
      </c>
      <c r="X52" s="140">
        <f>+_xlfn.XLOOKUP(PROYECTOS[[#This Row],[MUNICIPIO]],'4.CAP_ENDMNT'!B:B,'4.CAP_ENDMNT'!G:G,0,0,1)</f>
        <v>445297438</v>
      </c>
      <c r="Y52" s="140">
        <f>+_xlfn.XLOOKUP(PROYECTOS[[#This Row],[MUNICIPIO]],'4.CAP_ENDMNT'!B:B,'4.CAP_ENDMNT'!H:H,0,0,1)</f>
        <v>33508702</v>
      </c>
      <c r="Z52" s="140">
        <f>+_xlfn.XLOOKUP(PROYECTOS[[#This Row],[MUNICIPIO]],'4.CAP_ENDMNT'!B:B,'4.CAP_ENDMNT'!I:I,0,0,1)</f>
        <v>478806140</v>
      </c>
      <c r="AA52" s="134">
        <f>+_xlfn.XLOOKUP(PROYECTOS[[#This Row],[MUNICIPIO]],'4.CAP_ENDMNT'!B:B,'4.CAP_ENDMNT'!J:J,0,0,1)</f>
        <v>3.8839889359105498E-2</v>
      </c>
      <c r="AB52" s="140">
        <f>+_xlfn.XLOOKUP(PROYECTOS[[#This Row],[MUNICIPIO]],'4.CAP_ENDMNT'!B:B,'4.CAP_ENDMNT'!K:K,0,0,1)</f>
        <v>11848884486.8465</v>
      </c>
      <c r="AC52" s="140">
        <f>+_xlfn.XLOOKUP(PROYECTOS[[#This Row],[MUNICIPIO]],'4.CAP_ENDMNT'!B:B,'4.CAP_ENDMNT'!L:L,0,0,1)</f>
        <v>9479107589.4772015</v>
      </c>
      <c r="AD52" s="140">
        <f>+_xlfn.XLOOKUP(PROYECTOS[[#This Row],[MUNICIPIO]],'4.CAP_ENDMNT'!B:B,'4.CAP_ENDMNT'!M:M,0,0,1)</f>
        <v>7109330692.1078997</v>
      </c>
      <c r="AE52" s="134">
        <f>+_xlfn.XLOOKUP(PROYECTOS[[#This Row],[MUNICIPIO]],'4.CAP_ENDMNT'!B:B,'4.CAP_ENDMNT'!N:N,0,0,1)</f>
        <v>0.93001613972619479</v>
      </c>
      <c r="AF52" s="134">
        <f>+_xlfn.XLOOKUP(PROYECTOS[[#This Row],[MUNICIPIO]],'4.CAP_ENDMNT'!B:B,'4.CAP_ENDMNT'!O:O,0,0,1)</f>
        <v>0.63996045822337311</v>
      </c>
      <c r="AG52" s="134">
        <f>+_xlfn.XLOOKUP(PROYECTOS[[#This Row],[MUNICIPIO]],'4.CAP_ENDMNT'!B:B,'4.CAP_ENDMNT'!P:P,0,0,1)</f>
        <v>0.8</v>
      </c>
      <c r="AH52" s="44" t="str">
        <f>+_xlfn.XLOOKUP(PROYECTOS[[#This Row],[MUNICIPIO]],'4.CAP_ENDMNT'!B:B,'4.CAP_ENDMNT'!Q:Q,0,0,1)</f>
        <v>Cumple</v>
      </c>
      <c r="AI52" s="139">
        <f>+_xlfn.XLOOKUP(PROYECTOS[[#This Row],[MUNICIPIO]],'4.CAP_ENDMNT'!B:B,'4.CAP_ENDMNT'!V:V,0,0,1)</f>
        <v>1421866138.4215801</v>
      </c>
      <c r="AJ52" s="139">
        <f>+_xlfn.XLOOKUP(PROYECTOS[[#This Row],[MUNICIPIO]],'4.CAP_ENDMNT'!B:B,'4.CAP_ENDMNT'!Y:Y,0,0,1)</f>
        <v>4809429397.52948</v>
      </c>
      <c r="AK52"/>
      <c r="AL52"/>
      <c r="AM52"/>
    </row>
    <row r="53" spans="1:39">
      <c r="A53" s="44">
        <v>57</v>
      </c>
      <c r="B53" s="37" t="s">
        <v>128</v>
      </c>
      <c r="C53" s="118">
        <f>+_xlfn.XLOOKUP(PROYECTOS[[#This Row],[ID_NECESIDAD]],'1.RADICADOS'!G:G,'1.RADICADOS'!C:C,0,0,1)*1</f>
        <v>45504</v>
      </c>
      <c r="D53" s="46" t="s">
        <v>127</v>
      </c>
      <c r="E53" s="47" t="str">
        <f>+_xlfn.XLOOKUP(PROYECTOS[[#This Row],[MUNICIPIO]],MUNICIPIOS!A:A,MUNICIPIOS!E:E,0,0,1)</f>
        <v>Suroeste</v>
      </c>
      <c r="F53" s="44">
        <f>+_xlfn.XLOOKUP(PROYECTOS[[#This Row],[MUNICIPIO]],MUNICIPIOS!A:A,MUNICIPIOS!F:F,0,0,1)</f>
        <v>-75.976789999999994</v>
      </c>
      <c r="G53" s="44" t="str">
        <f>+_xlfn.XLOOKUP(PROYECTOS[[#This Row],[MUNICIPIO]],MUNICIPIOS!A:A,MUNICIPIOS!G:G,0,0,1)</f>
        <v>5,74615</v>
      </c>
      <c r="H53" s="44">
        <f>+_xlfn.XLOOKUP(PROYECTOS[[#This Row],[MUNICIPIO]],MUNICIPIOS!A:A,MUNICIPIOS!B:B,0,0,1)</f>
        <v>0</v>
      </c>
      <c r="I53" s="44">
        <f>+_xlfn.XLOOKUP(PROYECTOS[[#This Row],[MUNICIPIO]],MUNICIPIOS!A:A,MUNICIPIOS!C:C,0,0,1)</f>
        <v>0</v>
      </c>
      <c r="J53" s="3" t="str" cm="1">
        <f t="array" ref="J53">_xlfn.TEXTJOIN(" ", TRUE, IF(radicados[ID PROYECTOS]=A53, radicados[RADICADO], ""))</f>
        <v>2024010361554</v>
      </c>
      <c r="K53" s="45">
        <v>3</v>
      </c>
      <c r="L53" s="48">
        <v>4172739792</v>
      </c>
      <c r="M53" s="34" t="s">
        <v>401</v>
      </c>
      <c r="N53" s="34" t="s">
        <v>394</v>
      </c>
      <c r="O53" s="34" t="s">
        <v>18</v>
      </c>
      <c r="P53" s="37"/>
      <c r="Q53" s="45"/>
      <c r="R53" s="43"/>
      <c r="S53" s="43"/>
      <c r="T53" s="44">
        <f>+_xlfn.XLOOKUP(PROYECTOS[[#This Row],[MUNICIPIO]],'4.CAP_ENDMNT'!B:B,'4.CAP_ENDMNT'!C:C,0,0,1)</f>
        <v>6</v>
      </c>
      <c r="U53" s="139">
        <f>+_xlfn.XLOOKUP(PROYECTOS[[#This Row],[MUNICIPIO]],'4.CAP_ENDMNT'!B:B,'4.CAP_ENDMNT'!D:D,0,0,1)</f>
        <v>9197355968.8835011</v>
      </c>
      <c r="V53" s="140">
        <f>+_xlfn.XLOOKUP(PROYECTOS[[#This Row],[MUNICIPIO]],'4.CAP_ENDMNT'!B:B,'4.CAP_ENDMNT'!E:E,0,0,1)</f>
        <v>3350398615.7000003</v>
      </c>
      <c r="W53" s="140">
        <f>+_xlfn.XLOOKUP(PROYECTOS[[#This Row],[MUNICIPIO]],'4.CAP_ENDMNT'!B:B,'4.CAP_ENDMNT'!F:F,0,0,1)</f>
        <v>5846957353.1835003</v>
      </c>
      <c r="X53" s="140">
        <f>+_xlfn.XLOOKUP(PROYECTOS[[#This Row],[MUNICIPIO]],'4.CAP_ENDMNT'!B:B,'4.CAP_ENDMNT'!G:G,0,0,1)</f>
        <v>958841544</v>
      </c>
      <c r="Y53" s="140">
        <f>+_xlfn.XLOOKUP(PROYECTOS[[#This Row],[MUNICIPIO]],'4.CAP_ENDMNT'!B:B,'4.CAP_ENDMNT'!H:H,0,0,1)</f>
        <v>680000000</v>
      </c>
      <c r="Z53" s="140">
        <f>+_xlfn.XLOOKUP(PROYECTOS[[#This Row],[MUNICIPIO]],'4.CAP_ENDMNT'!B:B,'4.CAP_ENDMNT'!I:I,0,0,1)</f>
        <v>1638841544</v>
      </c>
      <c r="AA53" s="134">
        <f>+_xlfn.XLOOKUP(PROYECTOS[[#This Row],[MUNICIPIO]],'4.CAP_ENDMNT'!B:B,'4.CAP_ENDMNT'!J:J,0,0,1)</f>
        <v>0.17818616019044273</v>
      </c>
      <c r="AB53" s="140">
        <f>+_xlfn.XLOOKUP(PROYECTOS[[#This Row],[MUNICIPIO]],'4.CAP_ENDMNT'!B:B,'4.CAP_ENDMNT'!K:K,0,0,1)</f>
        <v>7558514424.8835011</v>
      </c>
      <c r="AC53" s="140">
        <f>+_xlfn.XLOOKUP(PROYECTOS[[#This Row],[MUNICIPIO]],'4.CAP_ENDMNT'!B:B,'4.CAP_ENDMNT'!L:L,0,0,1)</f>
        <v>6046811539.9068012</v>
      </c>
      <c r="AD53" s="140">
        <f>+_xlfn.XLOOKUP(PROYECTOS[[#This Row],[MUNICIPIO]],'4.CAP_ENDMNT'!B:B,'4.CAP_ENDMNT'!M:M,0,0,1)</f>
        <v>4535108654.9301004</v>
      </c>
      <c r="AE53" s="134">
        <f>+_xlfn.XLOOKUP(PROYECTOS[[#This Row],[MUNICIPIO]],'4.CAP_ENDMNT'!B:B,'4.CAP_ENDMNT'!N:N,0,0,1)</f>
        <v>0.58507275917579493</v>
      </c>
      <c r="AF53" s="134">
        <f>+_xlfn.XLOOKUP(PROYECTOS[[#This Row],[MUNICIPIO]],'4.CAP_ENDMNT'!B:B,'4.CAP_ENDMNT'!O:O,0,0,1)</f>
        <v>0.53687312631507866</v>
      </c>
      <c r="AG53" s="134">
        <f>+_xlfn.XLOOKUP(PROYECTOS[[#This Row],[MUNICIPIO]],'4.CAP_ENDMNT'!B:B,'4.CAP_ENDMNT'!P:P,0,0,1)</f>
        <v>0.8</v>
      </c>
      <c r="AH53" s="44" t="str">
        <f>+_xlfn.XLOOKUP(PROYECTOS[[#This Row],[MUNICIPIO]],'4.CAP_ENDMNT'!B:B,'4.CAP_ENDMNT'!Q:Q,0,0,1)</f>
        <v>Cumple</v>
      </c>
      <c r="AI53" s="139">
        <f>+_xlfn.XLOOKUP(PROYECTOS[[#This Row],[MUNICIPIO]],'4.CAP_ENDMNT'!B:B,'4.CAP_ENDMNT'!V:V,0,0,1)</f>
        <v>907021730.98602009</v>
      </c>
      <c r="AJ53" s="139">
        <f>+_xlfn.XLOOKUP(PROYECTOS[[#This Row],[MUNICIPIO]],'4.CAP_ENDMNT'!B:B,'4.CAP_ENDMNT'!Y:Y,0,0,1)</f>
        <v>-2964573994.0838795</v>
      </c>
      <c r="AK53"/>
      <c r="AL53"/>
      <c r="AM53"/>
    </row>
    <row r="54" spans="1:39">
      <c r="A54" s="44">
        <v>58</v>
      </c>
      <c r="B54" s="36" t="s">
        <v>1369</v>
      </c>
      <c r="C54" s="120">
        <f>+_xlfn.XLOOKUP(PROYECTOS[[#This Row],[ID_NECESIDAD]],'1.RADICADOS'!G:G,'1.RADICADOS'!C:C,0,0,1)*1</f>
        <v>45451</v>
      </c>
      <c r="D54" s="46" t="s">
        <v>111</v>
      </c>
      <c r="E54" s="47" t="str">
        <f>+_xlfn.XLOOKUP(PROYECTOS[[#This Row],[MUNICIPIO]],MUNICIPIOS!A:A,MUNICIPIOS!E:E,0,0,1)</f>
        <v>Urabá</v>
      </c>
      <c r="F54" s="44">
        <f>+_xlfn.XLOOKUP(PROYECTOS[[#This Row],[MUNICIPIO]],MUNICIPIOS!A:A,MUNICIPIOS!F:F,0,0,1)</f>
        <v>-76.625279000000006</v>
      </c>
      <c r="G54" s="44" t="str">
        <f>+_xlfn.XLOOKUP(PROYECTOS[[#This Row],[MUNICIPIO]],MUNICIPIOS!A:A,MUNICIPIOS!G:G,0,0,1)</f>
        <v>7,882968</v>
      </c>
      <c r="H54" s="44">
        <f>+_xlfn.XLOOKUP(PROYECTOS[[#This Row],[MUNICIPIO]],MUNICIPIOS!A:A,MUNICIPIOS!B:B,0,0,1)</f>
        <v>1</v>
      </c>
      <c r="I54" s="44">
        <f>+_xlfn.XLOOKUP(PROYECTOS[[#This Row],[MUNICIPIO]],MUNICIPIOS!A:A,MUNICIPIOS!C:C,0,0,1)</f>
        <v>1</v>
      </c>
      <c r="J54" s="3" t="str" cm="1">
        <f t="array" ref="J54">_xlfn.TEXTJOIN(" ", TRUE, IF(radicados[ID PROYECTOS]=A54, radicados[RADICADO], ""))</f>
        <v>2024010356273</v>
      </c>
      <c r="K54" s="45">
        <v>3</v>
      </c>
      <c r="L54" s="48">
        <v>7500000000</v>
      </c>
      <c r="M54" s="34" t="s">
        <v>396</v>
      </c>
      <c r="N54" s="34" t="s">
        <v>398</v>
      </c>
      <c r="O54" s="34" t="s">
        <v>25</v>
      </c>
      <c r="P54" s="37"/>
      <c r="Q54" s="45"/>
      <c r="R54" s="43"/>
      <c r="S54" s="43"/>
      <c r="T54" s="44">
        <f>+_xlfn.XLOOKUP(PROYECTOS[[#This Row],[MUNICIPIO]],'4.CAP_ENDMNT'!B:B,'4.CAP_ENDMNT'!C:C,0,0,1)</f>
        <v>3</v>
      </c>
      <c r="U54" s="139">
        <f>+_xlfn.XLOOKUP(PROYECTOS[[#This Row],[MUNICIPIO]],'4.CAP_ENDMNT'!B:B,'4.CAP_ENDMNT'!D:D,0,0,1)</f>
        <v>77784648137.448013</v>
      </c>
      <c r="V54" s="140">
        <f>+_xlfn.XLOOKUP(PROYECTOS[[#This Row],[MUNICIPIO]],'4.CAP_ENDMNT'!B:B,'4.CAP_ENDMNT'!E:E,0,0,1)</f>
        <v>31716114442.57</v>
      </c>
      <c r="W54" s="140">
        <f>+_xlfn.XLOOKUP(PROYECTOS[[#This Row],[MUNICIPIO]],'4.CAP_ENDMNT'!B:B,'4.CAP_ENDMNT'!F:F,0,0,1)</f>
        <v>46068533694.878014</v>
      </c>
      <c r="X54" s="140">
        <f>+_xlfn.XLOOKUP(PROYECTOS[[#This Row],[MUNICIPIO]],'4.CAP_ENDMNT'!B:B,'4.CAP_ENDMNT'!G:G,0,0,1)</f>
        <v>43139212620</v>
      </c>
      <c r="Y54" s="140">
        <f>+_xlfn.XLOOKUP(PROYECTOS[[#This Row],[MUNICIPIO]],'4.CAP_ENDMNT'!B:B,'4.CAP_ENDMNT'!H:H,0,0,1)</f>
        <v>17341932907.400002</v>
      </c>
      <c r="Z54" s="140">
        <f>+_xlfn.XLOOKUP(PROYECTOS[[#This Row],[MUNICIPIO]],'4.CAP_ENDMNT'!B:B,'4.CAP_ENDMNT'!I:I,0,0,1)</f>
        <v>60481145527.400002</v>
      </c>
      <c r="AA54" s="134">
        <f>+_xlfn.XLOOKUP(PROYECTOS[[#This Row],[MUNICIPIO]],'4.CAP_ENDMNT'!B:B,'4.CAP_ENDMNT'!J:J,0,0,1)</f>
        <v>0.77754604508241576</v>
      </c>
      <c r="AB54" s="140">
        <f>+_xlfn.XLOOKUP(PROYECTOS[[#This Row],[MUNICIPIO]],'4.CAP_ENDMNT'!B:B,'4.CAP_ENDMNT'!K:K,0,0,1)</f>
        <v>17303502610.048012</v>
      </c>
      <c r="AC54" s="140">
        <f>+_xlfn.XLOOKUP(PROYECTOS[[#This Row],[MUNICIPIO]],'4.CAP_ENDMNT'!B:B,'4.CAP_ENDMNT'!L:L,0,0,1)</f>
        <v>13842802088.03841</v>
      </c>
      <c r="AD54" s="140">
        <f>+_xlfn.XLOOKUP(PROYECTOS[[#This Row],[MUNICIPIO]],'4.CAP_ENDMNT'!B:B,'4.CAP_ENDMNT'!M:M,0,0,1)</f>
        <v>10382101566.028807</v>
      </c>
      <c r="AE54" s="134">
        <f>+_xlfn.XLOOKUP(PROYECTOS[[#This Row],[MUNICIPIO]],'4.CAP_ENDMNT'!B:B,'4.CAP_ENDMNT'!N:N,0,0,1)</f>
        <v>0.71326712223822675</v>
      </c>
      <c r="AF54" s="134">
        <f>+_xlfn.XLOOKUP(PROYECTOS[[#This Row],[MUNICIPIO]],'4.CAP_ENDMNT'!B:B,'4.CAP_ENDMNT'!O:O,0,0,1)</f>
        <v>0.57328291579513591</v>
      </c>
      <c r="AG54" s="134">
        <f>+_xlfn.XLOOKUP(PROYECTOS[[#This Row],[MUNICIPIO]],'4.CAP_ENDMNT'!B:B,'4.CAP_ENDMNT'!P:P,0,0,1)</f>
        <v>0.7</v>
      </c>
      <c r="AH54" s="44" t="str">
        <f>+_xlfn.XLOOKUP(PROYECTOS[[#This Row],[MUNICIPIO]],'4.CAP_ENDMNT'!B:B,'4.CAP_ENDMNT'!Q:Q,0,0,1)</f>
        <v>Cumple</v>
      </c>
      <c r="AI54" s="139">
        <f>+_xlfn.XLOOKUP(PROYECTOS[[#This Row],[MUNICIPIO]],'4.CAP_ENDMNT'!B:B,'4.CAP_ENDMNT'!V:V,0,0,1)</f>
        <v>2076420313.2057614</v>
      </c>
      <c r="AJ54" s="139">
        <f>+_xlfn.XLOOKUP(PROYECTOS[[#This Row],[MUNICIPIO]],'4.CAP_ENDMNT'!B:B,'4.CAP_ENDMNT'!Y:Y,0,0,1)</f>
        <v>-13466841257.765432</v>
      </c>
      <c r="AK54"/>
      <c r="AL54"/>
      <c r="AM54"/>
    </row>
    <row r="55" spans="1:39" ht="30">
      <c r="A55" s="44">
        <v>59</v>
      </c>
      <c r="B55" s="36" t="s">
        <v>1370</v>
      </c>
      <c r="C55" s="118">
        <f>+_xlfn.XLOOKUP(PROYECTOS[[#This Row],[ID_NECESIDAD]],'1.RADICADOS'!G:G,'1.RADICADOS'!C:C,0,0,1)*1</f>
        <v>45518</v>
      </c>
      <c r="D55" s="46" t="s">
        <v>131</v>
      </c>
      <c r="E55" s="47" t="str">
        <f>+_xlfn.XLOOKUP(PROYECTOS[[#This Row],[MUNICIPIO]],MUNICIPIOS!A:A,MUNICIPIOS!E:E,0,0,1)</f>
        <v>Valle de Aburrá</v>
      </c>
      <c r="F55" s="44">
        <f>+_xlfn.XLOOKUP(PROYECTOS[[#This Row],[MUNICIPIO]],MUNICIPIOS!A:A,MUNICIPIOS!F:F,0,0,1)</f>
        <v>-75.509383999999997</v>
      </c>
      <c r="G55" s="44" t="str">
        <f>+_xlfn.XLOOKUP(PROYECTOS[[#This Row],[MUNICIPIO]],MUNICIPIOS!A:A,MUNICIPIOS!G:G,0,0,1)</f>
        <v>6,348557</v>
      </c>
      <c r="H55" s="44">
        <f>+_xlfn.XLOOKUP(PROYECTOS[[#This Row],[MUNICIPIO]],MUNICIPIOS!A:A,MUNICIPIOS!B:B,0,0,1)</f>
        <v>0</v>
      </c>
      <c r="I55" s="44">
        <f>+_xlfn.XLOOKUP(PROYECTOS[[#This Row],[MUNICIPIO]],MUNICIPIOS!A:A,MUNICIPIOS!C:C,0,0,1)</f>
        <v>0</v>
      </c>
      <c r="J55" s="3" t="str" cm="1">
        <f t="array" ref="J55">_xlfn.TEXTJOIN(" ", TRUE, IF(radicados[ID PROYECTOS]=A55, radicados[RADICADO], ""))</f>
        <v>2024010354533</v>
      </c>
      <c r="K55" s="45">
        <v>2</v>
      </c>
      <c r="L55" s="48"/>
      <c r="M55" s="34" t="s">
        <v>396</v>
      </c>
      <c r="N55" s="34" t="s">
        <v>398</v>
      </c>
      <c r="O55" s="34" t="s">
        <v>25</v>
      </c>
      <c r="P55" s="37"/>
      <c r="Q55" s="45"/>
      <c r="R55" s="43"/>
      <c r="S55" s="43"/>
      <c r="T55" s="44">
        <f>+_xlfn.XLOOKUP(PROYECTOS[[#This Row],[MUNICIPIO]],'4.CAP_ENDMNT'!B:B,'4.CAP_ENDMNT'!C:C,0,0,1)</f>
        <v>3</v>
      </c>
      <c r="U55" s="139">
        <f>+_xlfn.XLOOKUP(PROYECTOS[[#This Row],[MUNICIPIO]],'4.CAP_ENDMNT'!B:B,'4.CAP_ENDMNT'!D:D,0,0,1)</f>
        <v>71418896570.32901</v>
      </c>
      <c r="V55" s="140">
        <f>+_xlfn.XLOOKUP(PROYECTOS[[#This Row],[MUNICIPIO]],'4.CAP_ENDMNT'!B:B,'4.CAP_ENDMNT'!E:E,0,0,1)</f>
        <v>21915816653.91</v>
      </c>
      <c r="W55" s="140">
        <f>+_xlfn.XLOOKUP(PROYECTOS[[#This Row],[MUNICIPIO]],'4.CAP_ENDMNT'!B:B,'4.CAP_ENDMNT'!F:F,0,0,1)</f>
        <v>49503079916.419006</v>
      </c>
      <c r="X55" s="140">
        <f>+_xlfn.XLOOKUP(PROYECTOS[[#This Row],[MUNICIPIO]],'4.CAP_ENDMNT'!B:B,'4.CAP_ENDMNT'!G:G,0,0,1)</f>
        <v>5163365590</v>
      </c>
      <c r="Y55" s="140">
        <f>+_xlfn.XLOOKUP(PROYECTOS[[#This Row],[MUNICIPIO]],'4.CAP_ENDMNT'!B:B,'4.CAP_ENDMNT'!H:H,0,0,1)</f>
        <v>10000000000</v>
      </c>
      <c r="Z55" s="140">
        <f>+_xlfn.XLOOKUP(PROYECTOS[[#This Row],[MUNICIPIO]],'4.CAP_ENDMNT'!B:B,'4.CAP_ENDMNT'!I:I,0,0,1)</f>
        <v>15163365590</v>
      </c>
      <c r="AA55" s="134">
        <f>+_xlfn.XLOOKUP(PROYECTOS[[#This Row],[MUNICIPIO]],'4.CAP_ENDMNT'!B:B,'4.CAP_ENDMNT'!J:J,0,0,1)</f>
        <v>0.21231587602404406</v>
      </c>
      <c r="AB55" s="140">
        <f>+_xlfn.XLOOKUP(PROYECTOS[[#This Row],[MUNICIPIO]],'4.CAP_ENDMNT'!B:B,'4.CAP_ENDMNT'!K:K,0,0,1)</f>
        <v>56255530980.32901</v>
      </c>
      <c r="AC55" s="140">
        <f>+_xlfn.XLOOKUP(PROYECTOS[[#This Row],[MUNICIPIO]],'4.CAP_ENDMNT'!B:B,'4.CAP_ENDMNT'!L:L,0,0,1)</f>
        <v>45004424784.263214</v>
      </c>
      <c r="AD55" s="140">
        <f>+_xlfn.XLOOKUP(PROYECTOS[[#This Row],[MUNICIPIO]],'4.CAP_ENDMNT'!B:B,'4.CAP_ENDMNT'!M:M,0,0,1)</f>
        <v>33753318588.197403</v>
      </c>
      <c r="AE55" s="134">
        <f>+_xlfn.XLOOKUP(PROYECTOS[[#This Row],[MUNICIPIO]],'4.CAP_ENDMNT'!B:B,'4.CAP_ENDMNT'!N:N,0,0,1)</f>
        <v>0.34051580167698114</v>
      </c>
      <c r="AF55" s="134">
        <f>+_xlfn.XLOOKUP(PROYECTOS[[#This Row],[MUNICIPIO]],'4.CAP_ENDMNT'!B:B,'4.CAP_ENDMNT'!O:O,0,0,1)</f>
        <v>0.39338076792135007</v>
      </c>
      <c r="AG55" s="134">
        <f>+_xlfn.XLOOKUP(PROYECTOS[[#This Row],[MUNICIPIO]],'4.CAP_ENDMNT'!B:B,'4.CAP_ENDMNT'!P:P,0,0,1)</f>
        <v>0.7</v>
      </c>
      <c r="AH55" s="44" t="str">
        <f>+_xlfn.XLOOKUP(PROYECTOS[[#This Row],[MUNICIPIO]],'4.CAP_ENDMNT'!B:B,'4.CAP_ENDMNT'!Q:Q,0,0,1)</f>
        <v>Cumple</v>
      </c>
      <c r="AI55" s="139">
        <f>+_xlfn.XLOOKUP(PROYECTOS[[#This Row],[MUNICIPIO]],'4.CAP_ENDMNT'!B:B,'4.CAP_ENDMNT'!V:V,0,0,1)</f>
        <v>6750663717.6394806</v>
      </c>
      <c r="AJ55" s="139">
        <f>+_xlfn.XLOOKUP(PROYECTOS[[#This Row],[MUNICIPIO]],'4.CAP_ENDMNT'!B:B,'4.CAP_ENDMNT'!Y:Y,0,0,1)</f>
        <v>38546426431.836884</v>
      </c>
      <c r="AK55"/>
      <c r="AL55"/>
      <c r="AM55"/>
    </row>
    <row r="56" spans="1:39">
      <c r="A56" s="44">
        <v>61</v>
      </c>
      <c r="B56" s="37" t="s">
        <v>135</v>
      </c>
      <c r="C56" s="118">
        <f>+_xlfn.XLOOKUP(PROYECTOS[[#This Row],[ID_NECESIDAD]],'1.RADICADOS'!G:G,'1.RADICADOS'!C:C,0,0,1)*1</f>
        <v>45326</v>
      </c>
      <c r="D56" s="46" t="s">
        <v>134</v>
      </c>
      <c r="E56" s="47" t="str">
        <f>+_xlfn.XLOOKUP(PROYECTOS[[#This Row],[MUNICIPIO]],MUNICIPIOS!A:A,MUNICIPIOS!E:E,0,0,1)</f>
        <v>Magdalena Medio</v>
      </c>
      <c r="F56" s="44">
        <f>+_xlfn.XLOOKUP(PROYECTOS[[#This Row],[MUNICIPIO]],MUNICIPIOS!A:A,MUNICIPIOS!F:F,0,0,1)</f>
        <v>-74.583011999999997</v>
      </c>
      <c r="G56" s="44" t="str">
        <f>+_xlfn.XLOOKUP(PROYECTOS[[#This Row],[MUNICIPIO]],MUNICIPIOS!A:A,MUNICIPIOS!G:G,0,0,1)</f>
        <v>6,186025</v>
      </c>
      <c r="H56" s="44">
        <f>+_xlfn.XLOOKUP(PROYECTOS[[#This Row],[MUNICIPIO]],MUNICIPIOS!A:A,MUNICIPIOS!B:B,0,0,1)</f>
        <v>0</v>
      </c>
      <c r="I56" s="44">
        <f>+_xlfn.XLOOKUP(PROYECTOS[[#This Row],[MUNICIPIO]],MUNICIPIOS!A:A,MUNICIPIOS!C:C,0,0,1)</f>
        <v>0</v>
      </c>
      <c r="J56" s="3" t="str" cm="1">
        <f t="array" ref="J56">_xlfn.TEXTJOIN(" ", TRUE, IF(radicados[ID PROYECTOS]=A56, radicados[RADICADO], ""))</f>
        <v>2024010353885 2024010353894</v>
      </c>
      <c r="K56" s="45">
        <v>3</v>
      </c>
      <c r="L56" s="48">
        <v>1653399856</v>
      </c>
      <c r="M56" s="34" t="s">
        <v>401</v>
      </c>
      <c r="N56" s="40" t="s">
        <v>394</v>
      </c>
      <c r="O56" s="34" t="s">
        <v>18</v>
      </c>
      <c r="P56" s="37"/>
      <c r="Q56" s="45"/>
      <c r="R56" s="43"/>
      <c r="S56" s="43"/>
      <c r="T56" s="44">
        <f>+_xlfn.XLOOKUP(PROYECTOS[[#This Row],[MUNICIPIO]],'4.CAP_ENDMNT'!B:B,'4.CAP_ENDMNT'!C:C,0,0,1)</f>
        <v>6</v>
      </c>
      <c r="U56" s="139">
        <f>+_xlfn.XLOOKUP(PROYECTOS[[#This Row],[MUNICIPIO]],'4.CAP_ENDMNT'!B:B,'4.CAP_ENDMNT'!D:D,0,0,1)</f>
        <v>17406090503.82</v>
      </c>
      <c r="V56" s="140">
        <f>+_xlfn.XLOOKUP(PROYECTOS[[#This Row],[MUNICIPIO]],'4.CAP_ENDMNT'!B:B,'4.CAP_ENDMNT'!E:E,0,0,1)</f>
        <v>8490973725.3299999</v>
      </c>
      <c r="W56" s="140">
        <f>+_xlfn.XLOOKUP(PROYECTOS[[#This Row],[MUNICIPIO]],'4.CAP_ENDMNT'!B:B,'4.CAP_ENDMNT'!F:F,0,0,1)</f>
        <v>8915116778.4899998</v>
      </c>
      <c r="X56" s="140">
        <f>+_xlfn.XLOOKUP(PROYECTOS[[#This Row],[MUNICIPIO]],'4.CAP_ENDMNT'!B:B,'4.CAP_ENDMNT'!G:G,0,0,1)</f>
        <v>6695063584</v>
      </c>
      <c r="Y56" s="140">
        <f>+_xlfn.XLOOKUP(PROYECTOS[[#This Row],[MUNICIPIO]],'4.CAP_ENDMNT'!B:B,'4.CAP_ENDMNT'!H:H,0,0,1)</f>
        <v>0</v>
      </c>
      <c r="Z56" s="140">
        <f>+_xlfn.XLOOKUP(PROYECTOS[[#This Row],[MUNICIPIO]],'4.CAP_ENDMNT'!B:B,'4.CAP_ENDMNT'!I:I,0,0,1)</f>
        <v>6695063584</v>
      </c>
      <c r="AA56" s="134">
        <f>+_xlfn.XLOOKUP(PROYECTOS[[#This Row],[MUNICIPIO]],'4.CAP_ENDMNT'!B:B,'4.CAP_ENDMNT'!J:J,0,0,1)</f>
        <v>0.38463913436108349</v>
      </c>
      <c r="AB56" s="140">
        <f>+_xlfn.XLOOKUP(PROYECTOS[[#This Row],[MUNICIPIO]],'4.CAP_ENDMNT'!B:B,'4.CAP_ENDMNT'!K:K,0,0,1)</f>
        <v>10711026919.82</v>
      </c>
      <c r="AC56" s="140">
        <f>+_xlfn.XLOOKUP(PROYECTOS[[#This Row],[MUNICIPIO]],'4.CAP_ENDMNT'!B:B,'4.CAP_ENDMNT'!L:L,0,0,1)</f>
        <v>8568821535.8559999</v>
      </c>
      <c r="AD56" s="140">
        <f>+_xlfn.XLOOKUP(PROYECTOS[[#This Row],[MUNICIPIO]],'4.CAP_ENDMNT'!B:B,'4.CAP_ENDMNT'!M:M,0,0,1)</f>
        <v>6426616151.8919992</v>
      </c>
      <c r="AE56" s="134">
        <f>+_xlfn.XLOOKUP(PROYECTOS[[#This Row],[MUNICIPIO]],'4.CAP_ENDMNT'!B:B,'4.CAP_ENDMNT'!N:N,0,0,1)</f>
        <v>1</v>
      </c>
      <c r="AF56" s="134">
        <f>+_xlfn.XLOOKUP(PROYECTOS[[#This Row],[MUNICIPIO]],'4.CAP_ENDMNT'!B:B,'4.CAP_ENDMNT'!O:O,0,0,1)</f>
        <v>0.75913384232200265</v>
      </c>
      <c r="AG56" s="134">
        <f>+_xlfn.XLOOKUP(PROYECTOS[[#This Row],[MUNICIPIO]],'4.CAP_ENDMNT'!B:B,'4.CAP_ENDMNT'!P:P,0,0,1)</f>
        <v>0.8</v>
      </c>
      <c r="AH56" s="44" t="str">
        <f>+_xlfn.XLOOKUP(PROYECTOS[[#This Row],[MUNICIPIO]],'4.CAP_ENDMNT'!B:B,'4.CAP_ENDMNT'!Q:Q,0,0,1)</f>
        <v>Riesgo</v>
      </c>
      <c r="AI56" s="139">
        <f>+_xlfn.XLOOKUP(PROYECTOS[[#This Row],[MUNICIPIO]],'4.CAP_ENDMNT'!B:B,'4.CAP_ENDMNT'!V:V,0,0,1)</f>
        <v>1285323230.3783998</v>
      </c>
      <c r="AJ56" s="139">
        <f>+_xlfn.XLOOKUP(PROYECTOS[[#This Row],[MUNICIPIO]],'4.CAP_ENDMNT'!B:B,'4.CAP_ENDMNT'!Y:Y,0,0,1)</f>
        <v>4683293036.2703991</v>
      </c>
      <c r="AK56"/>
      <c r="AL56"/>
      <c r="AM56"/>
    </row>
    <row r="57" spans="1:39">
      <c r="A57" s="44">
        <v>62</v>
      </c>
      <c r="B57" s="37" t="s">
        <v>1371</v>
      </c>
      <c r="C57" s="118">
        <f>+_xlfn.XLOOKUP(PROYECTOS[[#This Row],[ID_NECESIDAD]],'1.RADICADOS'!G:G,'1.RADICADOS'!C:C,0,0,1)*1</f>
        <v>45525</v>
      </c>
      <c r="D57" s="46" t="s">
        <v>136</v>
      </c>
      <c r="E57" s="47" t="str">
        <f>+_xlfn.XLOOKUP(PROYECTOS[[#This Row],[MUNICIPIO]],MUNICIPIOS!A:A,MUNICIPIOS!E:E,0,0,1)</f>
        <v>Norte</v>
      </c>
      <c r="F57" s="44">
        <f>+_xlfn.XLOOKUP(PROYECTOS[[#This Row],[MUNICIPIO]],MUNICIPIOS!A:A,MUNICIPIOS!F:F,0,0,1)</f>
        <v>-75.550359999999998</v>
      </c>
      <c r="G57" s="44" t="str">
        <f>+_xlfn.XLOOKUP(PROYECTOS[[#This Row],[MUNICIPIO]],MUNICIPIOS!A:A,MUNICIPIOS!G:G,0,0,1)</f>
        <v>7,112803</v>
      </c>
      <c r="H57" s="44">
        <f>+_xlfn.XLOOKUP(PROYECTOS[[#This Row],[MUNICIPIO]],MUNICIPIOS!A:A,MUNICIPIOS!B:B,0,0,1)</f>
        <v>1</v>
      </c>
      <c r="I57" s="44">
        <f>+_xlfn.XLOOKUP(PROYECTOS[[#This Row],[MUNICIPIO]],MUNICIPIOS!A:A,MUNICIPIOS!C:C,0,0,1)</f>
        <v>1</v>
      </c>
      <c r="J57" s="3" t="str" cm="1">
        <f t="array" ref="J57">_xlfn.TEXTJOIN(" ", TRUE, IF(radicados[ID PROYECTOS]=A57, radicados[RADICADO], ""))</f>
        <v>2024010141962 2024010387133</v>
      </c>
      <c r="K57" s="128">
        <v>1</v>
      </c>
      <c r="L57" s="48"/>
      <c r="M57" s="34" t="s">
        <v>288</v>
      </c>
      <c r="N57" s="40" t="s">
        <v>398</v>
      </c>
      <c r="O57" s="34" t="s">
        <v>25</v>
      </c>
      <c r="P57" s="37" t="s">
        <v>942</v>
      </c>
      <c r="Q57" s="45"/>
      <c r="R57" s="43"/>
      <c r="S57" s="43"/>
      <c r="T57" s="44">
        <f>+_xlfn.XLOOKUP(PROYECTOS[[#This Row],[MUNICIPIO]],'4.CAP_ENDMNT'!B:B,'4.CAP_ENDMNT'!C:C,0,0,1)</f>
        <v>6</v>
      </c>
      <c r="U57" s="139">
        <f>+_xlfn.XLOOKUP(PROYECTOS[[#This Row],[MUNICIPIO]],'4.CAP_ENDMNT'!B:B,'4.CAP_ENDMNT'!D:D,0,0,1)</f>
        <v>15936675551.976999</v>
      </c>
      <c r="V57" s="140">
        <f>+_xlfn.XLOOKUP(PROYECTOS[[#This Row],[MUNICIPIO]],'4.CAP_ENDMNT'!B:B,'4.CAP_ENDMNT'!E:E,0,0,1)</f>
        <v>6355203503.6700001</v>
      </c>
      <c r="W57" s="140">
        <f>+_xlfn.XLOOKUP(PROYECTOS[[#This Row],[MUNICIPIO]],'4.CAP_ENDMNT'!B:B,'4.CAP_ENDMNT'!F:F,0,0,1)</f>
        <v>9581472048.3069992</v>
      </c>
      <c r="X57" s="140">
        <f>+_xlfn.XLOOKUP(PROYECTOS[[#This Row],[MUNICIPIO]],'4.CAP_ENDMNT'!B:B,'4.CAP_ENDMNT'!G:G,0,0,1)</f>
        <v>166905356.59</v>
      </c>
      <c r="Y57" s="140">
        <f>+_xlfn.XLOOKUP(PROYECTOS[[#This Row],[MUNICIPIO]],'4.CAP_ENDMNT'!B:B,'4.CAP_ENDMNT'!H:H,0,0,1)</f>
        <v>5064590198</v>
      </c>
      <c r="Z57" s="140">
        <f>+_xlfn.XLOOKUP(PROYECTOS[[#This Row],[MUNICIPIO]],'4.CAP_ENDMNT'!B:B,'4.CAP_ENDMNT'!I:I,0,0,1)</f>
        <v>5231495554.5900002</v>
      </c>
      <c r="AA57" s="134">
        <f>+_xlfn.XLOOKUP(PROYECTOS[[#This Row],[MUNICIPIO]],'4.CAP_ENDMNT'!B:B,'4.CAP_ENDMNT'!J:J,0,0,1)</f>
        <v>0.32826768277534613</v>
      </c>
      <c r="AB57" s="140">
        <f>+_xlfn.XLOOKUP(PROYECTOS[[#This Row],[MUNICIPIO]],'4.CAP_ENDMNT'!B:B,'4.CAP_ENDMNT'!K:K,0,0,1)</f>
        <v>10705179997.386999</v>
      </c>
      <c r="AC57" s="140">
        <f>+_xlfn.XLOOKUP(PROYECTOS[[#This Row],[MUNICIPIO]],'4.CAP_ENDMNT'!B:B,'4.CAP_ENDMNT'!L:L,0,0,1)</f>
        <v>8564143997.9095993</v>
      </c>
      <c r="AD57" s="140">
        <f>+_xlfn.XLOOKUP(PROYECTOS[[#This Row],[MUNICIPIO]],'4.CAP_ENDMNT'!B:B,'4.CAP_ENDMNT'!M:M,0,0,1)</f>
        <v>6423107998.4321995</v>
      </c>
      <c r="AE57" s="134">
        <f>+_xlfn.XLOOKUP(PROYECTOS[[#This Row],[MUNICIPIO]],'4.CAP_ENDMNT'!B:B,'4.CAP_ENDMNT'!N:N,0,0,1)</f>
        <v>3.1903946939907245E-2</v>
      </c>
      <c r="AF57" s="134">
        <f>+_xlfn.XLOOKUP(PROYECTOS[[#This Row],[MUNICIPIO]],'4.CAP_ENDMNT'!B:B,'4.CAP_ENDMNT'!O:O,0,0,1)</f>
        <v>0.65192157878949775</v>
      </c>
      <c r="AG57" s="134">
        <f>+_xlfn.XLOOKUP(PROYECTOS[[#This Row],[MUNICIPIO]],'4.CAP_ENDMNT'!B:B,'4.CAP_ENDMNT'!P:P,0,0,1)</f>
        <v>0.8</v>
      </c>
      <c r="AH57" s="44" t="str">
        <f>+_xlfn.XLOOKUP(PROYECTOS[[#This Row],[MUNICIPIO]],'4.CAP_ENDMNT'!B:B,'4.CAP_ENDMNT'!Q:Q,0,0,1)</f>
        <v>Cumple</v>
      </c>
      <c r="AI57" s="139">
        <f>+_xlfn.XLOOKUP(PROYECTOS[[#This Row],[MUNICIPIO]],'4.CAP_ENDMNT'!B:B,'4.CAP_ENDMNT'!V:V,0,0,1)</f>
        <v>1284621599.68644</v>
      </c>
      <c r="AJ57" s="139">
        <f>+_xlfn.XLOOKUP(PROYECTOS[[#This Row],[MUNICIPIO]],'4.CAP_ENDMNT'!B:B,'4.CAP_ENDMNT'!Y:Y,0,0,1)</f>
        <v>-1198654643.881361</v>
      </c>
      <c r="AK57"/>
      <c r="AL57"/>
      <c r="AM57"/>
    </row>
    <row r="58" spans="1:39">
      <c r="A58" s="44">
        <v>63</v>
      </c>
      <c r="B58" s="37" t="s">
        <v>139</v>
      </c>
      <c r="C58" s="118">
        <f>+_xlfn.XLOOKUP(PROYECTOS[[#This Row],[ID_NECESIDAD]],'1.RADICADOS'!G:G,'1.RADICADOS'!C:C,0,0,1)*1</f>
        <v>45358</v>
      </c>
      <c r="D58" s="46" t="s">
        <v>138</v>
      </c>
      <c r="E58" s="47" t="str">
        <f>+_xlfn.XLOOKUP(PROYECTOS[[#This Row],[MUNICIPIO]],MUNICIPIOS!A:A,MUNICIPIOS!E:E,0,0,1)</f>
        <v>Norte</v>
      </c>
      <c r="F58" s="44">
        <f>+_xlfn.XLOOKUP(PROYECTOS[[#This Row],[MUNICIPIO]],MUNICIPIOS!A:A,MUNICIPIOS!F:F,0,0,1)</f>
        <v>-75.220017999999996</v>
      </c>
      <c r="G58" s="44" t="str">
        <f>+_xlfn.XLOOKUP(PROYECTOS[[#This Row],[MUNICIPIO]],MUNICIPIOS!A:A,MUNICIPIOS!G:G,0,0,1)</f>
        <v>6,683269</v>
      </c>
      <c r="H58" s="44">
        <f>+_xlfn.XLOOKUP(PROYECTOS[[#This Row],[MUNICIPIO]],MUNICIPIOS!A:A,MUNICIPIOS!B:B,0,0,1)</f>
        <v>0</v>
      </c>
      <c r="I58" s="44">
        <f>+_xlfn.XLOOKUP(PROYECTOS[[#This Row],[MUNICIPIO]],MUNICIPIOS!A:A,MUNICIPIOS!C:C,0,0,1)</f>
        <v>0</v>
      </c>
      <c r="J58" s="3" t="str" cm="1">
        <f t="array" ref="J58">_xlfn.TEXTJOIN(" ", TRUE, IF(radicados[ID PROYECTOS]=A58, radicados[RADICADO], ""))</f>
        <v>2024010356085</v>
      </c>
      <c r="K58" s="128">
        <v>1</v>
      </c>
      <c r="L58" s="48"/>
      <c r="M58" s="34" t="s">
        <v>396</v>
      </c>
      <c r="N58" s="34" t="s">
        <v>397</v>
      </c>
      <c r="O58" s="34" t="s">
        <v>56</v>
      </c>
      <c r="P58" s="37"/>
      <c r="Q58" s="45"/>
      <c r="R58" s="43"/>
      <c r="S58" s="43"/>
      <c r="T58" s="44">
        <f>+_xlfn.XLOOKUP(PROYECTOS[[#This Row],[MUNICIPIO]],'4.CAP_ENDMNT'!B:B,'4.CAP_ENDMNT'!C:C,0,0,1)</f>
        <v>6</v>
      </c>
      <c r="U58" s="139">
        <f>+_xlfn.XLOOKUP(PROYECTOS[[#This Row],[MUNICIPIO]],'4.CAP_ENDMNT'!B:B,'4.CAP_ENDMNT'!D:D,0,0,1)</f>
        <v>12229746381.692001</v>
      </c>
      <c r="V58" s="140">
        <f>+_xlfn.XLOOKUP(PROYECTOS[[#This Row],[MUNICIPIO]],'4.CAP_ENDMNT'!B:B,'4.CAP_ENDMNT'!E:E,0,0,1)</f>
        <v>3376878617.9000001</v>
      </c>
      <c r="W58" s="140">
        <f>+_xlfn.XLOOKUP(PROYECTOS[[#This Row],[MUNICIPIO]],'4.CAP_ENDMNT'!B:B,'4.CAP_ENDMNT'!F:F,0,0,1)</f>
        <v>8852867763.7920017</v>
      </c>
      <c r="X58" s="140">
        <f>+_xlfn.XLOOKUP(PROYECTOS[[#This Row],[MUNICIPIO]],'4.CAP_ENDMNT'!B:B,'4.CAP_ENDMNT'!G:G,0,0,1)</f>
        <v>1494526177.51</v>
      </c>
      <c r="Y58" s="140">
        <f>+_xlfn.XLOOKUP(PROYECTOS[[#This Row],[MUNICIPIO]],'4.CAP_ENDMNT'!B:B,'4.CAP_ENDMNT'!H:H,0,0,1)</f>
        <v>880381975</v>
      </c>
      <c r="Z58" s="140">
        <f>+_xlfn.XLOOKUP(PROYECTOS[[#This Row],[MUNICIPIO]],'4.CAP_ENDMNT'!B:B,'4.CAP_ENDMNT'!I:I,0,0,1)</f>
        <v>2374908152.5100002</v>
      </c>
      <c r="AA58" s="134">
        <f>+_xlfn.XLOOKUP(PROYECTOS[[#This Row],[MUNICIPIO]],'4.CAP_ENDMNT'!B:B,'4.CAP_ENDMNT'!J:J,0,0,1)</f>
        <v>0.19419112043609105</v>
      </c>
      <c r="AB58" s="140">
        <f>+_xlfn.XLOOKUP(PROYECTOS[[#This Row],[MUNICIPIO]],'4.CAP_ENDMNT'!B:B,'4.CAP_ENDMNT'!K:K,0,0,1)</f>
        <v>9854838229.1820011</v>
      </c>
      <c r="AC58" s="140">
        <f>+_xlfn.XLOOKUP(PROYECTOS[[#This Row],[MUNICIPIO]],'4.CAP_ENDMNT'!B:B,'4.CAP_ENDMNT'!L:L,0,0,1)</f>
        <v>7883870583.3456011</v>
      </c>
      <c r="AD58" s="140">
        <f>+_xlfn.XLOOKUP(PROYECTOS[[#This Row],[MUNICIPIO]],'4.CAP_ENDMNT'!B:B,'4.CAP_ENDMNT'!M:M,0,0,1)</f>
        <v>5912902937.5092001</v>
      </c>
      <c r="AE58" s="134">
        <f>+_xlfn.XLOOKUP(PROYECTOS[[#This Row],[MUNICIPIO]],'4.CAP_ENDMNT'!B:B,'4.CAP_ENDMNT'!N:N,0,0,1)</f>
        <v>0.6292985166312477</v>
      </c>
      <c r="AF58" s="134">
        <f>+_xlfn.XLOOKUP(PROYECTOS[[#This Row],[MUNICIPIO]],'4.CAP_ENDMNT'!B:B,'4.CAP_ENDMNT'!O:O,0,0,1)</f>
        <v>0.5600857997738885</v>
      </c>
      <c r="AG58" s="134">
        <f>+_xlfn.XLOOKUP(PROYECTOS[[#This Row],[MUNICIPIO]],'4.CAP_ENDMNT'!B:B,'4.CAP_ENDMNT'!P:P,0,0,1)</f>
        <v>0.8</v>
      </c>
      <c r="AH58" s="44" t="str">
        <f>+_xlfn.XLOOKUP(PROYECTOS[[#This Row],[MUNICIPIO]],'4.CAP_ENDMNT'!B:B,'4.CAP_ENDMNT'!Q:Q,0,0,1)</f>
        <v>Cumple</v>
      </c>
      <c r="AI58" s="139">
        <f>+_xlfn.XLOOKUP(PROYECTOS[[#This Row],[MUNICIPIO]],'4.CAP_ENDMNT'!B:B,'4.CAP_ENDMNT'!V:V,0,0,1)</f>
        <v>1182580587.5018401</v>
      </c>
      <c r="AJ58" s="139">
        <f>+_xlfn.XLOOKUP(PROYECTOS[[#This Row],[MUNICIPIO]],'4.CAP_ENDMNT'!B:B,'4.CAP_ENDMNT'!Y:Y,0,0,1)</f>
        <v>-14890911393.98896</v>
      </c>
      <c r="AK58"/>
      <c r="AL58"/>
      <c r="AM58"/>
    </row>
    <row r="59" spans="1:39">
      <c r="A59" s="44">
        <v>64</v>
      </c>
      <c r="B59" s="37" t="s">
        <v>1372</v>
      </c>
      <c r="C59" s="118">
        <f>+_xlfn.XLOOKUP(PROYECTOS[[#This Row],[ID_NECESIDAD]],'1.RADICADOS'!G:G,'1.RADICADOS'!C:C,0,0,1)*1</f>
        <v>45518</v>
      </c>
      <c r="D59" s="46" t="s">
        <v>61</v>
      </c>
      <c r="E59" s="47" t="str">
        <f>+_xlfn.XLOOKUP(PROYECTOS[[#This Row],[MUNICIPIO]],MUNICIPIOS!A:A,MUNICIPIOS!E:E,0,0,1)</f>
        <v>Suroeste</v>
      </c>
      <c r="F59" s="44">
        <f>+_xlfn.XLOOKUP(PROYECTOS[[#This Row],[MUNICIPIO]],MUNICIPIOS!A:A,MUNICIPIOS!F:F,0,0,1)</f>
        <v>-75.675072</v>
      </c>
      <c r="G59" s="44" t="str">
        <f>+_xlfn.XLOOKUP(PROYECTOS[[#This Row],[MUNICIPIO]],MUNICIPIOS!A:A,MUNICIPIOS!G:G,0,0,1)</f>
        <v>5,928039</v>
      </c>
      <c r="H59" s="44">
        <f>+_xlfn.XLOOKUP(PROYECTOS[[#This Row],[MUNICIPIO]],MUNICIPIOS!A:A,MUNICIPIOS!B:B,0,0,1)</f>
        <v>0</v>
      </c>
      <c r="I59" s="44">
        <f>+_xlfn.XLOOKUP(PROYECTOS[[#This Row],[MUNICIPIO]],MUNICIPIOS!A:A,MUNICIPIOS!C:C,0,0,1)</f>
        <v>0</v>
      </c>
      <c r="J59" s="3" t="str" cm="1">
        <f t="array" ref="J59">_xlfn.TEXTJOIN(" ", TRUE, IF(radicados[ID PROYECTOS]=A59, radicados[RADICADO], ""))</f>
        <v>2024010293827</v>
      </c>
      <c r="K59" s="45">
        <v>2</v>
      </c>
      <c r="L59" s="48"/>
      <c r="M59" s="34" t="s">
        <v>407</v>
      </c>
      <c r="N59" s="40" t="s">
        <v>397</v>
      </c>
      <c r="O59" s="40" t="s">
        <v>56</v>
      </c>
      <c r="P59" s="37" t="s">
        <v>1095</v>
      </c>
      <c r="Q59" s="45"/>
      <c r="R59" s="43"/>
      <c r="S59" s="43"/>
      <c r="T59" s="44">
        <f>+_xlfn.XLOOKUP(PROYECTOS[[#This Row],[MUNICIPIO]],'4.CAP_ENDMNT'!B:B,'4.CAP_ENDMNT'!C:C,0,0,1)</f>
        <v>6</v>
      </c>
      <c r="U59" s="139">
        <f>+_xlfn.XLOOKUP(PROYECTOS[[#This Row],[MUNICIPIO]],'4.CAP_ENDMNT'!B:B,'4.CAP_ENDMNT'!D:D,0,0,1)</f>
        <v>17515986067.273998</v>
      </c>
      <c r="V59" s="140">
        <f>+_xlfn.XLOOKUP(PROYECTOS[[#This Row],[MUNICIPIO]],'4.CAP_ENDMNT'!B:B,'4.CAP_ENDMNT'!E:E,0,0,1)</f>
        <v>8346764868.3600006</v>
      </c>
      <c r="W59" s="140">
        <f>+_xlfn.XLOOKUP(PROYECTOS[[#This Row],[MUNICIPIO]],'4.CAP_ENDMNT'!B:B,'4.CAP_ENDMNT'!F:F,0,0,1)</f>
        <v>9169221198.9139977</v>
      </c>
      <c r="X59" s="140">
        <f>+_xlfn.XLOOKUP(PROYECTOS[[#This Row],[MUNICIPIO]],'4.CAP_ENDMNT'!B:B,'4.CAP_ENDMNT'!G:G,0,0,1)</f>
        <v>0</v>
      </c>
      <c r="Y59" s="140">
        <f>+_xlfn.XLOOKUP(PROYECTOS[[#This Row],[MUNICIPIO]],'4.CAP_ENDMNT'!B:B,'4.CAP_ENDMNT'!H:H,0,0,1)</f>
        <v>6328650461</v>
      </c>
      <c r="Z59" s="140">
        <f>+_xlfn.XLOOKUP(PROYECTOS[[#This Row],[MUNICIPIO]],'4.CAP_ENDMNT'!B:B,'4.CAP_ENDMNT'!I:I,0,0,1)</f>
        <v>6328650461</v>
      </c>
      <c r="AA59" s="134">
        <f>+_xlfn.XLOOKUP(PROYECTOS[[#This Row],[MUNICIPIO]],'4.CAP_ENDMNT'!B:B,'4.CAP_ENDMNT'!J:J,0,0,1)</f>
        <v>0.36130711891945022</v>
      </c>
      <c r="AB59" s="140">
        <f>+_xlfn.XLOOKUP(PROYECTOS[[#This Row],[MUNICIPIO]],'4.CAP_ENDMNT'!B:B,'4.CAP_ENDMNT'!K:K,0,0,1)</f>
        <v>11187335606.273998</v>
      </c>
      <c r="AC59" s="140">
        <f>+_xlfn.XLOOKUP(PROYECTOS[[#This Row],[MUNICIPIO]],'4.CAP_ENDMNT'!B:B,'4.CAP_ENDMNT'!L:L,0,0,1)</f>
        <v>8949868485.0191994</v>
      </c>
      <c r="AD59" s="140">
        <f>+_xlfn.XLOOKUP(PROYECTOS[[#This Row],[MUNICIPIO]],'4.CAP_ENDMNT'!B:B,'4.CAP_ENDMNT'!M:M,0,0,1)</f>
        <v>6712401363.7643986</v>
      </c>
      <c r="AE59" s="134">
        <f>+_xlfn.XLOOKUP(PROYECTOS[[#This Row],[MUNICIPIO]],'4.CAP_ENDMNT'!B:B,'4.CAP_ENDMNT'!N:N,0,0,1)</f>
        <v>0</v>
      </c>
      <c r="AF59" s="134">
        <f>+_xlfn.XLOOKUP(PROYECTOS[[#This Row],[MUNICIPIO]],'4.CAP_ENDMNT'!B:B,'4.CAP_ENDMNT'!O:O,0,0,1)</f>
        <v>0.67376313277740918</v>
      </c>
      <c r="AG59" s="134">
        <f>+_xlfn.XLOOKUP(PROYECTOS[[#This Row],[MUNICIPIO]],'4.CAP_ENDMNT'!B:B,'4.CAP_ENDMNT'!P:P,0,0,1)</f>
        <v>0.8</v>
      </c>
      <c r="AH59" s="44" t="str">
        <f>+_xlfn.XLOOKUP(PROYECTOS[[#This Row],[MUNICIPIO]],'4.CAP_ENDMNT'!B:B,'4.CAP_ENDMNT'!Q:Q,0,0,1)</f>
        <v>Cumple</v>
      </c>
      <c r="AI59" s="139">
        <f>+_xlfn.XLOOKUP(PROYECTOS[[#This Row],[MUNICIPIO]],'4.CAP_ENDMNT'!B:B,'4.CAP_ENDMNT'!V:V,0,0,1)</f>
        <v>1342480272.7528799</v>
      </c>
      <c r="AJ59" s="139">
        <f>+_xlfn.XLOOKUP(PROYECTOS[[#This Row],[MUNICIPIO]],'4.CAP_ENDMNT'!B:B,'4.CAP_ENDMNT'!Y:Y,0,0,1)</f>
        <v>3280962216.5172787</v>
      </c>
      <c r="AK59"/>
      <c r="AL59"/>
      <c r="AM59"/>
    </row>
    <row r="60" spans="1:39">
      <c r="A60" s="44">
        <v>65</v>
      </c>
      <c r="B60" s="36" t="s">
        <v>142</v>
      </c>
      <c r="C60" s="118">
        <f>+_xlfn.XLOOKUP(PROYECTOS[[#This Row],[ID_NECESIDAD]],'1.RADICADOS'!G:G,'1.RADICADOS'!C:C,0,0,1)*1</f>
        <v>45519</v>
      </c>
      <c r="D60" s="46" t="s">
        <v>141</v>
      </c>
      <c r="E60" s="47" t="str">
        <f>+_xlfn.XLOOKUP(PROYECTOS[[#This Row],[MUNICIPIO]],MUNICIPIOS!A:A,MUNICIPIOS!E:E,0,0,1)</f>
        <v>Oriente</v>
      </c>
      <c r="F60" s="44">
        <f>+_xlfn.XLOOKUP(PROYECTOS[[#This Row],[MUNICIPIO]],MUNICIPIOS!A:A,MUNICIPIOS!F:F,0,0,1)</f>
        <v>-75.141069999999999</v>
      </c>
      <c r="G60" s="44" t="str">
        <f>+_xlfn.XLOOKUP(PROYECTOS[[#This Row],[MUNICIPIO]],MUNICIPIOS!A:A,MUNICIPIOS!G:G,0,0,1)</f>
        <v>5,731474</v>
      </c>
      <c r="H60" s="44">
        <f>+_xlfn.XLOOKUP(PROYECTOS[[#This Row],[MUNICIPIO]],MUNICIPIOS!A:A,MUNICIPIOS!B:B,0,0,1)</f>
        <v>0</v>
      </c>
      <c r="I60" s="44">
        <f>+_xlfn.XLOOKUP(PROYECTOS[[#This Row],[MUNICIPIO]],MUNICIPIOS!A:A,MUNICIPIOS!C:C,0,0,1)</f>
        <v>1</v>
      </c>
      <c r="J60" s="3" t="str" cm="1">
        <f t="array" ref="J60">_xlfn.TEXTJOIN(" ", TRUE, IF(radicados[ID PROYECTOS]=A60, radicados[RADICADO], ""))</f>
        <v>2024010367165</v>
      </c>
      <c r="K60" s="45">
        <v>3</v>
      </c>
      <c r="L60" s="48">
        <v>4177881112</v>
      </c>
      <c r="M60" s="34" t="s">
        <v>288</v>
      </c>
      <c r="N60" s="34" t="s">
        <v>398</v>
      </c>
      <c r="O60" s="34" t="s">
        <v>25</v>
      </c>
      <c r="P60" s="37"/>
      <c r="Q60" s="45"/>
      <c r="R60" s="43"/>
      <c r="S60" s="43"/>
      <c r="T60" s="44">
        <f>+_xlfn.XLOOKUP(PROYECTOS[[#This Row],[MUNICIPIO]],'4.CAP_ENDMNT'!B:B,'4.CAP_ENDMNT'!C:C,0,0,1)</f>
        <v>6</v>
      </c>
      <c r="U60" s="139">
        <f>+_xlfn.XLOOKUP(PROYECTOS[[#This Row],[MUNICIPIO]],'4.CAP_ENDMNT'!B:B,'4.CAP_ENDMNT'!D:D,0,0,1)</f>
        <v>7397887197.3409996</v>
      </c>
      <c r="V60" s="140">
        <f>+_xlfn.XLOOKUP(PROYECTOS[[#This Row],[MUNICIPIO]],'4.CAP_ENDMNT'!B:B,'4.CAP_ENDMNT'!E:E,0,0,1)</f>
        <v>2145550795.75</v>
      </c>
      <c r="W60" s="140">
        <f>+_xlfn.XLOOKUP(PROYECTOS[[#This Row],[MUNICIPIO]],'4.CAP_ENDMNT'!B:B,'4.CAP_ENDMNT'!F:F,0,0,1)</f>
        <v>5252336401.5909996</v>
      </c>
      <c r="X60" s="140">
        <f>+_xlfn.XLOOKUP(PROYECTOS[[#This Row],[MUNICIPIO]],'4.CAP_ENDMNT'!B:B,'4.CAP_ENDMNT'!G:G,0,0,1)</f>
        <v>913988424</v>
      </c>
      <c r="Y60" s="140">
        <f>+_xlfn.XLOOKUP(PROYECTOS[[#This Row],[MUNICIPIO]],'4.CAP_ENDMNT'!B:B,'4.CAP_ENDMNT'!H:H,0,0,1)</f>
        <v>0</v>
      </c>
      <c r="Z60" s="140">
        <f>+_xlfn.XLOOKUP(PROYECTOS[[#This Row],[MUNICIPIO]],'4.CAP_ENDMNT'!B:B,'4.CAP_ENDMNT'!I:I,0,0,1)</f>
        <v>913988424</v>
      </c>
      <c r="AA60" s="134">
        <f>+_xlfn.XLOOKUP(PROYECTOS[[#This Row],[MUNICIPIO]],'4.CAP_ENDMNT'!B:B,'4.CAP_ENDMNT'!J:J,0,0,1)</f>
        <v>0.12354722363548773</v>
      </c>
      <c r="AB60" s="140">
        <f>+_xlfn.XLOOKUP(PROYECTOS[[#This Row],[MUNICIPIO]],'4.CAP_ENDMNT'!B:B,'4.CAP_ENDMNT'!K:K,0,0,1)</f>
        <v>6483898773.3409996</v>
      </c>
      <c r="AC60" s="140">
        <f>+_xlfn.XLOOKUP(PROYECTOS[[#This Row],[MUNICIPIO]],'4.CAP_ENDMNT'!B:B,'4.CAP_ENDMNT'!L:L,0,0,1)</f>
        <v>5187119018.6728001</v>
      </c>
      <c r="AD60" s="140">
        <f>+_xlfn.XLOOKUP(PROYECTOS[[#This Row],[MUNICIPIO]],'4.CAP_ENDMNT'!B:B,'4.CAP_ENDMNT'!M:M,0,0,1)</f>
        <v>3890339264.0045996</v>
      </c>
      <c r="AE60" s="134">
        <f>+_xlfn.XLOOKUP(PROYECTOS[[#This Row],[MUNICIPIO]],'4.CAP_ENDMNT'!B:B,'4.CAP_ENDMNT'!N:N,0,0,1)</f>
        <v>1</v>
      </c>
      <c r="AF60" s="134">
        <f>+_xlfn.XLOOKUP(PROYECTOS[[#This Row],[MUNICIPIO]],'4.CAP_ENDMNT'!B:B,'4.CAP_ENDMNT'!O:O,0,0,1)</f>
        <v>0.55936476249157852</v>
      </c>
      <c r="AG60" s="134">
        <f>+_xlfn.XLOOKUP(PROYECTOS[[#This Row],[MUNICIPIO]],'4.CAP_ENDMNT'!B:B,'4.CAP_ENDMNT'!P:P,0,0,1)</f>
        <v>0.8</v>
      </c>
      <c r="AH60" s="44" t="str">
        <f>+_xlfn.XLOOKUP(PROYECTOS[[#This Row],[MUNICIPIO]],'4.CAP_ENDMNT'!B:B,'4.CAP_ENDMNT'!Q:Q,0,0,1)</f>
        <v>Cumple</v>
      </c>
      <c r="AI60" s="139">
        <f>+_xlfn.XLOOKUP(PROYECTOS[[#This Row],[MUNICIPIO]],'4.CAP_ENDMNT'!B:B,'4.CAP_ENDMNT'!V:V,0,0,1)</f>
        <v>778067852.80092001</v>
      </c>
      <c r="AJ60" s="139">
        <f>+_xlfn.XLOOKUP(PROYECTOS[[#This Row],[MUNICIPIO]],'4.CAP_ENDMNT'!B:B,'4.CAP_ENDMNT'!Y:Y,0,0,1)</f>
        <v>-57612554588.194481</v>
      </c>
      <c r="AK60"/>
      <c r="AL60"/>
      <c r="AM60"/>
    </row>
    <row r="61" spans="1:39">
      <c r="A61" s="44">
        <v>66</v>
      </c>
      <c r="B61" s="37" t="s">
        <v>1373</v>
      </c>
      <c r="C61" s="118">
        <f>+_xlfn.XLOOKUP(PROYECTOS[[#This Row],[ID_NECESIDAD]],'1.RADICADOS'!G:G,'1.RADICADOS'!C:C,0,0,1)*1</f>
        <v>45532</v>
      </c>
      <c r="D61" s="46" t="s">
        <v>70</v>
      </c>
      <c r="E61" s="47" t="str">
        <f>+_xlfn.XLOOKUP(PROYECTOS[[#This Row],[MUNICIPIO]],MUNICIPIOS!A:A,MUNICIPIOS!E:E,0,0,1)</f>
        <v>Oriente</v>
      </c>
      <c r="F61" s="44">
        <f>+_xlfn.XLOOKUP(PROYECTOS[[#This Row],[MUNICIPIO]],MUNICIPIOS!A:A,MUNICIPIOS!F:F,0,0,1)</f>
        <v>-75.141345999999999</v>
      </c>
      <c r="G61" s="44" t="str">
        <f>+_xlfn.XLOOKUP(PROYECTOS[[#This Row],[MUNICIPIO]],MUNICIPIOS!A:A,MUNICIPIOS!G:G,0,0,1)</f>
        <v>6,376061</v>
      </c>
      <c r="H61" s="44">
        <f>+_xlfn.XLOOKUP(PROYECTOS[[#This Row],[MUNICIPIO]],MUNICIPIOS!A:A,MUNICIPIOS!B:B,0,0,1)</f>
        <v>0</v>
      </c>
      <c r="I61" s="44">
        <f>+_xlfn.XLOOKUP(PROYECTOS[[#This Row],[MUNICIPIO]],MUNICIPIOS!A:A,MUNICIPIOS!C:C,0,0,1)</f>
        <v>1</v>
      </c>
      <c r="J61" s="3" t="str" cm="1">
        <f t="array" ref="J61">_xlfn.TEXTJOIN(" ", TRUE, IF(radicados[ID PROYECTOS]=A61, radicados[RADICADO], ""))</f>
        <v>2024010369050</v>
      </c>
      <c r="K61" s="45">
        <v>2</v>
      </c>
      <c r="L61" s="48"/>
      <c r="M61" s="34" t="s">
        <v>401</v>
      </c>
      <c r="N61" s="34" t="s">
        <v>398</v>
      </c>
      <c r="O61" s="34" t="s">
        <v>25</v>
      </c>
      <c r="P61" s="37"/>
      <c r="Q61" s="45"/>
      <c r="R61" s="43"/>
      <c r="S61" s="43"/>
      <c r="T61" s="44">
        <f>+_xlfn.XLOOKUP(PROYECTOS[[#This Row],[MUNICIPIO]],'4.CAP_ENDMNT'!B:B,'4.CAP_ENDMNT'!C:C,0,0,1)</f>
        <v>6</v>
      </c>
      <c r="U61" s="139">
        <f>+_xlfn.XLOOKUP(PROYECTOS[[#This Row],[MUNICIPIO]],'4.CAP_ENDMNT'!B:B,'4.CAP_ENDMNT'!D:D,0,0,1)</f>
        <v>8362831920.7600002</v>
      </c>
      <c r="V61" s="140">
        <f>+_xlfn.XLOOKUP(PROYECTOS[[#This Row],[MUNICIPIO]],'4.CAP_ENDMNT'!B:B,'4.CAP_ENDMNT'!E:E,0,0,1)</f>
        <v>2199279418.0799999</v>
      </c>
      <c r="W61" s="140">
        <f>+_xlfn.XLOOKUP(PROYECTOS[[#This Row],[MUNICIPIO]],'4.CAP_ENDMNT'!B:B,'4.CAP_ENDMNT'!F:F,0,0,1)</f>
        <v>6163552502.6800003</v>
      </c>
      <c r="X61" s="140">
        <f>+_xlfn.XLOOKUP(PROYECTOS[[#This Row],[MUNICIPIO]],'4.CAP_ENDMNT'!B:B,'4.CAP_ENDMNT'!G:G,0,0,1)</f>
        <v>284104325</v>
      </c>
      <c r="Y61" s="140">
        <f>+_xlfn.XLOOKUP(PROYECTOS[[#This Row],[MUNICIPIO]],'4.CAP_ENDMNT'!B:B,'4.CAP_ENDMNT'!H:H,0,0,1)</f>
        <v>209000000</v>
      </c>
      <c r="Z61" s="140">
        <f>+_xlfn.XLOOKUP(PROYECTOS[[#This Row],[MUNICIPIO]],'4.CAP_ENDMNT'!B:B,'4.CAP_ENDMNT'!I:I,0,0,1)</f>
        <v>493104325</v>
      </c>
      <c r="AA61" s="134">
        <f>+_xlfn.XLOOKUP(PROYECTOS[[#This Row],[MUNICIPIO]],'4.CAP_ENDMNT'!B:B,'4.CAP_ENDMNT'!J:J,0,0,1)</f>
        <v>5.8963797152961017E-2</v>
      </c>
      <c r="AB61" s="140">
        <f>+_xlfn.XLOOKUP(PROYECTOS[[#This Row],[MUNICIPIO]],'4.CAP_ENDMNT'!B:B,'4.CAP_ENDMNT'!K:K,0,0,1)</f>
        <v>7869727595.7600002</v>
      </c>
      <c r="AC61" s="140">
        <f>+_xlfn.XLOOKUP(PROYECTOS[[#This Row],[MUNICIPIO]],'4.CAP_ENDMNT'!B:B,'4.CAP_ENDMNT'!L:L,0,0,1)</f>
        <v>6295782076.6080008</v>
      </c>
      <c r="AD61" s="140">
        <f>+_xlfn.XLOOKUP(PROYECTOS[[#This Row],[MUNICIPIO]],'4.CAP_ENDMNT'!B:B,'4.CAP_ENDMNT'!M:M,0,0,1)</f>
        <v>4721836557.4560003</v>
      </c>
      <c r="AE61" s="134">
        <f>+_xlfn.XLOOKUP(PROYECTOS[[#This Row],[MUNICIPIO]],'4.CAP_ENDMNT'!B:B,'4.CAP_ENDMNT'!N:N,0,0,1)</f>
        <v>0.57615459973911198</v>
      </c>
      <c r="AF61" s="134">
        <f>+_xlfn.XLOOKUP(PROYECTOS[[#This Row],[MUNICIPIO]],'4.CAP_ENDMNT'!B:B,'4.CAP_ENDMNT'!O:O,0,0,1)</f>
        <v>0.61308928502962989</v>
      </c>
      <c r="AG61" s="134">
        <f>+_xlfn.XLOOKUP(PROYECTOS[[#This Row],[MUNICIPIO]],'4.CAP_ENDMNT'!B:B,'4.CAP_ENDMNT'!P:P,0,0,1)</f>
        <v>0.8</v>
      </c>
      <c r="AH61" s="44" t="str">
        <f>+_xlfn.XLOOKUP(PROYECTOS[[#This Row],[MUNICIPIO]],'4.CAP_ENDMNT'!B:B,'4.CAP_ENDMNT'!Q:Q,0,0,1)</f>
        <v>Cumple</v>
      </c>
      <c r="AI61" s="139">
        <f>+_xlfn.XLOOKUP(PROYECTOS[[#This Row],[MUNICIPIO]],'4.CAP_ENDMNT'!B:B,'4.CAP_ENDMNT'!V:V,0,0,1)</f>
        <v>944367311.49120009</v>
      </c>
      <c r="AJ61" s="139">
        <f>+_xlfn.XLOOKUP(PROYECTOS[[#This Row],[MUNICIPIO]],'4.CAP_ENDMNT'!B:B,'4.CAP_ENDMNT'!Y:Y,0,0,1)</f>
        <v>-7856322705.0527992</v>
      </c>
      <c r="AK61"/>
      <c r="AL61"/>
      <c r="AM61"/>
    </row>
    <row r="62" spans="1:39">
      <c r="A62" s="44">
        <v>67</v>
      </c>
      <c r="B62" s="37" t="s">
        <v>145</v>
      </c>
      <c r="C62" s="118">
        <f>+_xlfn.XLOOKUP(PROYECTOS[[#This Row],[ID_NECESIDAD]],'1.RADICADOS'!G:G,'1.RADICADOS'!C:C,0,0,1)*1</f>
        <v>45531</v>
      </c>
      <c r="D62" s="46" t="s">
        <v>144</v>
      </c>
      <c r="E62" s="47" t="str">
        <f>+_xlfn.XLOOKUP(PROYECTOS[[#This Row],[MUNICIPIO]],MUNICIPIOS!A:A,MUNICIPIOS!E:E,0,0,1)</f>
        <v>Suroeste</v>
      </c>
      <c r="F62" s="44">
        <f>+_xlfn.XLOOKUP(PROYECTOS[[#This Row],[MUNICIPIO]],MUNICIPIOS!A:A,MUNICIPIOS!F:F,0,0,1)</f>
        <v>-75.785499000000002</v>
      </c>
      <c r="G62" s="44" t="str">
        <f>+_xlfn.XLOOKUP(PROYECTOS[[#This Row],[MUNICIPIO]],MUNICIPIOS!A:A,MUNICIPIOS!G:G,0,0,1)</f>
        <v>5,789748</v>
      </c>
      <c r="H62" s="44">
        <f>+_xlfn.XLOOKUP(PROYECTOS[[#This Row],[MUNICIPIO]],MUNICIPIOS!A:A,MUNICIPIOS!B:B,0,0,1)</f>
        <v>0</v>
      </c>
      <c r="I62" s="44">
        <f>+_xlfn.XLOOKUP(PROYECTOS[[#This Row],[MUNICIPIO]],MUNICIPIOS!A:A,MUNICIPIOS!C:C,0,0,1)</f>
        <v>0</v>
      </c>
      <c r="J62" s="3" t="str" cm="1">
        <f t="array" ref="J62">_xlfn.TEXTJOIN(" ", TRUE, IF(radicados[ID PROYECTOS]=A62, radicados[RADICADO], ""))</f>
        <v>2024010389321</v>
      </c>
      <c r="K62" s="45">
        <v>2</v>
      </c>
      <c r="L62" s="48"/>
      <c r="M62" s="34" t="s">
        <v>396</v>
      </c>
      <c r="N62" s="34" t="s">
        <v>398</v>
      </c>
      <c r="O62" s="34" t="s">
        <v>25</v>
      </c>
      <c r="P62" s="37"/>
      <c r="Q62" s="45"/>
      <c r="R62" s="43"/>
      <c r="S62" s="43"/>
      <c r="T62" s="44">
        <f>+_xlfn.XLOOKUP(PROYECTOS[[#This Row],[MUNICIPIO]],'4.CAP_ENDMNT'!B:B,'4.CAP_ENDMNT'!C:C,0,0,1)</f>
        <v>6</v>
      </c>
      <c r="U62" s="139">
        <f>+_xlfn.XLOOKUP(PROYECTOS[[#This Row],[MUNICIPIO]],'4.CAP_ENDMNT'!B:B,'4.CAP_ENDMNT'!D:D,0,0,1)</f>
        <v>15694425323.1185</v>
      </c>
      <c r="V62" s="140">
        <f>+_xlfn.XLOOKUP(PROYECTOS[[#This Row],[MUNICIPIO]],'4.CAP_ENDMNT'!B:B,'4.CAP_ENDMNT'!E:E,0,0,1)</f>
        <v>6655963089.6100006</v>
      </c>
      <c r="W62" s="140">
        <f>+_xlfn.XLOOKUP(PROYECTOS[[#This Row],[MUNICIPIO]],'4.CAP_ENDMNT'!B:B,'4.CAP_ENDMNT'!F:F,0,0,1)</f>
        <v>9038462233.5084991</v>
      </c>
      <c r="X62" s="140">
        <f>+_xlfn.XLOOKUP(PROYECTOS[[#This Row],[MUNICIPIO]],'4.CAP_ENDMNT'!B:B,'4.CAP_ENDMNT'!G:G,0,0,1)</f>
        <v>1446596000</v>
      </c>
      <c r="Y62" s="140">
        <f>+_xlfn.XLOOKUP(PROYECTOS[[#This Row],[MUNICIPIO]],'4.CAP_ENDMNT'!B:B,'4.CAP_ENDMNT'!H:H,0,0,1)</f>
        <v>1500000000</v>
      </c>
      <c r="Z62" s="140">
        <f>+_xlfn.XLOOKUP(PROYECTOS[[#This Row],[MUNICIPIO]],'4.CAP_ENDMNT'!B:B,'4.CAP_ENDMNT'!I:I,0,0,1)</f>
        <v>2946596000</v>
      </c>
      <c r="AA62" s="134">
        <f>+_xlfn.XLOOKUP(PROYECTOS[[#This Row],[MUNICIPIO]],'4.CAP_ENDMNT'!B:B,'4.CAP_ENDMNT'!J:J,0,0,1)</f>
        <v>0.1877479384772088</v>
      </c>
      <c r="AB62" s="140">
        <f>+_xlfn.XLOOKUP(PROYECTOS[[#This Row],[MUNICIPIO]],'4.CAP_ENDMNT'!B:B,'4.CAP_ENDMNT'!K:K,0,0,1)</f>
        <v>12747829323.1185</v>
      </c>
      <c r="AC62" s="140">
        <f>+_xlfn.XLOOKUP(PROYECTOS[[#This Row],[MUNICIPIO]],'4.CAP_ENDMNT'!B:B,'4.CAP_ENDMNT'!L:L,0,0,1)</f>
        <v>10198263458.494801</v>
      </c>
      <c r="AD62" s="140">
        <f>+_xlfn.XLOOKUP(PROYECTOS[[#This Row],[MUNICIPIO]],'4.CAP_ENDMNT'!B:B,'4.CAP_ENDMNT'!M:M,0,0,1)</f>
        <v>7648697593.8710995</v>
      </c>
      <c r="AE62" s="134">
        <f>+_xlfn.XLOOKUP(PROYECTOS[[#This Row],[MUNICIPIO]],'4.CAP_ENDMNT'!B:B,'4.CAP_ENDMNT'!N:N,0,0,1)</f>
        <v>0.49093801797056674</v>
      </c>
      <c r="AF62" s="134">
        <f>+_xlfn.XLOOKUP(PROYECTOS[[#This Row],[MUNICIPIO]],'4.CAP_ENDMNT'!B:B,'4.CAP_ENDMNT'!O:O,0,0,1)</f>
        <v>0.65417145296340995</v>
      </c>
      <c r="AG62" s="134">
        <f>+_xlfn.XLOOKUP(PROYECTOS[[#This Row],[MUNICIPIO]],'4.CAP_ENDMNT'!B:B,'4.CAP_ENDMNT'!P:P,0,0,1)</f>
        <v>0.8</v>
      </c>
      <c r="AH62" s="44" t="str">
        <f>+_xlfn.XLOOKUP(PROYECTOS[[#This Row],[MUNICIPIO]],'4.CAP_ENDMNT'!B:B,'4.CAP_ENDMNT'!Q:Q,0,0,1)</f>
        <v>Cumple</v>
      </c>
      <c r="AI62" s="139">
        <f>+_xlfn.XLOOKUP(PROYECTOS[[#This Row],[MUNICIPIO]],'4.CAP_ENDMNT'!B:B,'4.CAP_ENDMNT'!V:V,0,0,1)</f>
        <v>1529739518.77422</v>
      </c>
      <c r="AJ62" s="139">
        <f>+_xlfn.XLOOKUP(PROYECTOS[[#This Row],[MUNICIPIO]],'4.CAP_ENDMNT'!B:B,'4.CAP_ENDMNT'!Y:Y,0,0,1)</f>
        <v>8750633271.645319</v>
      </c>
      <c r="AK62"/>
      <c r="AL62"/>
      <c r="AM62"/>
    </row>
    <row r="63" spans="1:39">
      <c r="A63" s="44">
        <v>68</v>
      </c>
      <c r="B63" s="37" t="s">
        <v>1374</v>
      </c>
      <c r="C63" s="118">
        <f>+_xlfn.XLOOKUP(PROYECTOS[[#This Row],[ID_NECESIDAD]],'1.RADICADOS'!G:G,'1.RADICADOS'!C:C,0,0,1)*1</f>
        <v>45533</v>
      </c>
      <c r="D63" s="46" t="s">
        <v>146</v>
      </c>
      <c r="E63" s="47" t="str">
        <f>+_xlfn.XLOOKUP(PROYECTOS[[#This Row],[MUNICIPIO]],MUNICIPIOS!A:A,MUNICIPIOS!E:E,0,0,1)</f>
        <v>Suroeste</v>
      </c>
      <c r="F63" s="44">
        <f>+_xlfn.XLOOKUP(PROYECTOS[[#This Row],[MUNICIPIO]],MUNICIPIOS!A:A,MUNICIPIOS!F:F,0,0,1)</f>
        <v>-75.791887000000003</v>
      </c>
      <c r="G63" s="44">
        <f>+_xlfn.XLOOKUP(PROYECTOS[[#This Row],[MUNICIPIO]],MUNICIPIOS!A:A,MUNICIPIOS!G:G,0,0,1)</f>
        <v>6.0623909999999999</v>
      </c>
      <c r="H63" s="44">
        <f>+_xlfn.XLOOKUP(PROYECTOS[[#This Row],[MUNICIPIO]],MUNICIPIOS!A:A,MUNICIPIOS!B:B,0,0,1)</f>
        <v>0</v>
      </c>
      <c r="I63" s="44">
        <f>+_xlfn.XLOOKUP(PROYECTOS[[#This Row],[MUNICIPIO]],MUNICIPIOS!A:A,MUNICIPIOS!C:C,0,0,1)</f>
        <v>0</v>
      </c>
      <c r="J63" s="3" t="str" cm="1">
        <f t="array" ref="J63">_xlfn.TEXTJOIN(" ", TRUE, IF(radicados[ID PROYECTOS]=A63, radicados[RADICADO], ""))</f>
        <v>2024010382454</v>
      </c>
      <c r="K63" s="45">
        <v>2</v>
      </c>
      <c r="L63" s="48"/>
      <c r="M63" s="34" t="s">
        <v>396</v>
      </c>
      <c r="N63" s="34" t="s">
        <v>398</v>
      </c>
      <c r="O63" s="34" t="s">
        <v>25</v>
      </c>
      <c r="P63" s="37"/>
      <c r="Q63" s="45"/>
      <c r="R63" s="43"/>
      <c r="S63" s="43"/>
      <c r="T63" s="44">
        <f>+_xlfn.XLOOKUP(PROYECTOS[[#This Row],[MUNICIPIO]],'4.CAP_ENDMNT'!B:B,'4.CAP_ENDMNT'!C:C,0,0,1)</f>
        <v>6</v>
      </c>
      <c r="U63" s="139">
        <f>+_xlfn.XLOOKUP(PROYECTOS[[#This Row],[MUNICIPIO]],'4.CAP_ENDMNT'!B:B,'4.CAP_ENDMNT'!D:D,0,0,1)</f>
        <v>11592686445.107998</v>
      </c>
      <c r="V63" s="140">
        <f>+_xlfn.XLOOKUP(PROYECTOS[[#This Row],[MUNICIPIO]],'4.CAP_ENDMNT'!B:B,'4.CAP_ENDMNT'!E:E,0,0,1)</f>
        <v>5670743725.9899998</v>
      </c>
      <c r="W63" s="140">
        <f>+_xlfn.XLOOKUP(PROYECTOS[[#This Row],[MUNICIPIO]],'4.CAP_ENDMNT'!B:B,'4.CAP_ENDMNT'!F:F,0,0,1)</f>
        <v>5921942719.1179981</v>
      </c>
      <c r="X63" s="140">
        <f>+_xlfn.XLOOKUP(PROYECTOS[[#This Row],[MUNICIPIO]],'4.CAP_ENDMNT'!B:B,'4.CAP_ENDMNT'!G:G,0,0,1)</f>
        <v>1149558272.3800001</v>
      </c>
      <c r="Y63" s="140">
        <f>+_xlfn.XLOOKUP(PROYECTOS[[#This Row],[MUNICIPIO]],'4.CAP_ENDMNT'!B:B,'4.CAP_ENDMNT'!H:H,0,0,1)</f>
        <v>1133660976</v>
      </c>
      <c r="Z63" s="140">
        <f>+_xlfn.XLOOKUP(PROYECTOS[[#This Row],[MUNICIPIO]],'4.CAP_ENDMNT'!B:B,'4.CAP_ENDMNT'!I:I,0,0,1)</f>
        <v>2283219248.3800001</v>
      </c>
      <c r="AA63" s="134">
        <f>+_xlfn.XLOOKUP(PROYECTOS[[#This Row],[MUNICIPIO]],'4.CAP_ENDMNT'!B:B,'4.CAP_ENDMNT'!J:J,0,0,1)</f>
        <v>0.19695342052001213</v>
      </c>
      <c r="AB63" s="140">
        <f>+_xlfn.XLOOKUP(PROYECTOS[[#This Row],[MUNICIPIO]],'4.CAP_ENDMNT'!B:B,'4.CAP_ENDMNT'!K:K,0,0,1)</f>
        <v>9309467196.7279968</v>
      </c>
      <c r="AC63" s="140">
        <f>+_xlfn.XLOOKUP(PROYECTOS[[#This Row],[MUNICIPIO]],'4.CAP_ENDMNT'!B:B,'4.CAP_ENDMNT'!L:L,0,0,1)</f>
        <v>7447573757.3823977</v>
      </c>
      <c r="AD63" s="140">
        <f>+_xlfn.XLOOKUP(PROYECTOS[[#This Row],[MUNICIPIO]],'4.CAP_ENDMNT'!B:B,'4.CAP_ENDMNT'!M:M,0,0,1)</f>
        <v>5585680318.0367975</v>
      </c>
      <c r="AE63" s="134">
        <f>+_xlfn.XLOOKUP(PROYECTOS[[#This Row],[MUNICIPIO]],'4.CAP_ENDMNT'!B:B,'4.CAP_ENDMNT'!N:N,0,0,1)</f>
        <v>0.50348133373334159</v>
      </c>
      <c r="AF63" s="134">
        <f>+_xlfn.XLOOKUP(PROYECTOS[[#This Row],[MUNICIPIO]],'4.CAP_ENDMNT'!B:B,'4.CAP_ENDMNT'!O:O,0,0,1)</f>
        <v>0.69203788539600963</v>
      </c>
      <c r="AG63" s="134">
        <f>+_xlfn.XLOOKUP(PROYECTOS[[#This Row],[MUNICIPIO]],'4.CAP_ENDMNT'!B:B,'4.CAP_ENDMNT'!P:P,0,0,1)</f>
        <v>0.8</v>
      </c>
      <c r="AH63" s="44" t="str">
        <f>+_xlfn.XLOOKUP(PROYECTOS[[#This Row],[MUNICIPIO]],'4.CAP_ENDMNT'!B:B,'4.CAP_ENDMNT'!Q:Q,0,0,1)</f>
        <v>Cumple</v>
      </c>
      <c r="AI63" s="139">
        <f>+_xlfn.XLOOKUP(PROYECTOS[[#This Row],[MUNICIPIO]],'4.CAP_ENDMNT'!B:B,'4.CAP_ENDMNT'!V:V,0,0,1)</f>
        <v>1117136063.6073596</v>
      </c>
      <c r="AJ63" s="139">
        <f>+_xlfn.XLOOKUP(PROYECTOS[[#This Row],[MUNICIPIO]],'4.CAP_ENDMNT'!B:B,'4.CAP_ENDMNT'!Y:Y,0,0,1)</f>
        <v>-9756872913.3558426</v>
      </c>
      <c r="AK63"/>
      <c r="AL63"/>
      <c r="AM63"/>
    </row>
    <row r="64" spans="1:39">
      <c r="A64" s="44">
        <v>69</v>
      </c>
      <c r="B64" s="37" t="s">
        <v>1375</v>
      </c>
      <c r="C64" s="118">
        <f>+_xlfn.XLOOKUP(PROYECTOS[[#This Row],[ID_NECESIDAD]],'1.RADICADOS'!G:G,'1.RADICADOS'!C:C,0,0,1)*1</f>
        <v>45491</v>
      </c>
      <c r="D64" s="46" t="s">
        <v>148</v>
      </c>
      <c r="E64" s="47" t="str">
        <f>+_xlfn.XLOOKUP(PROYECTOS[[#This Row],[MUNICIPIO]],MUNICIPIOS!A:A,MUNICIPIOS!E:E,0,0,1)</f>
        <v>Urabá</v>
      </c>
      <c r="F64" s="44">
        <f>+_xlfn.XLOOKUP(PROYECTOS[[#This Row],[MUNICIPIO]],MUNICIPIOS!A:A,MUNICIPIOS!F:F,0,0,1)</f>
        <v>-76.896004000000005</v>
      </c>
      <c r="G64" s="44">
        <f>+_xlfn.XLOOKUP(PROYECTOS[[#This Row],[MUNICIPIO]],MUNICIPIOS!A:A,MUNICIPIOS!G:G,0,0,1)</f>
        <v>6.5881639999999999</v>
      </c>
      <c r="H64" s="44">
        <f>+_xlfn.XLOOKUP(PROYECTOS[[#This Row],[MUNICIPIO]],MUNICIPIOS!A:A,MUNICIPIOS!B:B,0,0,1)</f>
        <v>1</v>
      </c>
      <c r="I64" s="44">
        <f>+_xlfn.XLOOKUP(PROYECTOS[[#This Row],[MUNICIPIO]],MUNICIPIOS!A:A,MUNICIPIOS!C:C,0,0,1)</f>
        <v>1</v>
      </c>
      <c r="J64" s="3" t="str" cm="1">
        <f t="array" ref="J64">_xlfn.TEXTJOIN(" ", TRUE, IF(radicados[ID PROYECTOS]=A64, radicados[RADICADO], ""))</f>
        <v>2024010387865</v>
      </c>
      <c r="K64" s="45">
        <v>3</v>
      </c>
      <c r="L64" s="48">
        <v>6511188508</v>
      </c>
      <c r="M64" s="34" t="s">
        <v>288</v>
      </c>
      <c r="N64" s="34" t="s">
        <v>398</v>
      </c>
      <c r="O64" s="34" t="s">
        <v>25</v>
      </c>
      <c r="P64" s="37"/>
      <c r="Q64" s="45"/>
      <c r="R64" s="43"/>
      <c r="S64" s="43"/>
      <c r="T64" s="44">
        <f>+_xlfn.XLOOKUP(PROYECTOS[[#This Row],[MUNICIPIO]],'4.CAP_ENDMNT'!B:B,'4.CAP_ENDMNT'!C:C,0,0,1)</f>
        <v>6</v>
      </c>
      <c r="U64" s="139">
        <f>+_xlfn.XLOOKUP(PROYECTOS[[#This Row],[MUNICIPIO]],'4.CAP_ENDMNT'!B:B,'4.CAP_ENDMNT'!D:D,0,0,1)</f>
        <v>18943215673.273502</v>
      </c>
      <c r="V64" s="140">
        <f>+_xlfn.XLOOKUP(PROYECTOS[[#This Row],[MUNICIPIO]],'4.CAP_ENDMNT'!B:B,'4.CAP_ENDMNT'!E:E,0,0,1)</f>
        <v>6022595389.6999998</v>
      </c>
      <c r="W64" s="140">
        <f>+_xlfn.XLOOKUP(PROYECTOS[[#This Row],[MUNICIPIO]],'4.CAP_ENDMNT'!B:B,'4.CAP_ENDMNT'!F:F,0,0,1)</f>
        <v>12920620283.573502</v>
      </c>
      <c r="X64" s="140">
        <f>+_xlfn.XLOOKUP(PROYECTOS[[#This Row],[MUNICIPIO]],'4.CAP_ENDMNT'!B:B,'4.CAP_ENDMNT'!G:G,0,0,1)</f>
        <v>4570267145</v>
      </c>
      <c r="Y64" s="140">
        <f>+_xlfn.XLOOKUP(PROYECTOS[[#This Row],[MUNICIPIO]],'4.CAP_ENDMNT'!B:B,'4.CAP_ENDMNT'!H:H,0,0,1)</f>
        <v>0</v>
      </c>
      <c r="Z64" s="140">
        <f>+_xlfn.XLOOKUP(PROYECTOS[[#This Row],[MUNICIPIO]],'4.CAP_ENDMNT'!B:B,'4.CAP_ENDMNT'!I:I,0,0,1)</f>
        <v>4570267145</v>
      </c>
      <c r="AA64" s="134">
        <f>+_xlfn.XLOOKUP(PROYECTOS[[#This Row],[MUNICIPIO]],'4.CAP_ENDMNT'!B:B,'4.CAP_ENDMNT'!J:J,0,0,1)</f>
        <v>0.24126142170508424</v>
      </c>
      <c r="AB64" s="140">
        <f>+_xlfn.XLOOKUP(PROYECTOS[[#This Row],[MUNICIPIO]],'4.CAP_ENDMNT'!B:B,'4.CAP_ENDMNT'!K:K,0,0,1)</f>
        <v>14372948528.273502</v>
      </c>
      <c r="AC64" s="140">
        <f>+_xlfn.XLOOKUP(PROYECTOS[[#This Row],[MUNICIPIO]],'4.CAP_ENDMNT'!B:B,'4.CAP_ENDMNT'!L:L,0,0,1)</f>
        <v>11498358822.618803</v>
      </c>
      <c r="AD64" s="140">
        <f>+_xlfn.XLOOKUP(PROYECTOS[[#This Row],[MUNICIPIO]],'4.CAP_ENDMNT'!B:B,'4.CAP_ENDMNT'!M:M,0,0,1)</f>
        <v>8623769116.9641018</v>
      </c>
      <c r="AE64" s="134">
        <f>+_xlfn.XLOOKUP(PROYECTOS[[#This Row],[MUNICIPIO]],'4.CAP_ENDMNT'!B:B,'4.CAP_ENDMNT'!N:N,0,0,1)</f>
        <v>1</v>
      </c>
      <c r="AF64" s="134">
        <f>+_xlfn.XLOOKUP(PROYECTOS[[#This Row],[MUNICIPIO]],'4.CAP_ENDMNT'!B:B,'4.CAP_ENDMNT'!O:O,0,0,1)</f>
        <v>0.63532752805182191</v>
      </c>
      <c r="AG64" s="134">
        <f>+_xlfn.XLOOKUP(PROYECTOS[[#This Row],[MUNICIPIO]],'4.CAP_ENDMNT'!B:B,'4.CAP_ENDMNT'!P:P,0,0,1)</f>
        <v>0.8</v>
      </c>
      <c r="AH64" s="44" t="str">
        <f>+_xlfn.XLOOKUP(PROYECTOS[[#This Row],[MUNICIPIO]],'4.CAP_ENDMNT'!B:B,'4.CAP_ENDMNT'!Q:Q,0,0,1)</f>
        <v>Cumple</v>
      </c>
      <c r="AI64" s="139">
        <f>+_xlfn.XLOOKUP(PROYECTOS[[#This Row],[MUNICIPIO]],'4.CAP_ENDMNT'!B:B,'4.CAP_ENDMNT'!V:V,0,0,1)</f>
        <v>1724753823.3928204</v>
      </c>
      <c r="AJ64" s="139">
        <f>+_xlfn.XLOOKUP(PROYECTOS[[#This Row],[MUNICIPIO]],'4.CAP_ENDMNT'!B:B,'4.CAP_ENDMNT'!Y:Y,0,0,1)</f>
        <v>-14051852500.643078</v>
      </c>
      <c r="AK64"/>
      <c r="AL64"/>
      <c r="AM64"/>
    </row>
    <row r="65" spans="1:39">
      <c r="A65" s="44">
        <v>70</v>
      </c>
      <c r="B65" s="37" t="s">
        <v>1376</v>
      </c>
      <c r="C65" s="118">
        <f>+_xlfn.XLOOKUP(PROYECTOS[[#This Row],[ID_NECESIDAD]],'1.RADICADOS'!G:G,'1.RADICADOS'!C:C,0,0,1)*1</f>
        <v>45496</v>
      </c>
      <c r="D65" s="46" t="s">
        <v>146</v>
      </c>
      <c r="E65" s="47" t="str">
        <f>+_xlfn.XLOOKUP(PROYECTOS[[#This Row],[MUNICIPIO]],MUNICIPIOS!A:A,MUNICIPIOS!E:E,0,0,1)</f>
        <v>Suroeste</v>
      </c>
      <c r="F65" s="44">
        <f>+_xlfn.XLOOKUP(PROYECTOS[[#This Row],[MUNICIPIO]],MUNICIPIOS!A:A,MUNICIPIOS!F:F,0,0,1)</f>
        <v>-75.791887000000003</v>
      </c>
      <c r="G65" s="44">
        <f>+_xlfn.XLOOKUP(PROYECTOS[[#This Row],[MUNICIPIO]],MUNICIPIOS!A:A,MUNICIPIOS!G:G,0,0,1)</f>
        <v>6.0623909999999999</v>
      </c>
      <c r="H65" s="44">
        <f>+_xlfn.XLOOKUP(PROYECTOS[[#This Row],[MUNICIPIO]],MUNICIPIOS!A:A,MUNICIPIOS!B:B,0,0,1)</f>
        <v>0</v>
      </c>
      <c r="I65" s="44">
        <f>+_xlfn.XLOOKUP(PROYECTOS[[#This Row],[MUNICIPIO]],MUNICIPIOS!A:A,MUNICIPIOS!C:C,0,0,1)</f>
        <v>0</v>
      </c>
      <c r="J65" s="3" t="str" cm="1">
        <f t="array" ref="J65">_xlfn.TEXTJOIN(" ", TRUE, IF(radicados[ID PROYECTOS]=A65, radicados[RADICADO], ""))</f>
        <v>2024020033317 2024020045696</v>
      </c>
      <c r="K65" s="45">
        <v>2</v>
      </c>
      <c r="L65" s="48"/>
      <c r="M65" s="34" t="s">
        <v>402</v>
      </c>
      <c r="N65" s="40" t="s">
        <v>1079</v>
      </c>
      <c r="O65" s="40" t="s">
        <v>29</v>
      </c>
      <c r="P65" s="37" t="s">
        <v>1377</v>
      </c>
      <c r="Q65" s="45"/>
      <c r="R65" s="43"/>
      <c r="S65" s="43"/>
      <c r="T65" s="44">
        <f>+_xlfn.XLOOKUP(PROYECTOS[[#This Row],[MUNICIPIO]],'4.CAP_ENDMNT'!B:B,'4.CAP_ENDMNT'!C:C,0,0,1)</f>
        <v>6</v>
      </c>
      <c r="U65" s="139">
        <f>+_xlfn.XLOOKUP(PROYECTOS[[#This Row],[MUNICIPIO]],'4.CAP_ENDMNT'!B:B,'4.CAP_ENDMNT'!D:D,0,0,1)</f>
        <v>11592686445.107998</v>
      </c>
      <c r="V65" s="140">
        <f>+_xlfn.XLOOKUP(PROYECTOS[[#This Row],[MUNICIPIO]],'4.CAP_ENDMNT'!B:B,'4.CAP_ENDMNT'!E:E,0,0,1)</f>
        <v>5670743725.9899998</v>
      </c>
      <c r="W65" s="140">
        <f>+_xlfn.XLOOKUP(PROYECTOS[[#This Row],[MUNICIPIO]],'4.CAP_ENDMNT'!B:B,'4.CAP_ENDMNT'!F:F,0,0,1)</f>
        <v>5921942719.1179981</v>
      </c>
      <c r="X65" s="140">
        <f>+_xlfn.XLOOKUP(PROYECTOS[[#This Row],[MUNICIPIO]],'4.CAP_ENDMNT'!B:B,'4.CAP_ENDMNT'!G:G,0,0,1)</f>
        <v>1149558272.3800001</v>
      </c>
      <c r="Y65" s="140">
        <f>+_xlfn.XLOOKUP(PROYECTOS[[#This Row],[MUNICIPIO]],'4.CAP_ENDMNT'!B:B,'4.CAP_ENDMNT'!H:H,0,0,1)</f>
        <v>1133660976</v>
      </c>
      <c r="Z65" s="140">
        <f>+_xlfn.XLOOKUP(PROYECTOS[[#This Row],[MUNICIPIO]],'4.CAP_ENDMNT'!B:B,'4.CAP_ENDMNT'!I:I,0,0,1)</f>
        <v>2283219248.3800001</v>
      </c>
      <c r="AA65" s="134">
        <f>+_xlfn.XLOOKUP(PROYECTOS[[#This Row],[MUNICIPIO]],'4.CAP_ENDMNT'!B:B,'4.CAP_ENDMNT'!J:J,0,0,1)</f>
        <v>0.19695342052001213</v>
      </c>
      <c r="AB65" s="140">
        <f>+_xlfn.XLOOKUP(PROYECTOS[[#This Row],[MUNICIPIO]],'4.CAP_ENDMNT'!B:B,'4.CAP_ENDMNT'!K:K,0,0,1)</f>
        <v>9309467196.7279968</v>
      </c>
      <c r="AC65" s="140">
        <f>+_xlfn.XLOOKUP(PROYECTOS[[#This Row],[MUNICIPIO]],'4.CAP_ENDMNT'!B:B,'4.CAP_ENDMNT'!L:L,0,0,1)</f>
        <v>7447573757.3823977</v>
      </c>
      <c r="AD65" s="140">
        <f>+_xlfn.XLOOKUP(PROYECTOS[[#This Row],[MUNICIPIO]],'4.CAP_ENDMNT'!B:B,'4.CAP_ENDMNT'!M:M,0,0,1)</f>
        <v>5585680318.0367975</v>
      </c>
      <c r="AE65" s="134">
        <f>+_xlfn.XLOOKUP(PROYECTOS[[#This Row],[MUNICIPIO]],'4.CAP_ENDMNT'!B:B,'4.CAP_ENDMNT'!N:N,0,0,1)</f>
        <v>0.50348133373334159</v>
      </c>
      <c r="AF65" s="134">
        <f>+_xlfn.XLOOKUP(PROYECTOS[[#This Row],[MUNICIPIO]],'4.CAP_ENDMNT'!B:B,'4.CAP_ENDMNT'!O:O,0,0,1)</f>
        <v>0.69203788539600963</v>
      </c>
      <c r="AG65" s="134">
        <f>+_xlfn.XLOOKUP(PROYECTOS[[#This Row],[MUNICIPIO]],'4.CAP_ENDMNT'!B:B,'4.CAP_ENDMNT'!P:P,0,0,1)</f>
        <v>0.8</v>
      </c>
      <c r="AH65" s="44" t="str">
        <f>+_xlfn.XLOOKUP(PROYECTOS[[#This Row],[MUNICIPIO]],'4.CAP_ENDMNT'!B:B,'4.CAP_ENDMNT'!Q:Q,0,0,1)</f>
        <v>Cumple</v>
      </c>
      <c r="AI65" s="139">
        <f>+_xlfn.XLOOKUP(PROYECTOS[[#This Row],[MUNICIPIO]],'4.CAP_ENDMNT'!B:B,'4.CAP_ENDMNT'!V:V,0,0,1)</f>
        <v>1117136063.6073596</v>
      </c>
      <c r="AJ65" s="139">
        <f>+_xlfn.XLOOKUP(PROYECTOS[[#This Row],[MUNICIPIO]],'4.CAP_ENDMNT'!B:B,'4.CAP_ENDMNT'!Y:Y,0,0,1)</f>
        <v>-9756872913.3558426</v>
      </c>
      <c r="AK65"/>
      <c r="AL65"/>
      <c r="AM65"/>
    </row>
    <row r="66" spans="1:39">
      <c r="A66" s="44">
        <v>71</v>
      </c>
      <c r="B66" s="37" t="s">
        <v>152</v>
      </c>
      <c r="C66" s="118">
        <f>+_xlfn.XLOOKUP(PROYECTOS[[#This Row],[ID_NECESIDAD]],'1.RADICADOS'!G:G,'1.RADICADOS'!C:C,0,0,1)*1</f>
        <v>45518</v>
      </c>
      <c r="D66" s="46" t="s">
        <v>151</v>
      </c>
      <c r="E66" s="47" t="str">
        <f>+_xlfn.XLOOKUP(PROYECTOS[[#This Row],[MUNICIPIO]],MUNICIPIOS!A:A,MUNICIPIOS!E:E,0,0,1)</f>
        <v>Nordeste</v>
      </c>
      <c r="F66" s="44">
        <f>+_xlfn.XLOOKUP(PROYECTOS[[#This Row],[MUNICIPIO]],MUNICIPIOS!A:A,MUNICIPIOS!F:F,0,0,1)</f>
        <v>-74.701595999999995</v>
      </c>
      <c r="G66" s="44" t="str">
        <f>+_xlfn.XLOOKUP(PROYECTOS[[#This Row],[MUNICIPIO]],MUNICIPIOS!A:A,MUNICIPIOS!G:G,0,0,1)</f>
        <v>7,079648</v>
      </c>
      <c r="H66" s="44">
        <f>+_xlfn.XLOOKUP(PROYECTOS[[#This Row],[MUNICIPIO]],MUNICIPIOS!A:A,MUNICIPIOS!B:B,0,0,1)</f>
        <v>1</v>
      </c>
      <c r="I66" s="44">
        <f>+_xlfn.XLOOKUP(PROYECTOS[[#This Row],[MUNICIPIO]],MUNICIPIOS!A:A,MUNICIPIOS!C:C,0,0,1)</f>
        <v>1</v>
      </c>
      <c r="J66" s="3" t="str" cm="1">
        <f t="array" ref="J66">_xlfn.TEXTJOIN(" ", TRUE, IF(radicados[ID PROYECTOS]=A66, radicados[RADICADO], ""))</f>
        <v>2024010329159</v>
      </c>
      <c r="K66" s="45">
        <v>1</v>
      </c>
      <c r="L66" s="48"/>
      <c r="M66" s="34" t="s">
        <v>402</v>
      </c>
      <c r="N66" s="40" t="s">
        <v>1079</v>
      </c>
      <c r="O66" s="40" t="s">
        <v>29</v>
      </c>
      <c r="P66" s="37"/>
      <c r="Q66" s="45"/>
      <c r="R66" s="43"/>
      <c r="S66" s="43"/>
      <c r="T66" s="44">
        <f>+_xlfn.XLOOKUP(PROYECTOS[[#This Row],[MUNICIPIO]],'4.CAP_ENDMNT'!B:B,'4.CAP_ENDMNT'!C:C,0,0,1)</f>
        <v>2</v>
      </c>
      <c r="U66" s="139">
        <f>+_xlfn.XLOOKUP(PROYECTOS[[#This Row],[MUNICIPIO]],'4.CAP_ENDMNT'!B:B,'4.CAP_ENDMNT'!D:D,0,0,1)</f>
        <v>84858168955.287506</v>
      </c>
      <c r="V66" s="140">
        <f>+_xlfn.XLOOKUP(PROYECTOS[[#This Row],[MUNICIPIO]],'4.CAP_ENDMNT'!B:B,'4.CAP_ENDMNT'!E:E,0,0,1)</f>
        <v>27841707067.830002</v>
      </c>
      <c r="W66" s="140">
        <f>+_xlfn.XLOOKUP(PROYECTOS[[#This Row],[MUNICIPIO]],'4.CAP_ENDMNT'!B:B,'4.CAP_ENDMNT'!F:F,0,0,1)</f>
        <v>57016461887.457504</v>
      </c>
      <c r="X66" s="140">
        <f>+_xlfn.XLOOKUP(PROYECTOS[[#This Row],[MUNICIPIO]],'4.CAP_ENDMNT'!B:B,'4.CAP_ENDMNT'!G:G,0,0,1)</f>
        <v>2326219324</v>
      </c>
      <c r="Y66" s="140">
        <f>+_xlfn.XLOOKUP(PROYECTOS[[#This Row],[MUNICIPIO]],'4.CAP_ENDMNT'!B:B,'4.CAP_ENDMNT'!H:H,0,0,1)</f>
        <v>20000000000</v>
      </c>
      <c r="Z66" s="140">
        <f>+_xlfn.XLOOKUP(PROYECTOS[[#This Row],[MUNICIPIO]],'4.CAP_ENDMNT'!B:B,'4.CAP_ENDMNT'!I:I,0,0,1)</f>
        <v>22326219324</v>
      </c>
      <c r="AA66" s="134">
        <f>+_xlfn.XLOOKUP(PROYECTOS[[#This Row],[MUNICIPIO]],'4.CAP_ENDMNT'!B:B,'4.CAP_ENDMNT'!J:J,0,0,1)</f>
        <v>0.26310041329979528</v>
      </c>
      <c r="AB66" s="140">
        <f>+_xlfn.XLOOKUP(PROYECTOS[[#This Row],[MUNICIPIO]],'4.CAP_ENDMNT'!B:B,'4.CAP_ENDMNT'!K:K,0,0,1)</f>
        <v>62531949631.287506</v>
      </c>
      <c r="AC66" s="140">
        <f>+_xlfn.XLOOKUP(PROYECTOS[[#This Row],[MUNICIPIO]],'4.CAP_ENDMNT'!B:B,'4.CAP_ENDMNT'!L:L,0,0,1)</f>
        <v>50025559705.030006</v>
      </c>
      <c r="AD66" s="140">
        <f>+_xlfn.XLOOKUP(PROYECTOS[[#This Row],[MUNICIPIO]],'4.CAP_ENDMNT'!B:B,'4.CAP_ENDMNT'!M:M,0,0,1)</f>
        <v>37519169778.772499</v>
      </c>
      <c r="AE66" s="134">
        <f>+_xlfn.XLOOKUP(PROYECTOS[[#This Row],[MUNICIPIO]],'4.CAP_ENDMNT'!B:B,'4.CAP_ENDMNT'!N:N,0,0,1)</f>
        <v>0.10419226337615459</v>
      </c>
      <c r="AF66" s="134">
        <f>+_xlfn.XLOOKUP(PROYECTOS[[#This Row],[MUNICIPIO]],'4.CAP_ENDMNT'!B:B,'4.CAP_ENDMNT'!O:O,0,0,1)</f>
        <v>0.29802786167909368</v>
      </c>
      <c r="AG66" s="134">
        <f>+_xlfn.XLOOKUP(PROYECTOS[[#This Row],[MUNICIPIO]],'4.CAP_ENDMNT'!B:B,'4.CAP_ENDMNT'!P:P,0,0,1)</f>
        <v>0.7</v>
      </c>
      <c r="AH66" s="44" t="str">
        <f>+_xlfn.XLOOKUP(PROYECTOS[[#This Row],[MUNICIPIO]],'4.CAP_ENDMNT'!B:B,'4.CAP_ENDMNT'!Q:Q,0,0,1)</f>
        <v>Cumple</v>
      </c>
      <c r="AI66" s="139">
        <f>+_xlfn.XLOOKUP(PROYECTOS[[#This Row],[MUNICIPIO]],'4.CAP_ENDMNT'!B:B,'4.CAP_ENDMNT'!V:V,0,0,1)</f>
        <v>7503833955.7545004</v>
      </c>
      <c r="AJ66" s="139">
        <f>+_xlfn.XLOOKUP(PROYECTOS[[#This Row],[MUNICIPIO]],'4.CAP_ENDMNT'!B:B,'4.CAP_ENDMNT'!Y:Y,0,0,1)</f>
        <v>45023003734.527</v>
      </c>
      <c r="AK66"/>
      <c r="AL66"/>
      <c r="AM66"/>
    </row>
    <row r="67" spans="1:39">
      <c r="A67" s="44">
        <v>72</v>
      </c>
      <c r="B67" s="37" t="s">
        <v>154</v>
      </c>
      <c r="C67" s="118">
        <f>+_xlfn.XLOOKUP(PROYECTOS[[#This Row],[ID_NECESIDAD]],'1.RADICADOS'!G:G,'1.RADICADOS'!C:C,0,0,1)*1</f>
        <v>45520</v>
      </c>
      <c r="D67" s="46" t="s">
        <v>153</v>
      </c>
      <c r="E67" s="47" t="str">
        <f>+_xlfn.XLOOKUP(PROYECTOS[[#This Row],[MUNICIPIO]],MUNICIPIOS!A:A,MUNICIPIOS!E:E,0,0,1)</f>
        <v>Urabá</v>
      </c>
      <c r="F67" s="44">
        <f>+_xlfn.XLOOKUP(PROYECTOS[[#This Row],[MUNICIPIO]],MUNICIPIOS!A:A,MUNICIPIOS!F:F,0,0,1)</f>
        <v>-76.787271000000004</v>
      </c>
      <c r="G67" s="44" t="str">
        <f>+_xlfn.XLOOKUP(PROYECTOS[[#This Row],[MUNICIPIO]],MUNICIPIOS!A:A,MUNICIPIOS!G:G,0,0,1)</f>
        <v>8,434526</v>
      </c>
      <c r="H67" s="44">
        <f>+_xlfn.XLOOKUP(PROYECTOS[[#This Row],[MUNICIPIO]],MUNICIPIOS!A:A,MUNICIPIOS!B:B,0,0,1)</f>
        <v>1</v>
      </c>
      <c r="I67" s="44">
        <f>+_xlfn.XLOOKUP(PROYECTOS[[#This Row],[MUNICIPIO]],MUNICIPIOS!A:A,MUNICIPIOS!C:C,0,0,1)</f>
        <v>1</v>
      </c>
      <c r="J67" s="3" t="str" cm="1">
        <f t="array" ref="J67">_xlfn.TEXTJOIN(" ", TRUE, IF(radicados[ID PROYECTOS]=A67, radicados[RADICADO], ""))</f>
        <v>20240410367581</v>
      </c>
      <c r="K67" s="45">
        <v>2</v>
      </c>
      <c r="L67" s="48"/>
      <c r="M67" s="34" t="s">
        <v>392</v>
      </c>
      <c r="N67" s="40" t="s">
        <v>1079</v>
      </c>
      <c r="O67" s="40" t="s">
        <v>7</v>
      </c>
      <c r="P67" s="37"/>
      <c r="Q67" s="45"/>
      <c r="R67" s="43"/>
      <c r="S67" s="43"/>
      <c r="T67" s="44">
        <f>+_xlfn.XLOOKUP(PROYECTOS[[#This Row],[MUNICIPIO]],'4.CAP_ENDMNT'!B:B,'4.CAP_ENDMNT'!C:C,0,0,1)</f>
        <v>6</v>
      </c>
      <c r="U67" s="139">
        <f>+_xlfn.XLOOKUP(PROYECTOS[[#This Row],[MUNICIPIO]],'4.CAP_ENDMNT'!B:B,'4.CAP_ENDMNT'!D:D,0,0,1)</f>
        <v>30137297790.127998</v>
      </c>
      <c r="V67" s="140">
        <f>+_xlfn.XLOOKUP(PROYECTOS[[#This Row],[MUNICIPIO]],'4.CAP_ENDMNT'!B:B,'4.CAP_ENDMNT'!E:E,0,0,1)</f>
        <v>12298726691.530001</v>
      </c>
      <c r="W67" s="140">
        <f>+_xlfn.XLOOKUP(PROYECTOS[[#This Row],[MUNICIPIO]],'4.CAP_ENDMNT'!B:B,'4.CAP_ENDMNT'!F:F,0,0,1)</f>
        <v>17838571098.598</v>
      </c>
      <c r="X67" s="140">
        <f>+_xlfn.XLOOKUP(PROYECTOS[[#This Row],[MUNICIPIO]],'4.CAP_ENDMNT'!B:B,'4.CAP_ENDMNT'!G:G,0,0,1)</f>
        <v>2369107602</v>
      </c>
      <c r="Y67" s="140">
        <f>+_xlfn.XLOOKUP(PROYECTOS[[#This Row],[MUNICIPIO]],'4.CAP_ENDMNT'!B:B,'4.CAP_ENDMNT'!H:H,0,0,1)</f>
        <v>13974896585</v>
      </c>
      <c r="Z67" s="140">
        <f>+_xlfn.XLOOKUP(PROYECTOS[[#This Row],[MUNICIPIO]],'4.CAP_ENDMNT'!B:B,'4.CAP_ENDMNT'!I:I,0,0,1)</f>
        <v>16344004187</v>
      </c>
      <c r="AA67" s="134">
        <f>+_xlfn.XLOOKUP(PROYECTOS[[#This Row],[MUNICIPIO]],'4.CAP_ENDMNT'!B:B,'4.CAP_ENDMNT'!J:J,0,0,1)</f>
        <v>0.54231817002364979</v>
      </c>
      <c r="AB67" s="140">
        <f>+_xlfn.XLOOKUP(PROYECTOS[[#This Row],[MUNICIPIO]],'4.CAP_ENDMNT'!B:B,'4.CAP_ENDMNT'!K:K,0,0,1)</f>
        <v>13793293603.127998</v>
      </c>
      <c r="AC67" s="140">
        <f>+_xlfn.XLOOKUP(PROYECTOS[[#This Row],[MUNICIPIO]],'4.CAP_ENDMNT'!B:B,'4.CAP_ENDMNT'!L:L,0,0,1)</f>
        <v>11034634882.502399</v>
      </c>
      <c r="AD67" s="140">
        <f>+_xlfn.XLOOKUP(PROYECTOS[[#This Row],[MUNICIPIO]],'4.CAP_ENDMNT'!B:B,'4.CAP_ENDMNT'!M:M,0,0,1)</f>
        <v>8275976161.8767986</v>
      </c>
      <c r="AE67" s="134">
        <f>+_xlfn.XLOOKUP(PROYECTOS[[#This Row],[MUNICIPIO]],'4.CAP_ENDMNT'!B:B,'4.CAP_ENDMNT'!N:N,0,0,1)</f>
        <v>0.1449527040554961</v>
      </c>
      <c r="AF67" s="134">
        <f>+_xlfn.XLOOKUP(PROYECTOS[[#This Row],[MUNICIPIO]],'4.CAP_ENDMNT'!B:B,'4.CAP_ENDMNT'!O:O,0,0,1)</f>
        <v>0.58055985759165929</v>
      </c>
      <c r="AG67" s="134">
        <f>+_xlfn.XLOOKUP(PROYECTOS[[#This Row],[MUNICIPIO]],'4.CAP_ENDMNT'!B:B,'4.CAP_ENDMNT'!P:P,0,0,1)</f>
        <v>0.8</v>
      </c>
      <c r="AH67" s="44" t="str">
        <f>+_xlfn.XLOOKUP(PROYECTOS[[#This Row],[MUNICIPIO]],'4.CAP_ENDMNT'!B:B,'4.CAP_ENDMNT'!Q:Q,0,0,1)</f>
        <v>Cumple</v>
      </c>
      <c r="AI67" s="139">
        <f>+_xlfn.XLOOKUP(PROYECTOS[[#This Row],[MUNICIPIO]],'4.CAP_ENDMNT'!B:B,'4.CAP_ENDMNT'!V:V,0,0,1)</f>
        <v>1655195232.3753598</v>
      </c>
      <c r="AJ67" s="139">
        <f>+_xlfn.XLOOKUP(PROYECTOS[[#This Row],[MUNICIPIO]],'4.CAP_ENDMNT'!B:B,'4.CAP_ENDMNT'!Y:Y,0,0,1)</f>
        <v>-48565434249.747841</v>
      </c>
      <c r="AK67"/>
      <c r="AL67"/>
      <c r="AM67"/>
    </row>
    <row r="68" spans="1:39">
      <c r="A68" s="44">
        <v>73</v>
      </c>
      <c r="B68" s="37" t="s">
        <v>157</v>
      </c>
      <c r="C68" s="118">
        <f>+_xlfn.XLOOKUP(PROYECTOS[[#This Row],[ID_NECESIDAD]],'1.RADICADOS'!G:G,'1.RADICADOS'!C:C,0,0,1)*1</f>
        <v>45527</v>
      </c>
      <c r="D68" s="46" t="s">
        <v>156</v>
      </c>
      <c r="E68" s="47" t="str">
        <f>+_xlfn.XLOOKUP(PROYECTOS[[#This Row],[MUNICIPIO]],MUNICIPIOS!A:A,MUNICIPIOS!E:E,0,0,1)</f>
        <v>Suroeste</v>
      </c>
      <c r="F68" s="44">
        <f>+_xlfn.XLOOKUP(PROYECTOS[[#This Row],[MUNICIPIO]],MUNICIPIOS!A:A,MUNICIPIOS!F:F,0,0,1)</f>
        <v>-75.818982000000005</v>
      </c>
      <c r="G68" s="44" t="str">
        <f>+_xlfn.XLOOKUP(PROYECTOS[[#This Row],[MUNICIPIO]],MUNICIPIOS!A:A,MUNICIPIOS!G:G,0,0,1)</f>
        <v>5,597542</v>
      </c>
      <c r="H68" s="44">
        <f>+_xlfn.XLOOKUP(PROYECTOS[[#This Row],[MUNICIPIO]],MUNICIPIOS!A:A,MUNICIPIOS!B:B,0,0,1)</f>
        <v>0</v>
      </c>
      <c r="I68" s="44">
        <f>+_xlfn.XLOOKUP(PROYECTOS[[#This Row],[MUNICIPIO]],MUNICIPIOS!A:A,MUNICIPIOS!C:C,0,0,1)</f>
        <v>0</v>
      </c>
      <c r="J68" s="3" t="str" cm="1">
        <f t="array" ref="J68">_xlfn.TEXTJOIN(" ", TRUE, IF(radicados[ID PROYECTOS]=A68, radicados[RADICADO], ""))</f>
        <v>2024010372894 2025010046351</v>
      </c>
      <c r="K68" s="45">
        <v>3</v>
      </c>
      <c r="L68" s="48">
        <v>275976999</v>
      </c>
      <c r="M68" s="34" t="s">
        <v>392</v>
      </c>
      <c r="N68" s="40" t="s">
        <v>1079</v>
      </c>
      <c r="O68" s="40" t="s">
        <v>7</v>
      </c>
      <c r="P68" s="37" t="s">
        <v>1096</v>
      </c>
      <c r="Q68" s="45"/>
      <c r="R68" s="43"/>
      <c r="S68" s="43"/>
      <c r="T68" s="44">
        <f>+_xlfn.XLOOKUP(PROYECTOS[[#This Row],[MUNICIPIO]],'4.CAP_ENDMNT'!B:B,'4.CAP_ENDMNT'!C:C,0,0,1)</f>
        <v>6</v>
      </c>
      <c r="U68" s="139">
        <f>+_xlfn.XLOOKUP(PROYECTOS[[#This Row],[MUNICIPIO]],'4.CAP_ENDMNT'!B:B,'4.CAP_ENDMNT'!D:D,0,0,1)</f>
        <v>14419744847.987999</v>
      </c>
      <c r="V68" s="140">
        <f>+_xlfn.XLOOKUP(PROYECTOS[[#This Row],[MUNICIPIO]],'4.CAP_ENDMNT'!B:B,'4.CAP_ENDMNT'!E:E,0,0,1)</f>
        <v>4888479181.79</v>
      </c>
      <c r="W68" s="140">
        <f>+_xlfn.XLOOKUP(PROYECTOS[[#This Row],[MUNICIPIO]],'4.CAP_ENDMNT'!B:B,'4.CAP_ENDMNT'!F:F,0,0,1)</f>
        <v>9531265666.197998</v>
      </c>
      <c r="X68" s="140">
        <f>+_xlfn.XLOOKUP(PROYECTOS[[#This Row],[MUNICIPIO]],'4.CAP_ENDMNT'!B:B,'4.CAP_ENDMNT'!G:G,0,0,1)</f>
        <v>0</v>
      </c>
      <c r="Y68" s="140">
        <f>+_xlfn.XLOOKUP(PROYECTOS[[#This Row],[MUNICIPIO]],'4.CAP_ENDMNT'!B:B,'4.CAP_ENDMNT'!H:H,0,0,1)</f>
        <v>0</v>
      </c>
      <c r="Z68" s="140">
        <f>+_xlfn.XLOOKUP(PROYECTOS[[#This Row],[MUNICIPIO]],'4.CAP_ENDMNT'!B:B,'4.CAP_ENDMNT'!I:I,0,0,1)</f>
        <v>0</v>
      </c>
      <c r="AA68" s="134">
        <f>+_xlfn.XLOOKUP(PROYECTOS[[#This Row],[MUNICIPIO]],'4.CAP_ENDMNT'!B:B,'4.CAP_ENDMNT'!J:J,0,0,1)</f>
        <v>0</v>
      </c>
      <c r="AB68" s="140">
        <f>+_xlfn.XLOOKUP(PROYECTOS[[#This Row],[MUNICIPIO]],'4.CAP_ENDMNT'!B:B,'4.CAP_ENDMNT'!K:K,0,0,1)</f>
        <v>14419744847.987999</v>
      </c>
      <c r="AC68" s="140">
        <f>+_xlfn.XLOOKUP(PROYECTOS[[#This Row],[MUNICIPIO]],'4.CAP_ENDMNT'!B:B,'4.CAP_ENDMNT'!L:L,0,0,1)</f>
        <v>11535795878.3904</v>
      </c>
      <c r="AD68" s="140">
        <f>+_xlfn.XLOOKUP(PROYECTOS[[#This Row],[MUNICIPIO]],'4.CAP_ENDMNT'!B:B,'4.CAP_ENDMNT'!M:M,0,0,1)</f>
        <v>8651846908.792799</v>
      </c>
      <c r="AE68" s="134">
        <f>+_xlfn.XLOOKUP(PROYECTOS[[#This Row],[MUNICIPIO]],'4.CAP_ENDMNT'!B:B,'4.CAP_ENDMNT'!N:N,0,0,1)</f>
        <v>0</v>
      </c>
      <c r="AF68" s="134">
        <f>+_xlfn.XLOOKUP(PROYECTOS[[#This Row],[MUNICIPIO]],'4.CAP_ENDMNT'!B:B,'4.CAP_ENDMNT'!O:O,0,0,1)</f>
        <v>0.45738888558733654</v>
      </c>
      <c r="AG68" s="134">
        <f>+_xlfn.XLOOKUP(PROYECTOS[[#This Row],[MUNICIPIO]],'4.CAP_ENDMNT'!B:B,'4.CAP_ENDMNT'!P:P,0,0,1)</f>
        <v>0.8</v>
      </c>
      <c r="AH68" s="44" t="str">
        <f>+_xlfn.XLOOKUP(PROYECTOS[[#This Row],[MUNICIPIO]],'4.CAP_ENDMNT'!B:B,'4.CAP_ENDMNT'!Q:Q,0,0,1)</f>
        <v>Cumple</v>
      </c>
      <c r="AI68" s="139">
        <f>+_xlfn.XLOOKUP(PROYECTOS[[#This Row],[MUNICIPIO]],'4.CAP_ENDMNT'!B:B,'4.CAP_ENDMNT'!V:V,0,0,1)</f>
        <v>1730369381.7585599</v>
      </c>
      <c r="AJ68" s="139">
        <f>+_xlfn.XLOOKUP(PROYECTOS[[#This Row],[MUNICIPIO]],'4.CAP_ENDMNT'!B:B,'4.CAP_ENDMNT'!Y:Y,0,0,1)</f>
        <v>7792173252.5513592</v>
      </c>
      <c r="AK68"/>
      <c r="AL68"/>
      <c r="AM68"/>
    </row>
    <row r="69" spans="1:39" ht="45">
      <c r="A69" s="44">
        <v>74</v>
      </c>
      <c r="B69" s="36" t="s">
        <v>1378</v>
      </c>
      <c r="C69" s="118">
        <f>+_xlfn.XLOOKUP(PROYECTOS[[#This Row],[ID_NECESIDAD]],'1.RADICADOS'!G:G,'1.RADICADOS'!C:C,0,0,1)*1</f>
        <v>45530</v>
      </c>
      <c r="D69" s="46" t="s">
        <v>54</v>
      </c>
      <c r="E69" s="47" t="str">
        <f>+_xlfn.XLOOKUP(PROYECTOS[[#This Row],[MUNICIPIO]],MUNICIPIOS!A:A,MUNICIPIOS!E:E,0,0,1)</f>
        <v>Suroeste</v>
      </c>
      <c r="F69" s="44">
        <f>+_xlfn.XLOOKUP(PROYECTOS[[#This Row],[MUNICIPIO]],MUNICIPIOS!A:A,MUNICIPIOS!F:F,0,0,1)</f>
        <v>-75.822956000000005</v>
      </c>
      <c r="G69" s="44">
        <f>+_xlfn.XLOOKUP(PROYECTOS[[#This Row],[MUNICIPIO]],MUNICIPIOS!A:A,MUNICIPIOS!G:G,0,0,1)</f>
        <v>5.8645420000000001</v>
      </c>
      <c r="H69" s="44">
        <f>+_xlfn.XLOOKUP(PROYECTOS[[#This Row],[MUNICIPIO]],MUNICIPIOS!A:A,MUNICIPIOS!B:B,0,0,1)</f>
        <v>0</v>
      </c>
      <c r="I69" s="44">
        <f>+_xlfn.XLOOKUP(PROYECTOS[[#This Row],[MUNICIPIO]],MUNICIPIOS!A:A,MUNICIPIOS!C:C,0,0,1)</f>
        <v>0</v>
      </c>
      <c r="J69" s="3" t="str" cm="1">
        <f t="array" ref="J69">_xlfn.TEXTJOIN(" ", TRUE, IF(radicados[ID PROYECTOS]=A69, radicados[RADICADO], ""))</f>
        <v>2024010382614</v>
      </c>
      <c r="K69" s="45">
        <v>3</v>
      </c>
      <c r="L69" s="48">
        <v>6680518300</v>
      </c>
      <c r="M69" s="34" t="s">
        <v>288</v>
      </c>
      <c r="N69" s="34" t="s">
        <v>398</v>
      </c>
      <c r="O69" s="34" t="s">
        <v>25</v>
      </c>
      <c r="P69" s="37"/>
      <c r="Q69" s="45">
        <v>1</v>
      </c>
      <c r="R69" s="43" t="s">
        <v>922</v>
      </c>
      <c r="S69" s="43" t="s">
        <v>1639</v>
      </c>
      <c r="T69" s="44">
        <f>+_xlfn.XLOOKUP(PROYECTOS[[#This Row],[MUNICIPIO]],'4.CAP_ENDMNT'!B:B,'4.CAP_ENDMNT'!C:C,0,0,1)</f>
        <v>6</v>
      </c>
      <c r="U69" s="139">
        <f>+_xlfn.XLOOKUP(PROYECTOS[[#This Row],[MUNICIPIO]],'4.CAP_ENDMNT'!B:B,'4.CAP_ENDMNT'!D:D,0,0,1)</f>
        <v>9297204605.9125004</v>
      </c>
      <c r="V69" s="140">
        <f>+_xlfn.XLOOKUP(PROYECTOS[[#This Row],[MUNICIPIO]],'4.CAP_ENDMNT'!B:B,'4.CAP_ENDMNT'!E:E,0,0,1)</f>
        <v>4650900904.1300001</v>
      </c>
      <c r="W69" s="140">
        <f>+_xlfn.XLOOKUP(PROYECTOS[[#This Row],[MUNICIPIO]],'4.CAP_ENDMNT'!B:B,'4.CAP_ENDMNT'!F:F,0,0,1)</f>
        <v>4646303701.7825003</v>
      </c>
      <c r="X69" s="140">
        <f>+_xlfn.XLOOKUP(PROYECTOS[[#This Row],[MUNICIPIO]],'4.CAP_ENDMNT'!B:B,'4.CAP_ENDMNT'!G:G,0,0,1)</f>
        <v>1308996768</v>
      </c>
      <c r="Y69" s="140">
        <f>+_xlfn.XLOOKUP(PROYECTOS[[#This Row],[MUNICIPIO]],'4.CAP_ENDMNT'!B:B,'4.CAP_ENDMNT'!H:H,0,0,1)</f>
        <v>0</v>
      </c>
      <c r="Z69" s="140">
        <f>+_xlfn.XLOOKUP(PROYECTOS[[#This Row],[MUNICIPIO]],'4.CAP_ENDMNT'!B:B,'4.CAP_ENDMNT'!I:I,0,0,1)</f>
        <v>1308996768</v>
      </c>
      <c r="AA69" s="134">
        <f>+_xlfn.XLOOKUP(PROYECTOS[[#This Row],[MUNICIPIO]],'4.CAP_ENDMNT'!B:B,'4.CAP_ENDMNT'!J:J,0,0,1)</f>
        <v>0.14079466070560084</v>
      </c>
      <c r="AB69" s="140">
        <f>+_xlfn.XLOOKUP(PROYECTOS[[#This Row],[MUNICIPIO]],'4.CAP_ENDMNT'!B:B,'4.CAP_ENDMNT'!K:K,0,0,1)</f>
        <v>7988207837.9125004</v>
      </c>
      <c r="AC69" s="140">
        <f>+_xlfn.XLOOKUP(PROYECTOS[[#This Row],[MUNICIPIO]],'4.CAP_ENDMNT'!B:B,'4.CAP_ENDMNT'!L:L,0,0,1)</f>
        <v>6390566270.3300009</v>
      </c>
      <c r="AD69" s="140">
        <f>+_xlfn.XLOOKUP(PROYECTOS[[#This Row],[MUNICIPIO]],'4.CAP_ENDMNT'!B:B,'4.CAP_ENDMNT'!M:M,0,0,1)</f>
        <v>4792924702.7475004</v>
      </c>
      <c r="AE69" s="134">
        <f>+_xlfn.XLOOKUP(PROYECTOS[[#This Row],[MUNICIPIO]],'4.CAP_ENDMNT'!B:B,'4.CAP_ENDMNT'!N:N,0,0,1)</f>
        <v>1</v>
      </c>
      <c r="AF69" s="134">
        <f>+_xlfn.XLOOKUP(PROYECTOS[[#This Row],[MUNICIPIO]],'4.CAP_ENDMNT'!B:B,'4.CAP_ENDMNT'!O:O,0,0,1)</f>
        <v>0.67267671220391811</v>
      </c>
      <c r="AG69" s="134">
        <f>+_xlfn.XLOOKUP(PROYECTOS[[#This Row],[MUNICIPIO]],'4.CAP_ENDMNT'!B:B,'4.CAP_ENDMNT'!P:P,0,0,1)</f>
        <v>0.8</v>
      </c>
      <c r="AH69" s="44" t="str">
        <f>+_xlfn.XLOOKUP(PROYECTOS[[#This Row],[MUNICIPIO]],'4.CAP_ENDMNT'!B:B,'4.CAP_ENDMNT'!Q:Q,0,0,1)</f>
        <v>Cumple</v>
      </c>
      <c r="AI69" s="139">
        <f>+_xlfn.XLOOKUP(PROYECTOS[[#This Row],[MUNICIPIO]],'4.CAP_ENDMNT'!B:B,'4.CAP_ENDMNT'!V:V,0,0,1)</f>
        <v>958584940.54950011</v>
      </c>
      <c r="AJ69" s="139">
        <f>+_xlfn.XLOOKUP(PROYECTOS[[#This Row],[MUNICIPIO]],'4.CAP_ENDMNT'!B:B,'4.CAP_ENDMNT'!Y:Y,0,0,1)</f>
        <v>-1217788521.7029991</v>
      </c>
      <c r="AK69"/>
      <c r="AL69"/>
      <c r="AM69"/>
    </row>
    <row r="70" spans="1:39">
      <c r="A70" s="44">
        <v>75</v>
      </c>
      <c r="B70" s="37" t="s">
        <v>410</v>
      </c>
      <c r="C70" s="118">
        <f>+_xlfn.XLOOKUP(PROYECTOS[[#This Row],[ID_NECESIDAD]],'1.RADICADOS'!G:G,'1.RADICADOS'!C:C,0,0,1)*1</f>
        <v>45533</v>
      </c>
      <c r="D70" s="46" t="s">
        <v>156</v>
      </c>
      <c r="E70" s="47" t="str">
        <f>+_xlfn.XLOOKUP(PROYECTOS[[#This Row],[MUNICIPIO]],MUNICIPIOS!A:A,MUNICIPIOS!E:E,0,0,1)</f>
        <v>Suroeste</v>
      </c>
      <c r="F70" s="44">
        <f>+_xlfn.XLOOKUP(PROYECTOS[[#This Row],[MUNICIPIO]],MUNICIPIOS!A:A,MUNICIPIOS!F:F,0,0,1)</f>
        <v>-75.818982000000005</v>
      </c>
      <c r="G70" s="44" t="str">
        <f>+_xlfn.XLOOKUP(PROYECTOS[[#This Row],[MUNICIPIO]],MUNICIPIOS!A:A,MUNICIPIOS!G:G,0,0,1)</f>
        <v>5,597542</v>
      </c>
      <c r="H70" s="44">
        <f>+_xlfn.XLOOKUP(PROYECTOS[[#This Row],[MUNICIPIO]],MUNICIPIOS!A:A,MUNICIPIOS!B:B,0,0,1)</f>
        <v>0</v>
      </c>
      <c r="I70" s="44">
        <f>+_xlfn.XLOOKUP(PROYECTOS[[#This Row],[MUNICIPIO]],MUNICIPIOS!A:A,MUNICIPIOS!C:C,0,0,1)</f>
        <v>0</v>
      </c>
      <c r="J70" s="3" t="str" cm="1">
        <f t="array" ref="J70">_xlfn.TEXTJOIN(" ", TRUE, IF(radicados[ID PROYECTOS]=A70, radicados[RADICADO], ""))</f>
        <v>2024010384269</v>
      </c>
      <c r="K70" s="45">
        <v>1</v>
      </c>
      <c r="L70" s="48"/>
      <c r="M70" s="34" t="s">
        <v>396</v>
      </c>
      <c r="N70" s="40" t="s">
        <v>394</v>
      </c>
      <c r="O70" s="40" t="s">
        <v>18</v>
      </c>
      <c r="P70" s="37"/>
      <c r="Q70" s="45"/>
      <c r="R70" s="43"/>
      <c r="S70" s="43"/>
      <c r="T70" s="44">
        <f>+_xlfn.XLOOKUP(PROYECTOS[[#This Row],[MUNICIPIO]],'4.CAP_ENDMNT'!B:B,'4.CAP_ENDMNT'!C:C,0,0,1)</f>
        <v>6</v>
      </c>
      <c r="U70" s="139">
        <f>+_xlfn.XLOOKUP(PROYECTOS[[#This Row],[MUNICIPIO]],'4.CAP_ENDMNT'!B:B,'4.CAP_ENDMNT'!D:D,0,0,1)</f>
        <v>14419744847.987999</v>
      </c>
      <c r="V70" s="140">
        <f>+_xlfn.XLOOKUP(PROYECTOS[[#This Row],[MUNICIPIO]],'4.CAP_ENDMNT'!B:B,'4.CAP_ENDMNT'!E:E,0,0,1)</f>
        <v>4888479181.79</v>
      </c>
      <c r="W70" s="140">
        <f>+_xlfn.XLOOKUP(PROYECTOS[[#This Row],[MUNICIPIO]],'4.CAP_ENDMNT'!B:B,'4.CAP_ENDMNT'!F:F,0,0,1)</f>
        <v>9531265666.197998</v>
      </c>
      <c r="X70" s="140">
        <f>+_xlfn.XLOOKUP(PROYECTOS[[#This Row],[MUNICIPIO]],'4.CAP_ENDMNT'!B:B,'4.CAP_ENDMNT'!G:G,0,0,1)</f>
        <v>0</v>
      </c>
      <c r="Y70" s="140">
        <f>+_xlfn.XLOOKUP(PROYECTOS[[#This Row],[MUNICIPIO]],'4.CAP_ENDMNT'!B:B,'4.CAP_ENDMNT'!H:H,0,0,1)</f>
        <v>0</v>
      </c>
      <c r="Z70" s="140">
        <f>+_xlfn.XLOOKUP(PROYECTOS[[#This Row],[MUNICIPIO]],'4.CAP_ENDMNT'!B:B,'4.CAP_ENDMNT'!I:I,0,0,1)</f>
        <v>0</v>
      </c>
      <c r="AA70" s="134">
        <f>+_xlfn.XLOOKUP(PROYECTOS[[#This Row],[MUNICIPIO]],'4.CAP_ENDMNT'!B:B,'4.CAP_ENDMNT'!J:J,0,0,1)</f>
        <v>0</v>
      </c>
      <c r="AB70" s="140">
        <f>+_xlfn.XLOOKUP(PROYECTOS[[#This Row],[MUNICIPIO]],'4.CAP_ENDMNT'!B:B,'4.CAP_ENDMNT'!K:K,0,0,1)</f>
        <v>14419744847.987999</v>
      </c>
      <c r="AC70" s="140">
        <f>+_xlfn.XLOOKUP(PROYECTOS[[#This Row],[MUNICIPIO]],'4.CAP_ENDMNT'!B:B,'4.CAP_ENDMNT'!L:L,0,0,1)</f>
        <v>11535795878.3904</v>
      </c>
      <c r="AD70" s="140">
        <f>+_xlfn.XLOOKUP(PROYECTOS[[#This Row],[MUNICIPIO]],'4.CAP_ENDMNT'!B:B,'4.CAP_ENDMNT'!M:M,0,0,1)</f>
        <v>8651846908.792799</v>
      </c>
      <c r="AE70" s="134">
        <f>+_xlfn.XLOOKUP(PROYECTOS[[#This Row],[MUNICIPIO]],'4.CAP_ENDMNT'!B:B,'4.CAP_ENDMNT'!N:N,0,0,1)</f>
        <v>0</v>
      </c>
      <c r="AF70" s="134">
        <f>+_xlfn.XLOOKUP(PROYECTOS[[#This Row],[MUNICIPIO]],'4.CAP_ENDMNT'!B:B,'4.CAP_ENDMNT'!O:O,0,0,1)</f>
        <v>0.45738888558733654</v>
      </c>
      <c r="AG70" s="134">
        <f>+_xlfn.XLOOKUP(PROYECTOS[[#This Row],[MUNICIPIO]],'4.CAP_ENDMNT'!B:B,'4.CAP_ENDMNT'!P:P,0,0,1)</f>
        <v>0.8</v>
      </c>
      <c r="AH70" s="44" t="str">
        <f>+_xlfn.XLOOKUP(PROYECTOS[[#This Row],[MUNICIPIO]],'4.CAP_ENDMNT'!B:B,'4.CAP_ENDMNT'!Q:Q,0,0,1)</f>
        <v>Cumple</v>
      </c>
      <c r="AI70" s="139">
        <f>+_xlfn.XLOOKUP(PROYECTOS[[#This Row],[MUNICIPIO]],'4.CAP_ENDMNT'!B:B,'4.CAP_ENDMNT'!V:V,0,0,1)</f>
        <v>1730369381.7585599</v>
      </c>
      <c r="AJ70" s="139">
        <f>+_xlfn.XLOOKUP(PROYECTOS[[#This Row],[MUNICIPIO]],'4.CAP_ENDMNT'!B:B,'4.CAP_ENDMNT'!Y:Y,0,0,1)</f>
        <v>7792173252.5513592</v>
      </c>
      <c r="AK70"/>
      <c r="AL70"/>
      <c r="AM70"/>
    </row>
    <row r="71" spans="1:39">
      <c r="A71" s="44">
        <v>76</v>
      </c>
      <c r="B71" s="37" t="s">
        <v>161</v>
      </c>
      <c r="C71" s="118">
        <f>+_xlfn.XLOOKUP(PROYECTOS[[#This Row],[ID_NECESIDAD]],'1.RADICADOS'!G:G,'1.RADICADOS'!C:C,0,0,1)*1</f>
        <v>45391</v>
      </c>
      <c r="D71" s="46" t="s">
        <v>160</v>
      </c>
      <c r="E71" s="47" t="str">
        <f>+_xlfn.XLOOKUP(PROYECTOS[[#This Row],[MUNICIPIO]],MUNICIPIOS!A:A,MUNICIPIOS!E:E,0,0,1)</f>
        <v>Occidente</v>
      </c>
      <c r="F71" s="44">
        <f>+_xlfn.XLOOKUP(PROYECTOS[[#This Row],[MUNICIPIO]],MUNICIPIOS!A:A,MUNICIPIOS!F:F,0,0,1)</f>
        <v>-75.952157999999997</v>
      </c>
      <c r="G71" s="44" t="str">
        <f>+_xlfn.XLOOKUP(PROYECTOS[[#This Row],[MUNICIPIO]],MUNICIPIOS!A:A,MUNICIPIOS!G:G,0,0,1)</f>
        <v>6,680808</v>
      </c>
      <c r="H71" s="44">
        <f>+_xlfn.XLOOKUP(PROYECTOS[[#This Row],[MUNICIPIO]],MUNICIPIOS!A:A,MUNICIPIOS!B:B,0,0,1)</f>
        <v>0</v>
      </c>
      <c r="I71" s="44">
        <f>+_xlfn.XLOOKUP(PROYECTOS[[#This Row],[MUNICIPIO]],MUNICIPIOS!A:A,MUNICIPIOS!C:C,0,0,1)</f>
        <v>0</v>
      </c>
      <c r="J71" s="3" t="str" cm="1">
        <f t="array" ref="J71">_xlfn.TEXTJOIN(" ", TRUE, IF(radicados[ID PROYECTOS]=A71, radicados[RADICADO], ""))</f>
        <v>2024010390658</v>
      </c>
      <c r="K71" s="45">
        <v>3</v>
      </c>
      <c r="L71" s="48">
        <v>5964207946</v>
      </c>
      <c r="M71" s="34" t="s">
        <v>401</v>
      </c>
      <c r="N71" s="34" t="s">
        <v>398</v>
      </c>
      <c r="O71" s="34" t="s">
        <v>25</v>
      </c>
      <c r="P71" s="37"/>
      <c r="Q71" s="45"/>
      <c r="R71" s="43"/>
      <c r="S71" s="43"/>
      <c r="T71" s="44">
        <f>+_xlfn.XLOOKUP(PROYECTOS[[#This Row],[MUNICIPIO]],'4.CAP_ENDMNT'!B:B,'4.CAP_ENDMNT'!C:C,0,0,1)</f>
        <v>6</v>
      </c>
      <c r="U71" s="139">
        <f>+_xlfn.XLOOKUP(PROYECTOS[[#This Row],[MUNICIPIO]],'4.CAP_ENDMNT'!B:B,'4.CAP_ENDMNT'!D:D,0,0,1)</f>
        <v>10996307821.845001</v>
      </c>
      <c r="V71" s="140">
        <f>+_xlfn.XLOOKUP(PROYECTOS[[#This Row],[MUNICIPIO]],'4.CAP_ENDMNT'!B:B,'4.CAP_ENDMNT'!E:E,0,0,1)</f>
        <v>3830082733.7800002</v>
      </c>
      <c r="W71" s="140">
        <f>+_xlfn.XLOOKUP(PROYECTOS[[#This Row],[MUNICIPIO]],'4.CAP_ENDMNT'!B:B,'4.CAP_ENDMNT'!F:F,0,0,1)</f>
        <v>7166225088.0650005</v>
      </c>
      <c r="X71" s="140">
        <f>+_xlfn.XLOOKUP(PROYECTOS[[#This Row],[MUNICIPIO]],'4.CAP_ENDMNT'!B:B,'4.CAP_ENDMNT'!G:G,0,0,1)</f>
        <v>1182597765.4299998</v>
      </c>
      <c r="Y71" s="140">
        <f>+_xlfn.XLOOKUP(PROYECTOS[[#This Row],[MUNICIPIO]],'4.CAP_ENDMNT'!B:B,'4.CAP_ENDMNT'!H:H,0,0,1)</f>
        <v>0</v>
      </c>
      <c r="Z71" s="140">
        <f>+_xlfn.XLOOKUP(PROYECTOS[[#This Row],[MUNICIPIO]],'4.CAP_ENDMNT'!B:B,'4.CAP_ENDMNT'!I:I,0,0,1)</f>
        <v>1182597765.4299998</v>
      </c>
      <c r="AA71" s="134">
        <f>+_xlfn.XLOOKUP(PROYECTOS[[#This Row],[MUNICIPIO]],'4.CAP_ENDMNT'!B:B,'4.CAP_ENDMNT'!J:J,0,0,1)</f>
        <v>0.10754498551601833</v>
      </c>
      <c r="AB71" s="140">
        <f>+_xlfn.XLOOKUP(PROYECTOS[[#This Row],[MUNICIPIO]],'4.CAP_ENDMNT'!B:B,'4.CAP_ENDMNT'!K:K,0,0,1)</f>
        <v>9813710056.4150009</v>
      </c>
      <c r="AC71" s="140">
        <f>+_xlfn.XLOOKUP(PROYECTOS[[#This Row],[MUNICIPIO]],'4.CAP_ENDMNT'!B:B,'4.CAP_ENDMNT'!L:L,0,0,1)</f>
        <v>7850968045.1320009</v>
      </c>
      <c r="AD71" s="140">
        <f>+_xlfn.XLOOKUP(PROYECTOS[[#This Row],[MUNICIPIO]],'4.CAP_ENDMNT'!B:B,'4.CAP_ENDMNT'!M:M,0,0,1)</f>
        <v>5888226033.849</v>
      </c>
      <c r="AE71" s="134">
        <f>+_xlfn.XLOOKUP(PROYECTOS[[#This Row],[MUNICIPIO]],'4.CAP_ENDMNT'!B:B,'4.CAP_ENDMNT'!N:N,0,0,1)</f>
        <v>1</v>
      </c>
      <c r="AF71" s="134">
        <f>+_xlfn.XLOOKUP(PROYECTOS[[#This Row],[MUNICIPIO]],'4.CAP_ENDMNT'!B:B,'4.CAP_ENDMNT'!O:O,0,0,1)</f>
        <v>0.53885751046750907</v>
      </c>
      <c r="AG71" s="134">
        <f>+_xlfn.XLOOKUP(PROYECTOS[[#This Row],[MUNICIPIO]],'4.CAP_ENDMNT'!B:B,'4.CAP_ENDMNT'!P:P,0,0,1)</f>
        <v>0.8</v>
      </c>
      <c r="AH71" s="44" t="str">
        <f>+_xlfn.XLOOKUP(PROYECTOS[[#This Row],[MUNICIPIO]],'4.CAP_ENDMNT'!B:B,'4.CAP_ENDMNT'!Q:Q,0,0,1)</f>
        <v>Cumple</v>
      </c>
      <c r="AI71" s="139">
        <f>+_xlfn.XLOOKUP(PROYECTOS[[#This Row],[MUNICIPIO]],'4.CAP_ENDMNT'!B:B,'4.CAP_ENDMNT'!V:V,0,0,1)</f>
        <v>1177645206.7697999</v>
      </c>
      <c r="AJ71" s="139">
        <f>+_xlfn.XLOOKUP(PROYECTOS[[#This Row],[MUNICIPIO]],'4.CAP_ENDMNT'!B:B,'4.CAP_ENDMNT'!Y:Y,0,0,1)</f>
        <v>-1314426917695.3811</v>
      </c>
      <c r="AK71"/>
      <c r="AL71"/>
      <c r="AM71"/>
    </row>
    <row r="72" spans="1:39">
      <c r="A72" s="44">
        <v>77</v>
      </c>
      <c r="B72" s="37" t="s">
        <v>1379</v>
      </c>
      <c r="C72" s="118">
        <f>+_xlfn.XLOOKUP(PROYECTOS[[#This Row],[ID_NECESIDAD]],'1.RADICADOS'!G:G,'1.RADICADOS'!C:C,0,0,1)*1</f>
        <v>45421</v>
      </c>
      <c r="D72" s="46" t="s">
        <v>326</v>
      </c>
      <c r="E72" s="47" t="str">
        <f>+_xlfn.XLOOKUP(PROYECTOS[[#This Row],[MUNICIPIO]],MUNICIPIOS!A:A,MUNICIPIOS!E:E,0,0,1)</f>
        <v>Norte</v>
      </c>
      <c r="F72" s="44">
        <f>+_xlfn.XLOOKUP(PROYECTOS[[#This Row],[MUNICIPIO]],MUNICIPIOS!A:A,MUNICIPIOS!F:F,0,0,1)</f>
        <v>-75.517685</v>
      </c>
      <c r="G72" s="44" t="str">
        <f>+_xlfn.XLOOKUP(PROYECTOS[[#This Row],[MUNICIPIO]],MUNICIPIOS!A:A,MUNICIPIOS!G:G,0,0,1)</f>
        <v>6,566273</v>
      </c>
      <c r="H72" s="44">
        <f>+_xlfn.XLOOKUP(PROYECTOS[[#This Row],[MUNICIPIO]],MUNICIPIOS!A:A,MUNICIPIOS!B:B,0,0,1)</f>
        <v>0</v>
      </c>
      <c r="I72" s="44">
        <f>+_xlfn.XLOOKUP(PROYECTOS[[#This Row],[MUNICIPIO]],MUNICIPIOS!A:A,MUNICIPIOS!C:C,0,0,1)</f>
        <v>0</v>
      </c>
      <c r="J72" s="3" t="str" cm="1">
        <f t="array" ref="J72">_xlfn.TEXTJOIN(" ", TRUE, IF(radicados[ID PROYECTOS]=A72, radicados[RADICADO], ""))</f>
        <v>2024010402872</v>
      </c>
      <c r="K72" s="45">
        <v>3</v>
      </c>
      <c r="L72" s="48">
        <v>2246385541</v>
      </c>
      <c r="M72" s="34" t="s">
        <v>288</v>
      </c>
      <c r="N72" s="40" t="s">
        <v>398</v>
      </c>
      <c r="O72" s="40" t="s">
        <v>25</v>
      </c>
      <c r="P72" s="37"/>
      <c r="Q72" s="45"/>
      <c r="R72" s="43"/>
      <c r="S72" s="43"/>
      <c r="T72" s="44">
        <f>+_xlfn.XLOOKUP(PROYECTOS[[#This Row],[MUNICIPIO]],'4.CAP_ENDMNT'!B:B,'4.CAP_ENDMNT'!C:C,0,0,1)</f>
        <v>6</v>
      </c>
      <c r="U72" s="139">
        <f>+_xlfn.XLOOKUP(PROYECTOS[[#This Row],[MUNICIPIO]],'4.CAP_ENDMNT'!B:B,'4.CAP_ENDMNT'!D:D,0,0,1)</f>
        <v>18940820544.593998</v>
      </c>
      <c r="V72" s="140">
        <f>+_xlfn.XLOOKUP(PROYECTOS[[#This Row],[MUNICIPIO]],'4.CAP_ENDMNT'!B:B,'4.CAP_ENDMNT'!E:E,0,0,1)</f>
        <v>5983055403.6199999</v>
      </c>
      <c r="W72" s="140">
        <f>+_xlfn.XLOOKUP(PROYECTOS[[#This Row],[MUNICIPIO]],'4.CAP_ENDMNT'!B:B,'4.CAP_ENDMNT'!F:F,0,0,1)</f>
        <v>12957765140.973999</v>
      </c>
      <c r="X72" s="140">
        <f>+_xlfn.XLOOKUP(PROYECTOS[[#This Row],[MUNICIPIO]],'4.CAP_ENDMNT'!B:B,'4.CAP_ENDMNT'!G:G,0,0,1)</f>
        <v>528703455</v>
      </c>
      <c r="Y72" s="140">
        <f>+_xlfn.XLOOKUP(PROYECTOS[[#This Row],[MUNICIPIO]],'4.CAP_ENDMNT'!B:B,'4.CAP_ENDMNT'!H:H,0,0,1)</f>
        <v>4617666038</v>
      </c>
      <c r="Z72" s="140">
        <f>+_xlfn.XLOOKUP(PROYECTOS[[#This Row],[MUNICIPIO]],'4.CAP_ENDMNT'!B:B,'4.CAP_ENDMNT'!I:I,0,0,1)</f>
        <v>5146369493</v>
      </c>
      <c r="AA72" s="134">
        <f>+_xlfn.XLOOKUP(PROYECTOS[[#This Row],[MUNICIPIO]],'4.CAP_ENDMNT'!B:B,'4.CAP_ENDMNT'!J:J,0,0,1)</f>
        <v>0.27170784290382038</v>
      </c>
      <c r="AB72" s="140">
        <f>+_xlfn.XLOOKUP(PROYECTOS[[#This Row],[MUNICIPIO]],'4.CAP_ENDMNT'!B:B,'4.CAP_ENDMNT'!K:K,0,0,1)</f>
        <v>13794451051.593998</v>
      </c>
      <c r="AC72" s="140">
        <f>+_xlfn.XLOOKUP(PROYECTOS[[#This Row],[MUNICIPIO]],'4.CAP_ENDMNT'!B:B,'4.CAP_ENDMNT'!L:L,0,0,1)</f>
        <v>11035560841.2752</v>
      </c>
      <c r="AD72" s="140">
        <f>+_xlfn.XLOOKUP(PROYECTOS[[#This Row],[MUNICIPIO]],'4.CAP_ENDMNT'!B:B,'4.CAP_ENDMNT'!M:M,0,0,1)</f>
        <v>8276670630.956398</v>
      </c>
      <c r="AE72" s="134">
        <f>+_xlfn.XLOOKUP(PROYECTOS[[#This Row],[MUNICIPIO]],'4.CAP_ENDMNT'!B:B,'4.CAP_ENDMNT'!N:N,0,0,1)</f>
        <v>0.10273328716858224</v>
      </c>
      <c r="AF72" s="134">
        <f>+_xlfn.XLOOKUP(PROYECTOS[[#This Row],[MUNICIPIO]],'4.CAP_ENDMNT'!B:B,'4.CAP_ENDMNT'!O:O,0,0,1)</f>
        <v>0.44981176046067123</v>
      </c>
      <c r="AG72" s="134">
        <f>+_xlfn.XLOOKUP(PROYECTOS[[#This Row],[MUNICIPIO]],'4.CAP_ENDMNT'!B:B,'4.CAP_ENDMNT'!P:P,0,0,1)</f>
        <v>0.8</v>
      </c>
      <c r="AH72" s="44" t="str">
        <f>+_xlfn.XLOOKUP(PROYECTOS[[#This Row],[MUNICIPIO]],'4.CAP_ENDMNT'!B:B,'4.CAP_ENDMNT'!Q:Q,0,0,1)</f>
        <v>Cumple</v>
      </c>
      <c r="AI72" s="139">
        <f>+_xlfn.XLOOKUP(PROYECTOS[[#This Row],[MUNICIPIO]],'4.CAP_ENDMNT'!B:B,'4.CAP_ENDMNT'!V:V,0,0,1)</f>
        <v>1655334126.1912796</v>
      </c>
      <c r="AJ72" s="139">
        <f>+_xlfn.XLOOKUP(PROYECTOS[[#This Row],[MUNICIPIO]],'4.CAP_ENDMNT'!B:B,'4.CAP_ENDMNT'!Y:Y,0,0,1)</f>
        <v>-37406438811.852325</v>
      </c>
      <c r="AK72"/>
      <c r="AL72"/>
      <c r="AM72"/>
    </row>
    <row r="73" spans="1:39">
      <c r="A73" s="44">
        <v>78</v>
      </c>
      <c r="B73" s="37" t="s">
        <v>164</v>
      </c>
      <c r="C73" s="118">
        <f>+_xlfn.XLOOKUP(PROYECTOS[[#This Row],[ID_NECESIDAD]],'1.RADICADOS'!G:G,'1.RADICADOS'!C:C,0,0,1)*1</f>
        <v>45421</v>
      </c>
      <c r="D73" s="46" t="s">
        <v>163</v>
      </c>
      <c r="E73" s="47" t="str">
        <f>+_xlfn.XLOOKUP(PROYECTOS[[#This Row],[MUNICIPIO]],MUNICIPIOS!A:A,MUNICIPIOS!E:E,0,0,1)</f>
        <v>Oriente</v>
      </c>
      <c r="F73" s="44">
        <f>+_xlfn.XLOOKUP(PROYECTOS[[#This Row],[MUNICIPIO]],MUNICIPIOS!A:A,MUNICIPIOS!F:F,0,0,1)</f>
        <v>-75.441612000000006</v>
      </c>
      <c r="G73" s="44" t="str">
        <f>+_xlfn.XLOOKUP(PROYECTOS[[#This Row],[MUNICIPIO]],MUNICIPIOS!A:A,MUNICIPIOS!G:G,0,0,1)</f>
        <v>6,27787</v>
      </c>
      <c r="H73" s="44">
        <f>+_xlfn.XLOOKUP(PROYECTOS[[#This Row],[MUNICIPIO]],MUNICIPIOS!A:A,MUNICIPIOS!B:B,0,0,1)</f>
        <v>0</v>
      </c>
      <c r="I73" s="44">
        <f>+_xlfn.XLOOKUP(PROYECTOS[[#This Row],[MUNICIPIO]],MUNICIPIOS!A:A,MUNICIPIOS!C:C,0,0,1)</f>
        <v>0</v>
      </c>
      <c r="J73" s="3" t="str" cm="1">
        <f t="array" ref="J73">_xlfn.TEXTJOIN(" ", TRUE, IF(radicados[ID PROYECTOS]=A73, radicados[RADICADO], ""))</f>
        <v>2024010404290</v>
      </c>
      <c r="K73" s="45">
        <v>3</v>
      </c>
      <c r="L73" s="48">
        <v>33225479908</v>
      </c>
      <c r="M73" s="34" t="s">
        <v>396</v>
      </c>
      <c r="N73" s="34" t="s">
        <v>397</v>
      </c>
      <c r="O73" s="34" t="s">
        <v>56</v>
      </c>
      <c r="P73" s="37" t="s">
        <v>974</v>
      </c>
      <c r="Q73" s="45"/>
      <c r="R73" s="43"/>
      <c r="S73" s="43"/>
      <c r="T73" s="44">
        <f>+_xlfn.XLOOKUP(PROYECTOS[[#This Row],[MUNICIPIO]],'4.CAP_ENDMNT'!B:B,'4.CAP_ENDMNT'!C:C,0,0,1)</f>
        <v>2</v>
      </c>
      <c r="U73" s="139">
        <f>+_xlfn.XLOOKUP(PROYECTOS[[#This Row],[MUNICIPIO]],'4.CAP_ENDMNT'!B:B,'4.CAP_ENDMNT'!D:D,0,0,1)</f>
        <v>94297942873.182495</v>
      </c>
      <c r="V73" s="140">
        <f>+_xlfn.XLOOKUP(PROYECTOS[[#This Row],[MUNICIPIO]],'4.CAP_ENDMNT'!B:B,'4.CAP_ENDMNT'!E:E,0,0,1)</f>
        <v>31502477356.16</v>
      </c>
      <c r="W73" s="140">
        <f>+_xlfn.XLOOKUP(PROYECTOS[[#This Row],[MUNICIPIO]],'4.CAP_ENDMNT'!B:B,'4.CAP_ENDMNT'!F:F,0,0,1)</f>
        <v>62795465517.022491</v>
      </c>
      <c r="X73" s="140">
        <f>+_xlfn.XLOOKUP(PROYECTOS[[#This Row],[MUNICIPIO]],'4.CAP_ENDMNT'!B:B,'4.CAP_ENDMNT'!G:G,0,0,1)</f>
        <v>12269275368</v>
      </c>
      <c r="Y73" s="140">
        <f>+_xlfn.XLOOKUP(PROYECTOS[[#This Row],[MUNICIPIO]],'4.CAP_ENDMNT'!B:B,'4.CAP_ENDMNT'!H:H,0,0,1)</f>
        <v>1587282296.6800001</v>
      </c>
      <c r="Z73" s="140">
        <f>+_xlfn.XLOOKUP(PROYECTOS[[#This Row],[MUNICIPIO]],'4.CAP_ENDMNT'!B:B,'4.CAP_ENDMNT'!I:I,0,0,1)</f>
        <v>13856557664.68</v>
      </c>
      <c r="AA73" s="134">
        <f>+_xlfn.XLOOKUP(PROYECTOS[[#This Row],[MUNICIPIO]],'4.CAP_ENDMNT'!B:B,'4.CAP_ENDMNT'!J:J,0,0,1)</f>
        <v>0.14694443211041333</v>
      </c>
      <c r="AB73" s="140">
        <f>+_xlfn.XLOOKUP(PROYECTOS[[#This Row],[MUNICIPIO]],'4.CAP_ENDMNT'!B:B,'4.CAP_ENDMNT'!K:K,0,0,1)</f>
        <v>80441385208.502502</v>
      </c>
      <c r="AC73" s="140">
        <f>+_xlfn.XLOOKUP(PROYECTOS[[#This Row],[MUNICIPIO]],'4.CAP_ENDMNT'!B:B,'4.CAP_ENDMNT'!L:L,0,0,1)</f>
        <v>64353108166.802002</v>
      </c>
      <c r="AD73" s="140">
        <f>+_xlfn.XLOOKUP(PROYECTOS[[#This Row],[MUNICIPIO]],'4.CAP_ENDMNT'!B:B,'4.CAP_ENDMNT'!M:M,0,0,1)</f>
        <v>48264831125.101501</v>
      </c>
      <c r="AE73" s="134">
        <f>+_xlfn.XLOOKUP(PROYECTOS[[#This Row],[MUNICIPIO]],'4.CAP_ENDMNT'!B:B,'4.CAP_ENDMNT'!N:N,0,0,1)</f>
        <v>0.88544901734678727</v>
      </c>
      <c r="AF73" s="134">
        <f>+_xlfn.XLOOKUP(PROYECTOS[[#This Row],[MUNICIPIO]],'4.CAP_ENDMNT'!B:B,'4.CAP_ENDMNT'!O:O,0,0,1)</f>
        <v>0.32613717500698253</v>
      </c>
      <c r="AG73" s="134">
        <f>+_xlfn.XLOOKUP(PROYECTOS[[#This Row],[MUNICIPIO]],'4.CAP_ENDMNT'!B:B,'4.CAP_ENDMNT'!P:P,0,0,1)</f>
        <v>0.7</v>
      </c>
      <c r="AH73" s="44" t="str">
        <f>+_xlfn.XLOOKUP(PROYECTOS[[#This Row],[MUNICIPIO]],'4.CAP_ENDMNT'!B:B,'4.CAP_ENDMNT'!Q:Q,0,0,1)</f>
        <v>Cumple</v>
      </c>
      <c r="AI73" s="139">
        <f>+_xlfn.XLOOKUP(PROYECTOS[[#This Row],[MUNICIPIO]],'4.CAP_ENDMNT'!B:B,'4.CAP_ENDMNT'!V:V,0,0,1)</f>
        <v>9652966225.0202999</v>
      </c>
      <c r="AJ73" s="139">
        <f>+_xlfn.XLOOKUP(PROYECTOS[[#This Row],[MUNICIPIO]],'4.CAP_ENDMNT'!B:B,'4.CAP_ENDMNT'!Y:Y,0,0,1)</f>
        <v>-17638221041.878197</v>
      </c>
      <c r="AK73"/>
      <c r="AL73"/>
      <c r="AM73"/>
    </row>
    <row r="74" spans="1:39">
      <c r="A74" s="44">
        <v>80</v>
      </c>
      <c r="B74" s="37" t="s">
        <v>413</v>
      </c>
      <c r="C74" s="118">
        <f>+_xlfn.XLOOKUP(PROYECTOS[[#This Row],[ID_NECESIDAD]],'1.RADICADOS'!G:G,'1.RADICADOS'!C:C,0,0,1)*1</f>
        <v>45527</v>
      </c>
      <c r="D74" s="46" t="s">
        <v>166</v>
      </c>
      <c r="E74" s="47" t="str">
        <f>+_xlfn.XLOOKUP(PROYECTOS[[#This Row],[MUNICIPIO]],MUNICIPIOS!A:A,MUNICIPIOS!E:E,0,0,1)</f>
        <v>Occidente</v>
      </c>
      <c r="F74" s="44">
        <f>+_xlfn.XLOOKUP(PROYECTOS[[#This Row],[MUNICIPIO]],MUNICIPIOS!A:A,MUNICIPIOS!F:F,0,0,1)</f>
        <v>-75.826648000000006</v>
      </c>
      <c r="G74" s="44" t="str">
        <f>+_xlfn.XLOOKUP(PROYECTOS[[#This Row],[MUNICIPIO]],MUNICIPIOS!A:A,MUNICIPIOS!G:G,0,0,1)</f>
        <v>6,556484</v>
      </c>
      <c r="H74" s="44">
        <f>+_xlfn.XLOOKUP(PROYECTOS[[#This Row],[MUNICIPIO]],MUNICIPIOS!A:A,MUNICIPIOS!B:B,0,0,1)</f>
        <v>0</v>
      </c>
      <c r="I74" s="44">
        <f>+_xlfn.XLOOKUP(PROYECTOS[[#This Row],[MUNICIPIO]],MUNICIPIOS!A:A,MUNICIPIOS!C:C,0,0,1)</f>
        <v>1</v>
      </c>
      <c r="J74" s="3" t="str" cm="1">
        <f t="array" ref="J74">_xlfn.TEXTJOIN(" ", TRUE, IF(radicados[ID PROYECTOS]=A74, radicados[RADICADO], ""))</f>
        <v>2024010402574</v>
      </c>
      <c r="K74" s="45">
        <v>3</v>
      </c>
      <c r="L74" s="48">
        <v>12667832858</v>
      </c>
      <c r="M74" s="34" t="s">
        <v>288</v>
      </c>
      <c r="N74" s="40" t="s">
        <v>398</v>
      </c>
      <c r="O74" s="40" t="s">
        <v>25</v>
      </c>
      <c r="P74" s="37"/>
      <c r="Q74" s="45"/>
      <c r="R74" s="43"/>
      <c r="S74" s="43"/>
      <c r="T74" s="44">
        <f>+_xlfn.XLOOKUP(PROYECTOS[[#This Row],[MUNICIPIO]],'4.CAP_ENDMNT'!B:B,'4.CAP_ENDMNT'!C:C,0,0,1)</f>
        <v>5</v>
      </c>
      <c r="U74" s="139">
        <f>+_xlfn.XLOOKUP(PROYECTOS[[#This Row],[MUNICIPIO]],'4.CAP_ENDMNT'!B:B,'4.CAP_ENDMNT'!D:D,0,0,1)</f>
        <v>40656193467.687004</v>
      </c>
      <c r="V74" s="140">
        <f>+_xlfn.XLOOKUP(PROYECTOS[[#This Row],[MUNICIPIO]],'4.CAP_ENDMNT'!B:B,'4.CAP_ENDMNT'!E:E,0,0,1)</f>
        <v>18778286398.540001</v>
      </c>
      <c r="W74" s="140">
        <f>+_xlfn.XLOOKUP(PROYECTOS[[#This Row],[MUNICIPIO]],'4.CAP_ENDMNT'!B:B,'4.CAP_ENDMNT'!F:F,0,0,1)</f>
        <v>21877907069.147003</v>
      </c>
      <c r="X74" s="140">
        <f>+_xlfn.XLOOKUP(PROYECTOS[[#This Row],[MUNICIPIO]],'4.CAP_ENDMNT'!B:B,'4.CAP_ENDMNT'!G:G,0,0,1)</f>
        <v>5492975516</v>
      </c>
      <c r="Y74" s="140">
        <f>+_xlfn.XLOOKUP(PROYECTOS[[#This Row],[MUNICIPIO]],'4.CAP_ENDMNT'!B:B,'4.CAP_ENDMNT'!H:H,0,0,1)</f>
        <v>2014055909</v>
      </c>
      <c r="Z74" s="140">
        <f>+_xlfn.XLOOKUP(PROYECTOS[[#This Row],[MUNICIPIO]],'4.CAP_ENDMNT'!B:B,'4.CAP_ENDMNT'!I:I,0,0,1)</f>
        <v>7507031425</v>
      </c>
      <c r="AA74" s="134">
        <f>+_xlfn.XLOOKUP(PROYECTOS[[#This Row],[MUNICIPIO]],'4.CAP_ENDMNT'!B:B,'4.CAP_ENDMNT'!J:J,0,0,1)</f>
        <v>0.18464668688096655</v>
      </c>
      <c r="AB74" s="140">
        <f>+_xlfn.XLOOKUP(PROYECTOS[[#This Row],[MUNICIPIO]],'4.CAP_ENDMNT'!B:B,'4.CAP_ENDMNT'!K:K,0,0,1)</f>
        <v>33149162042.687004</v>
      </c>
      <c r="AC74" s="140">
        <f>+_xlfn.XLOOKUP(PROYECTOS[[#This Row],[MUNICIPIO]],'4.CAP_ENDMNT'!B:B,'4.CAP_ENDMNT'!L:L,0,0,1)</f>
        <v>26519329634.149605</v>
      </c>
      <c r="AD74" s="140">
        <f>+_xlfn.XLOOKUP(PROYECTOS[[#This Row],[MUNICIPIO]],'4.CAP_ENDMNT'!B:B,'4.CAP_ENDMNT'!M:M,0,0,1)</f>
        <v>19889497225.612202</v>
      </c>
      <c r="AE74" s="134">
        <f>+_xlfn.XLOOKUP(PROYECTOS[[#This Row],[MUNICIPIO]],'4.CAP_ENDMNT'!B:B,'4.CAP_ENDMNT'!N:N,0,0,1)</f>
        <v>0.73171073957506449</v>
      </c>
      <c r="AF74" s="134">
        <f>+_xlfn.XLOOKUP(PROYECTOS[[#This Row],[MUNICIPIO]],'4.CAP_ENDMNT'!B:B,'4.CAP_ENDMNT'!O:O,0,0,1)</f>
        <v>0.53391906125286837</v>
      </c>
      <c r="AG74" s="134">
        <f>+_xlfn.XLOOKUP(PROYECTOS[[#This Row],[MUNICIPIO]],'4.CAP_ENDMNT'!B:B,'4.CAP_ENDMNT'!P:P,0,0,1)</f>
        <v>0.8</v>
      </c>
      <c r="AH74" s="44" t="str">
        <f>+_xlfn.XLOOKUP(PROYECTOS[[#This Row],[MUNICIPIO]],'4.CAP_ENDMNT'!B:B,'4.CAP_ENDMNT'!Q:Q,0,0,1)</f>
        <v>Cumple</v>
      </c>
      <c r="AI74" s="139">
        <f>+_xlfn.XLOOKUP(PROYECTOS[[#This Row],[MUNICIPIO]],'4.CAP_ENDMNT'!B:B,'4.CAP_ENDMNT'!V:V,0,0,1)</f>
        <v>3977899445.1224403</v>
      </c>
      <c r="AJ74" s="139">
        <f>+_xlfn.XLOOKUP(PROYECTOS[[#This Row],[MUNICIPIO]],'4.CAP_ENDMNT'!B:B,'4.CAP_ENDMNT'!Y:Y,0,0,1)</f>
        <v>-34393689178.265358</v>
      </c>
      <c r="AK74"/>
      <c r="AL74"/>
      <c r="AM74"/>
    </row>
    <row r="75" spans="1:39">
      <c r="A75" s="44">
        <v>81</v>
      </c>
      <c r="B75" s="37" t="s">
        <v>1380</v>
      </c>
      <c r="C75" s="118">
        <f>+_xlfn.XLOOKUP(PROYECTOS[[#This Row],[ID_NECESIDAD]],'1.RADICADOS'!G:G,'1.RADICADOS'!C:C,0,0,1)*1</f>
        <v>45421</v>
      </c>
      <c r="D75" s="46" t="s">
        <v>168</v>
      </c>
      <c r="E75" s="47" t="str">
        <f>+_xlfn.XLOOKUP(PROYECTOS[[#This Row],[MUNICIPIO]],MUNICIPIOS!A:A,MUNICIPIOS!E:E,0,0,1)</f>
        <v>Occidente</v>
      </c>
      <c r="F75" s="44">
        <f>+_xlfn.XLOOKUP(PROYECTOS[[#This Row],[MUNICIPIO]],MUNICIPIOS!A:A,MUNICIPIOS!F:F,0,0,1)</f>
        <v>-75.854442000000006</v>
      </c>
      <c r="G75" s="44" t="str">
        <f>+_xlfn.XLOOKUP(PROYECTOS[[#This Row],[MUNICIPIO]],MUNICIPIOS!A:A,MUNICIPIOS!G:G,0,0,1)</f>
        <v>6,302641</v>
      </c>
      <c r="H75" s="44">
        <f>+_xlfn.XLOOKUP(PROYECTOS[[#This Row],[MUNICIPIO]],MUNICIPIOS!A:A,MUNICIPIOS!B:B,0,0,1)</f>
        <v>0</v>
      </c>
      <c r="I75" s="44">
        <f>+_xlfn.XLOOKUP(PROYECTOS[[#This Row],[MUNICIPIO]],MUNICIPIOS!A:A,MUNICIPIOS!C:C,0,0,1)</f>
        <v>0</v>
      </c>
      <c r="J75" s="3" t="str" cm="1">
        <f t="array" ref="J75">_xlfn.TEXTJOIN(" ", TRUE, IF(radicados[ID PROYECTOS]=A75, radicados[RADICADO], ""))</f>
        <v>2024010403496</v>
      </c>
      <c r="K75" s="45">
        <v>3</v>
      </c>
      <c r="L75" s="48">
        <v>6508964304</v>
      </c>
      <c r="M75" s="34" t="s">
        <v>288</v>
      </c>
      <c r="N75" s="40" t="s">
        <v>398</v>
      </c>
      <c r="O75" s="40" t="s">
        <v>25</v>
      </c>
      <c r="P75" s="37"/>
      <c r="Q75" s="45">
        <v>1</v>
      </c>
      <c r="R75" s="43" t="s">
        <v>922</v>
      </c>
      <c r="S75" s="43" t="s">
        <v>1639</v>
      </c>
      <c r="T75" s="44">
        <f>+_xlfn.XLOOKUP(PROYECTOS[[#This Row],[MUNICIPIO]],'4.CAP_ENDMNT'!B:B,'4.CAP_ENDMNT'!C:C,0,0,1)</f>
        <v>6</v>
      </c>
      <c r="U75" s="139">
        <f>+_xlfn.XLOOKUP(PROYECTOS[[#This Row],[MUNICIPIO]],'4.CAP_ENDMNT'!B:B,'4.CAP_ENDMNT'!D:D,0,0,1)</f>
        <v>7049911897.9460001</v>
      </c>
      <c r="V75" s="140">
        <f>+_xlfn.XLOOKUP(PROYECTOS[[#This Row],[MUNICIPIO]],'4.CAP_ENDMNT'!B:B,'4.CAP_ENDMNT'!E:E,0,0,1)</f>
        <v>2502449802.4500003</v>
      </c>
      <c r="W75" s="140">
        <f>+_xlfn.XLOOKUP(PROYECTOS[[#This Row],[MUNICIPIO]],'4.CAP_ENDMNT'!B:B,'4.CAP_ENDMNT'!F:F,0,0,1)</f>
        <v>4547462095.4960003</v>
      </c>
      <c r="X75" s="140">
        <f>+_xlfn.XLOOKUP(PROYECTOS[[#This Row],[MUNICIPIO]],'4.CAP_ENDMNT'!B:B,'4.CAP_ENDMNT'!G:G,0,0,1)</f>
        <v>1083993787</v>
      </c>
      <c r="Y75" s="140">
        <f>+_xlfn.XLOOKUP(PROYECTOS[[#This Row],[MUNICIPIO]],'4.CAP_ENDMNT'!B:B,'4.CAP_ENDMNT'!H:H,0,0,1)</f>
        <v>0</v>
      </c>
      <c r="Z75" s="140">
        <f>+_xlfn.XLOOKUP(PROYECTOS[[#This Row],[MUNICIPIO]],'4.CAP_ENDMNT'!B:B,'4.CAP_ENDMNT'!I:I,0,0,1)</f>
        <v>1083993787</v>
      </c>
      <c r="AA75" s="134">
        <f>+_xlfn.XLOOKUP(PROYECTOS[[#This Row],[MUNICIPIO]],'4.CAP_ENDMNT'!B:B,'4.CAP_ENDMNT'!J:J,0,0,1)</f>
        <v>0.15375990546999926</v>
      </c>
      <c r="AB75" s="140">
        <f>+_xlfn.XLOOKUP(PROYECTOS[[#This Row],[MUNICIPIO]],'4.CAP_ENDMNT'!B:B,'4.CAP_ENDMNT'!K:K,0,0,1)</f>
        <v>5965918110.9460001</v>
      </c>
      <c r="AC75" s="140">
        <f>+_xlfn.XLOOKUP(PROYECTOS[[#This Row],[MUNICIPIO]],'4.CAP_ENDMNT'!B:B,'4.CAP_ENDMNT'!L:L,0,0,1)</f>
        <v>4772734488.7568007</v>
      </c>
      <c r="AD75" s="140">
        <f>+_xlfn.XLOOKUP(PROYECTOS[[#This Row],[MUNICIPIO]],'4.CAP_ENDMNT'!B:B,'4.CAP_ENDMNT'!M:M,0,0,1)</f>
        <v>3579550866.5675998</v>
      </c>
      <c r="AE75" s="134">
        <f>+_xlfn.XLOOKUP(PROYECTOS[[#This Row],[MUNICIPIO]],'4.CAP_ENDMNT'!B:B,'4.CAP_ENDMNT'!N:N,0,0,1)</f>
        <v>1</v>
      </c>
      <c r="AF75" s="134">
        <f>+_xlfn.XLOOKUP(PROYECTOS[[#This Row],[MUNICIPIO]],'4.CAP_ENDMNT'!B:B,'4.CAP_ENDMNT'!O:O,0,0,1)</f>
        <v>0.68972189795110483</v>
      </c>
      <c r="AG75" s="134">
        <f>+_xlfn.XLOOKUP(PROYECTOS[[#This Row],[MUNICIPIO]],'4.CAP_ENDMNT'!B:B,'4.CAP_ENDMNT'!P:P,0,0,1)</f>
        <v>0.8</v>
      </c>
      <c r="AH75" s="44" t="str">
        <f>+_xlfn.XLOOKUP(PROYECTOS[[#This Row],[MUNICIPIO]],'4.CAP_ENDMNT'!B:B,'4.CAP_ENDMNT'!Q:Q,0,0,1)</f>
        <v>Cumple</v>
      </c>
      <c r="AI75" s="139">
        <f>+_xlfn.XLOOKUP(PROYECTOS[[#This Row],[MUNICIPIO]],'4.CAP_ENDMNT'!B:B,'4.CAP_ENDMNT'!V:V,0,0,1)</f>
        <v>715910173.31351995</v>
      </c>
      <c r="AJ75" s="139">
        <f>+_xlfn.XLOOKUP(PROYECTOS[[#This Row],[MUNICIPIO]],'4.CAP_ENDMNT'!B:B,'4.CAP_ENDMNT'!Y:Y,0,0,1)</f>
        <v>-2869466523.1188803</v>
      </c>
      <c r="AK75"/>
      <c r="AL75"/>
      <c r="AM75"/>
    </row>
    <row r="76" spans="1:39">
      <c r="A76" s="44">
        <v>82</v>
      </c>
      <c r="B76" s="37" t="s">
        <v>1381</v>
      </c>
      <c r="C76" s="118">
        <f>+_xlfn.XLOOKUP(PROYECTOS[[#This Row],[ID_NECESIDAD]],'1.RADICADOS'!G:G,'1.RADICADOS'!C:C,0,0,1)*1</f>
        <v>45421</v>
      </c>
      <c r="D76" s="46" t="s">
        <v>170</v>
      </c>
      <c r="E76" s="47" t="str">
        <f>+_xlfn.XLOOKUP(PROYECTOS[[#This Row],[MUNICIPIO]],MUNICIPIOS!A:A,MUNICIPIOS!E:E,0,0,1)</f>
        <v>Bajo Cauca</v>
      </c>
      <c r="F76" s="44">
        <f>+_xlfn.XLOOKUP(PROYECTOS[[#This Row],[MUNICIPIO]],MUNICIPIOS!A:A,MUNICIPIOS!F:F,0,0,1)</f>
        <v>-74.799097000000003</v>
      </c>
      <c r="G76" s="44" t="str">
        <f>+_xlfn.XLOOKUP(PROYECTOS[[#This Row],[MUNICIPIO]],MUNICIPIOS!A:A,MUNICIPIOS!G:G,0,0,1)</f>
        <v>7,5975</v>
      </c>
      <c r="H76" s="44">
        <f>+_xlfn.XLOOKUP(PROYECTOS[[#This Row],[MUNICIPIO]],MUNICIPIOS!A:A,MUNICIPIOS!B:B,0,0,1)</f>
        <v>1</v>
      </c>
      <c r="I76" s="44">
        <f>+_xlfn.XLOOKUP(PROYECTOS[[#This Row],[MUNICIPIO]],MUNICIPIOS!A:A,MUNICIPIOS!C:C,0,0,1)</f>
        <v>1</v>
      </c>
      <c r="J76" s="3" t="str" cm="1">
        <f t="array" ref="J76">_xlfn.TEXTJOIN(" ", TRUE, IF(radicados[ID PROYECTOS]=A76, radicados[RADICADO], ""))</f>
        <v>2024010403421 2025010255027</v>
      </c>
      <c r="K76" s="45">
        <v>3</v>
      </c>
      <c r="L76" s="48">
        <v>30439233612</v>
      </c>
      <c r="M76" s="34" t="s">
        <v>288</v>
      </c>
      <c r="N76" s="40" t="s">
        <v>398</v>
      </c>
      <c r="O76" s="40" t="s">
        <v>25</v>
      </c>
      <c r="P76" s="37" t="s">
        <v>687</v>
      </c>
      <c r="Q76" s="45"/>
      <c r="R76" s="43"/>
      <c r="S76" s="43"/>
      <c r="T76" s="44">
        <f>+_xlfn.XLOOKUP(PROYECTOS[[#This Row],[MUNICIPIO]],'4.CAP_ENDMNT'!B:B,'4.CAP_ENDMNT'!C:C,0,0,1)</f>
        <v>6</v>
      </c>
      <c r="U76" s="139">
        <f>+_xlfn.XLOOKUP(PROYECTOS[[#This Row],[MUNICIPIO]],'4.CAP_ENDMNT'!B:B,'4.CAP_ENDMNT'!D:D,0,0,1)</f>
        <v>50634494381.026505</v>
      </c>
      <c r="V76" s="140">
        <f>+_xlfn.XLOOKUP(PROYECTOS[[#This Row],[MUNICIPIO]],'4.CAP_ENDMNT'!B:B,'4.CAP_ENDMNT'!E:E,0,0,1)</f>
        <v>15839182742.690001</v>
      </c>
      <c r="W76" s="140">
        <f>+_xlfn.XLOOKUP(PROYECTOS[[#This Row],[MUNICIPIO]],'4.CAP_ENDMNT'!B:B,'4.CAP_ENDMNT'!F:F,0,0,1)</f>
        <v>34795311638.336502</v>
      </c>
      <c r="X76" s="140">
        <f>+_xlfn.XLOOKUP(PROYECTOS[[#This Row],[MUNICIPIO]],'4.CAP_ENDMNT'!B:B,'4.CAP_ENDMNT'!G:G,0,0,1)</f>
        <v>67652077</v>
      </c>
      <c r="Y76" s="140">
        <f>+_xlfn.XLOOKUP(PROYECTOS[[#This Row],[MUNICIPIO]],'4.CAP_ENDMNT'!B:B,'4.CAP_ENDMNT'!H:H,0,0,1)</f>
        <v>17477834894.650002</v>
      </c>
      <c r="Z76" s="140">
        <f>+_xlfn.XLOOKUP(PROYECTOS[[#This Row],[MUNICIPIO]],'4.CAP_ENDMNT'!B:B,'4.CAP_ENDMNT'!I:I,0,0,1)</f>
        <v>17545486971.650002</v>
      </c>
      <c r="AA76" s="134">
        <f>+_xlfn.XLOOKUP(PROYECTOS[[#This Row],[MUNICIPIO]],'4.CAP_ENDMNT'!B:B,'4.CAP_ENDMNT'!J:J,0,0,1)</f>
        <v>0.34651253431345719</v>
      </c>
      <c r="AB76" s="140">
        <f>+_xlfn.XLOOKUP(PROYECTOS[[#This Row],[MUNICIPIO]],'4.CAP_ENDMNT'!B:B,'4.CAP_ENDMNT'!K:K,0,0,1)</f>
        <v>33089007409.376503</v>
      </c>
      <c r="AC76" s="140">
        <f>+_xlfn.XLOOKUP(PROYECTOS[[#This Row],[MUNICIPIO]],'4.CAP_ENDMNT'!B:B,'4.CAP_ENDMNT'!L:L,0,0,1)</f>
        <v>26471205927.501205</v>
      </c>
      <c r="AD76" s="140">
        <f>+_xlfn.XLOOKUP(PROYECTOS[[#This Row],[MUNICIPIO]],'4.CAP_ENDMNT'!B:B,'4.CAP_ENDMNT'!M:M,0,0,1)</f>
        <v>19853404445.6259</v>
      </c>
      <c r="AE76" s="134">
        <f>+_xlfn.XLOOKUP(PROYECTOS[[#This Row],[MUNICIPIO]],'4.CAP_ENDMNT'!B:B,'4.CAP_ENDMNT'!N:N,0,0,1)</f>
        <v>3.8558107340829141E-3</v>
      </c>
      <c r="AF76" s="134">
        <f>+_xlfn.XLOOKUP(PROYECTOS[[#This Row],[MUNICIPIO]],'4.CAP_ENDMNT'!B:B,'4.CAP_ENDMNT'!O:O,0,0,1)</f>
        <v>0.40594992695874271</v>
      </c>
      <c r="AG76" s="134">
        <f>+_xlfn.XLOOKUP(PROYECTOS[[#This Row],[MUNICIPIO]],'4.CAP_ENDMNT'!B:B,'4.CAP_ENDMNT'!P:P,0,0,1)</f>
        <v>0.8</v>
      </c>
      <c r="AH76" s="44" t="str">
        <f>+_xlfn.XLOOKUP(PROYECTOS[[#This Row],[MUNICIPIO]],'4.CAP_ENDMNT'!B:B,'4.CAP_ENDMNT'!Q:Q,0,0,1)</f>
        <v>Cumple</v>
      </c>
      <c r="AI76" s="139">
        <f>+_xlfn.XLOOKUP(PROYECTOS[[#This Row],[MUNICIPIO]],'4.CAP_ENDMNT'!B:B,'4.CAP_ENDMNT'!V:V,0,0,1)</f>
        <v>3970680889.1251802</v>
      </c>
      <c r="AJ76" s="139">
        <f>+_xlfn.XLOOKUP(PROYECTOS[[#This Row],[MUNICIPIO]],'4.CAP_ENDMNT'!B:B,'4.CAP_ENDMNT'!Y:Y,0,0,1)</f>
        <v>-9892273308.2489204</v>
      </c>
      <c r="AK76"/>
      <c r="AL76"/>
      <c r="AM76"/>
    </row>
    <row r="77" spans="1:39">
      <c r="A77" s="44">
        <v>83</v>
      </c>
      <c r="B77" s="37" t="s">
        <v>175</v>
      </c>
      <c r="C77" s="118">
        <f>+_xlfn.XLOOKUP(PROYECTOS[[#This Row],[ID_NECESIDAD]],'1.RADICADOS'!G:G,'1.RADICADOS'!C:C,0,0,1)*1</f>
        <v>45391</v>
      </c>
      <c r="D77" s="46" t="s">
        <v>174</v>
      </c>
      <c r="E77" s="47" t="str">
        <f>+_xlfn.XLOOKUP(PROYECTOS[[#This Row],[MUNICIPIO]],MUNICIPIOS!A:A,MUNICIPIOS!E:E,0,0,1)</f>
        <v>Norte</v>
      </c>
      <c r="F77" s="44">
        <f>+_xlfn.XLOOKUP(PROYECTOS[[#This Row],[MUNICIPIO]],MUNICIPIOS!A:A,MUNICIPIOS!F:F,0,0,1)</f>
        <v>-75.556742999999997</v>
      </c>
      <c r="G77" s="44" t="str">
        <f>+_xlfn.XLOOKUP(PROYECTOS[[#This Row],[MUNICIPIO]],MUNICIPIOS!A:A,MUNICIPIOS!G:G,0,0,1)</f>
        <v>6,46012</v>
      </c>
      <c r="H77" s="44">
        <f>+_xlfn.XLOOKUP(PROYECTOS[[#This Row],[MUNICIPIO]],MUNICIPIOS!A:A,MUNICIPIOS!B:B,0,0,1)</f>
        <v>0</v>
      </c>
      <c r="I77" s="44">
        <f>+_xlfn.XLOOKUP(PROYECTOS[[#This Row],[MUNICIPIO]],MUNICIPIOS!A:A,MUNICIPIOS!C:C,0,0,1)</f>
        <v>0</v>
      </c>
      <c r="J77" s="3" t="str" cm="1">
        <f t="array" ref="J77">_xlfn.TEXTJOIN(" ", TRUE, IF(radicados[ID PROYECTOS]=A77, radicados[RADICADO], ""))</f>
        <v>2024010402557</v>
      </c>
      <c r="K77" s="45">
        <v>3</v>
      </c>
      <c r="L77" s="48">
        <v>9952000000</v>
      </c>
      <c r="M77" s="34" t="s">
        <v>288</v>
      </c>
      <c r="N77" s="34" t="s">
        <v>398</v>
      </c>
      <c r="O77" s="40" t="s">
        <v>25</v>
      </c>
      <c r="P77" s="37"/>
      <c r="Q77" s="45"/>
      <c r="R77" s="43"/>
      <c r="S77" s="43"/>
      <c r="T77" s="44">
        <f>+_xlfn.XLOOKUP(PROYECTOS[[#This Row],[MUNICIPIO]],'4.CAP_ENDMNT'!B:B,'4.CAP_ENDMNT'!C:C,0,0,1)</f>
        <v>6</v>
      </c>
      <c r="U77" s="139">
        <f>+_xlfn.XLOOKUP(PROYECTOS[[#This Row],[MUNICIPIO]],'4.CAP_ENDMNT'!B:B,'4.CAP_ENDMNT'!D:D,0,0,1)</f>
        <v>31632055796.696003</v>
      </c>
      <c r="V77" s="140">
        <f>+_xlfn.XLOOKUP(PROYECTOS[[#This Row],[MUNICIPIO]],'4.CAP_ENDMNT'!B:B,'4.CAP_ENDMNT'!E:E,0,0,1)</f>
        <v>14204097707.720001</v>
      </c>
      <c r="W77" s="140">
        <f>+_xlfn.XLOOKUP(PROYECTOS[[#This Row],[MUNICIPIO]],'4.CAP_ENDMNT'!B:B,'4.CAP_ENDMNT'!F:F,0,0,1)</f>
        <v>17427958088.976002</v>
      </c>
      <c r="X77" s="140">
        <f>+_xlfn.XLOOKUP(PROYECTOS[[#This Row],[MUNICIPIO]],'4.CAP_ENDMNT'!B:B,'4.CAP_ENDMNT'!G:G,0,0,1)</f>
        <v>6063106860</v>
      </c>
      <c r="Y77" s="140">
        <f>+_xlfn.XLOOKUP(PROYECTOS[[#This Row],[MUNICIPIO]],'4.CAP_ENDMNT'!B:B,'4.CAP_ENDMNT'!H:H,0,0,1)</f>
        <v>5275762021</v>
      </c>
      <c r="Z77" s="140">
        <f>+_xlfn.XLOOKUP(PROYECTOS[[#This Row],[MUNICIPIO]],'4.CAP_ENDMNT'!B:B,'4.CAP_ENDMNT'!I:I,0,0,1)</f>
        <v>11338868881</v>
      </c>
      <c r="AA77" s="134">
        <f>+_xlfn.XLOOKUP(PROYECTOS[[#This Row],[MUNICIPIO]],'4.CAP_ENDMNT'!B:B,'4.CAP_ENDMNT'!J:J,0,0,1)</f>
        <v>0.35846133282884368</v>
      </c>
      <c r="AB77" s="140">
        <f>+_xlfn.XLOOKUP(PROYECTOS[[#This Row],[MUNICIPIO]],'4.CAP_ENDMNT'!B:B,'4.CAP_ENDMNT'!K:K,0,0,1)</f>
        <v>20293186915.696003</v>
      </c>
      <c r="AC77" s="140">
        <f>+_xlfn.XLOOKUP(PROYECTOS[[#This Row],[MUNICIPIO]],'4.CAP_ENDMNT'!B:B,'4.CAP_ENDMNT'!L:L,0,0,1)</f>
        <v>16234549532.556803</v>
      </c>
      <c r="AD77" s="140">
        <f>+_xlfn.XLOOKUP(PROYECTOS[[#This Row],[MUNICIPIO]],'4.CAP_ENDMNT'!B:B,'4.CAP_ENDMNT'!M:M,0,0,1)</f>
        <v>12175912149.417601</v>
      </c>
      <c r="AE77" s="134">
        <f>+_xlfn.XLOOKUP(PROYECTOS[[#This Row],[MUNICIPIO]],'4.CAP_ENDMNT'!B:B,'4.CAP_ENDMNT'!N:N,0,0,1)</f>
        <v>0.53471884397214064</v>
      </c>
      <c r="AF77" s="134">
        <f>+_xlfn.XLOOKUP(PROYECTOS[[#This Row],[MUNICIPIO]],'4.CAP_ENDMNT'!B:B,'4.CAP_ENDMNT'!O:O,0,0,1)</f>
        <v>0.58208884880898415</v>
      </c>
      <c r="AG77" s="134">
        <f>+_xlfn.XLOOKUP(PROYECTOS[[#This Row],[MUNICIPIO]],'4.CAP_ENDMNT'!B:B,'4.CAP_ENDMNT'!P:P,0,0,1)</f>
        <v>0.8</v>
      </c>
      <c r="AH77" s="44" t="str">
        <f>+_xlfn.XLOOKUP(PROYECTOS[[#This Row],[MUNICIPIO]],'4.CAP_ENDMNT'!B:B,'4.CAP_ENDMNT'!Q:Q,0,0,1)</f>
        <v>Cumple</v>
      </c>
      <c r="AI77" s="139">
        <f>+_xlfn.XLOOKUP(PROYECTOS[[#This Row],[MUNICIPIO]],'4.CAP_ENDMNT'!B:B,'4.CAP_ENDMNT'!V:V,0,0,1)</f>
        <v>2435182429.8835201</v>
      </c>
      <c r="AJ77" s="139">
        <f>+_xlfn.XLOOKUP(PROYECTOS[[#This Row],[MUNICIPIO]],'4.CAP_ENDMNT'!B:B,'4.CAP_ENDMNT'!Y:Y,0,0,1)</f>
        <v>1934959939.3011208</v>
      </c>
      <c r="AK77"/>
      <c r="AL77"/>
      <c r="AM77"/>
    </row>
    <row r="78" spans="1:39">
      <c r="A78" s="44">
        <v>84</v>
      </c>
      <c r="B78" s="37" t="s">
        <v>178</v>
      </c>
      <c r="C78" s="118">
        <f>+_xlfn.XLOOKUP(PROYECTOS[[#This Row],[ID_NECESIDAD]],'1.RADICADOS'!G:G,'1.RADICADOS'!C:C,0,0,1)*1</f>
        <v>45531</v>
      </c>
      <c r="D78" s="46" t="s">
        <v>177</v>
      </c>
      <c r="E78" s="47" t="str">
        <f>+_xlfn.XLOOKUP(PROYECTOS[[#This Row],[MUNICIPIO]],MUNICIPIOS!A:A,MUNICIPIOS!E:E,0,0,1)</f>
        <v>Oriente</v>
      </c>
      <c r="F78" s="44">
        <f>+_xlfn.XLOOKUP(PROYECTOS[[#This Row],[MUNICIPIO]],MUNICIPIOS!A:A,MUNICIPIOS!F:F,0,0,1)</f>
        <v>-75.339344999999994</v>
      </c>
      <c r="G78" s="44" t="str">
        <f>+_xlfn.XLOOKUP(PROYECTOS[[#This Row],[MUNICIPIO]],MUNICIPIOS!A:A,MUNICIPIOS!G:G,0,0,1)</f>
        <v>6,173995</v>
      </c>
      <c r="H78" s="44">
        <f>+_xlfn.XLOOKUP(PROYECTOS[[#This Row],[MUNICIPIO]],MUNICIPIOS!A:A,MUNICIPIOS!B:B,0,0,1)</f>
        <v>0</v>
      </c>
      <c r="I78" s="44">
        <f>+_xlfn.XLOOKUP(PROYECTOS[[#This Row],[MUNICIPIO]],MUNICIPIOS!A:A,MUNICIPIOS!C:C,0,0,1)</f>
        <v>0</v>
      </c>
      <c r="J78" s="34" t="str" cm="1">
        <f t="array" ref="J78">_xlfn.TEXTJOIN(" ", TRUE, IF(radicados[ID PROYECTOS]=A78, radicados[RADICADO], ""))</f>
        <v>2024010318370</v>
      </c>
      <c r="K78" s="45">
        <v>3</v>
      </c>
      <c r="L78" s="48">
        <v>5957178575</v>
      </c>
      <c r="M78" s="34" t="s">
        <v>288</v>
      </c>
      <c r="N78" s="40" t="s">
        <v>398</v>
      </c>
      <c r="O78" s="40" t="s">
        <v>25</v>
      </c>
      <c r="P78" s="37"/>
      <c r="Q78" s="45">
        <v>1</v>
      </c>
      <c r="R78" s="43" t="s">
        <v>922</v>
      </c>
      <c r="S78" s="43" t="s">
        <v>1618</v>
      </c>
      <c r="T78" s="44">
        <f>+_xlfn.XLOOKUP(PROYECTOS[[#This Row],[MUNICIPIO]],'4.CAP_ENDMNT'!B:B,'4.CAP_ENDMNT'!C:C,0,0,1)</f>
        <v>4</v>
      </c>
      <c r="U78" s="167">
        <f>+_xlfn.XLOOKUP(PROYECTOS[[#This Row],[MUNICIPIO]],'4.CAP_ENDMNT'!B:B,'4.CAP_ENDMNT'!D:D,0,0,1)</f>
        <v>62016835956.019493</v>
      </c>
      <c r="V78" s="44">
        <f>+_xlfn.XLOOKUP(PROYECTOS[[#This Row],[MUNICIPIO]],'4.CAP_ENDMNT'!B:B,'4.CAP_ENDMNT'!E:E,0,0,1)</f>
        <v>25368005936.310001</v>
      </c>
      <c r="W78" s="44">
        <f>+_xlfn.XLOOKUP(PROYECTOS[[#This Row],[MUNICIPIO]],'4.CAP_ENDMNT'!B:B,'4.CAP_ENDMNT'!F:F,0,0,1)</f>
        <v>36648830019.709488</v>
      </c>
      <c r="X78" s="44">
        <f>+_xlfn.XLOOKUP(PROYECTOS[[#This Row],[MUNICIPIO]],'4.CAP_ENDMNT'!B:B,'4.CAP_ENDMNT'!G:G,0,0,1)</f>
        <v>25635932166</v>
      </c>
      <c r="Y78" s="44">
        <f>+_xlfn.XLOOKUP(PROYECTOS[[#This Row],[MUNICIPIO]],'4.CAP_ENDMNT'!B:B,'4.CAP_ENDMNT'!H:H,0,0,1)</f>
        <v>7522176280</v>
      </c>
      <c r="Z78" s="44">
        <f>+_xlfn.XLOOKUP(PROYECTOS[[#This Row],[MUNICIPIO]],'4.CAP_ENDMNT'!B:B,'4.CAP_ENDMNT'!I:I,0,0,1)</f>
        <v>33158108446</v>
      </c>
      <c r="AA78" s="134">
        <f>+_xlfn.XLOOKUP(PROYECTOS[[#This Row],[MUNICIPIO]],'4.CAP_ENDMNT'!B:B,'4.CAP_ENDMNT'!J:J,0,0,1)</f>
        <v>0.53466301424204787</v>
      </c>
      <c r="AB78" s="44">
        <f>+_xlfn.XLOOKUP(PROYECTOS[[#This Row],[MUNICIPIO]],'4.CAP_ENDMNT'!B:B,'4.CAP_ENDMNT'!K:K,0,0,1)</f>
        <v>28858727510.019493</v>
      </c>
      <c r="AC78" s="44">
        <f>+_xlfn.XLOOKUP(PROYECTOS[[#This Row],[MUNICIPIO]],'4.CAP_ENDMNT'!B:B,'4.CAP_ENDMNT'!L:L,0,0,1)</f>
        <v>23086982008.015594</v>
      </c>
      <c r="AD78" s="44">
        <f>+_xlfn.XLOOKUP(PROYECTOS[[#This Row],[MUNICIPIO]],'4.CAP_ENDMNT'!B:B,'4.CAP_ENDMNT'!M:M,0,0,1)</f>
        <v>17315236506.011696</v>
      </c>
      <c r="AE78" s="134">
        <f>+_xlfn.XLOOKUP(PROYECTOS[[#This Row],[MUNICIPIO]],'4.CAP_ENDMNT'!B:B,'4.CAP_ENDMNT'!N:N,0,0,1)</f>
        <v>0.77314217750839676</v>
      </c>
      <c r="AF78" s="134">
        <f>+_xlfn.XLOOKUP(PROYECTOS[[#This Row],[MUNICIPIO]],'4.CAP_ENDMNT'!B:B,'4.CAP_ENDMNT'!O:O,0,0,1)</f>
        <v>0.52777286703387605</v>
      </c>
      <c r="AG78" s="134">
        <f>+_xlfn.XLOOKUP(PROYECTOS[[#This Row],[MUNICIPIO]],'4.CAP_ENDMNT'!B:B,'4.CAP_ENDMNT'!P:P,0,0,1)</f>
        <v>0.8</v>
      </c>
      <c r="AH78" s="44" t="str">
        <f>+_xlfn.XLOOKUP(PROYECTOS[[#This Row],[MUNICIPIO]],'4.CAP_ENDMNT'!B:B,'4.CAP_ENDMNT'!Q:Q,0,0,1)</f>
        <v>Cumple</v>
      </c>
      <c r="AI78" s="139">
        <f>+_xlfn.XLOOKUP(PROYECTOS[[#This Row],[MUNICIPIO]],'4.CAP_ENDMNT'!B:B,'4.CAP_ENDMNT'!V:V,0,0,1)</f>
        <v>3463047301.2023392</v>
      </c>
      <c r="AJ78" s="139">
        <f>+_xlfn.XLOOKUP(PROYECTOS[[#This Row],[MUNICIPIO]],'4.CAP_ENDMNT'!B:B,'4.CAP_ENDMNT'!Y:Y,0,0,1)</f>
        <v>-1514260574754.7859</v>
      </c>
      <c r="AK78"/>
      <c r="AL78"/>
      <c r="AM78"/>
    </row>
    <row r="79" spans="1:39">
      <c r="A79" s="44">
        <v>86</v>
      </c>
      <c r="B79" s="37" t="s">
        <v>183</v>
      </c>
      <c r="C79" s="118">
        <f>+_xlfn.XLOOKUP(PROYECTOS[[#This Row],[ID_NECESIDAD]],'1.RADICADOS'!G:G,'1.RADICADOS'!C:C,0,0,1)*1</f>
        <v>45360</v>
      </c>
      <c r="D79" s="46" t="s">
        <v>182</v>
      </c>
      <c r="E79" s="47" t="str">
        <f>+_xlfn.XLOOKUP(PROYECTOS[[#This Row],[MUNICIPIO]],MUNICIPIOS!A:A,MUNICIPIOS!E:E,0,0,1)</f>
        <v>Occidente</v>
      </c>
      <c r="F79" s="44">
        <f>+_xlfn.XLOOKUP(PROYECTOS[[#This Row],[MUNICIPIO]],MUNICIPIOS!A:A,MUNICIPIOS!F:F,0,0,1)</f>
        <v>-76.028227999999999</v>
      </c>
      <c r="G79" s="44" t="str">
        <f>+_xlfn.XLOOKUP(PROYECTOS[[#This Row],[MUNICIPIO]],MUNICIPIOS!A:A,MUNICIPIOS!G:G,0,0,1)</f>
        <v>6,753859</v>
      </c>
      <c r="H79" s="44">
        <f>+_xlfn.XLOOKUP(PROYECTOS[[#This Row],[MUNICIPIO]],MUNICIPIOS!A:A,MUNICIPIOS!B:B,0,0,1)</f>
        <v>0</v>
      </c>
      <c r="I79" s="44">
        <f>+_xlfn.XLOOKUP(PROYECTOS[[#This Row],[MUNICIPIO]],MUNICIPIOS!A:A,MUNICIPIOS!C:C,0,0,1)</f>
        <v>0</v>
      </c>
      <c r="J79" s="3" t="str" cm="1">
        <f t="array" ref="J79">_xlfn.TEXTJOIN(" ", TRUE, IF(radicados[ID PROYECTOS]=A79, radicados[RADICADO], ""))</f>
        <v>2024010400738</v>
      </c>
      <c r="K79" s="45">
        <v>3</v>
      </c>
      <c r="L79" s="48">
        <v>155525665337</v>
      </c>
      <c r="M79" s="34" t="s">
        <v>392</v>
      </c>
      <c r="N79" s="40" t="s">
        <v>1079</v>
      </c>
      <c r="O79" s="40" t="s">
        <v>7</v>
      </c>
      <c r="P79" s="37"/>
      <c r="Q79" s="45"/>
      <c r="R79" s="43"/>
      <c r="S79" s="43"/>
      <c r="T79" s="44">
        <f>+_xlfn.XLOOKUP(PROYECTOS[[#This Row],[MUNICIPIO]],'4.CAP_ENDMNT'!B:B,'4.CAP_ENDMNT'!C:C,0,0,1)</f>
        <v>6</v>
      </c>
      <c r="U79" s="139">
        <f>+_xlfn.XLOOKUP(PROYECTOS[[#This Row],[MUNICIPIO]],'4.CAP_ENDMNT'!B:B,'4.CAP_ENDMNT'!D:D,0,0,1)</f>
        <v>17304408242.457001</v>
      </c>
      <c r="V79" s="140">
        <f>+_xlfn.XLOOKUP(PROYECTOS[[#This Row],[MUNICIPIO]],'4.CAP_ENDMNT'!B:B,'4.CAP_ENDMNT'!E:E,0,0,1)</f>
        <v>4260885029.46</v>
      </c>
      <c r="W79" s="140">
        <f>+_xlfn.XLOOKUP(PROYECTOS[[#This Row],[MUNICIPIO]],'4.CAP_ENDMNT'!B:B,'4.CAP_ENDMNT'!F:F,0,0,1)</f>
        <v>13043523212.997002</v>
      </c>
      <c r="X79" s="140">
        <f>+_xlfn.XLOOKUP(PROYECTOS[[#This Row],[MUNICIPIO]],'4.CAP_ENDMNT'!B:B,'4.CAP_ENDMNT'!G:G,0,0,1)</f>
        <v>3210633884</v>
      </c>
      <c r="Y79" s="140">
        <f>+_xlfn.XLOOKUP(PROYECTOS[[#This Row],[MUNICIPIO]],'4.CAP_ENDMNT'!B:B,'4.CAP_ENDMNT'!H:H,0,0,1)</f>
        <v>0</v>
      </c>
      <c r="Z79" s="140">
        <f>+_xlfn.XLOOKUP(PROYECTOS[[#This Row],[MUNICIPIO]],'4.CAP_ENDMNT'!B:B,'4.CAP_ENDMNT'!I:I,0,0,1)</f>
        <v>3210633884</v>
      </c>
      <c r="AA79" s="134">
        <f>+_xlfn.XLOOKUP(PROYECTOS[[#This Row],[MUNICIPIO]],'4.CAP_ENDMNT'!B:B,'4.CAP_ENDMNT'!J:J,0,0,1)</f>
        <v>0.1855384962614666</v>
      </c>
      <c r="AB79" s="140">
        <f>+_xlfn.XLOOKUP(PROYECTOS[[#This Row],[MUNICIPIO]],'4.CAP_ENDMNT'!B:B,'4.CAP_ENDMNT'!K:K,0,0,1)</f>
        <v>14093774358.457001</v>
      </c>
      <c r="AC79" s="140">
        <f>+_xlfn.XLOOKUP(PROYECTOS[[#This Row],[MUNICIPIO]],'4.CAP_ENDMNT'!B:B,'4.CAP_ENDMNT'!L:L,0,0,1)</f>
        <v>11275019486.765602</v>
      </c>
      <c r="AD79" s="140">
        <f>+_xlfn.XLOOKUP(PROYECTOS[[#This Row],[MUNICIPIO]],'4.CAP_ENDMNT'!B:B,'4.CAP_ENDMNT'!M:M,0,0,1)</f>
        <v>8456264615.0741997</v>
      </c>
      <c r="AE79" s="134">
        <f>+_xlfn.XLOOKUP(PROYECTOS[[#This Row],[MUNICIPIO]],'4.CAP_ENDMNT'!B:B,'4.CAP_ENDMNT'!N:N,0,0,1)</f>
        <v>1</v>
      </c>
      <c r="AF79" s="134">
        <f>+_xlfn.XLOOKUP(PROYECTOS[[#This Row],[MUNICIPIO]],'4.CAP_ENDMNT'!B:B,'4.CAP_ENDMNT'!O:O,0,0,1)</f>
        <v>0.3794626866525494</v>
      </c>
      <c r="AG79" s="134">
        <f>+_xlfn.XLOOKUP(PROYECTOS[[#This Row],[MUNICIPIO]],'4.CAP_ENDMNT'!B:B,'4.CAP_ENDMNT'!P:P,0,0,1)</f>
        <v>0.8</v>
      </c>
      <c r="AH79" s="44" t="str">
        <f>+_xlfn.XLOOKUP(PROYECTOS[[#This Row],[MUNICIPIO]],'4.CAP_ENDMNT'!B:B,'4.CAP_ENDMNT'!Q:Q,0,0,1)</f>
        <v>Cumple</v>
      </c>
      <c r="AI79" s="139">
        <f>+_xlfn.XLOOKUP(PROYECTOS[[#This Row],[MUNICIPIO]],'4.CAP_ENDMNT'!B:B,'4.CAP_ENDMNT'!V:V,0,0,1)</f>
        <v>1691252923.0148401</v>
      </c>
      <c r="AJ79" s="139">
        <f>+_xlfn.XLOOKUP(PROYECTOS[[#This Row],[MUNICIPIO]],'4.CAP_ENDMNT'!B:B,'4.CAP_ENDMNT'!Y:Y,0,0,1)</f>
        <v>-145378147798.91095</v>
      </c>
      <c r="AK79"/>
      <c r="AL79"/>
      <c r="AM79"/>
    </row>
    <row r="80" spans="1:39">
      <c r="A80" s="44">
        <v>87</v>
      </c>
      <c r="B80" s="153" t="s">
        <v>1382</v>
      </c>
      <c r="C80" s="118">
        <f>+_xlfn.XLOOKUP(PROYECTOS[[#This Row],[ID_NECESIDAD]],'1.RADICADOS'!G:G,'1.RADICADOS'!C:C,0,0,1)*1</f>
        <v>45538</v>
      </c>
      <c r="D80" s="46" t="s">
        <v>329</v>
      </c>
      <c r="E80" s="47" t="str">
        <f>+_xlfn.XLOOKUP(PROYECTOS[[#This Row],[MUNICIPIO]],MUNICIPIOS!A:A,MUNICIPIOS!E:E,0,0,1)</f>
        <v>Bajo Cauca</v>
      </c>
      <c r="F80" s="44">
        <f>+_xlfn.XLOOKUP(PROYECTOS[[#This Row],[MUNICIPIO]],MUNICIPIOS!A:A,MUNICIPIOS!F:F,0,0,1)</f>
        <v>-74.776470000000003</v>
      </c>
      <c r="G80" s="44" t="str">
        <f>+_xlfn.XLOOKUP(PROYECTOS[[#This Row],[MUNICIPIO]],MUNICIPIOS!A:A,MUNICIPIOS!G:G,0,0,1)</f>
        <v>8,094129</v>
      </c>
      <c r="H80" s="44">
        <f>+_xlfn.XLOOKUP(PROYECTOS[[#This Row],[MUNICIPIO]],MUNICIPIOS!A:A,MUNICIPIOS!B:B,0,0,1)</f>
        <v>1</v>
      </c>
      <c r="I80" s="44">
        <f>+_xlfn.XLOOKUP(PROYECTOS[[#This Row],[MUNICIPIO]],MUNICIPIOS!A:A,MUNICIPIOS!C:C,0,0,1)</f>
        <v>1</v>
      </c>
      <c r="J80" s="3" t="str" cm="1">
        <f t="array" ref="J80">_xlfn.TEXTJOIN(" ", TRUE, IF(radicados[ID PROYECTOS]=A80, radicados[RADICADO], ""))</f>
        <v>2024010415684</v>
      </c>
      <c r="K80" s="45">
        <v>3</v>
      </c>
      <c r="L80" s="215">
        <v>3154988339</v>
      </c>
      <c r="M80" s="34" t="s">
        <v>401</v>
      </c>
      <c r="N80" s="34" t="s">
        <v>398</v>
      </c>
      <c r="O80" s="34" t="s">
        <v>25</v>
      </c>
      <c r="P80" s="37"/>
      <c r="Q80" s="45"/>
      <c r="R80" s="43"/>
      <c r="S80" s="43"/>
      <c r="T80" s="44">
        <f>+_xlfn.XLOOKUP(PROYECTOS[[#This Row],[MUNICIPIO]],'4.CAP_ENDMNT'!B:B,'4.CAP_ENDMNT'!C:C,0,0,1)</f>
        <v>6</v>
      </c>
      <c r="U80" s="139">
        <f>+_xlfn.XLOOKUP(PROYECTOS[[#This Row],[MUNICIPIO]],'4.CAP_ENDMNT'!B:B,'4.CAP_ENDMNT'!D:D,0,0,1)</f>
        <v>17207529181.433002</v>
      </c>
      <c r="V80" s="140">
        <f>+_xlfn.XLOOKUP(PROYECTOS[[#This Row],[MUNICIPIO]],'4.CAP_ENDMNT'!B:B,'4.CAP_ENDMNT'!E:E,0,0,1)</f>
        <v>3556882387.1300001</v>
      </c>
      <c r="W80" s="140">
        <f>+_xlfn.XLOOKUP(PROYECTOS[[#This Row],[MUNICIPIO]],'4.CAP_ENDMNT'!B:B,'4.CAP_ENDMNT'!F:F,0,0,1)</f>
        <v>13650646794.303001</v>
      </c>
      <c r="X80" s="140">
        <f>+_xlfn.XLOOKUP(PROYECTOS[[#This Row],[MUNICIPIO]],'4.CAP_ENDMNT'!B:B,'4.CAP_ENDMNT'!G:G,0,0,1)</f>
        <v>2981910160</v>
      </c>
      <c r="Y80" s="140">
        <f>+_xlfn.XLOOKUP(PROYECTOS[[#This Row],[MUNICIPIO]],'4.CAP_ENDMNT'!B:B,'4.CAP_ENDMNT'!H:H,0,0,1)</f>
        <v>5898924731</v>
      </c>
      <c r="Z80" s="140">
        <f>+_xlfn.XLOOKUP(PROYECTOS[[#This Row],[MUNICIPIO]],'4.CAP_ENDMNT'!B:B,'4.CAP_ENDMNT'!I:I,0,0,1)</f>
        <v>8880834891</v>
      </c>
      <c r="AA80" s="134">
        <f>+_xlfn.XLOOKUP(PROYECTOS[[#This Row],[MUNICIPIO]],'4.CAP_ENDMNT'!B:B,'4.CAP_ENDMNT'!J:J,0,0,1)</f>
        <v>0.51610168998478057</v>
      </c>
      <c r="AB80" s="140">
        <f>+_xlfn.XLOOKUP(PROYECTOS[[#This Row],[MUNICIPIO]],'4.CAP_ENDMNT'!B:B,'4.CAP_ENDMNT'!K:K,0,0,1)</f>
        <v>8326694290.4330025</v>
      </c>
      <c r="AC80" s="140">
        <f>+_xlfn.XLOOKUP(PROYECTOS[[#This Row],[MUNICIPIO]],'4.CAP_ENDMNT'!B:B,'4.CAP_ENDMNT'!L:L,0,0,1)</f>
        <v>6661355432.3464022</v>
      </c>
      <c r="AD80" s="140">
        <f>+_xlfn.XLOOKUP(PROYECTOS[[#This Row],[MUNICIPIO]],'4.CAP_ENDMNT'!B:B,'4.CAP_ENDMNT'!M:M,0,0,1)</f>
        <v>4996016574.2598009</v>
      </c>
      <c r="AE80" s="134">
        <f>+_xlfn.XLOOKUP(PROYECTOS[[#This Row],[MUNICIPIO]],'4.CAP_ENDMNT'!B:B,'4.CAP_ENDMNT'!N:N,0,0,1)</f>
        <v>0.3357691249301259</v>
      </c>
      <c r="AF80" s="134">
        <f>+_xlfn.XLOOKUP(PROYECTOS[[#This Row],[MUNICIPIO]],'4.CAP_ENDMNT'!B:B,'4.CAP_ENDMNT'!O:O,0,0,1)</f>
        <v>0.46603493316730282</v>
      </c>
      <c r="AG80" s="134">
        <f>+_xlfn.XLOOKUP(PROYECTOS[[#This Row],[MUNICIPIO]],'4.CAP_ENDMNT'!B:B,'4.CAP_ENDMNT'!P:P,0,0,1)</f>
        <v>0.8</v>
      </c>
      <c r="AH80" s="44" t="str">
        <f>+_xlfn.XLOOKUP(PROYECTOS[[#This Row],[MUNICIPIO]],'4.CAP_ENDMNT'!B:B,'4.CAP_ENDMNT'!Q:Q,0,0,1)</f>
        <v>Cumple</v>
      </c>
      <c r="AI80" s="139">
        <f>+_xlfn.XLOOKUP(PROYECTOS[[#This Row],[MUNICIPIO]],'4.CAP_ENDMNT'!B:B,'4.CAP_ENDMNT'!V:V,0,0,1)</f>
        <v>999203314.85196018</v>
      </c>
      <c r="AJ80" s="139">
        <f>+_xlfn.XLOOKUP(PROYECTOS[[#This Row],[MUNICIPIO]],'4.CAP_ENDMNT'!B:B,'4.CAP_ENDMNT'!Y:Y,0,0,1)</f>
        <v>-4219206551.8882389</v>
      </c>
      <c r="AK80"/>
      <c r="AL80"/>
      <c r="AM80"/>
    </row>
    <row r="81" spans="1:39">
      <c r="A81" s="44">
        <v>88</v>
      </c>
      <c r="B81" s="37" t="s">
        <v>185</v>
      </c>
      <c r="C81" s="118">
        <f>+_xlfn.XLOOKUP(PROYECTOS[[#This Row],[ID_NECESIDAD]],'1.RADICADOS'!G:G,'1.RADICADOS'!C:C,0,0,1)*1</f>
        <v>45605</v>
      </c>
      <c r="D81" s="46" t="s">
        <v>166</v>
      </c>
      <c r="E81" s="47" t="str">
        <f>+_xlfn.XLOOKUP(PROYECTOS[[#This Row],[MUNICIPIO]],MUNICIPIOS!A:A,MUNICIPIOS!E:E,0,0,1)</f>
        <v>Occidente</v>
      </c>
      <c r="F81" s="44">
        <f>+_xlfn.XLOOKUP(PROYECTOS[[#This Row],[MUNICIPIO]],MUNICIPIOS!A:A,MUNICIPIOS!F:F,0,0,1)</f>
        <v>-75.826648000000006</v>
      </c>
      <c r="G81" s="44" t="str">
        <f>+_xlfn.XLOOKUP(PROYECTOS[[#This Row],[MUNICIPIO]],MUNICIPIOS!A:A,MUNICIPIOS!G:G,0,0,1)</f>
        <v>6,556484</v>
      </c>
      <c r="H81" s="44">
        <f>+_xlfn.XLOOKUP(PROYECTOS[[#This Row],[MUNICIPIO]],MUNICIPIOS!A:A,MUNICIPIOS!B:B,0,0,1)</f>
        <v>0</v>
      </c>
      <c r="I81" s="44">
        <f>+_xlfn.XLOOKUP(PROYECTOS[[#This Row],[MUNICIPIO]],MUNICIPIOS!A:A,MUNICIPIOS!C:C,0,0,1)</f>
        <v>1</v>
      </c>
      <c r="J81" s="3" t="str" cm="1">
        <f t="array" ref="J81">_xlfn.TEXTJOIN(" ", TRUE, IF(radicados[ID PROYECTOS]=A81, radicados[RADICADO], ""))</f>
        <v>2024010415525</v>
      </c>
      <c r="K81" s="45">
        <v>3</v>
      </c>
      <c r="L81" s="48">
        <v>8647258157</v>
      </c>
      <c r="M81" s="34" t="s">
        <v>396</v>
      </c>
      <c r="N81" s="34" t="s">
        <v>398</v>
      </c>
      <c r="O81" s="34" t="s">
        <v>25</v>
      </c>
      <c r="P81" s="37"/>
      <c r="Q81" s="45"/>
      <c r="R81" s="43"/>
      <c r="S81" s="43"/>
      <c r="T81" s="44">
        <f>+_xlfn.XLOOKUP(PROYECTOS[[#This Row],[MUNICIPIO]],'4.CAP_ENDMNT'!B:B,'4.CAP_ENDMNT'!C:C,0,0,1)</f>
        <v>5</v>
      </c>
      <c r="U81" s="139">
        <f>+_xlfn.XLOOKUP(PROYECTOS[[#This Row],[MUNICIPIO]],'4.CAP_ENDMNT'!B:B,'4.CAP_ENDMNT'!D:D,0,0,1)</f>
        <v>40656193467.687004</v>
      </c>
      <c r="V81" s="140">
        <f>+_xlfn.XLOOKUP(PROYECTOS[[#This Row],[MUNICIPIO]],'4.CAP_ENDMNT'!B:B,'4.CAP_ENDMNT'!E:E,0,0,1)</f>
        <v>18778286398.540001</v>
      </c>
      <c r="W81" s="140">
        <f>+_xlfn.XLOOKUP(PROYECTOS[[#This Row],[MUNICIPIO]],'4.CAP_ENDMNT'!B:B,'4.CAP_ENDMNT'!F:F,0,0,1)</f>
        <v>21877907069.147003</v>
      </c>
      <c r="X81" s="140">
        <f>+_xlfn.XLOOKUP(PROYECTOS[[#This Row],[MUNICIPIO]],'4.CAP_ENDMNT'!B:B,'4.CAP_ENDMNT'!G:G,0,0,1)</f>
        <v>5492975516</v>
      </c>
      <c r="Y81" s="140">
        <f>+_xlfn.XLOOKUP(PROYECTOS[[#This Row],[MUNICIPIO]],'4.CAP_ENDMNT'!B:B,'4.CAP_ENDMNT'!H:H,0,0,1)</f>
        <v>2014055909</v>
      </c>
      <c r="Z81" s="140">
        <f>+_xlfn.XLOOKUP(PROYECTOS[[#This Row],[MUNICIPIO]],'4.CAP_ENDMNT'!B:B,'4.CAP_ENDMNT'!I:I,0,0,1)</f>
        <v>7507031425</v>
      </c>
      <c r="AA81" s="134">
        <f>+_xlfn.XLOOKUP(PROYECTOS[[#This Row],[MUNICIPIO]],'4.CAP_ENDMNT'!B:B,'4.CAP_ENDMNT'!J:J,0,0,1)</f>
        <v>0.18464668688096655</v>
      </c>
      <c r="AB81" s="140">
        <f>+_xlfn.XLOOKUP(PROYECTOS[[#This Row],[MUNICIPIO]],'4.CAP_ENDMNT'!B:B,'4.CAP_ENDMNT'!K:K,0,0,1)</f>
        <v>33149162042.687004</v>
      </c>
      <c r="AC81" s="140">
        <f>+_xlfn.XLOOKUP(PROYECTOS[[#This Row],[MUNICIPIO]],'4.CAP_ENDMNT'!B:B,'4.CAP_ENDMNT'!L:L,0,0,1)</f>
        <v>26519329634.149605</v>
      </c>
      <c r="AD81" s="140">
        <f>+_xlfn.XLOOKUP(PROYECTOS[[#This Row],[MUNICIPIO]],'4.CAP_ENDMNT'!B:B,'4.CAP_ENDMNT'!M:M,0,0,1)</f>
        <v>19889497225.612202</v>
      </c>
      <c r="AE81" s="134">
        <f>+_xlfn.XLOOKUP(PROYECTOS[[#This Row],[MUNICIPIO]],'4.CAP_ENDMNT'!B:B,'4.CAP_ENDMNT'!N:N,0,0,1)</f>
        <v>0.73171073957506449</v>
      </c>
      <c r="AF81" s="134">
        <f>+_xlfn.XLOOKUP(PROYECTOS[[#This Row],[MUNICIPIO]],'4.CAP_ENDMNT'!B:B,'4.CAP_ENDMNT'!O:O,0,0,1)</f>
        <v>0.53391906125286837</v>
      </c>
      <c r="AG81" s="134">
        <f>+_xlfn.XLOOKUP(PROYECTOS[[#This Row],[MUNICIPIO]],'4.CAP_ENDMNT'!B:B,'4.CAP_ENDMNT'!P:P,0,0,1)</f>
        <v>0.8</v>
      </c>
      <c r="AH81" s="44" t="str">
        <f>+_xlfn.XLOOKUP(PROYECTOS[[#This Row],[MUNICIPIO]],'4.CAP_ENDMNT'!B:B,'4.CAP_ENDMNT'!Q:Q,0,0,1)</f>
        <v>Cumple</v>
      </c>
      <c r="AI81" s="139">
        <f>+_xlfn.XLOOKUP(PROYECTOS[[#This Row],[MUNICIPIO]],'4.CAP_ENDMNT'!B:B,'4.CAP_ENDMNT'!V:V,0,0,1)</f>
        <v>3977899445.1224403</v>
      </c>
      <c r="AJ81" s="139">
        <f>+_xlfn.XLOOKUP(PROYECTOS[[#This Row],[MUNICIPIO]],'4.CAP_ENDMNT'!B:B,'4.CAP_ENDMNT'!Y:Y,0,0,1)</f>
        <v>-34393689178.265358</v>
      </c>
      <c r="AK81"/>
      <c r="AL81"/>
      <c r="AM81"/>
    </row>
    <row r="82" spans="1:39" ht="30">
      <c r="A82" s="44">
        <v>89</v>
      </c>
      <c r="B82" s="28" t="s">
        <v>1566</v>
      </c>
      <c r="C82" s="118">
        <f>+_xlfn.XLOOKUP(PROYECTOS[[#This Row],[ID_NECESIDAD]],'1.RADICADOS'!G:G,'1.RADICADOS'!C:C,0,0,1)*1</f>
        <v>45605</v>
      </c>
      <c r="D82" s="46" t="s">
        <v>186</v>
      </c>
      <c r="E82" s="47" t="str">
        <f>+_xlfn.XLOOKUP(PROYECTOS[[#This Row],[MUNICIPIO]],MUNICIPIOS!A:A,MUNICIPIOS!E:E,0,0,1)</f>
        <v>Oriente</v>
      </c>
      <c r="F82" s="44">
        <f>+_xlfn.XLOOKUP(PROYECTOS[[#This Row],[MUNICIPIO]],MUNICIPIOS!A:A,MUNICIPIOS!F:F,0,0,1)</f>
        <v>-75.360873999999995</v>
      </c>
      <c r="G82" s="44" t="str">
        <f>+_xlfn.XLOOKUP(PROYECTOS[[#This Row],[MUNICIPIO]],MUNICIPIOS!A:A,MUNICIPIOS!G:G,0,0,1)</f>
        <v>5,973845</v>
      </c>
      <c r="H82" s="44">
        <f>+_xlfn.XLOOKUP(PROYECTOS[[#This Row],[MUNICIPIO]],MUNICIPIOS!A:A,MUNICIPIOS!B:B,0,0,1)</f>
        <v>0</v>
      </c>
      <c r="I82" s="44">
        <f>+_xlfn.XLOOKUP(PROYECTOS[[#This Row],[MUNICIPIO]],MUNICIPIOS!A:A,MUNICIPIOS!C:C,0,0,1)</f>
        <v>0</v>
      </c>
      <c r="J82" s="3" t="str" cm="1">
        <f t="array" ref="J82">_xlfn.TEXTJOIN(" ", TRUE, IF(radicados[ID PROYECTOS]=A82, radicados[RADICADO], ""))</f>
        <v>2024010404422</v>
      </c>
      <c r="K82" s="45">
        <v>3</v>
      </c>
      <c r="L82" s="216">
        <v>11889457188</v>
      </c>
      <c r="M82" s="34" t="s">
        <v>288</v>
      </c>
      <c r="N82" s="34" t="s">
        <v>398</v>
      </c>
      <c r="O82" s="34" t="s">
        <v>25</v>
      </c>
      <c r="P82" s="37"/>
      <c r="Q82" s="45"/>
      <c r="R82" s="43"/>
      <c r="S82" s="43"/>
      <c r="T82" s="44">
        <f>+_xlfn.XLOOKUP(PROYECTOS[[#This Row],[MUNICIPIO]],'4.CAP_ENDMNT'!B:B,'4.CAP_ENDMNT'!C:C,0,0,1)</f>
        <v>6</v>
      </c>
      <c r="U82" s="139">
        <f>+_xlfn.XLOOKUP(PROYECTOS[[#This Row],[MUNICIPIO]],'4.CAP_ENDMNT'!B:B,'4.CAP_ENDMNT'!D:D,0,0,1)</f>
        <v>22781121123.307999</v>
      </c>
      <c r="V82" s="140">
        <f>+_xlfn.XLOOKUP(PROYECTOS[[#This Row],[MUNICIPIO]],'4.CAP_ENDMNT'!B:B,'4.CAP_ENDMNT'!E:E,0,0,1)</f>
        <v>7460247261.1800003</v>
      </c>
      <c r="W82" s="140">
        <f>+_xlfn.XLOOKUP(PROYECTOS[[#This Row],[MUNICIPIO]],'4.CAP_ENDMNT'!B:B,'4.CAP_ENDMNT'!F:F,0,0,1)</f>
        <v>15320873862.127998</v>
      </c>
      <c r="X82" s="140">
        <f>+_xlfn.XLOOKUP(PROYECTOS[[#This Row],[MUNICIPIO]],'4.CAP_ENDMNT'!B:B,'4.CAP_ENDMNT'!G:G,0,0,1)</f>
        <v>8372353142.5600004</v>
      </c>
      <c r="Y82" s="140">
        <f>+_xlfn.XLOOKUP(PROYECTOS[[#This Row],[MUNICIPIO]],'4.CAP_ENDMNT'!B:B,'4.CAP_ENDMNT'!H:H,0,0,1)</f>
        <v>142113074</v>
      </c>
      <c r="Z82" s="140">
        <f>+_xlfn.XLOOKUP(PROYECTOS[[#This Row],[MUNICIPIO]],'4.CAP_ENDMNT'!B:B,'4.CAP_ENDMNT'!I:I,0,0,1)</f>
        <v>8514466216.5600004</v>
      </c>
      <c r="AA82" s="134">
        <f>+_xlfn.XLOOKUP(PROYECTOS[[#This Row],[MUNICIPIO]],'4.CAP_ENDMNT'!B:B,'4.CAP_ENDMNT'!J:J,0,0,1)</f>
        <v>0.37375097434729027</v>
      </c>
      <c r="AB82" s="140">
        <f>+_xlfn.XLOOKUP(PROYECTOS[[#This Row],[MUNICIPIO]],'4.CAP_ENDMNT'!B:B,'4.CAP_ENDMNT'!K:K,0,0,1)</f>
        <v>14266654906.747997</v>
      </c>
      <c r="AC82" s="140">
        <f>+_xlfn.XLOOKUP(PROYECTOS[[#This Row],[MUNICIPIO]],'4.CAP_ENDMNT'!B:B,'4.CAP_ENDMNT'!L:L,0,0,1)</f>
        <v>11413323925.398399</v>
      </c>
      <c r="AD82" s="140">
        <f>+_xlfn.XLOOKUP(PROYECTOS[[#This Row],[MUNICIPIO]],'4.CAP_ENDMNT'!B:B,'4.CAP_ENDMNT'!M:M,0,0,1)</f>
        <v>8559992944.0487976</v>
      </c>
      <c r="AE82" s="134">
        <f>+_xlfn.XLOOKUP(PROYECTOS[[#This Row],[MUNICIPIO]],'4.CAP_ENDMNT'!B:B,'4.CAP_ENDMNT'!N:N,0,0,1)</f>
        <v>0.98330922099102336</v>
      </c>
      <c r="AF82" s="134">
        <f>+_xlfn.XLOOKUP(PROYECTOS[[#This Row],[MUNICIPIO]],'4.CAP_ENDMNT'!B:B,'4.CAP_ENDMNT'!O:O,0,0,1)</f>
        <v>0.47573857187041646</v>
      </c>
      <c r="AG82" s="134">
        <f>+_xlfn.XLOOKUP(PROYECTOS[[#This Row],[MUNICIPIO]],'4.CAP_ENDMNT'!B:B,'4.CAP_ENDMNT'!P:P,0,0,1)</f>
        <v>0.8</v>
      </c>
      <c r="AH82" s="44" t="str">
        <f>+_xlfn.XLOOKUP(PROYECTOS[[#This Row],[MUNICIPIO]],'4.CAP_ENDMNT'!B:B,'4.CAP_ENDMNT'!Q:Q,0,0,1)</f>
        <v>Cumple</v>
      </c>
      <c r="AI82" s="139">
        <f>+_xlfn.XLOOKUP(PROYECTOS[[#This Row],[MUNICIPIO]],'4.CAP_ENDMNT'!B:B,'4.CAP_ENDMNT'!V:V,0,0,1)</f>
        <v>1711998588.8097596</v>
      </c>
      <c r="AJ82" s="139">
        <f>+_xlfn.XLOOKUP(PROYECTOS[[#This Row],[MUNICIPIO]],'4.CAP_ENDMNT'!B:B,'4.CAP_ENDMNT'!Y:Y,0,0,1)</f>
        <v>-9965414152.1414433</v>
      </c>
      <c r="AK82"/>
      <c r="AL82"/>
      <c r="AM82"/>
    </row>
    <row r="83" spans="1:39">
      <c r="A83" s="44">
        <v>90</v>
      </c>
      <c r="B83" s="37" t="s">
        <v>944</v>
      </c>
      <c r="C83" s="118">
        <f>+_xlfn.XLOOKUP(PROYECTOS[[#This Row],[ID_NECESIDAD]],'1.RADICADOS'!G:G,'1.RADICADOS'!C:C,0,0,1)*1</f>
        <v>45421</v>
      </c>
      <c r="D83" s="46" t="s">
        <v>35</v>
      </c>
      <c r="E83" s="47" t="str">
        <f>+_xlfn.XLOOKUP(PROYECTOS[[#This Row],[MUNICIPIO]],MUNICIPIOS!A:A,MUNICIPIOS!E:E,0,0,1)</f>
        <v>Norte</v>
      </c>
      <c r="F83" s="44">
        <f>+_xlfn.XLOOKUP(PROYECTOS[[#This Row],[MUNICIPIO]],MUNICIPIOS!A:A,MUNICIPIOS!F:F,0,0,1)</f>
        <v>-75.392629999999997</v>
      </c>
      <c r="G83" s="44" t="str">
        <f>+_xlfn.XLOOKUP(PROYECTOS[[#This Row],[MUNICIPIO]],MUNICIPIOS!A:A,MUNICIPIOS!G:G,0,0,1)</f>
        <v>6,485603</v>
      </c>
      <c r="H83" s="44">
        <f>+_xlfn.XLOOKUP(PROYECTOS[[#This Row],[MUNICIPIO]],MUNICIPIOS!A:A,MUNICIPIOS!B:B,0,0,1)</f>
        <v>0</v>
      </c>
      <c r="I83" s="44">
        <f>+_xlfn.XLOOKUP(PROYECTOS[[#This Row],[MUNICIPIO]],MUNICIPIOS!A:A,MUNICIPIOS!C:C,0,0,1)</f>
        <v>0</v>
      </c>
      <c r="J83" s="3" t="str" cm="1">
        <f t="array" ref="J83">_xlfn.TEXTJOIN(" ", TRUE, IF(radicados[ID PROYECTOS]=A83, radicados[RADICADO], ""))</f>
        <v>2024010429627</v>
      </c>
      <c r="K83" s="45">
        <v>3</v>
      </c>
      <c r="L83" s="48">
        <v>5069397911</v>
      </c>
      <c r="M83" s="34" t="s">
        <v>288</v>
      </c>
      <c r="N83" s="34" t="s">
        <v>398</v>
      </c>
      <c r="O83" s="34" t="s">
        <v>25</v>
      </c>
      <c r="P83" s="37"/>
      <c r="Q83" s="45">
        <v>1</v>
      </c>
      <c r="R83" s="43" t="s">
        <v>922</v>
      </c>
      <c r="S83" s="43" t="s">
        <v>1618</v>
      </c>
      <c r="T83" s="44">
        <f>+_xlfn.XLOOKUP(PROYECTOS[[#This Row],[MUNICIPIO]],'4.CAP_ENDMNT'!B:B,'4.CAP_ENDMNT'!C:C,0,0,1)</f>
        <v>6</v>
      </c>
      <c r="U83" s="139">
        <f>+_xlfn.XLOOKUP(PROYECTOS[[#This Row],[MUNICIPIO]],'4.CAP_ENDMNT'!B:B,'4.CAP_ENDMNT'!D:D,0,0,1)</f>
        <v>24529039369.539501</v>
      </c>
      <c r="V83" s="140">
        <f>+_xlfn.XLOOKUP(PROYECTOS[[#This Row],[MUNICIPIO]],'4.CAP_ENDMNT'!B:B,'4.CAP_ENDMNT'!E:E,0,0,1)</f>
        <v>8973012363.6700001</v>
      </c>
      <c r="W83" s="140">
        <f>+_xlfn.XLOOKUP(PROYECTOS[[#This Row],[MUNICIPIO]],'4.CAP_ENDMNT'!B:B,'4.CAP_ENDMNT'!F:F,0,0,1)</f>
        <v>15556027005.869501</v>
      </c>
      <c r="X83" s="140">
        <f>+_xlfn.XLOOKUP(PROYECTOS[[#This Row],[MUNICIPIO]],'4.CAP_ENDMNT'!B:B,'4.CAP_ENDMNT'!G:G,0,0,1)</f>
        <v>7973050390</v>
      </c>
      <c r="Y83" s="140">
        <f>+_xlfn.XLOOKUP(PROYECTOS[[#This Row],[MUNICIPIO]],'4.CAP_ENDMNT'!B:B,'4.CAP_ENDMNT'!H:H,0,0,1)</f>
        <v>1625381984</v>
      </c>
      <c r="Z83" s="140">
        <f>+_xlfn.XLOOKUP(PROYECTOS[[#This Row],[MUNICIPIO]],'4.CAP_ENDMNT'!B:B,'4.CAP_ENDMNT'!I:I,0,0,1)</f>
        <v>9598432374</v>
      </c>
      <c r="AA83" s="134">
        <f>+_xlfn.XLOOKUP(PROYECTOS[[#This Row],[MUNICIPIO]],'4.CAP_ENDMNT'!B:B,'4.CAP_ENDMNT'!J:J,0,0,1)</f>
        <v>0.39130893914742809</v>
      </c>
      <c r="AB83" s="140">
        <f>+_xlfn.XLOOKUP(PROYECTOS[[#This Row],[MUNICIPIO]],'4.CAP_ENDMNT'!B:B,'4.CAP_ENDMNT'!K:K,0,0,1)</f>
        <v>14930606995.539501</v>
      </c>
      <c r="AC83" s="140">
        <f>+_xlfn.XLOOKUP(PROYECTOS[[#This Row],[MUNICIPIO]],'4.CAP_ENDMNT'!B:B,'4.CAP_ENDMNT'!L:L,0,0,1)</f>
        <v>11944485596.431602</v>
      </c>
      <c r="AD83" s="140">
        <f>+_xlfn.XLOOKUP(PROYECTOS[[#This Row],[MUNICIPIO]],'4.CAP_ENDMNT'!B:B,'4.CAP_ENDMNT'!M:M,0,0,1)</f>
        <v>8958364197.3237</v>
      </c>
      <c r="AE83" s="134">
        <f>+_xlfn.XLOOKUP(PROYECTOS[[#This Row],[MUNICIPIO]],'4.CAP_ENDMNT'!B:B,'4.CAP_ENDMNT'!N:N,0,0,1)</f>
        <v>0.83066172467883448</v>
      </c>
      <c r="AF83" s="134">
        <f>+_xlfn.XLOOKUP(PROYECTOS[[#This Row],[MUNICIPIO]],'4.CAP_ENDMNT'!B:B,'4.CAP_ENDMNT'!O:O,0,0,1)</f>
        <v>0.53024343717246458</v>
      </c>
      <c r="AG83" s="134">
        <f>+_xlfn.XLOOKUP(PROYECTOS[[#This Row],[MUNICIPIO]],'4.CAP_ENDMNT'!B:B,'4.CAP_ENDMNT'!P:P,0,0,1)</f>
        <v>0.8</v>
      </c>
      <c r="AH83" s="44" t="str">
        <f>+_xlfn.XLOOKUP(PROYECTOS[[#This Row],[MUNICIPIO]],'4.CAP_ENDMNT'!B:B,'4.CAP_ENDMNT'!Q:Q,0,0,1)</f>
        <v>Cumple</v>
      </c>
      <c r="AI83" s="139">
        <f>+_xlfn.XLOOKUP(PROYECTOS[[#This Row],[MUNICIPIO]],'4.CAP_ENDMNT'!B:B,'4.CAP_ENDMNT'!V:V,0,0,1)</f>
        <v>1791672839.46474</v>
      </c>
      <c r="AJ83" s="139">
        <f>+_xlfn.XLOOKUP(PROYECTOS[[#This Row],[MUNICIPIO]],'4.CAP_ENDMNT'!B:B,'4.CAP_ENDMNT'!Y:Y,0,0,1)</f>
        <v>-8164135575.2115593</v>
      </c>
      <c r="AK83"/>
      <c r="AL83"/>
      <c r="AM83"/>
    </row>
    <row r="84" spans="1:39">
      <c r="A84" s="44">
        <v>91</v>
      </c>
      <c r="B84" s="37" t="s">
        <v>189</v>
      </c>
      <c r="C84" s="118">
        <f>+_xlfn.XLOOKUP(PROYECTOS[[#This Row],[ID_NECESIDAD]],'1.RADICADOS'!G:G,'1.RADICADOS'!C:C,0,0,1)*1</f>
        <v>45554</v>
      </c>
      <c r="D84" s="46" t="s">
        <v>148</v>
      </c>
      <c r="E84" s="47" t="str">
        <f>+_xlfn.XLOOKUP(PROYECTOS[[#This Row],[MUNICIPIO]],MUNICIPIOS!A:A,MUNICIPIOS!E:E,0,0,1)</f>
        <v>Urabá</v>
      </c>
      <c r="F84" s="44">
        <f>+_xlfn.XLOOKUP(PROYECTOS[[#This Row],[MUNICIPIO]],MUNICIPIOS!A:A,MUNICIPIOS!F:F,0,0,1)</f>
        <v>-76.896004000000005</v>
      </c>
      <c r="G84" s="44">
        <f>+_xlfn.XLOOKUP(PROYECTOS[[#This Row],[MUNICIPIO]],MUNICIPIOS!A:A,MUNICIPIOS!G:G,0,0,1)</f>
        <v>6.5881639999999999</v>
      </c>
      <c r="H84" s="44">
        <f>+_xlfn.XLOOKUP(PROYECTOS[[#This Row],[MUNICIPIO]],MUNICIPIOS!A:A,MUNICIPIOS!B:B,0,0,1)</f>
        <v>1</v>
      </c>
      <c r="I84" s="44">
        <f>+_xlfn.XLOOKUP(PROYECTOS[[#This Row],[MUNICIPIO]],MUNICIPIOS!A:A,MUNICIPIOS!C:C,0,0,1)</f>
        <v>1</v>
      </c>
      <c r="J84" s="3" t="str" cm="1">
        <f t="array" ref="J84">_xlfn.TEXTJOIN(" ", TRUE, IF(radicados[ID PROYECTOS]=A84, radicados[RADICADO], ""))</f>
        <v>2024010419609</v>
      </c>
      <c r="K84" s="45">
        <v>3</v>
      </c>
      <c r="L84" s="48">
        <v>3060251962</v>
      </c>
      <c r="M84" s="34" t="s">
        <v>401</v>
      </c>
      <c r="N84" s="34" t="s">
        <v>394</v>
      </c>
      <c r="O84" s="34" t="s">
        <v>18</v>
      </c>
      <c r="P84" s="37"/>
      <c r="Q84" s="45"/>
      <c r="R84" s="43"/>
      <c r="S84" s="43"/>
      <c r="T84" s="44">
        <f>+_xlfn.XLOOKUP(PROYECTOS[[#This Row],[MUNICIPIO]],'4.CAP_ENDMNT'!B:B,'4.CAP_ENDMNT'!C:C,0,0,1)</f>
        <v>6</v>
      </c>
      <c r="U84" s="139">
        <f>+_xlfn.XLOOKUP(PROYECTOS[[#This Row],[MUNICIPIO]],'4.CAP_ENDMNT'!B:B,'4.CAP_ENDMNT'!D:D,0,0,1)</f>
        <v>18943215673.273502</v>
      </c>
      <c r="V84" s="140">
        <f>+_xlfn.XLOOKUP(PROYECTOS[[#This Row],[MUNICIPIO]],'4.CAP_ENDMNT'!B:B,'4.CAP_ENDMNT'!E:E,0,0,1)</f>
        <v>6022595389.6999998</v>
      </c>
      <c r="W84" s="140">
        <f>+_xlfn.XLOOKUP(PROYECTOS[[#This Row],[MUNICIPIO]],'4.CAP_ENDMNT'!B:B,'4.CAP_ENDMNT'!F:F,0,0,1)</f>
        <v>12920620283.573502</v>
      </c>
      <c r="X84" s="140">
        <f>+_xlfn.XLOOKUP(PROYECTOS[[#This Row],[MUNICIPIO]],'4.CAP_ENDMNT'!B:B,'4.CAP_ENDMNT'!G:G,0,0,1)</f>
        <v>4570267145</v>
      </c>
      <c r="Y84" s="140">
        <f>+_xlfn.XLOOKUP(PROYECTOS[[#This Row],[MUNICIPIO]],'4.CAP_ENDMNT'!B:B,'4.CAP_ENDMNT'!H:H,0,0,1)</f>
        <v>0</v>
      </c>
      <c r="Z84" s="140">
        <f>+_xlfn.XLOOKUP(PROYECTOS[[#This Row],[MUNICIPIO]],'4.CAP_ENDMNT'!B:B,'4.CAP_ENDMNT'!I:I,0,0,1)</f>
        <v>4570267145</v>
      </c>
      <c r="AA84" s="134">
        <f>+_xlfn.XLOOKUP(PROYECTOS[[#This Row],[MUNICIPIO]],'4.CAP_ENDMNT'!B:B,'4.CAP_ENDMNT'!J:J,0,0,1)</f>
        <v>0.24126142170508424</v>
      </c>
      <c r="AB84" s="140">
        <f>+_xlfn.XLOOKUP(PROYECTOS[[#This Row],[MUNICIPIO]],'4.CAP_ENDMNT'!B:B,'4.CAP_ENDMNT'!K:K,0,0,1)</f>
        <v>14372948528.273502</v>
      </c>
      <c r="AC84" s="140">
        <f>+_xlfn.XLOOKUP(PROYECTOS[[#This Row],[MUNICIPIO]],'4.CAP_ENDMNT'!B:B,'4.CAP_ENDMNT'!L:L,0,0,1)</f>
        <v>11498358822.618803</v>
      </c>
      <c r="AD84" s="140">
        <f>+_xlfn.XLOOKUP(PROYECTOS[[#This Row],[MUNICIPIO]],'4.CAP_ENDMNT'!B:B,'4.CAP_ENDMNT'!M:M,0,0,1)</f>
        <v>8623769116.9641018</v>
      </c>
      <c r="AE84" s="134">
        <f>+_xlfn.XLOOKUP(PROYECTOS[[#This Row],[MUNICIPIO]],'4.CAP_ENDMNT'!B:B,'4.CAP_ENDMNT'!N:N,0,0,1)</f>
        <v>1</v>
      </c>
      <c r="AF84" s="134">
        <f>+_xlfn.XLOOKUP(PROYECTOS[[#This Row],[MUNICIPIO]],'4.CAP_ENDMNT'!B:B,'4.CAP_ENDMNT'!O:O,0,0,1)</f>
        <v>0.63532752805182191</v>
      </c>
      <c r="AG84" s="134">
        <f>+_xlfn.XLOOKUP(PROYECTOS[[#This Row],[MUNICIPIO]],'4.CAP_ENDMNT'!B:B,'4.CAP_ENDMNT'!P:P,0,0,1)</f>
        <v>0.8</v>
      </c>
      <c r="AH84" s="44" t="str">
        <f>+_xlfn.XLOOKUP(PROYECTOS[[#This Row],[MUNICIPIO]],'4.CAP_ENDMNT'!B:B,'4.CAP_ENDMNT'!Q:Q,0,0,1)</f>
        <v>Cumple</v>
      </c>
      <c r="AI84" s="139">
        <f>+_xlfn.XLOOKUP(PROYECTOS[[#This Row],[MUNICIPIO]],'4.CAP_ENDMNT'!B:B,'4.CAP_ENDMNT'!V:V,0,0,1)</f>
        <v>1724753823.3928204</v>
      </c>
      <c r="AJ84" s="139">
        <f>+_xlfn.XLOOKUP(PROYECTOS[[#This Row],[MUNICIPIO]],'4.CAP_ENDMNT'!B:B,'4.CAP_ENDMNT'!Y:Y,0,0,1)</f>
        <v>-14051852500.643078</v>
      </c>
      <c r="AK84"/>
      <c r="AL84"/>
      <c r="AM84"/>
    </row>
    <row r="85" spans="1:39">
      <c r="A85" s="44">
        <v>92</v>
      </c>
      <c r="B85" s="37" t="s">
        <v>192</v>
      </c>
      <c r="C85" s="118">
        <f>+_xlfn.XLOOKUP(PROYECTOS[[#This Row],[ID_NECESIDAD]],'1.RADICADOS'!G:G,'1.RADICADOS'!C:C,0,0,1)*1</f>
        <v>45548</v>
      </c>
      <c r="D85" s="46" t="s">
        <v>191</v>
      </c>
      <c r="E85" s="47" t="str">
        <f>+_xlfn.XLOOKUP(PROYECTOS[[#This Row],[MUNICIPIO]],MUNICIPIOS!A:A,MUNICIPIOS!E:E,0,0,1)</f>
        <v>Bajo Cauca</v>
      </c>
      <c r="F85" s="44">
        <f>+_xlfn.XLOOKUP(PROYECTOS[[#This Row],[MUNICIPIO]],MUNICIPIOS!A:A,MUNICIPIOS!F:F,0,0,1)</f>
        <v>-75.352050000000006</v>
      </c>
      <c r="G85" s="44" t="str">
        <f>+_xlfn.XLOOKUP(PROYECTOS[[#This Row],[MUNICIPIO]],MUNICIPIOS!A:A,MUNICIPIOS!G:G,0,0,1)</f>
        <v>7,578366</v>
      </c>
      <c r="H85" s="44">
        <f>+_xlfn.XLOOKUP(PROYECTOS[[#This Row],[MUNICIPIO]],MUNICIPIOS!A:A,MUNICIPIOS!B:B,0,0,1)</f>
        <v>1</v>
      </c>
      <c r="I85" s="44">
        <f>+_xlfn.XLOOKUP(PROYECTOS[[#This Row],[MUNICIPIO]],MUNICIPIOS!A:A,MUNICIPIOS!C:C,0,0,1)</f>
        <v>1</v>
      </c>
      <c r="J85" s="3" t="str" cm="1">
        <f t="array" ref="J85">_xlfn.TEXTJOIN(" ", TRUE, IF(radicados[ID PROYECTOS]=A85, radicados[RADICADO], ""))</f>
        <v>2024010430044</v>
      </c>
      <c r="K85" s="45">
        <v>3</v>
      </c>
      <c r="L85" s="48">
        <v>5048456575</v>
      </c>
      <c r="M85" s="34" t="s">
        <v>288</v>
      </c>
      <c r="N85" s="34" t="s">
        <v>398</v>
      </c>
      <c r="O85" s="34" t="s">
        <v>25</v>
      </c>
      <c r="P85" s="37"/>
      <c r="Q85" s="45"/>
      <c r="R85" s="43"/>
      <c r="S85" s="43"/>
      <c r="T85" s="44">
        <f>+_xlfn.XLOOKUP(PROYECTOS[[#This Row],[MUNICIPIO]],'4.CAP_ENDMNT'!B:B,'4.CAP_ENDMNT'!C:C,0,0,1)</f>
        <v>6</v>
      </c>
      <c r="U85" s="139">
        <f>+_xlfn.XLOOKUP(PROYECTOS[[#This Row],[MUNICIPIO]],'4.CAP_ENDMNT'!B:B,'4.CAP_ENDMNT'!D:D,0,0,1)</f>
        <v>16341381522.362501</v>
      </c>
      <c r="V85" s="140">
        <f>+_xlfn.XLOOKUP(PROYECTOS[[#This Row],[MUNICIPIO]],'4.CAP_ENDMNT'!B:B,'4.CAP_ENDMNT'!E:E,0,0,1)</f>
        <v>6183321664.5100002</v>
      </c>
      <c r="W85" s="140">
        <f>+_xlfn.XLOOKUP(PROYECTOS[[#This Row],[MUNICIPIO]],'4.CAP_ENDMNT'!B:B,'4.CAP_ENDMNT'!F:F,0,0,1)</f>
        <v>10158059857.852501</v>
      </c>
      <c r="X85" s="140">
        <f>+_xlfn.XLOOKUP(PROYECTOS[[#This Row],[MUNICIPIO]],'4.CAP_ENDMNT'!B:B,'4.CAP_ENDMNT'!G:G,0,0,1)</f>
        <v>3504148016</v>
      </c>
      <c r="Y85" s="140">
        <f>+_xlfn.XLOOKUP(PROYECTOS[[#This Row],[MUNICIPIO]],'4.CAP_ENDMNT'!B:B,'4.CAP_ENDMNT'!H:H,0,0,1)</f>
        <v>5476192157</v>
      </c>
      <c r="Z85" s="140">
        <f>+_xlfn.XLOOKUP(PROYECTOS[[#This Row],[MUNICIPIO]],'4.CAP_ENDMNT'!B:B,'4.CAP_ENDMNT'!I:I,0,0,1)</f>
        <v>8980340173</v>
      </c>
      <c r="AA85" s="134">
        <f>+_xlfn.XLOOKUP(PROYECTOS[[#This Row],[MUNICIPIO]],'4.CAP_ENDMNT'!B:B,'4.CAP_ENDMNT'!J:J,0,0,1)</f>
        <v>0.54954595856603539</v>
      </c>
      <c r="AB85" s="140">
        <f>+_xlfn.XLOOKUP(PROYECTOS[[#This Row],[MUNICIPIO]],'4.CAP_ENDMNT'!B:B,'4.CAP_ENDMNT'!K:K,0,0,1)</f>
        <v>7361041349.3625011</v>
      </c>
      <c r="AC85" s="140">
        <f>+_xlfn.XLOOKUP(PROYECTOS[[#This Row],[MUNICIPIO]],'4.CAP_ENDMNT'!B:B,'4.CAP_ENDMNT'!L:L,0,0,1)</f>
        <v>5888833079.4900017</v>
      </c>
      <c r="AD85" s="140">
        <f>+_xlfn.XLOOKUP(PROYECTOS[[#This Row],[MUNICIPIO]],'4.CAP_ENDMNT'!B:B,'4.CAP_ENDMNT'!M:M,0,0,1)</f>
        <v>4416624809.6175003</v>
      </c>
      <c r="AE85" s="134">
        <f>+_xlfn.XLOOKUP(PROYECTOS[[#This Row],[MUNICIPIO]],'4.CAP_ENDMNT'!B:B,'4.CAP_ENDMNT'!N:N,0,0,1)</f>
        <v>0.39020214696715588</v>
      </c>
      <c r="AF85" s="134">
        <f>+_xlfn.XLOOKUP(PROYECTOS[[#This Row],[MUNICIPIO]],'4.CAP_ENDMNT'!B:B,'4.CAP_ENDMNT'!O:O,0,0,1)</f>
        <v>0.6661172152696142</v>
      </c>
      <c r="AG85" s="134">
        <f>+_xlfn.XLOOKUP(PROYECTOS[[#This Row],[MUNICIPIO]],'4.CAP_ENDMNT'!B:B,'4.CAP_ENDMNT'!P:P,0,0,1)</f>
        <v>0.8</v>
      </c>
      <c r="AH85" s="44" t="str">
        <f>+_xlfn.XLOOKUP(PROYECTOS[[#This Row],[MUNICIPIO]],'4.CAP_ENDMNT'!B:B,'4.CAP_ENDMNT'!Q:Q,0,0,1)</f>
        <v>Cumple</v>
      </c>
      <c r="AI85" s="139">
        <f>+_xlfn.XLOOKUP(PROYECTOS[[#This Row],[MUNICIPIO]],'4.CAP_ENDMNT'!B:B,'4.CAP_ENDMNT'!V:V,0,0,1)</f>
        <v>883324961.92350006</v>
      </c>
      <c r="AJ85" s="139">
        <f>+_xlfn.XLOOKUP(PROYECTOS[[#This Row],[MUNICIPIO]],'4.CAP_ENDMNT'!B:B,'4.CAP_ENDMNT'!Y:Y,0,0,1)</f>
        <v>-321308282411.45898</v>
      </c>
      <c r="AK85"/>
      <c r="AL85"/>
      <c r="AM85"/>
    </row>
    <row r="86" spans="1:39">
      <c r="A86" s="44">
        <v>93</v>
      </c>
      <c r="B86" s="37" t="s">
        <v>417</v>
      </c>
      <c r="C86" s="118">
        <f>+_xlfn.XLOOKUP(PROYECTOS[[#This Row],[ID_NECESIDAD]],'1.RADICADOS'!G:G,'1.RADICADOS'!C:C,0,0,1)*1</f>
        <v>45554</v>
      </c>
      <c r="D86" s="46" t="s">
        <v>193</v>
      </c>
      <c r="E86" s="47" t="str">
        <f>+_xlfn.XLOOKUP(PROYECTOS[[#This Row],[MUNICIPIO]],MUNICIPIOS!A:A,MUNICIPIOS!E:E,0,0,1)</f>
        <v>Urabá</v>
      </c>
      <c r="F86" s="44">
        <f>+_xlfn.XLOOKUP(PROYECTOS[[#This Row],[MUNICIPIO]],MUNICIPIOS!A:A,MUNICIPIOS!F:F,0,0,1)</f>
        <v>-76.426708000000005</v>
      </c>
      <c r="G86" s="44" t="str">
        <f>+_xlfn.XLOOKUP(PROYECTOS[[#This Row],[MUNICIPIO]],MUNICIPIOS!A:A,MUNICIPIOS!G:G,0,0,1)</f>
        <v>8,849317</v>
      </c>
      <c r="H86" s="44">
        <f>+_xlfn.XLOOKUP(PROYECTOS[[#This Row],[MUNICIPIO]],MUNICIPIOS!A:A,MUNICIPIOS!B:B,0,0,1)</f>
        <v>0</v>
      </c>
      <c r="I86" s="44">
        <f>+_xlfn.XLOOKUP(PROYECTOS[[#This Row],[MUNICIPIO]],MUNICIPIOS!A:A,MUNICIPIOS!C:C,0,0,1)</f>
        <v>0</v>
      </c>
      <c r="J86" s="3" t="str" cm="1">
        <f t="array" ref="J86">_xlfn.TEXTJOIN(" ", TRUE, IF(radicados[ID PROYECTOS]=A86, radicados[RADICADO], ""))</f>
        <v>2024010442066</v>
      </c>
      <c r="K86" s="45">
        <v>3</v>
      </c>
      <c r="L86" s="48">
        <v>10681457198</v>
      </c>
      <c r="M86" s="34" t="s">
        <v>401</v>
      </c>
      <c r="N86" s="34" t="s">
        <v>394</v>
      </c>
      <c r="O86" s="34" t="s">
        <v>18</v>
      </c>
      <c r="P86" s="37"/>
      <c r="Q86" s="45"/>
      <c r="R86" s="43"/>
      <c r="S86" s="43"/>
      <c r="T86" s="44">
        <f>+_xlfn.XLOOKUP(PROYECTOS[[#This Row],[MUNICIPIO]],'4.CAP_ENDMNT'!B:B,'4.CAP_ENDMNT'!C:C,0,0,1)</f>
        <v>6</v>
      </c>
      <c r="U86" s="139">
        <f>+_xlfn.XLOOKUP(PROYECTOS[[#This Row],[MUNICIPIO]],'4.CAP_ENDMNT'!B:B,'4.CAP_ENDMNT'!D:D,0,0,1)</f>
        <v>19782037469.424</v>
      </c>
      <c r="V86" s="140">
        <f>+_xlfn.XLOOKUP(PROYECTOS[[#This Row],[MUNICIPIO]],'4.CAP_ENDMNT'!B:B,'4.CAP_ENDMNT'!E:E,0,0,1)</f>
        <v>6224691780.3400002</v>
      </c>
      <c r="W86" s="140">
        <f>+_xlfn.XLOOKUP(PROYECTOS[[#This Row],[MUNICIPIO]],'4.CAP_ENDMNT'!B:B,'4.CAP_ENDMNT'!F:F,0,0,1)</f>
        <v>13557345689.084</v>
      </c>
      <c r="X86" s="140">
        <f>+_xlfn.XLOOKUP(PROYECTOS[[#This Row],[MUNICIPIO]],'4.CAP_ENDMNT'!B:B,'4.CAP_ENDMNT'!G:G,0,0,1)</f>
        <v>5530076291</v>
      </c>
      <c r="Y86" s="140">
        <f>+_xlfn.XLOOKUP(PROYECTOS[[#This Row],[MUNICIPIO]],'4.CAP_ENDMNT'!B:B,'4.CAP_ENDMNT'!H:H,0,0,1)</f>
        <v>135075758</v>
      </c>
      <c r="Z86" s="140">
        <f>+_xlfn.XLOOKUP(PROYECTOS[[#This Row],[MUNICIPIO]],'4.CAP_ENDMNT'!B:B,'4.CAP_ENDMNT'!I:I,0,0,1)</f>
        <v>5665152049</v>
      </c>
      <c r="AA86" s="134">
        <f>+_xlfn.XLOOKUP(PROYECTOS[[#This Row],[MUNICIPIO]],'4.CAP_ENDMNT'!B:B,'4.CAP_ENDMNT'!J:J,0,0,1)</f>
        <v>0.28637859258715448</v>
      </c>
      <c r="AB86" s="140">
        <f>+_xlfn.XLOOKUP(PROYECTOS[[#This Row],[MUNICIPIO]],'4.CAP_ENDMNT'!B:B,'4.CAP_ENDMNT'!K:K,0,0,1)</f>
        <v>14116885420.424</v>
      </c>
      <c r="AC86" s="140">
        <f>+_xlfn.XLOOKUP(PROYECTOS[[#This Row],[MUNICIPIO]],'4.CAP_ENDMNT'!B:B,'4.CAP_ENDMNT'!L:L,0,0,1)</f>
        <v>11293508336.339201</v>
      </c>
      <c r="AD86" s="140">
        <f>+_xlfn.XLOOKUP(PROYECTOS[[#This Row],[MUNICIPIO]],'4.CAP_ENDMNT'!B:B,'4.CAP_ENDMNT'!M:M,0,0,1)</f>
        <v>8470131252.2543993</v>
      </c>
      <c r="AE86" s="134">
        <f>+_xlfn.XLOOKUP(PROYECTOS[[#This Row],[MUNICIPIO]],'4.CAP_ENDMNT'!B:B,'4.CAP_ENDMNT'!N:N,0,0,1)</f>
        <v>0.97615672856938707</v>
      </c>
      <c r="AF86" s="134">
        <f>+_xlfn.XLOOKUP(PROYECTOS[[#This Row],[MUNICIPIO]],'4.CAP_ENDMNT'!B:B,'4.CAP_ENDMNT'!O:O,0,0,1)</f>
        <v>0.63121490876418529</v>
      </c>
      <c r="AG86" s="134">
        <f>+_xlfn.XLOOKUP(PROYECTOS[[#This Row],[MUNICIPIO]],'4.CAP_ENDMNT'!B:B,'4.CAP_ENDMNT'!P:P,0,0,1)</f>
        <v>0.8</v>
      </c>
      <c r="AH86" s="44" t="str">
        <f>+_xlfn.XLOOKUP(PROYECTOS[[#This Row],[MUNICIPIO]],'4.CAP_ENDMNT'!B:B,'4.CAP_ENDMNT'!Q:Q,0,0,1)</f>
        <v>Cumple</v>
      </c>
      <c r="AI86" s="139">
        <f>+_xlfn.XLOOKUP(PROYECTOS[[#This Row],[MUNICIPIO]],'4.CAP_ENDMNT'!B:B,'4.CAP_ENDMNT'!V:V,0,0,1)</f>
        <v>1694026250.4508801</v>
      </c>
      <c r="AJ86" s="139">
        <f>+_xlfn.XLOOKUP(PROYECTOS[[#This Row],[MUNICIPIO]],'4.CAP_ENDMNT'!B:B,'4.CAP_ENDMNT'!Y:Y,0,0,1)</f>
        <v>-28540377224.29472</v>
      </c>
      <c r="AK86"/>
      <c r="AL86"/>
      <c r="AM86"/>
    </row>
    <row r="87" spans="1:39">
      <c r="A87" s="44">
        <v>94</v>
      </c>
      <c r="B87" s="37" t="s">
        <v>1383</v>
      </c>
      <c r="C87" s="118">
        <f>+_xlfn.XLOOKUP(PROYECTOS[[#This Row],[ID_NECESIDAD]],'1.RADICADOS'!G:G,'1.RADICADOS'!C:C,0,0,1)*1</f>
        <v>45562</v>
      </c>
      <c r="D87" s="46" t="s">
        <v>136</v>
      </c>
      <c r="E87" s="47" t="str">
        <f>+_xlfn.XLOOKUP(PROYECTOS[[#This Row],[MUNICIPIO]],MUNICIPIOS!A:A,MUNICIPIOS!E:E,0,0,1)</f>
        <v>Norte</v>
      </c>
      <c r="F87" s="44">
        <f>+_xlfn.XLOOKUP(PROYECTOS[[#This Row],[MUNICIPIO]],MUNICIPIOS!A:A,MUNICIPIOS!F:F,0,0,1)</f>
        <v>-75.550359999999998</v>
      </c>
      <c r="G87" s="44" t="str">
        <f>+_xlfn.XLOOKUP(PROYECTOS[[#This Row],[MUNICIPIO]],MUNICIPIOS!A:A,MUNICIPIOS!G:G,0,0,1)</f>
        <v>7,112803</v>
      </c>
      <c r="H87" s="44">
        <f>+_xlfn.XLOOKUP(PROYECTOS[[#This Row],[MUNICIPIO]],MUNICIPIOS!A:A,MUNICIPIOS!B:B,0,0,1)</f>
        <v>1</v>
      </c>
      <c r="I87" s="44">
        <f>+_xlfn.XLOOKUP(PROYECTOS[[#This Row],[MUNICIPIO]],MUNICIPIOS!A:A,MUNICIPIOS!C:C,0,0,1)</f>
        <v>1</v>
      </c>
      <c r="J87" s="3" t="str" cm="1">
        <f t="array" ref="J87">_xlfn.TEXTJOIN(" ", TRUE, IF(radicados[ID PROYECTOS]=A87, radicados[RADICADO], ""))</f>
        <v>2024010446070</v>
      </c>
      <c r="K87" s="45">
        <v>3</v>
      </c>
      <c r="L87" s="48">
        <v>2753990112</v>
      </c>
      <c r="M87" s="34" t="s">
        <v>288</v>
      </c>
      <c r="N87" s="40" t="s">
        <v>398</v>
      </c>
      <c r="O87" s="34" t="s">
        <v>25</v>
      </c>
      <c r="P87" s="37"/>
      <c r="Q87" s="45"/>
      <c r="R87" s="43"/>
      <c r="S87" s="43"/>
      <c r="T87" s="44">
        <f>+_xlfn.XLOOKUP(PROYECTOS[[#This Row],[MUNICIPIO]],'4.CAP_ENDMNT'!B:B,'4.CAP_ENDMNT'!C:C,0,0,1)</f>
        <v>6</v>
      </c>
      <c r="U87" s="139">
        <f>+_xlfn.XLOOKUP(PROYECTOS[[#This Row],[MUNICIPIO]],'4.CAP_ENDMNT'!B:B,'4.CAP_ENDMNT'!D:D,0,0,1)</f>
        <v>15936675551.976999</v>
      </c>
      <c r="V87" s="140">
        <f>+_xlfn.XLOOKUP(PROYECTOS[[#This Row],[MUNICIPIO]],'4.CAP_ENDMNT'!B:B,'4.CAP_ENDMNT'!E:E,0,0,1)</f>
        <v>6355203503.6700001</v>
      </c>
      <c r="W87" s="140">
        <f>+_xlfn.XLOOKUP(PROYECTOS[[#This Row],[MUNICIPIO]],'4.CAP_ENDMNT'!B:B,'4.CAP_ENDMNT'!F:F,0,0,1)</f>
        <v>9581472048.3069992</v>
      </c>
      <c r="X87" s="140">
        <f>+_xlfn.XLOOKUP(PROYECTOS[[#This Row],[MUNICIPIO]],'4.CAP_ENDMNT'!B:B,'4.CAP_ENDMNT'!G:G,0,0,1)</f>
        <v>166905356.59</v>
      </c>
      <c r="Y87" s="140">
        <f>+_xlfn.XLOOKUP(PROYECTOS[[#This Row],[MUNICIPIO]],'4.CAP_ENDMNT'!B:B,'4.CAP_ENDMNT'!H:H,0,0,1)</f>
        <v>5064590198</v>
      </c>
      <c r="Z87" s="140">
        <f>+_xlfn.XLOOKUP(PROYECTOS[[#This Row],[MUNICIPIO]],'4.CAP_ENDMNT'!B:B,'4.CAP_ENDMNT'!I:I,0,0,1)</f>
        <v>5231495554.5900002</v>
      </c>
      <c r="AA87" s="134">
        <f>+_xlfn.XLOOKUP(PROYECTOS[[#This Row],[MUNICIPIO]],'4.CAP_ENDMNT'!B:B,'4.CAP_ENDMNT'!J:J,0,0,1)</f>
        <v>0.32826768277534613</v>
      </c>
      <c r="AB87" s="140">
        <f>+_xlfn.XLOOKUP(PROYECTOS[[#This Row],[MUNICIPIO]],'4.CAP_ENDMNT'!B:B,'4.CAP_ENDMNT'!K:K,0,0,1)</f>
        <v>10705179997.386999</v>
      </c>
      <c r="AC87" s="140">
        <f>+_xlfn.XLOOKUP(PROYECTOS[[#This Row],[MUNICIPIO]],'4.CAP_ENDMNT'!B:B,'4.CAP_ENDMNT'!L:L,0,0,1)</f>
        <v>8564143997.9095993</v>
      </c>
      <c r="AD87" s="140">
        <f>+_xlfn.XLOOKUP(PROYECTOS[[#This Row],[MUNICIPIO]],'4.CAP_ENDMNT'!B:B,'4.CAP_ENDMNT'!M:M,0,0,1)</f>
        <v>6423107998.4321995</v>
      </c>
      <c r="AE87" s="134">
        <f>+_xlfn.XLOOKUP(PROYECTOS[[#This Row],[MUNICIPIO]],'4.CAP_ENDMNT'!B:B,'4.CAP_ENDMNT'!N:N,0,0,1)</f>
        <v>3.1903946939907245E-2</v>
      </c>
      <c r="AF87" s="134">
        <f>+_xlfn.XLOOKUP(PROYECTOS[[#This Row],[MUNICIPIO]],'4.CAP_ENDMNT'!B:B,'4.CAP_ENDMNT'!O:O,0,0,1)</f>
        <v>0.65192157878949775</v>
      </c>
      <c r="AG87" s="134">
        <f>+_xlfn.XLOOKUP(PROYECTOS[[#This Row],[MUNICIPIO]],'4.CAP_ENDMNT'!B:B,'4.CAP_ENDMNT'!P:P,0,0,1)</f>
        <v>0.8</v>
      </c>
      <c r="AH87" s="44" t="str">
        <f>+_xlfn.XLOOKUP(PROYECTOS[[#This Row],[MUNICIPIO]],'4.CAP_ENDMNT'!B:B,'4.CAP_ENDMNT'!Q:Q,0,0,1)</f>
        <v>Cumple</v>
      </c>
      <c r="AI87" s="139">
        <f>+_xlfn.XLOOKUP(PROYECTOS[[#This Row],[MUNICIPIO]],'4.CAP_ENDMNT'!B:B,'4.CAP_ENDMNT'!V:V,0,0,1)</f>
        <v>1284621599.68644</v>
      </c>
      <c r="AJ87" s="139">
        <f>+_xlfn.XLOOKUP(PROYECTOS[[#This Row],[MUNICIPIO]],'4.CAP_ENDMNT'!B:B,'4.CAP_ENDMNT'!Y:Y,0,0,1)</f>
        <v>-1198654643.881361</v>
      </c>
      <c r="AK87"/>
      <c r="AL87"/>
      <c r="AM87"/>
    </row>
    <row r="88" spans="1:39">
      <c r="A88" s="44">
        <v>95</v>
      </c>
      <c r="B88" s="37" t="s">
        <v>1384</v>
      </c>
      <c r="C88" s="118">
        <f>+_xlfn.XLOOKUP(PROYECTOS[[#This Row],[ID_NECESIDAD]],'1.RADICADOS'!G:G,'1.RADICADOS'!C:C,0,0,1)*1</f>
        <v>45332</v>
      </c>
      <c r="D88" s="46" t="s">
        <v>196</v>
      </c>
      <c r="E88" s="47" t="str">
        <f>+_xlfn.XLOOKUP(PROYECTOS[[#This Row],[MUNICIPIO]],MUNICIPIOS!A:A,MUNICIPIOS!E:E,0,0,1)</f>
        <v>Valle de Aburrá</v>
      </c>
      <c r="F88" s="44">
        <f>+_xlfn.XLOOKUP(PROYECTOS[[#This Row],[MUNICIPIO]],MUNICIPIOS!A:A,MUNICIPIOS!F:F,0,0,1)</f>
        <v>-75.444237999999999</v>
      </c>
      <c r="G88" s="44" t="str">
        <f>+_xlfn.XLOOKUP(PROYECTOS[[#This Row],[MUNICIPIO]],MUNICIPIOS!A:A,MUNICIPIOS!G:G,0,0,1)</f>
        <v>6,379472</v>
      </c>
      <c r="H88" s="44">
        <f>+_xlfn.XLOOKUP(PROYECTOS[[#This Row],[MUNICIPIO]],MUNICIPIOS!A:A,MUNICIPIOS!B:B,0,0,1)</f>
        <v>0</v>
      </c>
      <c r="I88" s="44">
        <f>+_xlfn.XLOOKUP(PROYECTOS[[#This Row],[MUNICIPIO]],MUNICIPIOS!A:A,MUNICIPIOS!C:C,0,0,1)</f>
        <v>0</v>
      </c>
      <c r="J88" s="3" t="str" cm="1">
        <f t="array" ref="J88">_xlfn.TEXTJOIN(" ", TRUE, IF(radicados[ID PROYECTOS]=A88, radicados[RADICADO], ""))</f>
        <v>2024010427693</v>
      </c>
      <c r="K88" s="45">
        <v>3</v>
      </c>
      <c r="L88" s="48">
        <v>18011055743</v>
      </c>
      <c r="M88" s="34" t="s">
        <v>396</v>
      </c>
      <c r="N88" s="34" t="s">
        <v>398</v>
      </c>
      <c r="O88" s="34" t="s">
        <v>25</v>
      </c>
      <c r="P88" s="37"/>
      <c r="Q88" s="45"/>
      <c r="R88" s="43"/>
      <c r="S88" s="43"/>
      <c r="T88" s="44">
        <f>+_xlfn.XLOOKUP(PROYECTOS[[#This Row],[MUNICIPIO]],'4.CAP_ENDMNT'!B:B,'4.CAP_ENDMNT'!C:C,0,0,1)</f>
        <v>2</v>
      </c>
      <c r="U88" s="139">
        <f>+_xlfn.XLOOKUP(PROYECTOS[[#This Row],[MUNICIPIO]],'4.CAP_ENDMNT'!B:B,'4.CAP_ENDMNT'!D:D,0,0,1)</f>
        <v>101079829717.10699</v>
      </c>
      <c r="V88" s="140">
        <f>+_xlfn.XLOOKUP(PROYECTOS[[#This Row],[MUNICIPIO]],'4.CAP_ENDMNT'!B:B,'4.CAP_ENDMNT'!E:E,0,0,1)</f>
        <v>35923834396.690002</v>
      </c>
      <c r="W88" s="140">
        <f>+_xlfn.XLOOKUP(PROYECTOS[[#This Row],[MUNICIPIO]],'4.CAP_ENDMNT'!B:B,'4.CAP_ENDMNT'!F:F,0,0,1)</f>
        <v>65155995320.416992</v>
      </c>
      <c r="X88" s="140">
        <f>+_xlfn.XLOOKUP(PROYECTOS[[#This Row],[MUNICIPIO]],'4.CAP_ENDMNT'!B:B,'4.CAP_ENDMNT'!G:G,0,0,1)</f>
        <v>0</v>
      </c>
      <c r="Y88" s="140">
        <f>+_xlfn.XLOOKUP(PROYECTOS[[#This Row],[MUNICIPIO]],'4.CAP_ENDMNT'!B:B,'4.CAP_ENDMNT'!H:H,0,0,1)</f>
        <v>33364035579</v>
      </c>
      <c r="Z88" s="140">
        <f>+_xlfn.XLOOKUP(PROYECTOS[[#This Row],[MUNICIPIO]],'4.CAP_ENDMNT'!B:B,'4.CAP_ENDMNT'!I:I,0,0,1)</f>
        <v>33364035579</v>
      </c>
      <c r="AA88" s="134">
        <f>+_xlfn.XLOOKUP(PROYECTOS[[#This Row],[MUNICIPIO]],'4.CAP_ENDMNT'!B:B,'4.CAP_ENDMNT'!J:J,0,0,1)</f>
        <v>0.33007609601615101</v>
      </c>
      <c r="AB88" s="140">
        <f>+_xlfn.XLOOKUP(PROYECTOS[[#This Row],[MUNICIPIO]],'4.CAP_ENDMNT'!B:B,'4.CAP_ENDMNT'!K:K,0,0,1)</f>
        <v>67715794138.106995</v>
      </c>
      <c r="AC88" s="140">
        <f>+_xlfn.XLOOKUP(PROYECTOS[[#This Row],[MUNICIPIO]],'4.CAP_ENDMNT'!B:B,'4.CAP_ENDMNT'!L:L,0,0,1)</f>
        <v>54172635310.485596</v>
      </c>
      <c r="AD88" s="140">
        <f>+_xlfn.XLOOKUP(PROYECTOS[[#This Row],[MUNICIPIO]],'4.CAP_ENDMNT'!B:B,'4.CAP_ENDMNT'!M:M,0,0,1)</f>
        <v>40629476482.864197</v>
      </c>
      <c r="AE88" s="134">
        <f>+_xlfn.XLOOKUP(PROYECTOS[[#This Row],[MUNICIPIO]],'4.CAP_ENDMNT'!B:B,'4.CAP_ENDMNT'!N:N,0,0,1)</f>
        <v>0</v>
      </c>
      <c r="AF88" s="134">
        <f>+_xlfn.XLOOKUP(PROYECTOS[[#This Row],[MUNICIPIO]],'4.CAP_ENDMNT'!B:B,'4.CAP_ENDMNT'!O:O,0,0,1)</f>
        <v>0.39321465077323631</v>
      </c>
      <c r="AG88" s="134">
        <f>+_xlfn.XLOOKUP(PROYECTOS[[#This Row],[MUNICIPIO]],'4.CAP_ENDMNT'!B:B,'4.CAP_ENDMNT'!P:P,0,0,1)</f>
        <v>0.7</v>
      </c>
      <c r="AH88" s="44" t="str">
        <f>+_xlfn.XLOOKUP(PROYECTOS[[#This Row],[MUNICIPIO]],'4.CAP_ENDMNT'!B:B,'4.CAP_ENDMNT'!Q:Q,0,0,1)</f>
        <v>Cumple</v>
      </c>
      <c r="AI88" s="139">
        <f>+_xlfn.XLOOKUP(PROYECTOS[[#This Row],[MUNICIPIO]],'4.CAP_ENDMNT'!B:B,'4.CAP_ENDMNT'!V:V,0,0,1)</f>
        <v>8125895296.5728397</v>
      </c>
      <c r="AJ88" s="139">
        <f>+_xlfn.XLOOKUP(PROYECTOS[[#This Row],[MUNICIPIO]],'4.CAP_ENDMNT'!B:B,'4.CAP_ENDMNT'!Y:Y,0,0,1)</f>
        <v>-38204944046.562965</v>
      </c>
      <c r="AK88"/>
      <c r="AL88"/>
      <c r="AM88"/>
    </row>
    <row r="89" spans="1:39">
      <c r="A89" s="44">
        <v>96</v>
      </c>
      <c r="B89" s="37" t="s">
        <v>1585</v>
      </c>
      <c r="C89" s="118">
        <f>+_xlfn.XLOOKUP(PROYECTOS[[#This Row],[ID_NECESIDAD]],'1.RADICADOS'!G:G,'1.RADICADOS'!C:C,0,0,1)*1</f>
        <v>45554</v>
      </c>
      <c r="D89" s="46" t="s">
        <v>193</v>
      </c>
      <c r="E89" s="47" t="str">
        <f>+_xlfn.XLOOKUP(PROYECTOS[[#This Row],[MUNICIPIO]],MUNICIPIOS!A:A,MUNICIPIOS!E:E,0,0,1)</f>
        <v>Urabá</v>
      </c>
      <c r="F89" s="44">
        <f>+_xlfn.XLOOKUP(PROYECTOS[[#This Row],[MUNICIPIO]],MUNICIPIOS!A:A,MUNICIPIOS!F:F,0,0,1)</f>
        <v>-76.426708000000005</v>
      </c>
      <c r="G89" s="44" t="str">
        <f>+_xlfn.XLOOKUP(PROYECTOS[[#This Row],[MUNICIPIO]],MUNICIPIOS!A:A,MUNICIPIOS!G:G,0,0,1)</f>
        <v>8,849317</v>
      </c>
      <c r="H89" s="44">
        <f>+_xlfn.XLOOKUP(PROYECTOS[[#This Row],[MUNICIPIO]],MUNICIPIOS!A:A,MUNICIPIOS!B:B,0,0,1)</f>
        <v>0</v>
      </c>
      <c r="I89" s="44">
        <f>+_xlfn.XLOOKUP(PROYECTOS[[#This Row],[MUNICIPIO]],MUNICIPIOS!A:A,MUNICIPIOS!C:C,0,0,1)</f>
        <v>0</v>
      </c>
      <c r="J89" s="3" t="str" cm="1">
        <f t="array" ref="J89">_xlfn.TEXTJOIN(" ", TRUE, IF(radicados[ID PROYECTOS]=A89, radicados[RADICADO], ""))</f>
        <v>2024010423384</v>
      </c>
      <c r="K89" s="45">
        <v>3</v>
      </c>
      <c r="L89" s="48">
        <v>4441184458</v>
      </c>
      <c r="M89" s="34" t="s">
        <v>288</v>
      </c>
      <c r="N89" s="34" t="s">
        <v>398</v>
      </c>
      <c r="O89" s="34" t="s">
        <v>25</v>
      </c>
      <c r="P89" s="37" t="s">
        <v>1719</v>
      </c>
      <c r="Q89" s="45"/>
      <c r="R89" s="43"/>
      <c r="S89" s="43"/>
      <c r="T89" s="44">
        <f>+_xlfn.XLOOKUP(PROYECTOS[[#This Row],[MUNICIPIO]],'4.CAP_ENDMNT'!B:B,'4.CAP_ENDMNT'!C:C,0,0,1)</f>
        <v>6</v>
      </c>
      <c r="U89" s="139">
        <f>+_xlfn.XLOOKUP(PROYECTOS[[#This Row],[MUNICIPIO]],'4.CAP_ENDMNT'!B:B,'4.CAP_ENDMNT'!D:D,0,0,1)</f>
        <v>19782037469.424</v>
      </c>
      <c r="V89" s="140">
        <f>+_xlfn.XLOOKUP(PROYECTOS[[#This Row],[MUNICIPIO]],'4.CAP_ENDMNT'!B:B,'4.CAP_ENDMNT'!E:E,0,0,1)</f>
        <v>6224691780.3400002</v>
      </c>
      <c r="W89" s="140">
        <f>+_xlfn.XLOOKUP(PROYECTOS[[#This Row],[MUNICIPIO]],'4.CAP_ENDMNT'!B:B,'4.CAP_ENDMNT'!F:F,0,0,1)</f>
        <v>13557345689.084</v>
      </c>
      <c r="X89" s="140">
        <f>+_xlfn.XLOOKUP(PROYECTOS[[#This Row],[MUNICIPIO]],'4.CAP_ENDMNT'!B:B,'4.CAP_ENDMNT'!G:G,0,0,1)</f>
        <v>5530076291</v>
      </c>
      <c r="Y89" s="140">
        <f>+_xlfn.XLOOKUP(PROYECTOS[[#This Row],[MUNICIPIO]],'4.CAP_ENDMNT'!B:B,'4.CAP_ENDMNT'!H:H,0,0,1)</f>
        <v>135075758</v>
      </c>
      <c r="Z89" s="140">
        <f>+_xlfn.XLOOKUP(PROYECTOS[[#This Row],[MUNICIPIO]],'4.CAP_ENDMNT'!B:B,'4.CAP_ENDMNT'!I:I,0,0,1)</f>
        <v>5665152049</v>
      </c>
      <c r="AA89" s="134">
        <f>+_xlfn.XLOOKUP(PROYECTOS[[#This Row],[MUNICIPIO]],'4.CAP_ENDMNT'!B:B,'4.CAP_ENDMNT'!J:J,0,0,1)</f>
        <v>0.28637859258715448</v>
      </c>
      <c r="AB89" s="140">
        <f>+_xlfn.XLOOKUP(PROYECTOS[[#This Row],[MUNICIPIO]],'4.CAP_ENDMNT'!B:B,'4.CAP_ENDMNT'!K:K,0,0,1)</f>
        <v>14116885420.424</v>
      </c>
      <c r="AC89" s="140">
        <f>+_xlfn.XLOOKUP(PROYECTOS[[#This Row],[MUNICIPIO]],'4.CAP_ENDMNT'!B:B,'4.CAP_ENDMNT'!L:L,0,0,1)</f>
        <v>11293508336.339201</v>
      </c>
      <c r="AD89" s="140">
        <f>+_xlfn.XLOOKUP(PROYECTOS[[#This Row],[MUNICIPIO]],'4.CAP_ENDMNT'!B:B,'4.CAP_ENDMNT'!M:M,0,0,1)</f>
        <v>8470131252.2543993</v>
      </c>
      <c r="AE89" s="134">
        <f>+_xlfn.XLOOKUP(PROYECTOS[[#This Row],[MUNICIPIO]],'4.CAP_ENDMNT'!B:B,'4.CAP_ENDMNT'!N:N,0,0,1)</f>
        <v>0.97615672856938707</v>
      </c>
      <c r="AF89" s="134">
        <f>+_xlfn.XLOOKUP(PROYECTOS[[#This Row],[MUNICIPIO]],'4.CAP_ENDMNT'!B:B,'4.CAP_ENDMNT'!O:O,0,0,1)</f>
        <v>0.63121490876418529</v>
      </c>
      <c r="AG89" s="134">
        <f>+_xlfn.XLOOKUP(PROYECTOS[[#This Row],[MUNICIPIO]],'4.CAP_ENDMNT'!B:B,'4.CAP_ENDMNT'!P:P,0,0,1)</f>
        <v>0.8</v>
      </c>
      <c r="AH89" s="44" t="str">
        <f>+_xlfn.XLOOKUP(PROYECTOS[[#This Row],[MUNICIPIO]],'4.CAP_ENDMNT'!B:B,'4.CAP_ENDMNT'!Q:Q,0,0,1)</f>
        <v>Cumple</v>
      </c>
      <c r="AI89" s="139">
        <f>+_xlfn.XLOOKUP(PROYECTOS[[#This Row],[MUNICIPIO]],'4.CAP_ENDMNT'!B:B,'4.CAP_ENDMNT'!V:V,0,0,1)</f>
        <v>1694026250.4508801</v>
      </c>
      <c r="AJ89" s="139">
        <f>+_xlfn.XLOOKUP(PROYECTOS[[#This Row],[MUNICIPIO]],'4.CAP_ENDMNT'!B:B,'4.CAP_ENDMNT'!Y:Y,0,0,1)</f>
        <v>-28540377224.29472</v>
      </c>
      <c r="AK89"/>
      <c r="AL89"/>
      <c r="AM89"/>
    </row>
    <row r="90" spans="1:39">
      <c r="A90" s="44">
        <v>97</v>
      </c>
      <c r="B90" s="37" t="s">
        <v>1385</v>
      </c>
      <c r="C90" s="118">
        <f>+_xlfn.XLOOKUP(PROYECTOS[[#This Row],[ID_NECESIDAD]],'1.RADICADOS'!G:G,'1.RADICADOS'!C:C,0,0,1)*1</f>
        <v>45552</v>
      </c>
      <c r="D90" s="46" t="s">
        <v>200</v>
      </c>
      <c r="E90" s="47" t="str">
        <f>+_xlfn.XLOOKUP(PROYECTOS[[#This Row],[MUNICIPIO]],MUNICIPIOS!A:A,MUNICIPIOS!E:E,0,0,1)</f>
        <v>Bajo Cauca</v>
      </c>
      <c r="F90" s="44">
        <f>+_xlfn.XLOOKUP(PROYECTOS[[#This Row],[MUNICIPIO]],MUNICIPIOS!A:A,MUNICIPIOS!F:F,0,0,1)</f>
        <v>-74.867075</v>
      </c>
      <c r="G90" s="44">
        <f>+_xlfn.XLOOKUP(PROYECTOS[[#This Row],[MUNICIPIO]],MUNICIPIOS!A:A,MUNICIPIOS!G:G,0,0,1)</f>
        <v>7.4885830000000002</v>
      </c>
      <c r="H90" s="44">
        <f>+_xlfn.XLOOKUP(PROYECTOS[[#This Row],[MUNICIPIO]],MUNICIPIOS!A:A,MUNICIPIOS!B:B,0,0,1)</f>
        <v>1</v>
      </c>
      <c r="I90" s="44">
        <f>+_xlfn.XLOOKUP(PROYECTOS[[#This Row],[MUNICIPIO]],MUNICIPIOS!A:A,MUNICIPIOS!C:C,0,0,1)</f>
        <v>1</v>
      </c>
      <c r="J90" s="3" t="str" cm="1">
        <f t="array" ref="J90">_xlfn.TEXTJOIN(" ", TRUE, IF(radicados[ID PROYECTOS]=A90, radicados[RADICADO], ""))</f>
        <v>2024010421395</v>
      </c>
      <c r="K90" s="45">
        <v>3</v>
      </c>
      <c r="L90" s="48">
        <v>12658885829</v>
      </c>
      <c r="M90" s="34" t="s">
        <v>288</v>
      </c>
      <c r="N90" s="34" t="s">
        <v>398</v>
      </c>
      <c r="O90" s="34" t="s">
        <v>25</v>
      </c>
      <c r="P90" s="37"/>
      <c r="Q90" s="45"/>
      <c r="R90" s="43"/>
      <c r="S90" s="43"/>
      <c r="T90" s="44">
        <f>+_xlfn.XLOOKUP(PROYECTOS[[#This Row],[MUNICIPIO]],'4.CAP_ENDMNT'!B:B,'4.CAP_ENDMNT'!C:C,0,0,1)</f>
        <v>6</v>
      </c>
      <c r="U90" s="139">
        <f>+_xlfn.XLOOKUP(PROYECTOS[[#This Row],[MUNICIPIO]],'4.CAP_ENDMNT'!B:B,'4.CAP_ENDMNT'!D:D,0,0,1)</f>
        <v>26491016162.216</v>
      </c>
      <c r="V90" s="140">
        <f>+_xlfn.XLOOKUP(PROYECTOS[[#This Row],[MUNICIPIO]],'4.CAP_ENDMNT'!B:B,'4.CAP_ENDMNT'!E:E,0,0,1)</f>
        <v>7986352410.1199999</v>
      </c>
      <c r="W90" s="140">
        <f>+_xlfn.XLOOKUP(PROYECTOS[[#This Row],[MUNICIPIO]],'4.CAP_ENDMNT'!B:B,'4.CAP_ENDMNT'!F:F,0,0,1)</f>
        <v>18504663752.096001</v>
      </c>
      <c r="X90" s="140">
        <f>+_xlfn.XLOOKUP(PROYECTOS[[#This Row],[MUNICIPIO]],'4.CAP_ENDMNT'!B:B,'4.CAP_ENDMNT'!G:G,0,0,1)</f>
        <v>6804069561</v>
      </c>
      <c r="Y90" s="140">
        <f>+_xlfn.XLOOKUP(PROYECTOS[[#This Row],[MUNICIPIO]],'4.CAP_ENDMNT'!B:B,'4.CAP_ENDMNT'!H:H,0,0,1)</f>
        <v>0</v>
      </c>
      <c r="Z90" s="140">
        <f>+_xlfn.XLOOKUP(PROYECTOS[[#This Row],[MUNICIPIO]],'4.CAP_ENDMNT'!B:B,'4.CAP_ENDMNT'!I:I,0,0,1)</f>
        <v>6804069561</v>
      </c>
      <c r="AA90" s="134">
        <f>+_xlfn.XLOOKUP(PROYECTOS[[#This Row],[MUNICIPIO]],'4.CAP_ENDMNT'!B:B,'4.CAP_ENDMNT'!J:J,0,0,1)</f>
        <v>0.25684441545525194</v>
      </c>
      <c r="AB90" s="140">
        <f>+_xlfn.XLOOKUP(PROYECTOS[[#This Row],[MUNICIPIO]],'4.CAP_ENDMNT'!B:B,'4.CAP_ENDMNT'!K:K,0,0,1)</f>
        <v>19686946601.216</v>
      </c>
      <c r="AC90" s="140">
        <f>+_xlfn.XLOOKUP(PROYECTOS[[#This Row],[MUNICIPIO]],'4.CAP_ENDMNT'!B:B,'4.CAP_ENDMNT'!L:L,0,0,1)</f>
        <v>15749557280.972801</v>
      </c>
      <c r="AD90" s="140">
        <f>+_xlfn.XLOOKUP(PROYECTOS[[#This Row],[MUNICIPIO]],'4.CAP_ENDMNT'!B:B,'4.CAP_ENDMNT'!M:M,0,0,1)</f>
        <v>11812167960.729599</v>
      </c>
      <c r="AE90" s="134">
        <f>+_xlfn.XLOOKUP(PROYECTOS[[#This Row],[MUNICIPIO]],'4.CAP_ENDMNT'!B:B,'4.CAP_ENDMNT'!N:N,0,0,1)</f>
        <v>1</v>
      </c>
      <c r="AF90" s="134">
        <f>+_xlfn.XLOOKUP(PROYECTOS[[#This Row],[MUNICIPIO]],'4.CAP_ENDMNT'!B:B,'4.CAP_ENDMNT'!O:O,0,0,1)</f>
        <v>0.54140540347070121</v>
      </c>
      <c r="AG90" s="134">
        <f>+_xlfn.XLOOKUP(PROYECTOS[[#This Row],[MUNICIPIO]],'4.CAP_ENDMNT'!B:B,'4.CAP_ENDMNT'!P:P,0,0,1)</f>
        <v>0.8</v>
      </c>
      <c r="AH90" s="44" t="str">
        <f>+_xlfn.XLOOKUP(PROYECTOS[[#This Row],[MUNICIPIO]],'4.CAP_ENDMNT'!B:B,'4.CAP_ENDMNT'!Q:Q,0,0,1)</f>
        <v>Cumple</v>
      </c>
      <c r="AI90" s="139">
        <f>+_xlfn.XLOOKUP(PROYECTOS[[#This Row],[MUNICIPIO]],'4.CAP_ENDMNT'!B:B,'4.CAP_ENDMNT'!V:V,0,0,1)</f>
        <v>2362433592.1459198</v>
      </c>
      <c r="AJ90" s="139">
        <f>+_xlfn.XLOOKUP(PROYECTOS[[#This Row],[MUNICIPIO]],'4.CAP_ENDMNT'!B:B,'4.CAP_ENDMNT'!Y:Y,0,0,1)</f>
        <v>-15716605637.124481</v>
      </c>
      <c r="AK90"/>
      <c r="AL90"/>
      <c r="AM90"/>
    </row>
    <row r="91" spans="1:39">
      <c r="A91" s="44">
        <v>98</v>
      </c>
      <c r="B91" s="37" t="s">
        <v>1386</v>
      </c>
      <c r="C91" s="118">
        <f>+_xlfn.XLOOKUP(PROYECTOS[[#This Row],[ID_NECESIDAD]],'1.RADICADOS'!G:G,'1.RADICADOS'!C:C,0,0,1)*1</f>
        <v>45551</v>
      </c>
      <c r="D91" s="46" t="s">
        <v>120</v>
      </c>
      <c r="E91" s="47" t="str">
        <f>+_xlfn.XLOOKUP(PROYECTOS[[#This Row],[MUNICIPIO]],MUNICIPIOS!A:A,MUNICIPIOS!E:E,0,0,1)</f>
        <v>Norte</v>
      </c>
      <c r="F91" s="44">
        <f>+_xlfn.XLOOKUP(PROYECTOS[[#This Row],[MUNICIPIO]],MUNICIPIOS!A:A,MUNICIPIOS!F:F,0,0,1)</f>
        <v>-75.418828000000005</v>
      </c>
      <c r="G91" s="44">
        <f>+_xlfn.XLOOKUP(PROYECTOS[[#This Row],[MUNICIPIO]],MUNICIPIOS!A:A,MUNICIPIOS!G:G,0,0,1)</f>
        <v>6.963832</v>
      </c>
      <c r="H91" s="44">
        <f>+_xlfn.XLOOKUP(PROYECTOS[[#This Row],[MUNICIPIO]],MUNICIPIOS!A:A,MUNICIPIOS!B:B,0,0,1)</f>
        <v>0</v>
      </c>
      <c r="I91" s="44">
        <f>+_xlfn.XLOOKUP(PROYECTOS[[#This Row],[MUNICIPIO]],MUNICIPIOS!A:A,MUNICIPIOS!C:C,0,0,1)</f>
        <v>1</v>
      </c>
      <c r="J91" s="3" t="str" cm="1">
        <f t="array" ref="J91">_xlfn.TEXTJOIN(" ", TRUE, IF(radicados[ID PROYECTOS]=A91, radicados[RADICADO], ""))</f>
        <v>2024010423359</v>
      </c>
      <c r="K91" s="45">
        <v>3</v>
      </c>
      <c r="L91" s="48">
        <v>2934846978</v>
      </c>
      <c r="M91" s="34" t="s">
        <v>401</v>
      </c>
      <c r="N91" s="34" t="s">
        <v>394</v>
      </c>
      <c r="O91" s="34" t="s">
        <v>18</v>
      </c>
      <c r="P91" s="37"/>
      <c r="Q91" s="45"/>
      <c r="R91" s="43"/>
      <c r="S91" s="43"/>
      <c r="T91" s="44">
        <f>+_xlfn.XLOOKUP(PROYECTOS[[#This Row],[MUNICIPIO]],'4.CAP_ENDMNT'!B:B,'4.CAP_ENDMNT'!C:C,0,0,1)</f>
        <v>5</v>
      </c>
      <c r="U91" s="139">
        <f>+_xlfn.XLOOKUP(PROYECTOS[[#This Row],[MUNICIPIO]],'4.CAP_ENDMNT'!B:B,'4.CAP_ENDMNT'!D:D,0,0,1)</f>
        <v>36204719778.619003</v>
      </c>
      <c r="V91" s="140">
        <f>+_xlfn.XLOOKUP(PROYECTOS[[#This Row],[MUNICIPIO]],'4.CAP_ENDMNT'!B:B,'4.CAP_ENDMNT'!E:E,0,0,1)</f>
        <v>11082623753.610001</v>
      </c>
      <c r="W91" s="140">
        <f>+_xlfn.XLOOKUP(PROYECTOS[[#This Row],[MUNICIPIO]],'4.CAP_ENDMNT'!B:B,'4.CAP_ENDMNT'!F:F,0,0,1)</f>
        <v>25122096025.009003</v>
      </c>
      <c r="X91" s="140">
        <f>+_xlfn.XLOOKUP(PROYECTOS[[#This Row],[MUNICIPIO]],'4.CAP_ENDMNT'!B:B,'4.CAP_ENDMNT'!G:G,0,0,1)</f>
        <v>1291156679</v>
      </c>
      <c r="Y91" s="140">
        <f>+_xlfn.XLOOKUP(PROYECTOS[[#This Row],[MUNICIPIO]],'4.CAP_ENDMNT'!B:B,'4.CAP_ENDMNT'!H:H,0,0,1)</f>
        <v>12320355879.07</v>
      </c>
      <c r="Z91" s="140">
        <f>+_xlfn.XLOOKUP(PROYECTOS[[#This Row],[MUNICIPIO]],'4.CAP_ENDMNT'!B:B,'4.CAP_ENDMNT'!I:I,0,0,1)</f>
        <v>13611512558.07</v>
      </c>
      <c r="AA91" s="134">
        <f>+_xlfn.XLOOKUP(PROYECTOS[[#This Row],[MUNICIPIO]],'4.CAP_ENDMNT'!B:B,'4.CAP_ENDMNT'!J:J,0,0,1)</f>
        <v>0.37595961635113639</v>
      </c>
      <c r="AB91" s="140">
        <f>+_xlfn.XLOOKUP(PROYECTOS[[#This Row],[MUNICIPIO]],'4.CAP_ENDMNT'!B:B,'4.CAP_ENDMNT'!K:K,0,0,1)</f>
        <v>22593207220.549004</v>
      </c>
      <c r="AC91" s="140">
        <f>+_xlfn.XLOOKUP(PROYECTOS[[#This Row],[MUNICIPIO]],'4.CAP_ENDMNT'!B:B,'4.CAP_ENDMNT'!L:L,0,0,1)</f>
        <v>18074565776.439205</v>
      </c>
      <c r="AD91" s="140">
        <f>+_xlfn.XLOOKUP(PROYECTOS[[#This Row],[MUNICIPIO]],'4.CAP_ENDMNT'!B:B,'4.CAP_ENDMNT'!M:M,0,0,1)</f>
        <v>13555924332.329401</v>
      </c>
      <c r="AE91" s="134">
        <f>+_xlfn.XLOOKUP(PROYECTOS[[#This Row],[MUNICIPIO]],'4.CAP_ENDMNT'!B:B,'4.CAP_ENDMNT'!N:N,0,0,1)</f>
        <v>9.4857692963336279E-2</v>
      </c>
      <c r="AF91" s="134">
        <f>+_xlfn.XLOOKUP(PROYECTOS[[#This Row],[MUNICIPIO]],'4.CAP_ENDMNT'!B:B,'4.CAP_ENDMNT'!O:O,0,0,1)</f>
        <v>0.39053077044629697</v>
      </c>
      <c r="AG91" s="134">
        <f>+_xlfn.XLOOKUP(PROYECTOS[[#This Row],[MUNICIPIO]],'4.CAP_ENDMNT'!B:B,'4.CAP_ENDMNT'!P:P,0,0,1)</f>
        <v>0.8</v>
      </c>
      <c r="AH91" s="44" t="str">
        <f>+_xlfn.XLOOKUP(PROYECTOS[[#This Row],[MUNICIPIO]],'4.CAP_ENDMNT'!B:B,'4.CAP_ENDMNT'!Q:Q,0,0,1)</f>
        <v>Cumple</v>
      </c>
      <c r="AI91" s="139">
        <f>+_xlfn.XLOOKUP(PROYECTOS[[#This Row],[MUNICIPIO]],'4.CAP_ENDMNT'!B:B,'4.CAP_ENDMNT'!V:V,0,0,1)</f>
        <v>2711184866.4658804</v>
      </c>
      <c r="AJ91" s="139">
        <f>+_xlfn.XLOOKUP(PROYECTOS[[#This Row],[MUNICIPIO]],'4.CAP_ENDMNT'!B:B,'4.CAP_ENDMNT'!Y:Y,0,0,1)</f>
        <v>-192411827505.20471</v>
      </c>
      <c r="AK91"/>
      <c r="AL91"/>
      <c r="AM91"/>
    </row>
    <row r="92" spans="1:39">
      <c r="A92" s="44">
        <v>99</v>
      </c>
      <c r="B92" s="37" t="s">
        <v>203</v>
      </c>
      <c r="C92" s="118">
        <f>+_xlfn.XLOOKUP(PROYECTOS[[#This Row],[ID_NECESIDAD]],'1.RADICADOS'!G:G,'1.RADICADOS'!C:C,0,0,1)*1</f>
        <v>45552</v>
      </c>
      <c r="D92" s="46" t="s">
        <v>177</v>
      </c>
      <c r="E92" s="47" t="str">
        <f>+_xlfn.XLOOKUP(PROYECTOS[[#This Row],[MUNICIPIO]],MUNICIPIOS!A:A,MUNICIPIOS!E:E,0,0,1)</f>
        <v>Oriente</v>
      </c>
      <c r="F92" s="44">
        <f>+_xlfn.XLOOKUP(PROYECTOS[[#This Row],[MUNICIPIO]],MUNICIPIOS!A:A,MUNICIPIOS!F:F,0,0,1)</f>
        <v>-75.339344999999994</v>
      </c>
      <c r="G92" s="44" t="str">
        <f>+_xlfn.XLOOKUP(PROYECTOS[[#This Row],[MUNICIPIO]],MUNICIPIOS!A:A,MUNICIPIOS!G:G,0,0,1)</f>
        <v>6,173995</v>
      </c>
      <c r="H92" s="44">
        <f>+_xlfn.XLOOKUP(PROYECTOS[[#This Row],[MUNICIPIO]],MUNICIPIOS!A:A,MUNICIPIOS!B:B,0,0,1)</f>
        <v>0</v>
      </c>
      <c r="I92" s="44">
        <f>+_xlfn.XLOOKUP(PROYECTOS[[#This Row],[MUNICIPIO]],MUNICIPIOS!A:A,MUNICIPIOS!C:C,0,0,1)</f>
        <v>0</v>
      </c>
      <c r="J92" s="3" t="str" cm="1">
        <f t="array" ref="J92">_xlfn.TEXTJOIN(" ", TRUE, IF(radicados[ID PROYECTOS]=A92, radicados[RADICADO], ""))</f>
        <v>2024010426012</v>
      </c>
      <c r="K92" s="45">
        <v>3</v>
      </c>
      <c r="L92" s="48">
        <v>3418472753</v>
      </c>
      <c r="M92" s="34" t="s">
        <v>402</v>
      </c>
      <c r="N92" s="40" t="s">
        <v>1079</v>
      </c>
      <c r="O92" s="40" t="s">
        <v>29</v>
      </c>
      <c r="P92" s="37"/>
      <c r="Q92" s="45"/>
      <c r="R92" s="43"/>
      <c r="S92" s="43"/>
      <c r="T92" s="44">
        <f>+_xlfn.XLOOKUP(PROYECTOS[[#This Row],[MUNICIPIO]],'4.CAP_ENDMNT'!B:B,'4.CAP_ENDMNT'!C:C,0,0,1)</f>
        <v>4</v>
      </c>
      <c r="U92" s="139">
        <f>+_xlfn.XLOOKUP(PROYECTOS[[#This Row],[MUNICIPIO]],'4.CAP_ENDMNT'!B:B,'4.CAP_ENDMNT'!D:D,0,0,1)</f>
        <v>62016835956.019493</v>
      </c>
      <c r="V92" s="140">
        <f>+_xlfn.XLOOKUP(PROYECTOS[[#This Row],[MUNICIPIO]],'4.CAP_ENDMNT'!B:B,'4.CAP_ENDMNT'!E:E,0,0,1)</f>
        <v>25368005936.310001</v>
      </c>
      <c r="W92" s="140">
        <f>+_xlfn.XLOOKUP(PROYECTOS[[#This Row],[MUNICIPIO]],'4.CAP_ENDMNT'!B:B,'4.CAP_ENDMNT'!F:F,0,0,1)</f>
        <v>36648830019.709488</v>
      </c>
      <c r="X92" s="140">
        <f>+_xlfn.XLOOKUP(PROYECTOS[[#This Row],[MUNICIPIO]],'4.CAP_ENDMNT'!B:B,'4.CAP_ENDMNT'!G:G,0,0,1)</f>
        <v>25635932166</v>
      </c>
      <c r="Y92" s="140">
        <f>+_xlfn.XLOOKUP(PROYECTOS[[#This Row],[MUNICIPIO]],'4.CAP_ENDMNT'!B:B,'4.CAP_ENDMNT'!H:H,0,0,1)</f>
        <v>7522176280</v>
      </c>
      <c r="Z92" s="140">
        <f>+_xlfn.XLOOKUP(PROYECTOS[[#This Row],[MUNICIPIO]],'4.CAP_ENDMNT'!B:B,'4.CAP_ENDMNT'!I:I,0,0,1)</f>
        <v>33158108446</v>
      </c>
      <c r="AA92" s="134">
        <f>+_xlfn.XLOOKUP(PROYECTOS[[#This Row],[MUNICIPIO]],'4.CAP_ENDMNT'!B:B,'4.CAP_ENDMNT'!J:J,0,0,1)</f>
        <v>0.53466301424204787</v>
      </c>
      <c r="AB92" s="140">
        <f>+_xlfn.XLOOKUP(PROYECTOS[[#This Row],[MUNICIPIO]],'4.CAP_ENDMNT'!B:B,'4.CAP_ENDMNT'!K:K,0,0,1)</f>
        <v>28858727510.019493</v>
      </c>
      <c r="AC92" s="140">
        <f>+_xlfn.XLOOKUP(PROYECTOS[[#This Row],[MUNICIPIO]],'4.CAP_ENDMNT'!B:B,'4.CAP_ENDMNT'!L:L,0,0,1)</f>
        <v>23086982008.015594</v>
      </c>
      <c r="AD92" s="140">
        <f>+_xlfn.XLOOKUP(PROYECTOS[[#This Row],[MUNICIPIO]],'4.CAP_ENDMNT'!B:B,'4.CAP_ENDMNT'!M:M,0,0,1)</f>
        <v>17315236506.011696</v>
      </c>
      <c r="AE92" s="134">
        <f>+_xlfn.XLOOKUP(PROYECTOS[[#This Row],[MUNICIPIO]],'4.CAP_ENDMNT'!B:B,'4.CAP_ENDMNT'!N:N,0,0,1)</f>
        <v>0.77314217750839676</v>
      </c>
      <c r="AF92" s="134">
        <f>+_xlfn.XLOOKUP(PROYECTOS[[#This Row],[MUNICIPIO]],'4.CAP_ENDMNT'!B:B,'4.CAP_ENDMNT'!O:O,0,0,1)</f>
        <v>0.52777286703387605</v>
      </c>
      <c r="AG92" s="134">
        <f>+_xlfn.XLOOKUP(PROYECTOS[[#This Row],[MUNICIPIO]],'4.CAP_ENDMNT'!B:B,'4.CAP_ENDMNT'!P:P,0,0,1)</f>
        <v>0.8</v>
      </c>
      <c r="AH92" s="44" t="str">
        <f>+_xlfn.XLOOKUP(PROYECTOS[[#This Row],[MUNICIPIO]],'4.CAP_ENDMNT'!B:B,'4.CAP_ENDMNT'!Q:Q,0,0,1)</f>
        <v>Cumple</v>
      </c>
      <c r="AI92" s="139">
        <f>+_xlfn.XLOOKUP(PROYECTOS[[#This Row],[MUNICIPIO]],'4.CAP_ENDMNT'!B:B,'4.CAP_ENDMNT'!V:V,0,0,1)</f>
        <v>3463047301.2023392</v>
      </c>
      <c r="AJ92" s="139">
        <f>+_xlfn.XLOOKUP(PROYECTOS[[#This Row],[MUNICIPIO]],'4.CAP_ENDMNT'!B:B,'4.CAP_ENDMNT'!Y:Y,0,0,1)</f>
        <v>-1514260574754.7859</v>
      </c>
      <c r="AK92"/>
      <c r="AL92"/>
      <c r="AM92"/>
    </row>
    <row r="93" spans="1:39">
      <c r="A93" s="44">
        <v>100</v>
      </c>
      <c r="B93" s="37" t="s">
        <v>205</v>
      </c>
      <c r="C93" s="118">
        <f>+_xlfn.XLOOKUP(PROYECTOS[[#This Row],[ID_NECESIDAD]],'1.RADICADOS'!G:G,'1.RADICADOS'!C:C,0,0,1)*1</f>
        <v>45560</v>
      </c>
      <c r="D93" s="46" t="s">
        <v>170</v>
      </c>
      <c r="E93" s="47" t="str">
        <f>+_xlfn.XLOOKUP(PROYECTOS[[#This Row],[MUNICIPIO]],MUNICIPIOS!A:A,MUNICIPIOS!E:E,0,0,1)</f>
        <v>Bajo Cauca</v>
      </c>
      <c r="F93" s="44">
        <f>+_xlfn.XLOOKUP(PROYECTOS[[#This Row],[MUNICIPIO]],MUNICIPIOS!A:A,MUNICIPIOS!F:F,0,0,1)</f>
        <v>-74.799097000000003</v>
      </c>
      <c r="G93" s="44" t="str">
        <f>+_xlfn.XLOOKUP(PROYECTOS[[#This Row],[MUNICIPIO]],MUNICIPIOS!A:A,MUNICIPIOS!G:G,0,0,1)</f>
        <v>7,5975</v>
      </c>
      <c r="H93" s="44">
        <f>+_xlfn.XLOOKUP(PROYECTOS[[#This Row],[MUNICIPIO]],MUNICIPIOS!A:A,MUNICIPIOS!B:B,0,0,1)</f>
        <v>1</v>
      </c>
      <c r="I93" s="44">
        <f>+_xlfn.XLOOKUP(PROYECTOS[[#This Row],[MUNICIPIO]],MUNICIPIOS!A:A,MUNICIPIOS!C:C,0,0,1)</f>
        <v>1</v>
      </c>
      <c r="J93" s="3" t="str" cm="1">
        <f t="array" ref="J93">_xlfn.TEXTJOIN(" ", TRUE, IF(radicados[ID PROYECTOS]=A93, radicados[RADICADO], ""))</f>
        <v>2024010445837</v>
      </c>
      <c r="K93" s="45">
        <v>3</v>
      </c>
      <c r="L93" s="48">
        <v>3277125031</v>
      </c>
      <c r="M93" s="34" t="s">
        <v>392</v>
      </c>
      <c r="N93" s="40" t="s">
        <v>1079</v>
      </c>
      <c r="O93" s="40" t="s">
        <v>7</v>
      </c>
      <c r="P93" s="37"/>
      <c r="Q93" s="45"/>
      <c r="R93" s="43"/>
      <c r="S93" s="43"/>
      <c r="T93" s="44">
        <f>+_xlfn.XLOOKUP(PROYECTOS[[#This Row],[MUNICIPIO]],'4.CAP_ENDMNT'!B:B,'4.CAP_ENDMNT'!C:C,0,0,1)</f>
        <v>6</v>
      </c>
      <c r="U93" s="139">
        <f>+_xlfn.XLOOKUP(PROYECTOS[[#This Row],[MUNICIPIO]],'4.CAP_ENDMNT'!B:B,'4.CAP_ENDMNT'!D:D,0,0,1)</f>
        <v>50634494381.026505</v>
      </c>
      <c r="V93" s="140">
        <f>+_xlfn.XLOOKUP(PROYECTOS[[#This Row],[MUNICIPIO]],'4.CAP_ENDMNT'!B:B,'4.CAP_ENDMNT'!E:E,0,0,1)</f>
        <v>15839182742.690001</v>
      </c>
      <c r="W93" s="140">
        <f>+_xlfn.XLOOKUP(PROYECTOS[[#This Row],[MUNICIPIO]],'4.CAP_ENDMNT'!B:B,'4.CAP_ENDMNT'!F:F,0,0,1)</f>
        <v>34795311638.336502</v>
      </c>
      <c r="X93" s="140">
        <f>+_xlfn.XLOOKUP(PROYECTOS[[#This Row],[MUNICIPIO]],'4.CAP_ENDMNT'!B:B,'4.CAP_ENDMNT'!G:G,0,0,1)</f>
        <v>67652077</v>
      </c>
      <c r="Y93" s="140">
        <f>+_xlfn.XLOOKUP(PROYECTOS[[#This Row],[MUNICIPIO]],'4.CAP_ENDMNT'!B:B,'4.CAP_ENDMNT'!H:H,0,0,1)</f>
        <v>17477834894.650002</v>
      </c>
      <c r="Z93" s="140">
        <f>+_xlfn.XLOOKUP(PROYECTOS[[#This Row],[MUNICIPIO]],'4.CAP_ENDMNT'!B:B,'4.CAP_ENDMNT'!I:I,0,0,1)</f>
        <v>17545486971.650002</v>
      </c>
      <c r="AA93" s="134">
        <f>+_xlfn.XLOOKUP(PROYECTOS[[#This Row],[MUNICIPIO]],'4.CAP_ENDMNT'!B:B,'4.CAP_ENDMNT'!J:J,0,0,1)</f>
        <v>0.34651253431345719</v>
      </c>
      <c r="AB93" s="140">
        <f>+_xlfn.XLOOKUP(PROYECTOS[[#This Row],[MUNICIPIO]],'4.CAP_ENDMNT'!B:B,'4.CAP_ENDMNT'!K:K,0,0,1)</f>
        <v>33089007409.376503</v>
      </c>
      <c r="AC93" s="140">
        <f>+_xlfn.XLOOKUP(PROYECTOS[[#This Row],[MUNICIPIO]],'4.CAP_ENDMNT'!B:B,'4.CAP_ENDMNT'!L:L,0,0,1)</f>
        <v>26471205927.501205</v>
      </c>
      <c r="AD93" s="140">
        <f>+_xlfn.XLOOKUP(PROYECTOS[[#This Row],[MUNICIPIO]],'4.CAP_ENDMNT'!B:B,'4.CAP_ENDMNT'!M:M,0,0,1)</f>
        <v>19853404445.6259</v>
      </c>
      <c r="AE93" s="134">
        <f>+_xlfn.XLOOKUP(PROYECTOS[[#This Row],[MUNICIPIO]],'4.CAP_ENDMNT'!B:B,'4.CAP_ENDMNT'!N:N,0,0,1)</f>
        <v>3.8558107340829141E-3</v>
      </c>
      <c r="AF93" s="134">
        <f>+_xlfn.XLOOKUP(PROYECTOS[[#This Row],[MUNICIPIO]],'4.CAP_ENDMNT'!B:B,'4.CAP_ENDMNT'!O:O,0,0,1)</f>
        <v>0.40594992695874271</v>
      </c>
      <c r="AG93" s="134">
        <f>+_xlfn.XLOOKUP(PROYECTOS[[#This Row],[MUNICIPIO]],'4.CAP_ENDMNT'!B:B,'4.CAP_ENDMNT'!P:P,0,0,1)</f>
        <v>0.8</v>
      </c>
      <c r="AH93" s="44" t="str">
        <f>+_xlfn.XLOOKUP(PROYECTOS[[#This Row],[MUNICIPIO]],'4.CAP_ENDMNT'!B:B,'4.CAP_ENDMNT'!Q:Q,0,0,1)</f>
        <v>Cumple</v>
      </c>
      <c r="AI93" s="139">
        <f>+_xlfn.XLOOKUP(PROYECTOS[[#This Row],[MUNICIPIO]],'4.CAP_ENDMNT'!B:B,'4.CAP_ENDMNT'!V:V,0,0,1)</f>
        <v>3970680889.1251802</v>
      </c>
      <c r="AJ93" s="139">
        <f>+_xlfn.XLOOKUP(PROYECTOS[[#This Row],[MUNICIPIO]],'4.CAP_ENDMNT'!B:B,'4.CAP_ENDMNT'!Y:Y,0,0,1)</f>
        <v>-9892273308.2489204</v>
      </c>
      <c r="AK93"/>
      <c r="AL93"/>
      <c r="AM93"/>
    </row>
    <row r="94" spans="1:39">
      <c r="A94" s="44">
        <v>101</v>
      </c>
      <c r="B94" s="37" t="s">
        <v>206</v>
      </c>
      <c r="C94" s="118">
        <f>+_xlfn.XLOOKUP(PROYECTOS[[#This Row],[ID_NECESIDAD]],'1.RADICADOS'!G:G,'1.RADICADOS'!C:C,0,0,1)*1</f>
        <v>45520</v>
      </c>
      <c r="D94" s="46" t="s">
        <v>52</v>
      </c>
      <c r="E94" s="47" t="str">
        <f>+_xlfn.XLOOKUP(PROYECTOS[[#This Row],[MUNICIPIO]],MUNICIPIOS!A:A,MUNICIPIOS!E:E,0,0,1)</f>
        <v>Suroeste</v>
      </c>
      <c r="F94" s="44">
        <f>+_xlfn.XLOOKUP(PROYECTOS[[#This Row],[MUNICIPIO]],MUNICIPIOS!A:A,MUNICIPIOS!F:F,0,0,1)</f>
        <v>-75.714428999999996</v>
      </c>
      <c r="G94" s="44">
        <f>+_xlfn.XLOOKUP(PROYECTOS[[#This Row],[MUNICIPIO]],MUNICIPIOS!A:A,MUNICIPIOS!G:G,0,0,1)</f>
        <v>5.6646450000000002</v>
      </c>
      <c r="H94" s="44">
        <f>+_xlfn.XLOOKUP(PROYECTOS[[#This Row],[MUNICIPIO]],MUNICIPIOS!A:A,MUNICIPIOS!B:B,0,0,1)</f>
        <v>0</v>
      </c>
      <c r="I94" s="44">
        <f>+_xlfn.XLOOKUP(PROYECTOS[[#This Row],[MUNICIPIO]],MUNICIPIOS!A:A,MUNICIPIOS!C:C,0,0,1)</f>
        <v>0</v>
      </c>
      <c r="J94" s="3" t="str" cm="1">
        <f t="array" ref="J94">_xlfn.TEXTJOIN(" ", TRUE, IF(radicados[ID PROYECTOS]=A94, radicados[RADICADO], ""))</f>
        <v>2024010371189 2024010432714</v>
      </c>
      <c r="K94" s="45">
        <v>3</v>
      </c>
      <c r="L94" s="48">
        <v>2882732416</v>
      </c>
      <c r="M94" s="34" t="s">
        <v>392</v>
      </c>
      <c r="N94" s="40" t="s">
        <v>1079</v>
      </c>
      <c r="O94" s="40" t="s">
        <v>7</v>
      </c>
      <c r="P94" s="37"/>
      <c r="Q94" s="45"/>
      <c r="R94" s="43"/>
      <c r="S94" s="43"/>
      <c r="T94" s="44">
        <f>+_xlfn.XLOOKUP(PROYECTOS[[#This Row],[MUNICIPIO]],'4.CAP_ENDMNT'!B:B,'4.CAP_ENDMNT'!C:C,0,0,1)</f>
        <v>6</v>
      </c>
      <c r="U94" s="139">
        <f>+_xlfn.XLOOKUP(PROYECTOS[[#This Row],[MUNICIPIO]],'4.CAP_ENDMNT'!B:B,'4.CAP_ENDMNT'!D:D,0,0,1)</f>
        <v>13939577899.640499</v>
      </c>
      <c r="V94" s="140">
        <f>+_xlfn.XLOOKUP(PROYECTOS[[#This Row],[MUNICIPIO]],'4.CAP_ENDMNT'!B:B,'4.CAP_ENDMNT'!E:E,0,0,1)</f>
        <v>5408645166.3600006</v>
      </c>
      <c r="W94" s="140">
        <f>+_xlfn.XLOOKUP(PROYECTOS[[#This Row],[MUNICIPIO]],'4.CAP_ENDMNT'!B:B,'4.CAP_ENDMNT'!F:F,0,0,1)</f>
        <v>8530932733.2804985</v>
      </c>
      <c r="X94" s="140">
        <f>+_xlfn.XLOOKUP(PROYECTOS[[#This Row],[MUNICIPIO]],'4.CAP_ENDMNT'!B:B,'4.CAP_ENDMNT'!G:G,0,0,1)</f>
        <v>2408239973</v>
      </c>
      <c r="Y94" s="140">
        <f>+_xlfn.XLOOKUP(PROYECTOS[[#This Row],[MUNICIPIO]],'4.CAP_ENDMNT'!B:B,'4.CAP_ENDMNT'!H:H,0,0,1)</f>
        <v>812109375</v>
      </c>
      <c r="Z94" s="140">
        <f>+_xlfn.XLOOKUP(PROYECTOS[[#This Row],[MUNICIPIO]],'4.CAP_ENDMNT'!B:B,'4.CAP_ENDMNT'!I:I,0,0,1)</f>
        <v>3220349348</v>
      </c>
      <c r="AA94" s="134">
        <f>+_xlfn.XLOOKUP(PROYECTOS[[#This Row],[MUNICIPIO]],'4.CAP_ENDMNT'!B:B,'4.CAP_ENDMNT'!J:J,0,0,1)</f>
        <v>0.23102201309001277</v>
      </c>
      <c r="AB94" s="140">
        <f>+_xlfn.XLOOKUP(PROYECTOS[[#This Row],[MUNICIPIO]],'4.CAP_ENDMNT'!B:B,'4.CAP_ENDMNT'!K:K,0,0,1)</f>
        <v>10719228551.640499</v>
      </c>
      <c r="AC94" s="140">
        <f>+_xlfn.XLOOKUP(PROYECTOS[[#This Row],[MUNICIPIO]],'4.CAP_ENDMNT'!B:B,'4.CAP_ENDMNT'!L:L,0,0,1)</f>
        <v>8575382841.3123999</v>
      </c>
      <c r="AD94" s="140">
        <f>+_xlfn.XLOOKUP(PROYECTOS[[#This Row],[MUNICIPIO]],'4.CAP_ENDMNT'!B:B,'4.CAP_ENDMNT'!M:M,0,0,1)</f>
        <v>6431537130.9842997</v>
      </c>
      <c r="AE94" s="134">
        <f>+_xlfn.XLOOKUP(PROYECTOS[[#This Row],[MUNICIPIO]],'4.CAP_ENDMNT'!B:B,'4.CAP_ENDMNT'!N:N,0,0,1)</f>
        <v>0.74781947942872684</v>
      </c>
      <c r="AF94" s="134">
        <f>+_xlfn.XLOOKUP(PROYECTOS[[#This Row],[MUNICIPIO]],'4.CAP_ENDMNT'!B:B,'4.CAP_ENDMNT'!O:O,0,0,1)</f>
        <v>0.48148969869574604</v>
      </c>
      <c r="AG94" s="134">
        <f>+_xlfn.XLOOKUP(PROYECTOS[[#This Row],[MUNICIPIO]],'4.CAP_ENDMNT'!B:B,'4.CAP_ENDMNT'!P:P,0,0,1)</f>
        <v>0.8</v>
      </c>
      <c r="AH94" s="44" t="str">
        <f>+_xlfn.XLOOKUP(PROYECTOS[[#This Row],[MUNICIPIO]],'4.CAP_ENDMNT'!B:B,'4.CAP_ENDMNT'!Q:Q,0,0,1)</f>
        <v>Cumple</v>
      </c>
      <c r="AI94" s="139">
        <f>+_xlfn.XLOOKUP(PROYECTOS[[#This Row],[MUNICIPIO]],'4.CAP_ENDMNT'!B:B,'4.CAP_ENDMNT'!V:V,0,0,1)</f>
        <v>1286307426.1968601</v>
      </c>
      <c r="AJ94" s="139">
        <f>+_xlfn.XLOOKUP(PROYECTOS[[#This Row],[MUNICIPIO]],'4.CAP_ENDMNT'!B:B,'4.CAP_ENDMNT'!Y:Y,0,0,1)</f>
        <v>-10772171787.81884</v>
      </c>
      <c r="AK94"/>
      <c r="AL94"/>
      <c r="AM94"/>
    </row>
    <row r="95" spans="1:39">
      <c r="A95" s="44">
        <v>102</v>
      </c>
      <c r="B95" s="37" t="s">
        <v>1387</v>
      </c>
      <c r="C95" s="118">
        <f>+_xlfn.XLOOKUP(PROYECTOS[[#This Row],[ID_NECESIDAD]],'1.RADICADOS'!G:G,'1.RADICADOS'!C:C,0,0,1)*1</f>
        <v>45558</v>
      </c>
      <c r="D95" s="46" t="s">
        <v>113</v>
      </c>
      <c r="E95" s="47" t="str">
        <f>+_xlfn.XLOOKUP(PROYECTOS[[#This Row],[MUNICIPIO]],MUNICIPIOS!A:A,MUNICIPIOS!E:E,0,0,1)</f>
        <v>Oriente</v>
      </c>
      <c r="F95" s="44">
        <f>+_xlfn.XLOOKUP(PROYECTOS[[#This Row],[MUNICIPIO]],MUNICIPIOS!A:A,MUNICIPIOS!F:F,0,0,1)</f>
        <v>-75.101562000000001</v>
      </c>
      <c r="G95" s="44" t="str">
        <f>+_xlfn.XLOOKUP(PROYECTOS[[#This Row],[MUNICIPIO]],MUNICIPIOS!A:A,MUNICIPIOS!G:G,0,0,1)</f>
        <v>5,963476</v>
      </c>
      <c r="H95" s="44">
        <f>+_xlfn.XLOOKUP(PROYECTOS[[#This Row],[MUNICIPIO]],MUNICIPIOS!A:A,MUNICIPIOS!B:B,0,0,1)</f>
        <v>0</v>
      </c>
      <c r="I95" s="44">
        <f>+_xlfn.XLOOKUP(PROYECTOS[[#This Row],[MUNICIPIO]],MUNICIPIOS!A:A,MUNICIPIOS!C:C,0,0,1)</f>
        <v>1</v>
      </c>
      <c r="J95" s="3" t="str" cm="1">
        <f t="array" ref="J95">_xlfn.TEXTJOIN(" ", TRUE, IF(radicados[ID PROYECTOS]=A95, radicados[RADICADO], ""))</f>
        <v>2024010444377</v>
      </c>
      <c r="K95" s="45">
        <v>3</v>
      </c>
      <c r="L95" s="48">
        <v>6559849123</v>
      </c>
      <c r="M95" s="34" t="s">
        <v>288</v>
      </c>
      <c r="N95" s="40" t="s">
        <v>398</v>
      </c>
      <c r="O95" s="40" t="s">
        <v>25</v>
      </c>
      <c r="P95" s="37"/>
      <c r="Q95" s="45">
        <v>1</v>
      </c>
      <c r="R95" s="43" t="s">
        <v>922</v>
      </c>
      <c r="S95" s="43" t="s">
        <v>1618</v>
      </c>
      <c r="T95" s="44">
        <f>+_xlfn.XLOOKUP(PROYECTOS[[#This Row],[MUNICIPIO]],'4.CAP_ENDMNT'!B:B,'4.CAP_ENDMNT'!C:C,0,0,1)</f>
        <v>6</v>
      </c>
      <c r="U95" s="139">
        <f>+_xlfn.XLOOKUP(PROYECTOS[[#This Row],[MUNICIPIO]],'4.CAP_ENDMNT'!B:B,'4.CAP_ENDMNT'!D:D,0,0,1)</f>
        <v>7763487077.335</v>
      </c>
      <c r="V95" s="140">
        <f>+_xlfn.XLOOKUP(PROYECTOS[[#This Row],[MUNICIPIO]],'4.CAP_ENDMNT'!B:B,'4.CAP_ENDMNT'!E:E,0,0,1)</f>
        <v>2329929022.3600001</v>
      </c>
      <c r="W95" s="140">
        <f>+_xlfn.XLOOKUP(PROYECTOS[[#This Row],[MUNICIPIO]],'4.CAP_ENDMNT'!B:B,'4.CAP_ENDMNT'!F:F,0,0,1)</f>
        <v>5433558054.9750004</v>
      </c>
      <c r="X95" s="140">
        <f>+_xlfn.XLOOKUP(PROYECTOS[[#This Row],[MUNICIPIO]],'4.CAP_ENDMNT'!B:B,'4.CAP_ENDMNT'!G:G,0,0,1)</f>
        <v>1217107364.4400001</v>
      </c>
      <c r="Y95" s="140">
        <f>+_xlfn.XLOOKUP(PROYECTOS[[#This Row],[MUNICIPIO]],'4.CAP_ENDMNT'!B:B,'4.CAP_ENDMNT'!H:H,0,0,1)</f>
        <v>0</v>
      </c>
      <c r="Z95" s="140">
        <f>+_xlfn.XLOOKUP(PROYECTOS[[#This Row],[MUNICIPIO]],'4.CAP_ENDMNT'!B:B,'4.CAP_ENDMNT'!I:I,0,0,1)</f>
        <v>1217107364.4400001</v>
      </c>
      <c r="AA95" s="134">
        <f>+_xlfn.XLOOKUP(PROYECTOS[[#This Row],[MUNICIPIO]],'4.CAP_ENDMNT'!B:B,'4.CAP_ENDMNT'!J:J,0,0,1)</f>
        <v>0.15677328400446064</v>
      </c>
      <c r="AB95" s="140">
        <f>+_xlfn.XLOOKUP(PROYECTOS[[#This Row],[MUNICIPIO]],'4.CAP_ENDMNT'!B:B,'4.CAP_ENDMNT'!K:K,0,0,1)</f>
        <v>6546379712.8950005</v>
      </c>
      <c r="AC95" s="140">
        <f>+_xlfn.XLOOKUP(PROYECTOS[[#This Row],[MUNICIPIO]],'4.CAP_ENDMNT'!B:B,'4.CAP_ENDMNT'!L:L,0,0,1)</f>
        <v>5237103770.3160009</v>
      </c>
      <c r="AD95" s="140">
        <f>+_xlfn.XLOOKUP(PROYECTOS[[#This Row],[MUNICIPIO]],'4.CAP_ENDMNT'!B:B,'4.CAP_ENDMNT'!M:M,0,0,1)</f>
        <v>3927827827.737</v>
      </c>
      <c r="AE95" s="134">
        <f>+_xlfn.XLOOKUP(PROYECTOS[[#This Row],[MUNICIPIO]],'4.CAP_ENDMNT'!B:B,'4.CAP_ENDMNT'!N:N,0,0,1)</f>
        <v>1</v>
      </c>
      <c r="AF95" s="134">
        <f>+_xlfn.XLOOKUP(PROYECTOS[[#This Row],[MUNICIPIO]],'4.CAP_ENDMNT'!B:B,'4.CAP_ENDMNT'!O:O,0,0,1)</f>
        <v>0.68141761997590633</v>
      </c>
      <c r="AG95" s="134">
        <f>+_xlfn.XLOOKUP(PROYECTOS[[#This Row],[MUNICIPIO]],'4.CAP_ENDMNT'!B:B,'4.CAP_ENDMNT'!P:P,0,0,1)</f>
        <v>0.8</v>
      </c>
      <c r="AH95" s="44" t="str">
        <f>+_xlfn.XLOOKUP(PROYECTOS[[#This Row],[MUNICIPIO]],'4.CAP_ENDMNT'!B:B,'4.CAP_ENDMNT'!Q:Q,0,0,1)</f>
        <v>Cumple</v>
      </c>
      <c r="AI95" s="139">
        <f>+_xlfn.XLOOKUP(PROYECTOS[[#This Row],[MUNICIPIO]],'4.CAP_ENDMNT'!B:B,'4.CAP_ENDMNT'!V:V,0,0,1)</f>
        <v>785565565.5474</v>
      </c>
      <c r="AJ95" s="139">
        <f>+_xlfn.XLOOKUP(PROYECTOS[[#This Row],[MUNICIPIO]],'4.CAP_ENDMNT'!B:B,'4.CAP_ENDMNT'!Y:Y,0,0,1)</f>
        <v>-10352204929.605598</v>
      </c>
      <c r="AK95"/>
      <c r="AL95"/>
      <c r="AM95"/>
    </row>
    <row r="96" spans="1:39">
      <c r="A96" s="44">
        <v>103</v>
      </c>
      <c r="B96" s="37" t="s">
        <v>1388</v>
      </c>
      <c r="C96" s="118">
        <f>+_xlfn.XLOOKUP(PROYECTOS[[#This Row],[ID_NECESIDAD]],'1.RADICADOS'!G:G,'1.RADICADOS'!C:C,0,0,1)*1</f>
        <v>45565</v>
      </c>
      <c r="D96" s="46" t="s">
        <v>209</v>
      </c>
      <c r="E96" s="47" t="str">
        <f>+_xlfn.XLOOKUP(PROYECTOS[[#This Row],[MUNICIPIO]],MUNICIPIOS!A:A,MUNICIPIOS!E:E,0,0,1)</f>
        <v>Norte</v>
      </c>
      <c r="F96" s="44">
        <f>+_xlfn.XLOOKUP(PROYECTOS[[#This Row],[MUNICIPIO]],MUNICIPIOS!A:A,MUNICIPIOS!F:F,0,0,1)</f>
        <v>-75.439273999999997</v>
      </c>
      <c r="G96" s="44">
        <f>+_xlfn.XLOOKUP(PROYECTOS[[#This Row],[MUNICIPIO]],MUNICIPIOS!A:A,MUNICIPIOS!G:G,0,0,1)</f>
        <v>7.1651999999999996</v>
      </c>
      <c r="H96" s="44">
        <f>+_xlfn.XLOOKUP(PROYECTOS[[#This Row],[MUNICIPIO]],MUNICIPIOS!A:A,MUNICIPIOS!B:B,0,0,1)</f>
        <v>1</v>
      </c>
      <c r="I96" s="44">
        <f>+_xlfn.XLOOKUP(PROYECTOS[[#This Row],[MUNICIPIO]],MUNICIPIOS!A:A,MUNICIPIOS!C:C,0,0,1)</f>
        <v>1</v>
      </c>
      <c r="J96" s="3" t="str" cm="1">
        <f t="array" ref="J96">_xlfn.TEXTJOIN(" ", TRUE, IF(radicados[ID PROYECTOS]=A96, radicados[RADICADO], ""))</f>
        <v>2024010445251</v>
      </c>
      <c r="K96" s="45">
        <v>3</v>
      </c>
      <c r="L96" s="48">
        <v>2715816249</v>
      </c>
      <c r="M96" s="34" t="s">
        <v>288</v>
      </c>
      <c r="N96" s="34" t="s">
        <v>398</v>
      </c>
      <c r="O96" s="34" t="s">
        <v>25</v>
      </c>
      <c r="P96" s="37"/>
      <c r="Q96" s="45"/>
      <c r="R96" s="43"/>
      <c r="S96" s="43"/>
      <c r="T96" s="44">
        <f>+_xlfn.XLOOKUP(PROYECTOS[[#This Row],[MUNICIPIO]],'4.CAP_ENDMNT'!B:B,'4.CAP_ENDMNT'!C:C,0,0,1)</f>
        <v>6</v>
      </c>
      <c r="U96" s="139">
        <f>+_xlfn.XLOOKUP(PROYECTOS[[#This Row],[MUNICIPIO]],'4.CAP_ENDMNT'!B:B,'4.CAP_ENDMNT'!D:D,0,0,1)</f>
        <v>13037566833.207003</v>
      </c>
      <c r="V96" s="140">
        <f>+_xlfn.XLOOKUP(PROYECTOS[[#This Row],[MUNICIPIO]],'4.CAP_ENDMNT'!B:B,'4.CAP_ENDMNT'!E:E,0,0,1)</f>
        <v>3869989518.3099999</v>
      </c>
      <c r="W96" s="140">
        <f>+_xlfn.XLOOKUP(PROYECTOS[[#This Row],[MUNICIPIO]],'4.CAP_ENDMNT'!B:B,'4.CAP_ENDMNT'!F:F,0,0,1)</f>
        <v>9167577314.8970032</v>
      </c>
      <c r="X96" s="140">
        <f>+_xlfn.XLOOKUP(PROYECTOS[[#This Row],[MUNICIPIO]],'4.CAP_ENDMNT'!B:B,'4.CAP_ENDMNT'!G:G,0,0,1)</f>
        <v>3761583922</v>
      </c>
      <c r="Y96" s="140">
        <f>+_xlfn.XLOOKUP(PROYECTOS[[#This Row],[MUNICIPIO]],'4.CAP_ENDMNT'!B:B,'4.CAP_ENDMNT'!H:H,0,0,1)</f>
        <v>0</v>
      </c>
      <c r="Z96" s="140">
        <f>+_xlfn.XLOOKUP(PROYECTOS[[#This Row],[MUNICIPIO]],'4.CAP_ENDMNT'!B:B,'4.CAP_ENDMNT'!I:I,0,0,1)</f>
        <v>3761583922</v>
      </c>
      <c r="AA96" s="134">
        <f>+_xlfn.XLOOKUP(PROYECTOS[[#This Row],[MUNICIPIO]],'4.CAP_ENDMNT'!B:B,'4.CAP_ENDMNT'!J:J,0,0,1)</f>
        <v>0.28851886016178674</v>
      </c>
      <c r="AB96" s="140">
        <f>+_xlfn.XLOOKUP(PROYECTOS[[#This Row],[MUNICIPIO]],'4.CAP_ENDMNT'!B:B,'4.CAP_ENDMNT'!K:K,0,0,1)</f>
        <v>9275982911.2070026</v>
      </c>
      <c r="AC96" s="140">
        <f>+_xlfn.XLOOKUP(PROYECTOS[[#This Row],[MUNICIPIO]],'4.CAP_ENDMNT'!B:B,'4.CAP_ENDMNT'!L:L,0,0,1)</f>
        <v>7420786328.9656029</v>
      </c>
      <c r="AD96" s="140">
        <f>+_xlfn.XLOOKUP(PROYECTOS[[#This Row],[MUNICIPIO]],'4.CAP_ENDMNT'!B:B,'4.CAP_ENDMNT'!M:M,0,0,1)</f>
        <v>5565589746.7242012</v>
      </c>
      <c r="AE96" s="134">
        <f>+_xlfn.XLOOKUP(PROYECTOS[[#This Row],[MUNICIPIO]],'4.CAP_ENDMNT'!B:B,'4.CAP_ENDMNT'!N:N,0,0,1)</f>
        <v>1</v>
      </c>
      <c r="AF96" s="134">
        <f>+_xlfn.XLOOKUP(PROYECTOS[[#This Row],[MUNICIPIO]],'4.CAP_ENDMNT'!B:B,'4.CAP_ENDMNT'!O:O,0,0,1)</f>
        <v>0.55776534569064784</v>
      </c>
      <c r="AG96" s="134">
        <f>+_xlfn.XLOOKUP(PROYECTOS[[#This Row],[MUNICIPIO]],'4.CAP_ENDMNT'!B:B,'4.CAP_ENDMNT'!P:P,0,0,1)</f>
        <v>0.8</v>
      </c>
      <c r="AH96" s="44" t="str">
        <f>+_xlfn.XLOOKUP(PROYECTOS[[#This Row],[MUNICIPIO]],'4.CAP_ENDMNT'!B:B,'4.CAP_ENDMNT'!Q:Q,0,0,1)</f>
        <v>Cumple</v>
      </c>
      <c r="AI96" s="139">
        <f>+_xlfn.XLOOKUP(PROYECTOS[[#This Row],[MUNICIPIO]],'4.CAP_ENDMNT'!B:B,'4.CAP_ENDMNT'!V:V,0,0,1)</f>
        <v>1113117949.3448403</v>
      </c>
      <c r="AJ96" s="139">
        <f>+_xlfn.XLOOKUP(PROYECTOS[[#This Row],[MUNICIPIO]],'4.CAP_ENDMNT'!B:B,'4.CAP_ENDMNT'!Y:Y,0,0,1)</f>
        <v>-623173287.21095943</v>
      </c>
      <c r="AK96"/>
      <c r="AL96"/>
      <c r="AM96"/>
    </row>
    <row r="97" spans="1:39">
      <c r="A97" s="44">
        <v>104</v>
      </c>
      <c r="B97" s="37" t="s">
        <v>1588</v>
      </c>
      <c r="C97" s="118">
        <f>+_xlfn.XLOOKUP(PROYECTOS[[#This Row],[ID_NECESIDAD]],'1.RADICADOS'!G:G,'1.RADICADOS'!C:C,0,0,1)*1</f>
        <v>45565</v>
      </c>
      <c r="D97" s="46" t="s">
        <v>211</v>
      </c>
      <c r="E97" s="47" t="str">
        <f>+_xlfn.XLOOKUP(PROYECTOS[[#This Row],[MUNICIPIO]],MUNICIPIOS!A:A,MUNICIPIOS!E:E,0,0,1)</f>
        <v>Oriente</v>
      </c>
      <c r="F97" s="44">
        <f>+_xlfn.XLOOKUP(PROYECTOS[[#This Row],[MUNICIPIO]],MUNICIPIOS!A:A,MUNICIPIOS!F:F,0,0,1)</f>
        <v>-75.333900999999997</v>
      </c>
      <c r="G97" s="44" t="str">
        <f>+_xlfn.XLOOKUP(PROYECTOS[[#This Row],[MUNICIPIO]],MUNICIPIOS!A:A,MUNICIPIOS!G:G,0,0,1)</f>
        <v>6,082885</v>
      </c>
      <c r="H97" s="44">
        <f>+_xlfn.XLOOKUP(PROYECTOS[[#This Row],[MUNICIPIO]],MUNICIPIOS!A:A,MUNICIPIOS!B:B,0,0,1)</f>
        <v>0</v>
      </c>
      <c r="I97" s="44">
        <f>+_xlfn.XLOOKUP(PROYECTOS[[#This Row],[MUNICIPIO]],MUNICIPIOS!A:A,MUNICIPIOS!C:C,0,0,1)</f>
        <v>0</v>
      </c>
      <c r="J97" s="3" t="str" cm="1">
        <f t="array" ref="J97">_xlfn.TEXTJOIN(" ", TRUE, IF(radicados[ID PROYECTOS]=A97, radicados[RADICADO], ""))</f>
        <v>2024010446606</v>
      </c>
      <c r="K97" s="45">
        <v>3</v>
      </c>
      <c r="L97" s="48">
        <v>2747763151</v>
      </c>
      <c r="M97" s="34" t="s">
        <v>288</v>
      </c>
      <c r="N97" s="34" t="s">
        <v>398</v>
      </c>
      <c r="O97" s="34" t="s">
        <v>25</v>
      </c>
      <c r="P97" s="37"/>
      <c r="Q97" s="45">
        <v>1</v>
      </c>
      <c r="R97" s="43" t="s">
        <v>922</v>
      </c>
      <c r="S97" s="43" t="s">
        <v>1639</v>
      </c>
      <c r="T97" s="44">
        <f>+_xlfn.XLOOKUP(PROYECTOS[[#This Row],[MUNICIPIO]],'4.CAP_ENDMNT'!B:B,'4.CAP_ENDMNT'!C:C,0,0,1)</f>
        <v>3</v>
      </c>
      <c r="U97" s="139">
        <f>+_xlfn.XLOOKUP(PROYECTOS[[#This Row],[MUNICIPIO]],'4.CAP_ENDMNT'!B:B,'4.CAP_ENDMNT'!D:D,0,0,1)</f>
        <v>70430942311.208496</v>
      </c>
      <c r="V97" s="140">
        <f>+_xlfn.XLOOKUP(PROYECTOS[[#This Row],[MUNICIPIO]],'4.CAP_ENDMNT'!B:B,'4.CAP_ENDMNT'!E:E,0,0,1)</f>
        <v>29041990033.869999</v>
      </c>
      <c r="W97" s="140">
        <f>+_xlfn.XLOOKUP(PROYECTOS[[#This Row],[MUNICIPIO]],'4.CAP_ENDMNT'!B:B,'4.CAP_ENDMNT'!F:F,0,0,1)</f>
        <v>41388952277.338501</v>
      </c>
      <c r="X97" s="140">
        <f>+_xlfn.XLOOKUP(PROYECTOS[[#This Row],[MUNICIPIO]],'4.CAP_ENDMNT'!B:B,'4.CAP_ENDMNT'!G:G,0,0,1)</f>
        <v>14609948257</v>
      </c>
      <c r="Y97" s="140">
        <f>+_xlfn.XLOOKUP(PROYECTOS[[#This Row],[MUNICIPIO]],'4.CAP_ENDMNT'!B:B,'4.CAP_ENDMNT'!H:H,0,0,1)</f>
        <v>2802411494.09375</v>
      </c>
      <c r="Z97" s="140">
        <f>+_xlfn.XLOOKUP(PROYECTOS[[#This Row],[MUNICIPIO]],'4.CAP_ENDMNT'!B:B,'4.CAP_ENDMNT'!I:I,0,0,1)</f>
        <v>17412359751.09375</v>
      </c>
      <c r="AA97" s="134">
        <f>+_xlfn.XLOOKUP(PROYECTOS[[#This Row],[MUNICIPIO]],'4.CAP_ENDMNT'!B:B,'4.CAP_ENDMNT'!J:J,0,0,1)</f>
        <v>0.24722599442379914</v>
      </c>
      <c r="AB97" s="140">
        <f>+_xlfn.XLOOKUP(PROYECTOS[[#This Row],[MUNICIPIO]],'4.CAP_ENDMNT'!B:B,'4.CAP_ENDMNT'!K:K,0,0,1)</f>
        <v>53018582560.114746</v>
      </c>
      <c r="AC97" s="140">
        <f>+_xlfn.XLOOKUP(PROYECTOS[[#This Row],[MUNICIPIO]],'4.CAP_ENDMNT'!B:B,'4.CAP_ENDMNT'!L:L,0,0,1)</f>
        <v>42414866048.091797</v>
      </c>
      <c r="AD97" s="140">
        <f>+_xlfn.XLOOKUP(PROYECTOS[[#This Row],[MUNICIPIO]],'4.CAP_ENDMNT'!B:B,'4.CAP_ENDMNT'!M:M,0,0,1)</f>
        <v>31811149536.068848</v>
      </c>
      <c r="AE97" s="134">
        <f>+_xlfn.XLOOKUP(PROYECTOS[[#This Row],[MUNICIPIO]],'4.CAP_ENDMNT'!B:B,'4.CAP_ENDMNT'!N:N,0,0,1)</f>
        <v>0.83905619145516919</v>
      </c>
      <c r="AF97" s="134">
        <f>+_xlfn.XLOOKUP(PROYECTOS[[#This Row],[MUNICIPIO]],'4.CAP_ENDMNT'!B:B,'4.CAP_ENDMNT'!O:O,0,0,1)</f>
        <v>0.45782837875910809</v>
      </c>
      <c r="AG97" s="134">
        <f>+_xlfn.XLOOKUP(PROYECTOS[[#This Row],[MUNICIPIO]],'4.CAP_ENDMNT'!B:B,'4.CAP_ENDMNT'!P:P,0,0,1)</f>
        <v>0.7</v>
      </c>
      <c r="AH97" s="44" t="str">
        <f>+_xlfn.XLOOKUP(PROYECTOS[[#This Row],[MUNICIPIO]],'4.CAP_ENDMNT'!B:B,'4.CAP_ENDMNT'!Q:Q,0,0,1)</f>
        <v>Cumple</v>
      </c>
      <c r="AI97" s="139">
        <f>+_xlfn.XLOOKUP(PROYECTOS[[#This Row],[MUNICIPIO]],'4.CAP_ENDMNT'!B:B,'4.CAP_ENDMNT'!V:V,0,0,1)</f>
        <v>6362229907.2137699</v>
      </c>
      <c r="AJ97" s="139">
        <f>+_xlfn.XLOOKUP(PROYECTOS[[#This Row],[MUNICIPIO]],'4.CAP_ENDMNT'!B:B,'4.CAP_ENDMNT'!Y:Y,0,0,1)</f>
        <v>28993841225.282616</v>
      </c>
      <c r="AK97"/>
      <c r="AL97"/>
      <c r="AM97"/>
    </row>
    <row r="98" spans="1:39">
      <c r="A98" s="44">
        <v>105</v>
      </c>
      <c r="B98" s="37" t="s">
        <v>1389</v>
      </c>
      <c r="C98" s="118">
        <f>+_xlfn.XLOOKUP(PROYECTOS[[#This Row],[ID_NECESIDAD]],'1.RADICADOS'!G:G,'1.RADICADOS'!C:C,0,0,1)*1</f>
        <v>45301</v>
      </c>
      <c r="D98" s="46" t="s">
        <v>191</v>
      </c>
      <c r="E98" s="47" t="str">
        <f>+_xlfn.XLOOKUP(PROYECTOS[[#This Row],[MUNICIPIO]],MUNICIPIOS!A:A,MUNICIPIOS!E:E,0,0,1)</f>
        <v>Bajo Cauca</v>
      </c>
      <c r="F98" s="44">
        <f>+_xlfn.XLOOKUP(PROYECTOS[[#This Row],[MUNICIPIO]],MUNICIPIOS!A:A,MUNICIPIOS!F:F,0,0,1)</f>
        <v>-75.352050000000006</v>
      </c>
      <c r="G98" s="44" t="str">
        <f>+_xlfn.XLOOKUP(PROYECTOS[[#This Row],[MUNICIPIO]],MUNICIPIOS!A:A,MUNICIPIOS!G:G,0,0,1)</f>
        <v>7,578366</v>
      </c>
      <c r="H98" s="44">
        <f>+_xlfn.XLOOKUP(PROYECTOS[[#This Row],[MUNICIPIO]],MUNICIPIOS!A:A,MUNICIPIOS!B:B,0,0,1)</f>
        <v>1</v>
      </c>
      <c r="I98" s="44">
        <f>+_xlfn.XLOOKUP(PROYECTOS[[#This Row],[MUNICIPIO]],MUNICIPIOS!A:A,MUNICIPIOS!C:C,0,0,1)</f>
        <v>1</v>
      </c>
      <c r="J98" s="3" t="str" cm="1">
        <f t="array" ref="J98">_xlfn.TEXTJOIN(" ", TRUE, IF(radicados[ID PROYECTOS]=A98, radicados[RADICADO], ""))</f>
        <v>2024010463584</v>
      </c>
      <c r="K98" s="45">
        <v>3</v>
      </c>
      <c r="L98" s="48">
        <v>320150938804</v>
      </c>
      <c r="M98" s="34" t="s">
        <v>401</v>
      </c>
      <c r="N98" s="34" t="s">
        <v>394</v>
      </c>
      <c r="O98" s="34" t="s">
        <v>18</v>
      </c>
      <c r="P98" s="37"/>
      <c r="Q98" s="45"/>
      <c r="R98" s="43"/>
      <c r="S98" s="43"/>
      <c r="T98" s="44">
        <f>+_xlfn.XLOOKUP(PROYECTOS[[#This Row],[MUNICIPIO]],'4.CAP_ENDMNT'!B:B,'4.CAP_ENDMNT'!C:C,0,0,1)</f>
        <v>6</v>
      </c>
      <c r="U98" s="139">
        <f>+_xlfn.XLOOKUP(PROYECTOS[[#This Row],[MUNICIPIO]],'4.CAP_ENDMNT'!B:B,'4.CAP_ENDMNT'!D:D,0,0,1)</f>
        <v>16341381522.362501</v>
      </c>
      <c r="V98" s="140">
        <f>+_xlfn.XLOOKUP(PROYECTOS[[#This Row],[MUNICIPIO]],'4.CAP_ENDMNT'!B:B,'4.CAP_ENDMNT'!E:E,0,0,1)</f>
        <v>6183321664.5100002</v>
      </c>
      <c r="W98" s="140">
        <f>+_xlfn.XLOOKUP(PROYECTOS[[#This Row],[MUNICIPIO]],'4.CAP_ENDMNT'!B:B,'4.CAP_ENDMNT'!F:F,0,0,1)</f>
        <v>10158059857.852501</v>
      </c>
      <c r="X98" s="140">
        <f>+_xlfn.XLOOKUP(PROYECTOS[[#This Row],[MUNICIPIO]],'4.CAP_ENDMNT'!B:B,'4.CAP_ENDMNT'!G:G,0,0,1)</f>
        <v>3504148016</v>
      </c>
      <c r="Y98" s="140">
        <f>+_xlfn.XLOOKUP(PROYECTOS[[#This Row],[MUNICIPIO]],'4.CAP_ENDMNT'!B:B,'4.CAP_ENDMNT'!H:H,0,0,1)</f>
        <v>5476192157</v>
      </c>
      <c r="Z98" s="140">
        <f>+_xlfn.XLOOKUP(PROYECTOS[[#This Row],[MUNICIPIO]],'4.CAP_ENDMNT'!B:B,'4.CAP_ENDMNT'!I:I,0,0,1)</f>
        <v>8980340173</v>
      </c>
      <c r="AA98" s="134">
        <f>+_xlfn.XLOOKUP(PROYECTOS[[#This Row],[MUNICIPIO]],'4.CAP_ENDMNT'!B:B,'4.CAP_ENDMNT'!J:J,0,0,1)</f>
        <v>0.54954595856603539</v>
      </c>
      <c r="AB98" s="140">
        <f>+_xlfn.XLOOKUP(PROYECTOS[[#This Row],[MUNICIPIO]],'4.CAP_ENDMNT'!B:B,'4.CAP_ENDMNT'!K:K,0,0,1)</f>
        <v>7361041349.3625011</v>
      </c>
      <c r="AC98" s="140">
        <f>+_xlfn.XLOOKUP(PROYECTOS[[#This Row],[MUNICIPIO]],'4.CAP_ENDMNT'!B:B,'4.CAP_ENDMNT'!L:L,0,0,1)</f>
        <v>5888833079.4900017</v>
      </c>
      <c r="AD98" s="140">
        <f>+_xlfn.XLOOKUP(PROYECTOS[[#This Row],[MUNICIPIO]],'4.CAP_ENDMNT'!B:B,'4.CAP_ENDMNT'!M:M,0,0,1)</f>
        <v>4416624809.6175003</v>
      </c>
      <c r="AE98" s="134">
        <f>+_xlfn.XLOOKUP(PROYECTOS[[#This Row],[MUNICIPIO]],'4.CAP_ENDMNT'!B:B,'4.CAP_ENDMNT'!N:N,0,0,1)</f>
        <v>0.39020214696715588</v>
      </c>
      <c r="AF98" s="134">
        <f>+_xlfn.XLOOKUP(PROYECTOS[[#This Row],[MUNICIPIO]],'4.CAP_ENDMNT'!B:B,'4.CAP_ENDMNT'!O:O,0,0,1)</f>
        <v>0.6661172152696142</v>
      </c>
      <c r="AG98" s="134">
        <f>+_xlfn.XLOOKUP(PROYECTOS[[#This Row],[MUNICIPIO]],'4.CAP_ENDMNT'!B:B,'4.CAP_ENDMNT'!P:P,0,0,1)</f>
        <v>0.8</v>
      </c>
      <c r="AH98" s="44" t="str">
        <f>+_xlfn.XLOOKUP(PROYECTOS[[#This Row],[MUNICIPIO]],'4.CAP_ENDMNT'!B:B,'4.CAP_ENDMNT'!Q:Q,0,0,1)</f>
        <v>Cumple</v>
      </c>
      <c r="AI98" s="139">
        <f>+_xlfn.XLOOKUP(PROYECTOS[[#This Row],[MUNICIPIO]],'4.CAP_ENDMNT'!B:B,'4.CAP_ENDMNT'!V:V,0,0,1)</f>
        <v>883324961.92350006</v>
      </c>
      <c r="AJ98" s="139">
        <f>+_xlfn.XLOOKUP(PROYECTOS[[#This Row],[MUNICIPIO]],'4.CAP_ENDMNT'!B:B,'4.CAP_ENDMNT'!Y:Y,0,0,1)</f>
        <v>-321308282411.45898</v>
      </c>
      <c r="AK98"/>
      <c r="AL98"/>
      <c r="AM98"/>
    </row>
    <row r="99" spans="1:39">
      <c r="A99" s="44">
        <v>106</v>
      </c>
      <c r="B99" s="37" t="s">
        <v>420</v>
      </c>
      <c r="C99" s="118">
        <f>+_xlfn.XLOOKUP(PROYECTOS[[#This Row],[ID_NECESIDAD]],'1.RADICADOS'!G:G,'1.RADICADOS'!C:C,0,0,1)*1</f>
        <v>45606</v>
      </c>
      <c r="D99" s="46" t="s">
        <v>214</v>
      </c>
      <c r="E99" s="47" t="str">
        <f>+_xlfn.XLOOKUP(PROYECTOS[[#This Row],[MUNICIPIO]],MUNICIPIOS!A:A,MUNICIPIOS!E:E,0,0,1)</f>
        <v>Occidente</v>
      </c>
      <c r="F99" s="44">
        <f>+_xlfn.XLOOKUP(PROYECTOS[[#This Row],[MUNICIPIO]],MUNICIPIOS!A:A,MUNICIPIOS!F:F,0,0,1)</f>
        <v>-75.812837999999999</v>
      </c>
      <c r="G99" s="44" t="str">
        <f>+_xlfn.XLOOKUP(PROYECTOS[[#This Row],[MUNICIPIO]],MUNICIPIOS!A:A,MUNICIPIOS!G:G,0,0,1)</f>
        <v>6,677316</v>
      </c>
      <c r="H99" s="44">
        <f>+_xlfn.XLOOKUP(PROYECTOS[[#This Row],[MUNICIPIO]],MUNICIPIOS!A:A,MUNICIPIOS!B:B,0,0,1)</f>
        <v>0</v>
      </c>
      <c r="I99" s="44">
        <f>+_xlfn.XLOOKUP(PROYECTOS[[#This Row],[MUNICIPIO]],MUNICIPIOS!A:A,MUNICIPIOS!C:C,0,0,1)</f>
        <v>0</v>
      </c>
      <c r="J99" s="3" t="str" cm="1">
        <f t="array" ref="J99">_xlfn.TEXTJOIN(" ", TRUE, IF(radicados[ID PROYECTOS]=A99, radicados[RADICADO], ""))</f>
        <v>2024010464392</v>
      </c>
      <c r="K99" s="45">
        <v>2</v>
      </c>
      <c r="L99" s="48"/>
      <c r="M99" s="34" t="s">
        <v>401</v>
      </c>
      <c r="N99" s="34" t="s">
        <v>398</v>
      </c>
      <c r="O99" s="34" t="s">
        <v>25</v>
      </c>
      <c r="P99" s="37" t="s">
        <v>954</v>
      </c>
      <c r="Q99" s="45"/>
      <c r="R99" s="43"/>
      <c r="S99" s="43"/>
      <c r="T99" s="44">
        <f>+_xlfn.XLOOKUP(PROYECTOS[[#This Row],[MUNICIPIO]],'4.CAP_ENDMNT'!B:B,'4.CAP_ENDMNT'!C:C,0,0,1)</f>
        <v>6</v>
      </c>
      <c r="U99" s="139">
        <f>+_xlfn.XLOOKUP(PROYECTOS[[#This Row],[MUNICIPIO]],'4.CAP_ENDMNT'!B:B,'4.CAP_ENDMNT'!D:D,0,0,1)</f>
        <v>8030428413.9210014</v>
      </c>
      <c r="V99" s="140">
        <f>+_xlfn.XLOOKUP(PROYECTOS[[#This Row],[MUNICIPIO]],'4.CAP_ENDMNT'!B:B,'4.CAP_ENDMNT'!E:E,0,0,1)</f>
        <v>3080588699.4500003</v>
      </c>
      <c r="W99" s="140">
        <f>+_xlfn.XLOOKUP(PROYECTOS[[#This Row],[MUNICIPIO]],'4.CAP_ENDMNT'!B:B,'4.CAP_ENDMNT'!F:F,0,0,1)</f>
        <v>4949839714.4710007</v>
      </c>
      <c r="X99" s="140">
        <f>+_xlfn.XLOOKUP(PROYECTOS[[#This Row],[MUNICIPIO]],'4.CAP_ENDMNT'!B:B,'4.CAP_ENDMNT'!G:G,0,0,1)</f>
        <v>1577607418.01</v>
      </c>
      <c r="Y99" s="140">
        <f>+_xlfn.XLOOKUP(PROYECTOS[[#This Row],[MUNICIPIO]],'4.CAP_ENDMNT'!B:B,'4.CAP_ENDMNT'!H:H,0,0,1)</f>
        <v>1800000000</v>
      </c>
      <c r="Z99" s="140">
        <f>+_xlfn.XLOOKUP(PROYECTOS[[#This Row],[MUNICIPIO]],'4.CAP_ENDMNT'!B:B,'4.CAP_ENDMNT'!I:I,0,0,1)</f>
        <v>3377607418.0100002</v>
      </c>
      <c r="AA99" s="134">
        <f>+_xlfn.XLOOKUP(PROYECTOS[[#This Row],[MUNICIPIO]],'4.CAP_ENDMNT'!B:B,'4.CAP_ENDMNT'!J:J,0,0,1)</f>
        <v>0.42060114901900014</v>
      </c>
      <c r="AB99" s="140">
        <f>+_xlfn.XLOOKUP(PROYECTOS[[#This Row],[MUNICIPIO]],'4.CAP_ENDMNT'!B:B,'4.CAP_ENDMNT'!K:K,0,0,1)</f>
        <v>4652820995.9110012</v>
      </c>
      <c r="AC99" s="140">
        <f>+_xlfn.XLOOKUP(PROYECTOS[[#This Row],[MUNICIPIO]],'4.CAP_ENDMNT'!B:B,'4.CAP_ENDMNT'!L:L,0,0,1)</f>
        <v>3722256796.7288013</v>
      </c>
      <c r="AD99" s="140">
        <f>+_xlfn.XLOOKUP(PROYECTOS[[#This Row],[MUNICIPIO]],'4.CAP_ENDMNT'!B:B,'4.CAP_ENDMNT'!M:M,0,0,1)</f>
        <v>2791692597.5466008</v>
      </c>
      <c r="AE99" s="134">
        <f>+_xlfn.XLOOKUP(PROYECTOS[[#This Row],[MUNICIPIO]],'4.CAP_ENDMNT'!B:B,'4.CAP_ENDMNT'!N:N,0,0,1)</f>
        <v>0.46707838501239612</v>
      </c>
      <c r="AF99" s="134">
        <f>+_xlfn.XLOOKUP(PROYECTOS[[#This Row],[MUNICIPIO]],'4.CAP_ENDMNT'!B:B,'4.CAP_ENDMNT'!O:O,0,0,1)</f>
        <v>0.73590701114566914</v>
      </c>
      <c r="AG99" s="134">
        <f>+_xlfn.XLOOKUP(PROYECTOS[[#This Row],[MUNICIPIO]],'4.CAP_ENDMNT'!B:B,'4.CAP_ENDMNT'!P:P,0,0,1)</f>
        <v>0.8</v>
      </c>
      <c r="AH99" s="44" t="str">
        <f>+_xlfn.XLOOKUP(PROYECTOS[[#This Row],[MUNICIPIO]],'4.CAP_ENDMNT'!B:B,'4.CAP_ENDMNT'!Q:Q,0,0,1)</f>
        <v>Cumple</v>
      </c>
      <c r="AI99" s="139">
        <f>+_xlfn.XLOOKUP(PROYECTOS[[#This Row],[MUNICIPIO]],'4.CAP_ENDMNT'!B:B,'4.CAP_ENDMNT'!V:V,0,0,1)</f>
        <v>558338519.50932014</v>
      </c>
      <c r="AJ99" s="139">
        <f>+_xlfn.XLOOKUP(PROYECTOS[[#This Row],[MUNICIPIO]],'4.CAP_ENDMNT'!B:B,'4.CAP_ENDMNT'!Y:Y,0,0,1)</f>
        <v>-4580433251.9440784</v>
      </c>
      <c r="AK99"/>
      <c r="AL99"/>
      <c r="AM99"/>
    </row>
    <row r="100" spans="1:39">
      <c r="A100" s="44">
        <v>107</v>
      </c>
      <c r="B100" s="37" t="s">
        <v>421</v>
      </c>
      <c r="C100" s="118">
        <f>+_xlfn.XLOOKUP(PROYECTOS[[#This Row],[ID_NECESIDAD]],'1.RADICADOS'!G:G,'1.RADICADOS'!C:C,0,0,1)*1</f>
        <v>45545</v>
      </c>
      <c r="D100" s="46" t="s">
        <v>216</v>
      </c>
      <c r="E100" s="47" t="str">
        <f>+_xlfn.XLOOKUP(PROYECTOS[[#This Row],[MUNICIPIO]],MUNICIPIOS!A:A,MUNICIPIOS!E:E,0,0,1)</f>
        <v>Suroeste</v>
      </c>
      <c r="F100" s="44">
        <f>+_xlfn.XLOOKUP(PROYECTOS[[#This Row],[MUNICIPIO]],MUNICIPIOS!A:A,MUNICIPIOS!F:F,0,0,1)</f>
        <v>-75.878827999999999</v>
      </c>
      <c r="G100" s="44" t="str">
        <f>+_xlfn.XLOOKUP(PROYECTOS[[#This Row],[MUNICIPIO]],MUNICIPIOS!A:A,MUNICIPIOS!G:G,0,0,1)</f>
        <v>5,657194</v>
      </c>
      <c r="H100" s="44">
        <f>+_xlfn.XLOOKUP(PROYECTOS[[#This Row],[MUNICIPIO]],MUNICIPIOS!A:A,MUNICIPIOS!B:B,0,0,1)</f>
        <v>0</v>
      </c>
      <c r="I100" s="44">
        <f>+_xlfn.XLOOKUP(PROYECTOS[[#This Row],[MUNICIPIO]],MUNICIPIOS!A:A,MUNICIPIOS!C:C,0,0,1)</f>
        <v>0</v>
      </c>
      <c r="J100" s="3" t="str" cm="1">
        <f t="array" ref="J100">_xlfn.TEXTJOIN(" ", TRUE, IF(radicados[ID PROYECTOS]=A100, radicados[RADICADO], ""))</f>
        <v>2024010477292 2024010477263</v>
      </c>
      <c r="K100" s="45">
        <v>3</v>
      </c>
      <c r="L100" s="48">
        <v>27306608479</v>
      </c>
      <c r="M100" s="34" t="s">
        <v>401</v>
      </c>
      <c r="N100" s="34" t="s">
        <v>398</v>
      </c>
      <c r="O100" s="34" t="s">
        <v>25</v>
      </c>
      <c r="P100" s="37"/>
      <c r="Q100" s="45"/>
      <c r="R100" s="43"/>
      <c r="S100" s="43"/>
      <c r="T100" s="44">
        <f>+_xlfn.XLOOKUP(PROYECTOS[[#This Row],[MUNICIPIO]],'4.CAP_ENDMNT'!B:B,'4.CAP_ENDMNT'!C:C,0,0,1)</f>
        <v>6</v>
      </c>
      <c r="U100" s="139">
        <f>+_xlfn.XLOOKUP(PROYECTOS[[#This Row],[MUNICIPIO]],'4.CAP_ENDMNT'!B:B,'4.CAP_ENDMNT'!D:D,0,0,1)</f>
        <v>27843076411.630001</v>
      </c>
      <c r="V100" s="140">
        <f>+_xlfn.XLOOKUP(PROYECTOS[[#This Row],[MUNICIPIO]],'4.CAP_ENDMNT'!B:B,'4.CAP_ENDMNT'!E:E,0,0,1)</f>
        <v>11739999040.630001</v>
      </c>
      <c r="W100" s="140">
        <f>+_xlfn.XLOOKUP(PROYECTOS[[#This Row],[MUNICIPIO]],'4.CAP_ENDMNT'!B:B,'4.CAP_ENDMNT'!F:F,0,0,1)</f>
        <v>16103077371</v>
      </c>
      <c r="X100" s="140">
        <f>+_xlfn.XLOOKUP(PROYECTOS[[#This Row],[MUNICIPIO]],'4.CAP_ENDMNT'!B:B,'4.CAP_ENDMNT'!G:G,0,0,1)</f>
        <v>13999483044</v>
      </c>
      <c r="Y100" s="140">
        <f>+_xlfn.XLOOKUP(PROYECTOS[[#This Row],[MUNICIPIO]],'4.CAP_ENDMNT'!B:B,'4.CAP_ENDMNT'!H:H,0,0,1)</f>
        <v>1243354438.6800001</v>
      </c>
      <c r="Z100" s="140">
        <f>+_xlfn.XLOOKUP(PROYECTOS[[#This Row],[MUNICIPIO]],'4.CAP_ENDMNT'!B:B,'4.CAP_ENDMNT'!I:I,0,0,1)</f>
        <v>15242837482.68</v>
      </c>
      <c r="AA100" s="134">
        <f>+_xlfn.XLOOKUP(PROYECTOS[[#This Row],[MUNICIPIO]],'4.CAP_ENDMNT'!B:B,'4.CAP_ENDMNT'!J:J,0,0,1)</f>
        <v>0.54745521857322832</v>
      </c>
      <c r="AB100" s="140">
        <f>+_xlfn.XLOOKUP(PROYECTOS[[#This Row],[MUNICIPIO]],'4.CAP_ENDMNT'!B:B,'4.CAP_ENDMNT'!K:K,0,0,1)</f>
        <v>12600238928.950001</v>
      </c>
      <c r="AC100" s="140">
        <f>+_xlfn.XLOOKUP(PROYECTOS[[#This Row],[MUNICIPIO]],'4.CAP_ENDMNT'!B:B,'4.CAP_ENDMNT'!L:L,0,0,1)</f>
        <v>10080191143.160002</v>
      </c>
      <c r="AD100" s="140">
        <f>+_xlfn.XLOOKUP(PROYECTOS[[#This Row],[MUNICIPIO]],'4.CAP_ENDMNT'!B:B,'4.CAP_ENDMNT'!M:M,0,0,1)</f>
        <v>7560143357.3699999</v>
      </c>
      <c r="AE100" s="134">
        <f>+_xlfn.XLOOKUP(PROYECTOS[[#This Row],[MUNICIPIO]],'4.CAP_ENDMNT'!B:B,'4.CAP_ENDMNT'!N:N,0,0,1)</f>
        <v>0.91843025026719671</v>
      </c>
      <c r="AF100" s="134">
        <f>+_xlfn.XLOOKUP(PROYECTOS[[#This Row],[MUNICIPIO]],'4.CAP_ENDMNT'!B:B,'4.CAP_ENDMNT'!O:O,0,0,1)</f>
        <v>0.46026317160648733</v>
      </c>
      <c r="AG100" s="134">
        <f>+_xlfn.XLOOKUP(PROYECTOS[[#This Row],[MUNICIPIO]],'4.CAP_ENDMNT'!B:B,'4.CAP_ENDMNT'!P:P,0,0,1)</f>
        <v>0.8</v>
      </c>
      <c r="AH100" s="44" t="str">
        <f>+_xlfn.XLOOKUP(PROYECTOS[[#This Row],[MUNICIPIO]],'4.CAP_ENDMNT'!B:B,'4.CAP_ENDMNT'!Q:Q,0,0,1)</f>
        <v>Cumple</v>
      </c>
      <c r="AI100" s="139">
        <f>+_xlfn.XLOOKUP(PROYECTOS[[#This Row],[MUNICIPIO]],'4.CAP_ENDMNT'!B:B,'4.CAP_ENDMNT'!V:V,0,0,1)</f>
        <v>1512028671.474</v>
      </c>
      <c r="AJ100" s="139">
        <f>+_xlfn.XLOOKUP(PROYECTOS[[#This Row],[MUNICIPIO]],'4.CAP_ENDMNT'!B:B,'4.CAP_ENDMNT'!Y:Y,0,0,1)</f>
        <v>-29909877478.155998</v>
      </c>
      <c r="AK100"/>
      <c r="AL100"/>
      <c r="AM100"/>
    </row>
    <row r="101" spans="1:39">
      <c r="A101" s="44">
        <v>108</v>
      </c>
      <c r="B101" s="37" t="s">
        <v>1390</v>
      </c>
      <c r="C101" s="118">
        <f>+_xlfn.XLOOKUP(PROYECTOS[[#This Row],[ID_NECESIDAD]],'1.RADICADOS'!G:G,'1.RADICADOS'!C:C,0,0,1)*1</f>
        <v>45575</v>
      </c>
      <c r="D101" s="46" t="s">
        <v>38</v>
      </c>
      <c r="E101" s="47" t="str">
        <f>+_xlfn.XLOOKUP(PROYECTOS[[#This Row],[MUNICIPIO]],MUNICIPIOS!A:A,MUNICIPIOS!E:E,0,0,1)</f>
        <v>Urabá</v>
      </c>
      <c r="F101" s="44">
        <f>+_xlfn.XLOOKUP(PROYECTOS[[#This Row],[MUNICIPIO]],MUNICIPIOS!A:A,MUNICIPIOS!F:F,0,0,1)</f>
        <v>-76.652652000000003</v>
      </c>
      <c r="G101" s="44" t="str">
        <f>+_xlfn.XLOOKUP(PROYECTOS[[#This Row],[MUNICIPIO]],MUNICIPIOS!A:A,MUNICIPIOS!G:G,0,0,1)</f>
        <v>7,755148</v>
      </c>
      <c r="H101" s="44">
        <f>+_xlfn.XLOOKUP(PROYECTOS[[#This Row],[MUNICIPIO]],MUNICIPIOS!A:A,MUNICIPIOS!B:B,0,0,1)</f>
        <v>1</v>
      </c>
      <c r="I101" s="44">
        <f>+_xlfn.XLOOKUP(PROYECTOS[[#This Row],[MUNICIPIO]],MUNICIPIOS!A:A,MUNICIPIOS!C:C,0,0,1)</f>
        <v>1</v>
      </c>
      <c r="J101" s="3" t="str" cm="1">
        <f t="array" ref="J101">_xlfn.TEXTJOIN(" ", TRUE, IF(radicados[ID PROYECTOS]=A101, radicados[RADICADO], ""))</f>
        <v>2024010464862</v>
      </c>
      <c r="K101" s="45">
        <v>3</v>
      </c>
      <c r="L101" s="48">
        <v>7789949678</v>
      </c>
      <c r="M101" s="34" t="s">
        <v>401</v>
      </c>
      <c r="N101" s="34" t="s">
        <v>394</v>
      </c>
      <c r="O101" s="34" t="s">
        <v>18</v>
      </c>
      <c r="P101" s="37"/>
      <c r="Q101" s="45"/>
      <c r="R101" s="43"/>
      <c r="S101" s="43"/>
      <c r="T101" s="44">
        <f>+_xlfn.XLOOKUP(PROYECTOS[[#This Row],[MUNICIPIO]],'4.CAP_ENDMNT'!B:B,'4.CAP_ENDMNT'!C:C,0,0,1)</f>
        <v>6</v>
      </c>
      <c r="U101" s="139">
        <f>+_xlfn.XLOOKUP(PROYECTOS[[#This Row],[MUNICIPIO]],'4.CAP_ENDMNT'!B:B,'4.CAP_ENDMNT'!D:D,0,0,1)</f>
        <v>31551501799.776001</v>
      </c>
      <c r="V101" s="140">
        <f>+_xlfn.XLOOKUP(PROYECTOS[[#This Row],[MUNICIPIO]],'4.CAP_ENDMNT'!B:B,'4.CAP_ENDMNT'!E:E,0,0,1)</f>
        <v>12896901947.809999</v>
      </c>
      <c r="W101" s="140">
        <f>+_xlfn.XLOOKUP(PROYECTOS[[#This Row],[MUNICIPIO]],'4.CAP_ENDMNT'!B:B,'4.CAP_ENDMNT'!F:F,0,0,1)</f>
        <v>18654599851.966003</v>
      </c>
      <c r="X101" s="140">
        <f>+_xlfn.XLOOKUP(PROYECTOS[[#This Row],[MUNICIPIO]],'4.CAP_ENDMNT'!B:B,'4.CAP_ENDMNT'!G:G,0,0,1)</f>
        <v>4320802475</v>
      </c>
      <c r="Y101" s="140">
        <f>+_xlfn.XLOOKUP(PROYECTOS[[#This Row],[MUNICIPIO]],'4.CAP_ENDMNT'!B:B,'4.CAP_ENDMNT'!H:H,0,0,1)</f>
        <v>2118562934.45</v>
      </c>
      <c r="Z101" s="140">
        <f>+_xlfn.XLOOKUP(PROYECTOS[[#This Row],[MUNICIPIO]],'4.CAP_ENDMNT'!B:B,'4.CAP_ENDMNT'!I:I,0,0,1)</f>
        <v>6439365409.4499998</v>
      </c>
      <c r="AA101" s="134">
        <f>+_xlfn.XLOOKUP(PROYECTOS[[#This Row],[MUNICIPIO]],'4.CAP_ENDMNT'!B:B,'4.CAP_ENDMNT'!J:J,0,0,1)</f>
        <v>0.20409061509381832</v>
      </c>
      <c r="AB101" s="140">
        <f>+_xlfn.XLOOKUP(PROYECTOS[[#This Row],[MUNICIPIO]],'4.CAP_ENDMNT'!B:B,'4.CAP_ENDMNT'!K:K,0,0,1)</f>
        <v>25112136390.326</v>
      </c>
      <c r="AC101" s="140">
        <f>+_xlfn.XLOOKUP(PROYECTOS[[#This Row],[MUNICIPIO]],'4.CAP_ENDMNT'!B:B,'4.CAP_ENDMNT'!L:L,0,0,1)</f>
        <v>20089709112.260799</v>
      </c>
      <c r="AD101" s="140">
        <f>+_xlfn.XLOOKUP(PROYECTOS[[#This Row],[MUNICIPIO]],'4.CAP_ENDMNT'!B:B,'4.CAP_ENDMNT'!M:M,0,0,1)</f>
        <v>15067281834.195601</v>
      </c>
      <c r="AE101" s="134">
        <f>+_xlfn.XLOOKUP(PROYECTOS[[#This Row],[MUNICIPIO]],'4.CAP_ENDMNT'!B:B,'4.CAP_ENDMNT'!N:N,0,0,1)</f>
        <v>0.67099818076158058</v>
      </c>
      <c r="AF101" s="134">
        <f>+_xlfn.XLOOKUP(PROYECTOS[[#This Row],[MUNICIPIO]],'4.CAP_ENDMNT'!B:B,'4.CAP_ENDMNT'!O:O,0,0,1)</f>
        <v>0.60103296352987046</v>
      </c>
      <c r="AG101" s="134">
        <f>+_xlfn.XLOOKUP(PROYECTOS[[#This Row],[MUNICIPIO]],'4.CAP_ENDMNT'!B:B,'4.CAP_ENDMNT'!P:P,0,0,1)</f>
        <v>0.8</v>
      </c>
      <c r="AH101" s="44" t="str">
        <f>+_xlfn.XLOOKUP(PROYECTOS[[#This Row],[MUNICIPIO]],'4.CAP_ENDMNT'!B:B,'4.CAP_ENDMNT'!Q:Q,0,0,1)</f>
        <v>Cumple</v>
      </c>
      <c r="AI101" s="139">
        <f>+_xlfn.XLOOKUP(PROYECTOS[[#This Row],[MUNICIPIO]],'4.CAP_ENDMNT'!B:B,'4.CAP_ENDMNT'!V:V,0,0,1)</f>
        <v>3013456366.8391204</v>
      </c>
      <c r="AJ101" s="139">
        <f>+_xlfn.XLOOKUP(PROYECTOS[[#This Row],[MUNICIPIO]],'4.CAP_ENDMNT'!B:B,'4.CAP_ENDMNT'!Y:Y,0,0,1)</f>
        <v>10290788523.034721</v>
      </c>
      <c r="AK101"/>
      <c r="AL101"/>
      <c r="AM101"/>
    </row>
    <row r="102" spans="1:39">
      <c r="A102" s="44">
        <v>109</v>
      </c>
      <c r="B102" s="37" t="s">
        <v>1391</v>
      </c>
      <c r="C102" s="118">
        <f>+_xlfn.XLOOKUP(PROYECTOS[[#This Row],[ID_NECESIDAD]],'1.RADICADOS'!G:G,'1.RADICADOS'!C:C,0,0,1)*1</f>
        <v>45366</v>
      </c>
      <c r="D102" s="46" t="s">
        <v>23</v>
      </c>
      <c r="E102" s="47" t="str">
        <f>+_xlfn.XLOOKUP(PROYECTOS[[#This Row],[MUNICIPIO]],MUNICIPIOS!A:A,MUNICIPIOS!E:E,0,0,1)</f>
        <v>Suroeste</v>
      </c>
      <c r="F102" s="44">
        <f>+_xlfn.XLOOKUP(PROYECTOS[[#This Row],[MUNICIPIO]],MUNICIPIOS!A:A,MUNICIPIOS!F:F,0,0,1)</f>
        <v>-76.133950999999996</v>
      </c>
      <c r="G102" s="44">
        <f>+_xlfn.XLOOKUP(PROYECTOS[[#This Row],[MUNICIPIO]],MUNICIPIOS!A:A,MUNICIPIOS!G:G,0,0,1)</f>
        <v>6.3173430000000002</v>
      </c>
      <c r="H102" s="44">
        <f>+_xlfn.XLOOKUP(PROYECTOS[[#This Row],[MUNICIPIO]],MUNICIPIOS!A:A,MUNICIPIOS!B:B,0,0,1)</f>
        <v>0</v>
      </c>
      <c r="I102" s="44">
        <f>+_xlfn.XLOOKUP(PROYECTOS[[#This Row],[MUNICIPIO]],MUNICIPIOS!A:A,MUNICIPIOS!C:C,0,0,1)</f>
        <v>1</v>
      </c>
      <c r="J102" s="3" t="str" cm="1">
        <f t="array" ref="J102">_xlfn.TEXTJOIN(" ", TRUE, IF(radicados[ID PROYECTOS]=A102, radicados[RADICADO], ""))</f>
        <v>2024010118992 2024010467655</v>
      </c>
      <c r="K102" s="45">
        <v>3</v>
      </c>
      <c r="L102" s="48">
        <v>4999509465</v>
      </c>
      <c r="M102" s="34" t="s">
        <v>401</v>
      </c>
      <c r="N102" s="34" t="s">
        <v>394</v>
      </c>
      <c r="O102" s="34" t="s">
        <v>18</v>
      </c>
      <c r="P102" s="37"/>
      <c r="Q102" s="45"/>
      <c r="R102" s="43"/>
      <c r="S102" s="43"/>
      <c r="T102" s="44">
        <f>+_xlfn.XLOOKUP(PROYECTOS[[#This Row],[MUNICIPIO]],'4.CAP_ENDMNT'!B:B,'4.CAP_ENDMNT'!C:C,0,0,1)</f>
        <v>6</v>
      </c>
      <c r="U102" s="139">
        <f>+_xlfn.XLOOKUP(PROYECTOS[[#This Row],[MUNICIPIO]],'4.CAP_ENDMNT'!B:B,'4.CAP_ENDMNT'!D:D,0,0,1)</f>
        <v>16589184003.816</v>
      </c>
      <c r="V102" s="140">
        <f>+_xlfn.XLOOKUP(PROYECTOS[[#This Row],[MUNICIPIO]],'4.CAP_ENDMNT'!B:B,'4.CAP_ENDMNT'!E:E,0,0,1)</f>
        <v>7984390195.2300005</v>
      </c>
      <c r="W102" s="140">
        <f>+_xlfn.XLOOKUP(PROYECTOS[[#This Row],[MUNICIPIO]],'4.CAP_ENDMNT'!B:B,'4.CAP_ENDMNT'!F:F,0,0,1)</f>
        <v>8604793808.5859985</v>
      </c>
      <c r="X102" s="140">
        <f>+_xlfn.XLOOKUP(PROYECTOS[[#This Row],[MUNICIPIO]],'4.CAP_ENDMNT'!B:B,'4.CAP_ENDMNT'!G:G,0,0,1)</f>
        <v>1709535383</v>
      </c>
      <c r="Y102" s="140">
        <f>+_xlfn.XLOOKUP(PROYECTOS[[#This Row],[MUNICIPIO]],'4.CAP_ENDMNT'!B:B,'4.CAP_ENDMNT'!H:H,0,0,1)</f>
        <v>1454838487</v>
      </c>
      <c r="Z102" s="140">
        <f>+_xlfn.XLOOKUP(PROYECTOS[[#This Row],[MUNICIPIO]],'4.CAP_ENDMNT'!B:B,'4.CAP_ENDMNT'!I:I,0,0,1)</f>
        <v>3164373870</v>
      </c>
      <c r="AA102" s="134">
        <f>+_xlfn.XLOOKUP(PROYECTOS[[#This Row],[MUNICIPIO]],'4.CAP_ENDMNT'!B:B,'4.CAP_ENDMNT'!J:J,0,0,1)</f>
        <v>0.19074921763916181</v>
      </c>
      <c r="AB102" s="140">
        <f>+_xlfn.XLOOKUP(PROYECTOS[[#This Row],[MUNICIPIO]],'4.CAP_ENDMNT'!B:B,'4.CAP_ENDMNT'!K:K,0,0,1)</f>
        <v>13424810133.816</v>
      </c>
      <c r="AC102" s="140">
        <f>+_xlfn.XLOOKUP(PROYECTOS[[#This Row],[MUNICIPIO]],'4.CAP_ENDMNT'!B:B,'4.CAP_ENDMNT'!L:L,0,0,1)</f>
        <v>10739848107.052801</v>
      </c>
      <c r="AD102" s="140">
        <f>+_xlfn.XLOOKUP(PROYECTOS[[#This Row],[MUNICIPIO]],'4.CAP_ENDMNT'!B:B,'4.CAP_ENDMNT'!M:M,0,0,1)</f>
        <v>8054886080.2895994</v>
      </c>
      <c r="AE102" s="134">
        <f>+_xlfn.XLOOKUP(PROYECTOS[[#This Row],[MUNICIPIO]],'4.CAP_ENDMNT'!B:B,'4.CAP_ENDMNT'!N:N,0,0,1)</f>
        <v>0.5402444379936685</v>
      </c>
      <c r="AF102" s="134">
        <f>+_xlfn.XLOOKUP(PROYECTOS[[#This Row],[MUNICIPIO]],'4.CAP_ENDMNT'!B:B,'4.CAP_ENDMNT'!O:O,0,0,1)</f>
        <v>0.52370394920362784</v>
      </c>
      <c r="AG102" s="134">
        <f>+_xlfn.XLOOKUP(PROYECTOS[[#This Row],[MUNICIPIO]],'4.CAP_ENDMNT'!B:B,'4.CAP_ENDMNT'!P:P,0,0,1)</f>
        <v>0.8</v>
      </c>
      <c r="AH102" s="44" t="str">
        <f>+_xlfn.XLOOKUP(PROYECTOS[[#This Row],[MUNICIPIO]],'4.CAP_ENDMNT'!B:B,'4.CAP_ENDMNT'!Q:Q,0,0,1)</f>
        <v>Cumple</v>
      </c>
      <c r="AI102" s="139">
        <f>+_xlfn.XLOOKUP(PROYECTOS[[#This Row],[MUNICIPIO]],'4.CAP_ENDMNT'!B:B,'4.CAP_ENDMNT'!V:V,0,0,1)</f>
        <v>1610977216.05792</v>
      </c>
      <c r="AJ102" s="139">
        <f>+_xlfn.XLOOKUP(PROYECTOS[[#This Row],[MUNICIPIO]],'4.CAP_ENDMNT'!B:B,'4.CAP_ENDMNT'!Y:Y,0,0,1)</f>
        <v>-7388444742.6524811</v>
      </c>
      <c r="AK102"/>
      <c r="AL102"/>
      <c r="AM102"/>
    </row>
    <row r="103" spans="1:39">
      <c r="A103" s="44">
        <v>110</v>
      </c>
      <c r="B103" s="37" t="s">
        <v>1496</v>
      </c>
      <c r="C103" s="118">
        <f>+_xlfn.XLOOKUP(PROYECTOS[[#This Row],[ID_NECESIDAD]],'1.RADICADOS'!G:G,'1.RADICADOS'!C:C,0,0,1)*1</f>
        <v>45596</v>
      </c>
      <c r="D103" s="46" t="s">
        <v>45</v>
      </c>
      <c r="E103" s="47" t="str">
        <f>+_xlfn.XLOOKUP(PROYECTOS[[#This Row],[MUNICIPIO]],MUNICIPIOS!A:A,MUNICIPIOS!E:E,0,0,1)</f>
        <v>Bajo Cauca</v>
      </c>
      <c r="F103" s="44">
        <f>+_xlfn.XLOOKUP(PROYECTOS[[#This Row],[MUNICIPIO]],MUNICIPIOS!A:A,MUNICIPIOS!F:F,0,0,1)</f>
        <v>-75.197996000000003</v>
      </c>
      <c r="G103" s="44" t="str">
        <f>+_xlfn.XLOOKUP(PROYECTOS[[#This Row],[MUNICIPIO]],MUNICIPIOS!A:A,MUNICIPIOS!G:G,0,0,1)</f>
        <v>7,977278</v>
      </c>
      <c r="H103" s="44">
        <f>+_xlfn.XLOOKUP(PROYECTOS[[#This Row],[MUNICIPIO]],MUNICIPIOS!A:A,MUNICIPIOS!B:B,0,0,1)</f>
        <v>1</v>
      </c>
      <c r="I103" s="44">
        <f>+_xlfn.XLOOKUP(PROYECTOS[[#This Row],[MUNICIPIO]],MUNICIPIOS!A:A,MUNICIPIOS!C:C,0,0,1)</f>
        <v>1</v>
      </c>
      <c r="J103" s="34" t="str" cm="1">
        <f t="array" ref="J103">_xlfn.TEXTJOIN(" ", TRUE, IF(radicados[ID PROYECTOS]=A103, radicados[RADICADO], ""))</f>
        <v>2024010500511</v>
      </c>
      <c r="K103" s="45">
        <v>3</v>
      </c>
      <c r="L103" s="48">
        <v>2200000000</v>
      </c>
      <c r="M103" s="34" t="s">
        <v>288</v>
      </c>
      <c r="N103" s="40" t="s">
        <v>398</v>
      </c>
      <c r="O103" s="40" t="s">
        <v>25</v>
      </c>
      <c r="P103" s="37"/>
      <c r="Q103" s="45">
        <v>1</v>
      </c>
      <c r="R103" s="166" t="s">
        <v>190</v>
      </c>
      <c r="S103" s="43" t="s">
        <v>1618</v>
      </c>
      <c r="T103" s="44">
        <f>+_xlfn.XLOOKUP(PROYECTOS[[#This Row],[MUNICIPIO]],'4.CAP_ENDMNT'!B:B,'4.CAP_ENDMNT'!C:C,0,0,1)</f>
        <v>5</v>
      </c>
      <c r="U103" s="167">
        <f>+_xlfn.XLOOKUP(PROYECTOS[[#This Row],[MUNICIPIO]],'4.CAP_ENDMNT'!B:B,'4.CAP_ENDMNT'!D:D,0,0,1)</f>
        <v>55415011363.643501</v>
      </c>
      <c r="V103" s="44">
        <f>+_xlfn.XLOOKUP(PROYECTOS[[#This Row],[MUNICIPIO]],'4.CAP_ENDMNT'!B:B,'4.CAP_ENDMNT'!E:E,0,0,1)</f>
        <v>24252117123.400002</v>
      </c>
      <c r="W103" s="44">
        <f>+_xlfn.XLOOKUP(PROYECTOS[[#This Row],[MUNICIPIO]],'4.CAP_ENDMNT'!B:B,'4.CAP_ENDMNT'!F:F,0,0,1)</f>
        <v>31162894240.2435</v>
      </c>
      <c r="X103" s="44">
        <f>+_xlfn.XLOOKUP(PROYECTOS[[#This Row],[MUNICIPIO]],'4.CAP_ENDMNT'!B:B,'4.CAP_ENDMNT'!G:G,0,0,1)</f>
        <v>8970758412</v>
      </c>
      <c r="Y103" s="44">
        <f>+_xlfn.XLOOKUP(PROYECTOS[[#This Row],[MUNICIPIO]],'4.CAP_ENDMNT'!B:B,'4.CAP_ENDMNT'!H:H,0,0,1)</f>
        <v>3572173854.98</v>
      </c>
      <c r="Z103" s="44">
        <f>+_xlfn.XLOOKUP(PROYECTOS[[#This Row],[MUNICIPIO]],'4.CAP_ENDMNT'!B:B,'4.CAP_ENDMNT'!I:I,0,0,1)</f>
        <v>12542932266.98</v>
      </c>
      <c r="AA103" s="134">
        <f>+_xlfn.XLOOKUP(PROYECTOS[[#This Row],[MUNICIPIO]],'4.CAP_ENDMNT'!B:B,'4.CAP_ENDMNT'!J:J,0,0,1)</f>
        <v>0.22634538834019124</v>
      </c>
      <c r="AB103" s="44">
        <f>+_xlfn.XLOOKUP(PROYECTOS[[#This Row],[MUNICIPIO]],'4.CAP_ENDMNT'!B:B,'4.CAP_ENDMNT'!K:K,0,0,1)</f>
        <v>42872079096.663498</v>
      </c>
      <c r="AC103" s="44">
        <f>+_xlfn.XLOOKUP(PROYECTOS[[#This Row],[MUNICIPIO]],'4.CAP_ENDMNT'!B:B,'4.CAP_ENDMNT'!L:L,0,0,1)</f>
        <v>34297663277.330799</v>
      </c>
      <c r="AD103" s="44">
        <f>+_xlfn.XLOOKUP(PROYECTOS[[#This Row],[MUNICIPIO]],'4.CAP_ENDMNT'!B:B,'4.CAP_ENDMNT'!M:M,0,0,1)</f>
        <v>25723247457.998096</v>
      </c>
      <c r="AE103" s="134">
        <f>+_xlfn.XLOOKUP(PROYECTOS[[#This Row],[MUNICIPIO]],'4.CAP_ENDMNT'!B:B,'4.CAP_ENDMNT'!N:N,0,0,1)</f>
        <v>0.71520424578996133</v>
      </c>
      <c r="AF103" s="134">
        <f>+_xlfn.XLOOKUP(PROYECTOS[[#This Row],[MUNICIPIO]],'4.CAP_ENDMNT'!B:B,'4.CAP_ENDMNT'!O:O,0,0,1)</f>
        <v>0.67052010826145281</v>
      </c>
      <c r="AG103" s="134">
        <f>+_xlfn.XLOOKUP(PROYECTOS[[#This Row],[MUNICIPIO]],'4.CAP_ENDMNT'!B:B,'4.CAP_ENDMNT'!P:P,0,0,1)</f>
        <v>0.8</v>
      </c>
      <c r="AH103" s="44" t="str">
        <f>+_xlfn.XLOOKUP(PROYECTOS[[#This Row],[MUNICIPIO]],'4.CAP_ENDMNT'!B:B,'4.CAP_ENDMNT'!Q:Q,0,0,1)</f>
        <v>Cumple</v>
      </c>
      <c r="AI103" s="139">
        <f>+_xlfn.XLOOKUP(PROYECTOS[[#This Row],[MUNICIPIO]],'4.CAP_ENDMNT'!B:B,'4.CAP_ENDMNT'!V:V,0,0,1)</f>
        <v>5144649491.5996199</v>
      </c>
      <c r="AJ103" s="139">
        <f>+_xlfn.XLOOKUP(PROYECTOS[[#This Row],[MUNICIPIO]],'4.CAP_ENDMNT'!B:B,'4.CAP_ENDMNT'!Y:Y,0,0,1)</f>
        <v>3549126953.5977173</v>
      </c>
      <c r="AK103"/>
      <c r="AL103"/>
      <c r="AM103"/>
    </row>
    <row r="104" spans="1:39">
      <c r="A104" s="44">
        <v>111</v>
      </c>
      <c r="B104" s="37" t="s">
        <v>1392</v>
      </c>
      <c r="C104" s="118">
        <f>+_xlfn.XLOOKUP(PROYECTOS[[#This Row],[ID_NECESIDAD]],'1.RADICADOS'!G:G,'1.RADICADOS'!C:C,0,0,1)*1</f>
        <v>45596</v>
      </c>
      <c r="D104" s="46" t="s">
        <v>163</v>
      </c>
      <c r="E104" s="47" t="str">
        <f>+_xlfn.XLOOKUP(PROYECTOS[[#This Row],[MUNICIPIO]],MUNICIPIOS!A:A,MUNICIPIOS!E:E,0,0,1)</f>
        <v>Oriente</v>
      </c>
      <c r="F104" s="44">
        <f>+_xlfn.XLOOKUP(PROYECTOS[[#This Row],[MUNICIPIO]],MUNICIPIOS!A:A,MUNICIPIOS!F:F,0,0,1)</f>
        <v>-75.441612000000006</v>
      </c>
      <c r="G104" s="44" t="str">
        <f>+_xlfn.XLOOKUP(PROYECTOS[[#This Row],[MUNICIPIO]],MUNICIPIOS!A:A,MUNICIPIOS!G:G,0,0,1)</f>
        <v>6,27787</v>
      </c>
      <c r="H104" s="44">
        <f>+_xlfn.XLOOKUP(PROYECTOS[[#This Row],[MUNICIPIO]],MUNICIPIOS!A:A,MUNICIPIOS!B:B,0,0,1)</f>
        <v>0</v>
      </c>
      <c r="I104" s="44">
        <f>+_xlfn.XLOOKUP(PROYECTOS[[#This Row],[MUNICIPIO]],MUNICIPIOS!A:A,MUNICIPIOS!C:C,0,0,1)</f>
        <v>0</v>
      </c>
      <c r="J104" s="3" t="str" cm="1">
        <f t="array" ref="J104">_xlfn.TEXTJOIN(" ", TRUE, IF(radicados[ID PROYECTOS]=A104, radicados[RADICADO], ""))</f>
        <v>2024010499529</v>
      </c>
      <c r="K104" s="142">
        <v>3</v>
      </c>
      <c r="L104" s="48">
        <v>400000000</v>
      </c>
      <c r="M104" s="34" t="s">
        <v>422</v>
      </c>
      <c r="N104" s="34" t="s">
        <v>397</v>
      </c>
      <c r="O104" s="34" t="s">
        <v>56</v>
      </c>
      <c r="P104" s="37" t="s">
        <v>975</v>
      </c>
      <c r="Q104" s="45"/>
      <c r="R104" s="43"/>
      <c r="S104" s="43"/>
      <c r="T104" s="44">
        <f>+_xlfn.XLOOKUP(PROYECTOS[[#This Row],[MUNICIPIO]],'4.CAP_ENDMNT'!B:B,'4.CAP_ENDMNT'!C:C,0,0,1)</f>
        <v>2</v>
      </c>
      <c r="U104" s="139">
        <f>+_xlfn.XLOOKUP(PROYECTOS[[#This Row],[MUNICIPIO]],'4.CAP_ENDMNT'!B:B,'4.CAP_ENDMNT'!D:D,0,0,1)</f>
        <v>94297942873.182495</v>
      </c>
      <c r="V104" s="140">
        <f>+_xlfn.XLOOKUP(PROYECTOS[[#This Row],[MUNICIPIO]],'4.CAP_ENDMNT'!B:B,'4.CAP_ENDMNT'!E:E,0,0,1)</f>
        <v>31502477356.16</v>
      </c>
      <c r="W104" s="140">
        <f>+_xlfn.XLOOKUP(PROYECTOS[[#This Row],[MUNICIPIO]],'4.CAP_ENDMNT'!B:B,'4.CAP_ENDMNT'!F:F,0,0,1)</f>
        <v>62795465517.022491</v>
      </c>
      <c r="X104" s="140">
        <f>+_xlfn.XLOOKUP(PROYECTOS[[#This Row],[MUNICIPIO]],'4.CAP_ENDMNT'!B:B,'4.CAP_ENDMNT'!G:G,0,0,1)</f>
        <v>12269275368</v>
      </c>
      <c r="Y104" s="140">
        <f>+_xlfn.XLOOKUP(PROYECTOS[[#This Row],[MUNICIPIO]],'4.CAP_ENDMNT'!B:B,'4.CAP_ENDMNT'!H:H,0,0,1)</f>
        <v>1587282296.6800001</v>
      </c>
      <c r="Z104" s="140">
        <f>+_xlfn.XLOOKUP(PROYECTOS[[#This Row],[MUNICIPIO]],'4.CAP_ENDMNT'!B:B,'4.CAP_ENDMNT'!I:I,0,0,1)</f>
        <v>13856557664.68</v>
      </c>
      <c r="AA104" s="134">
        <f>+_xlfn.XLOOKUP(PROYECTOS[[#This Row],[MUNICIPIO]],'4.CAP_ENDMNT'!B:B,'4.CAP_ENDMNT'!J:J,0,0,1)</f>
        <v>0.14694443211041333</v>
      </c>
      <c r="AB104" s="140">
        <f>+_xlfn.XLOOKUP(PROYECTOS[[#This Row],[MUNICIPIO]],'4.CAP_ENDMNT'!B:B,'4.CAP_ENDMNT'!K:K,0,0,1)</f>
        <v>80441385208.502502</v>
      </c>
      <c r="AC104" s="140">
        <f>+_xlfn.XLOOKUP(PROYECTOS[[#This Row],[MUNICIPIO]],'4.CAP_ENDMNT'!B:B,'4.CAP_ENDMNT'!L:L,0,0,1)</f>
        <v>64353108166.802002</v>
      </c>
      <c r="AD104" s="140">
        <f>+_xlfn.XLOOKUP(PROYECTOS[[#This Row],[MUNICIPIO]],'4.CAP_ENDMNT'!B:B,'4.CAP_ENDMNT'!M:M,0,0,1)</f>
        <v>48264831125.101501</v>
      </c>
      <c r="AE104" s="134">
        <f>+_xlfn.XLOOKUP(PROYECTOS[[#This Row],[MUNICIPIO]],'4.CAP_ENDMNT'!B:B,'4.CAP_ENDMNT'!N:N,0,0,1)</f>
        <v>0.88544901734678727</v>
      </c>
      <c r="AF104" s="134">
        <f>+_xlfn.XLOOKUP(PROYECTOS[[#This Row],[MUNICIPIO]],'4.CAP_ENDMNT'!B:B,'4.CAP_ENDMNT'!O:O,0,0,1)</f>
        <v>0.32613717500698253</v>
      </c>
      <c r="AG104" s="134">
        <f>+_xlfn.XLOOKUP(PROYECTOS[[#This Row],[MUNICIPIO]],'4.CAP_ENDMNT'!B:B,'4.CAP_ENDMNT'!P:P,0,0,1)</f>
        <v>0.7</v>
      </c>
      <c r="AH104" s="44" t="str">
        <f>+_xlfn.XLOOKUP(PROYECTOS[[#This Row],[MUNICIPIO]],'4.CAP_ENDMNT'!B:B,'4.CAP_ENDMNT'!Q:Q,0,0,1)</f>
        <v>Cumple</v>
      </c>
      <c r="AI104" s="139">
        <f>+_xlfn.XLOOKUP(PROYECTOS[[#This Row],[MUNICIPIO]],'4.CAP_ENDMNT'!B:B,'4.CAP_ENDMNT'!V:V,0,0,1)</f>
        <v>9652966225.0202999</v>
      </c>
      <c r="AJ104" s="139">
        <f>+_xlfn.XLOOKUP(PROYECTOS[[#This Row],[MUNICIPIO]],'4.CAP_ENDMNT'!B:B,'4.CAP_ENDMNT'!Y:Y,0,0,1)</f>
        <v>-17638221041.878197</v>
      </c>
      <c r="AK104"/>
      <c r="AL104"/>
      <c r="AM104"/>
    </row>
    <row r="105" spans="1:39">
      <c r="A105" s="44">
        <v>112</v>
      </c>
      <c r="B105" s="192" t="s">
        <v>1393</v>
      </c>
      <c r="C105" s="118">
        <f>+_xlfn.XLOOKUP(PROYECTOS[[#This Row],[ID_NECESIDAD]],'1.RADICADOS'!G:G,'1.RADICADOS'!C:C,0,0,1)*1</f>
        <v>45590</v>
      </c>
      <c r="D105" s="46" t="s">
        <v>74</v>
      </c>
      <c r="E105" s="47" t="str">
        <f>+_xlfn.XLOOKUP(PROYECTOS[[#This Row],[MUNICIPIO]],MUNICIPIOS!A:A,MUNICIPIOS!E:E,0,0,1)</f>
        <v>Urabá</v>
      </c>
      <c r="F105" s="44">
        <f>+_xlfn.XLOOKUP(PROYECTOS[[#This Row],[MUNICIPIO]],MUNICIPIOS!A:A,MUNICIPIOS!F:F,0,0,1)</f>
        <v>-76.728858000000002</v>
      </c>
      <c r="G105" s="44">
        <f>+_xlfn.XLOOKUP(PROYECTOS[[#This Row],[MUNICIPIO]],MUNICIPIOS!A:A,MUNICIPIOS!G:G,0,0,1)</f>
        <v>8.0899289999999997</v>
      </c>
      <c r="H105" s="44">
        <f>+_xlfn.XLOOKUP(PROYECTOS[[#This Row],[MUNICIPIO]],MUNICIPIOS!A:A,MUNICIPIOS!B:B,0,0,1)</f>
        <v>1</v>
      </c>
      <c r="I105" s="44">
        <f>+_xlfn.XLOOKUP(PROYECTOS[[#This Row],[MUNICIPIO]],MUNICIPIOS!A:A,MUNICIPIOS!C:C,0,0,1)</f>
        <v>1</v>
      </c>
      <c r="J105" s="34" t="str" cm="1">
        <f t="array" ref="J105">_xlfn.TEXTJOIN(" ", TRUE, IF(radicados[ID PROYECTOS]=A105, radicados[RADICADO], ""))</f>
        <v>2024010490524</v>
      </c>
      <c r="K105" s="45">
        <v>3</v>
      </c>
      <c r="L105" s="48">
        <v>2775714198</v>
      </c>
      <c r="M105" s="34" t="s">
        <v>396</v>
      </c>
      <c r="N105" s="34" t="s">
        <v>394</v>
      </c>
      <c r="O105" s="34" t="s">
        <v>18</v>
      </c>
      <c r="Q105" s="45"/>
      <c r="R105" s="166"/>
      <c r="S105" s="166"/>
      <c r="T105" s="44">
        <f>+_xlfn.XLOOKUP(PROYECTOS[[#This Row],[MUNICIPIO]],'4.CAP_ENDMNT'!B:B,'4.CAP_ENDMNT'!C:C,0,0,1)</f>
        <v>5</v>
      </c>
      <c r="U105" s="167">
        <f>+_xlfn.XLOOKUP(PROYECTOS[[#This Row],[MUNICIPIO]],'4.CAP_ENDMNT'!B:B,'4.CAP_ENDMNT'!D:D,0,0,1)</f>
        <v>57277943756.629501</v>
      </c>
      <c r="V105" s="44">
        <f>+_xlfn.XLOOKUP(PROYECTOS[[#This Row],[MUNICIPIO]],'4.CAP_ENDMNT'!B:B,'4.CAP_ENDMNT'!E:E,0,0,1)</f>
        <v>34159399600.959999</v>
      </c>
      <c r="W105" s="44">
        <f>+_xlfn.XLOOKUP(PROYECTOS[[#This Row],[MUNICIPIO]],'4.CAP_ENDMNT'!B:B,'4.CAP_ENDMNT'!F:F,0,0,1)</f>
        <v>23118544155.669502</v>
      </c>
      <c r="X105" s="44">
        <f>+_xlfn.XLOOKUP(PROYECTOS[[#This Row],[MUNICIPIO]],'4.CAP_ENDMNT'!B:B,'4.CAP_ENDMNT'!G:G,0,0,1)</f>
        <v>3450000000</v>
      </c>
      <c r="Y105" s="44">
        <f>+_xlfn.XLOOKUP(PROYECTOS[[#This Row],[MUNICIPIO]],'4.CAP_ENDMNT'!B:B,'4.CAP_ENDMNT'!H:H,0,0,1)</f>
        <v>21452083665</v>
      </c>
      <c r="Z105" s="44">
        <f>+_xlfn.XLOOKUP(PROYECTOS[[#This Row],[MUNICIPIO]],'4.CAP_ENDMNT'!B:B,'4.CAP_ENDMNT'!I:I,0,0,1)</f>
        <v>24902083665</v>
      </c>
      <c r="AA105" s="134">
        <f>+_xlfn.XLOOKUP(PROYECTOS[[#This Row],[MUNICIPIO]],'4.CAP_ENDMNT'!B:B,'4.CAP_ENDMNT'!J:J,0,0,1)</f>
        <v>0.43475868775610099</v>
      </c>
      <c r="AB105" s="44">
        <f>+_xlfn.XLOOKUP(PROYECTOS[[#This Row],[MUNICIPIO]],'4.CAP_ENDMNT'!B:B,'4.CAP_ENDMNT'!K:K,0,0,1)</f>
        <v>32375860091.629501</v>
      </c>
      <c r="AC105" s="44">
        <f>+_xlfn.XLOOKUP(PROYECTOS[[#This Row],[MUNICIPIO]],'4.CAP_ENDMNT'!B:B,'4.CAP_ENDMNT'!L:L,0,0,1)</f>
        <v>25900688073.303604</v>
      </c>
      <c r="AD105" s="44">
        <f>+_xlfn.XLOOKUP(PROYECTOS[[#This Row],[MUNICIPIO]],'4.CAP_ENDMNT'!B:B,'4.CAP_ENDMNT'!M:M,0,0,1)</f>
        <v>19425516054.977699</v>
      </c>
      <c r="AE105" s="134">
        <f>+_xlfn.XLOOKUP(PROYECTOS[[#This Row],[MUNICIPIO]],'4.CAP_ENDMNT'!B:B,'4.CAP_ENDMNT'!N:N,0,0,1)</f>
        <v>0.13854262343712995</v>
      </c>
      <c r="AF105" s="134">
        <f>+_xlfn.XLOOKUP(PROYECTOS[[#This Row],[MUNICIPIO]],'4.CAP_ENDMNT'!B:B,'4.CAP_ENDMNT'!O:O,0,0,1)</f>
        <v>0.87015152665365447</v>
      </c>
      <c r="AG105" s="134">
        <f>+_xlfn.XLOOKUP(PROYECTOS[[#This Row],[MUNICIPIO]],'4.CAP_ENDMNT'!B:B,'4.CAP_ENDMNT'!P:P,0,0,1)</f>
        <v>0.8</v>
      </c>
      <c r="AH105" s="44" t="str">
        <f>+_xlfn.XLOOKUP(PROYECTOS[[#This Row],[MUNICIPIO]],'4.CAP_ENDMNT'!B:B,'4.CAP_ENDMNT'!Q:Q,0,0,1)</f>
        <v>Incumple</v>
      </c>
      <c r="AI105" s="139">
        <f>+_xlfn.XLOOKUP(PROYECTOS[[#This Row],[MUNICIPIO]],'4.CAP_ENDMNT'!B:B,'4.CAP_ENDMNT'!V:V,0,0,1)</f>
        <v>3885103210.9955401</v>
      </c>
      <c r="AJ105" s="139">
        <f>+_xlfn.XLOOKUP(PROYECTOS[[#This Row],[MUNICIPIO]],'4.CAP_ENDMNT'!B:B,'4.CAP_ENDMNT'!Y:Y,0,0,1)</f>
        <v>-114052861009.72676</v>
      </c>
      <c r="AK105"/>
      <c r="AL105"/>
      <c r="AM105"/>
    </row>
    <row r="106" spans="1:39">
      <c r="A106" s="44">
        <v>113</v>
      </c>
      <c r="B106" s="37" t="s">
        <v>1394</v>
      </c>
      <c r="C106" s="118">
        <f>+_xlfn.XLOOKUP(PROYECTOS[[#This Row],[ID_NECESIDAD]],'1.RADICADOS'!G:G,'1.RADICADOS'!C:C,0,0,1)*1</f>
        <v>45302</v>
      </c>
      <c r="D106" s="46" t="s">
        <v>223</v>
      </c>
      <c r="E106" s="47" t="str">
        <f>+_xlfn.XLOOKUP(PROYECTOS[[#This Row],[MUNICIPIO]],MUNICIPIOS!A:A,MUNICIPIOS!E:E,0,0,1)</f>
        <v>Suroeste</v>
      </c>
      <c r="F106" s="44">
        <f>+_xlfn.XLOOKUP(PROYECTOS[[#This Row],[MUNICIPIO]],MUNICIPIOS!A:A,MUNICIPIOS!F:F,0,0,1)</f>
        <v>-76.021508999999995</v>
      </c>
      <c r="G106" s="44" t="str">
        <f>+_xlfn.XLOOKUP(PROYECTOS[[#This Row],[MUNICIPIO]],MUNICIPIOS!A:A,MUNICIPIOS!G:G,0,0,1)</f>
        <v>5,850273</v>
      </c>
      <c r="H106" s="44">
        <f>+_xlfn.XLOOKUP(PROYECTOS[[#This Row],[MUNICIPIO]],MUNICIPIOS!A:A,MUNICIPIOS!B:B,0,0,1)</f>
        <v>0</v>
      </c>
      <c r="I106" s="44">
        <f>+_xlfn.XLOOKUP(PROYECTOS[[#This Row],[MUNICIPIO]],MUNICIPIOS!A:A,MUNICIPIOS!C:C,0,0,1)</f>
        <v>0</v>
      </c>
      <c r="J106" s="3" t="str" cm="1">
        <f t="array" ref="J106">_xlfn.TEXTJOIN(" ", TRUE, IF(radicados[ID PROYECTOS]=A106, radicados[RADICADO], ""))</f>
        <v>2024010502109</v>
      </c>
      <c r="K106" s="45">
        <v>3</v>
      </c>
      <c r="L106" s="48">
        <v>39324539082</v>
      </c>
      <c r="M106" s="34" t="s">
        <v>401</v>
      </c>
      <c r="N106" s="34" t="s">
        <v>398</v>
      </c>
      <c r="O106" s="34" t="s">
        <v>25</v>
      </c>
      <c r="P106" s="37"/>
      <c r="Q106" s="45"/>
      <c r="R106" s="43"/>
      <c r="S106" s="43"/>
      <c r="T106" s="44">
        <f>+_xlfn.XLOOKUP(PROYECTOS[[#This Row],[MUNICIPIO]],'4.CAP_ENDMNT'!B:B,'4.CAP_ENDMNT'!C:C,0,0,1)</f>
        <v>6</v>
      </c>
      <c r="U106" s="139">
        <f>+_xlfn.XLOOKUP(PROYECTOS[[#This Row],[MUNICIPIO]],'4.CAP_ENDMNT'!B:B,'4.CAP_ENDMNT'!D:D,0,0,1)</f>
        <v>18608617574.017002</v>
      </c>
      <c r="V106" s="140">
        <f>+_xlfn.XLOOKUP(PROYECTOS[[#This Row],[MUNICIPIO]],'4.CAP_ENDMNT'!B:B,'4.CAP_ENDMNT'!E:E,0,0,1)</f>
        <v>7376218347.0799999</v>
      </c>
      <c r="W106" s="140">
        <f>+_xlfn.XLOOKUP(PROYECTOS[[#This Row],[MUNICIPIO]],'4.CAP_ENDMNT'!B:B,'4.CAP_ENDMNT'!F:F,0,0,1)</f>
        <v>11232399226.937002</v>
      </c>
      <c r="X106" s="140">
        <f>+_xlfn.XLOOKUP(PROYECTOS[[#This Row],[MUNICIPIO]],'4.CAP_ENDMNT'!B:B,'4.CAP_ENDMNT'!G:G,0,0,1)</f>
        <v>2665498102.3000002</v>
      </c>
      <c r="Y106" s="140">
        <f>+_xlfn.XLOOKUP(PROYECTOS[[#This Row],[MUNICIPIO]],'4.CAP_ENDMNT'!B:B,'4.CAP_ENDMNT'!H:H,0,0,1)</f>
        <v>2057047588</v>
      </c>
      <c r="Z106" s="140">
        <f>+_xlfn.XLOOKUP(PROYECTOS[[#This Row],[MUNICIPIO]],'4.CAP_ENDMNT'!B:B,'4.CAP_ENDMNT'!I:I,0,0,1)</f>
        <v>4722545690.3000002</v>
      </c>
      <c r="AA106" s="134">
        <f>+_xlfn.XLOOKUP(PROYECTOS[[#This Row],[MUNICIPIO]],'4.CAP_ENDMNT'!B:B,'4.CAP_ENDMNT'!J:J,0,0,1)</f>
        <v>0.25378272574605631</v>
      </c>
      <c r="AB106" s="140">
        <f>+_xlfn.XLOOKUP(PROYECTOS[[#This Row],[MUNICIPIO]],'4.CAP_ENDMNT'!B:B,'4.CAP_ENDMNT'!K:K,0,0,1)</f>
        <v>13886071883.717003</v>
      </c>
      <c r="AC106" s="140">
        <f>+_xlfn.XLOOKUP(PROYECTOS[[#This Row],[MUNICIPIO]],'4.CAP_ENDMNT'!B:B,'4.CAP_ENDMNT'!L:L,0,0,1)</f>
        <v>11108857506.973602</v>
      </c>
      <c r="AD106" s="140">
        <f>+_xlfn.XLOOKUP(PROYECTOS[[#This Row],[MUNICIPIO]],'4.CAP_ENDMNT'!B:B,'4.CAP_ENDMNT'!M:M,0,0,1)</f>
        <v>8331643130.2302017</v>
      </c>
      <c r="AE106" s="134">
        <f>+_xlfn.XLOOKUP(PROYECTOS[[#This Row],[MUNICIPIO]],'4.CAP_ENDMNT'!B:B,'4.CAP_ENDMNT'!N:N,0,0,1)</f>
        <v>0.56441975940537148</v>
      </c>
      <c r="AF106" s="134">
        <f>+_xlfn.XLOOKUP(PROYECTOS[[#This Row],[MUNICIPIO]],'4.CAP_ENDMNT'!B:B,'4.CAP_ENDMNT'!O:O,0,0,1)</f>
        <v>0.57306836090110702</v>
      </c>
      <c r="AG106" s="134">
        <f>+_xlfn.XLOOKUP(PROYECTOS[[#This Row],[MUNICIPIO]],'4.CAP_ENDMNT'!B:B,'4.CAP_ENDMNT'!P:P,0,0,1)</f>
        <v>0.8</v>
      </c>
      <c r="AH106" s="44" t="str">
        <f>+_xlfn.XLOOKUP(PROYECTOS[[#This Row],[MUNICIPIO]],'4.CAP_ENDMNT'!B:B,'4.CAP_ENDMNT'!Q:Q,0,0,1)</f>
        <v>Cumple</v>
      </c>
      <c r="AI106" s="139">
        <f>+_xlfn.XLOOKUP(PROYECTOS[[#This Row],[MUNICIPIO]],'4.CAP_ENDMNT'!B:B,'4.CAP_ENDMNT'!V:V,0,0,1)</f>
        <v>1666328626.0460405</v>
      </c>
      <c r="AJ106" s="139">
        <f>+_xlfn.XLOOKUP(PROYECTOS[[#This Row],[MUNICIPIO]],'4.CAP_ENDMNT'!B:B,'4.CAP_ENDMNT'!Y:Y,0,0,1)</f>
        <v>-31544185823.723759</v>
      </c>
      <c r="AK106"/>
      <c r="AL106"/>
      <c r="AM106"/>
    </row>
    <row r="107" spans="1:39">
      <c r="A107" s="44">
        <v>114</v>
      </c>
      <c r="B107" s="37" t="s">
        <v>225</v>
      </c>
      <c r="C107" s="118">
        <f>+_xlfn.XLOOKUP(PROYECTOS[[#This Row],[ID_NECESIDAD]],'1.RADICADOS'!G:G,'1.RADICADOS'!C:C,0,0,1)*1</f>
        <v>45565</v>
      </c>
      <c r="D107" s="46" t="s">
        <v>196</v>
      </c>
      <c r="E107" s="47" t="str">
        <f>+_xlfn.XLOOKUP(PROYECTOS[[#This Row],[MUNICIPIO]],MUNICIPIOS!A:A,MUNICIPIOS!E:E,0,0,1)</f>
        <v>Valle de Aburrá</v>
      </c>
      <c r="F107" s="44">
        <f>+_xlfn.XLOOKUP(PROYECTOS[[#This Row],[MUNICIPIO]],MUNICIPIOS!A:A,MUNICIPIOS!F:F,0,0,1)</f>
        <v>-75.444237999999999</v>
      </c>
      <c r="G107" s="44" t="str">
        <f>+_xlfn.XLOOKUP(PROYECTOS[[#This Row],[MUNICIPIO]],MUNICIPIOS!A:A,MUNICIPIOS!G:G,0,0,1)</f>
        <v>6,379472</v>
      </c>
      <c r="H107" s="44">
        <f>+_xlfn.XLOOKUP(PROYECTOS[[#This Row],[MUNICIPIO]],MUNICIPIOS!A:A,MUNICIPIOS!B:B,0,0,1)</f>
        <v>0</v>
      </c>
      <c r="I107" s="44">
        <f>+_xlfn.XLOOKUP(PROYECTOS[[#This Row],[MUNICIPIO]],MUNICIPIOS!A:A,MUNICIPIOS!C:C,0,0,1)</f>
        <v>0</v>
      </c>
      <c r="J107" s="3" t="str" cm="1">
        <f t="array" ref="J107">_xlfn.TEXTJOIN(" ", TRUE, IF(radicados[ID PROYECTOS]=A107, radicados[RADICADO], ""))</f>
        <v>2024010449385 2024010513281 2024010513286</v>
      </c>
      <c r="K107" s="45">
        <v>2</v>
      </c>
      <c r="L107" s="48"/>
      <c r="M107" s="34" t="s">
        <v>396</v>
      </c>
      <c r="N107" s="34" t="s">
        <v>398</v>
      </c>
      <c r="O107" s="34" t="s">
        <v>25</v>
      </c>
      <c r="P107" s="37"/>
      <c r="Q107" s="45"/>
      <c r="R107" s="43"/>
      <c r="S107" s="43"/>
      <c r="T107" s="44">
        <f>+_xlfn.XLOOKUP(PROYECTOS[[#This Row],[MUNICIPIO]],'4.CAP_ENDMNT'!B:B,'4.CAP_ENDMNT'!C:C,0,0,1)</f>
        <v>2</v>
      </c>
      <c r="U107" s="139">
        <f>+_xlfn.XLOOKUP(PROYECTOS[[#This Row],[MUNICIPIO]],'4.CAP_ENDMNT'!B:B,'4.CAP_ENDMNT'!D:D,0,0,1)</f>
        <v>101079829717.10699</v>
      </c>
      <c r="V107" s="140">
        <f>+_xlfn.XLOOKUP(PROYECTOS[[#This Row],[MUNICIPIO]],'4.CAP_ENDMNT'!B:B,'4.CAP_ENDMNT'!E:E,0,0,1)</f>
        <v>35923834396.690002</v>
      </c>
      <c r="W107" s="140">
        <f>+_xlfn.XLOOKUP(PROYECTOS[[#This Row],[MUNICIPIO]],'4.CAP_ENDMNT'!B:B,'4.CAP_ENDMNT'!F:F,0,0,1)</f>
        <v>65155995320.416992</v>
      </c>
      <c r="X107" s="140">
        <f>+_xlfn.XLOOKUP(PROYECTOS[[#This Row],[MUNICIPIO]],'4.CAP_ENDMNT'!B:B,'4.CAP_ENDMNT'!G:G,0,0,1)</f>
        <v>0</v>
      </c>
      <c r="Y107" s="140">
        <f>+_xlfn.XLOOKUP(PROYECTOS[[#This Row],[MUNICIPIO]],'4.CAP_ENDMNT'!B:B,'4.CAP_ENDMNT'!H:H,0,0,1)</f>
        <v>33364035579</v>
      </c>
      <c r="Z107" s="140">
        <f>+_xlfn.XLOOKUP(PROYECTOS[[#This Row],[MUNICIPIO]],'4.CAP_ENDMNT'!B:B,'4.CAP_ENDMNT'!I:I,0,0,1)</f>
        <v>33364035579</v>
      </c>
      <c r="AA107" s="134">
        <f>+_xlfn.XLOOKUP(PROYECTOS[[#This Row],[MUNICIPIO]],'4.CAP_ENDMNT'!B:B,'4.CAP_ENDMNT'!J:J,0,0,1)</f>
        <v>0.33007609601615101</v>
      </c>
      <c r="AB107" s="140">
        <f>+_xlfn.XLOOKUP(PROYECTOS[[#This Row],[MUNICIPIO]],'4.CAP_ENDMNT'!B:B,'4.CAP_ENDMNT'!K:K,0,0,1)</f>
        <v>67715794138.106995</v>
      </c>
      <c r="AC107" s="140">
        <f>+_xlfn.XLOOKUP(PROYECTOS[[#This Row],[MUNICIPIO]],'4.CAP_ENDMNT'!B:B,'4.CAP_ENDMNT'!L:L,0,0,1)</f>
        <v>54172635310.485596</v>
      </c>
      <c r="AD107" s="140">
        <f>+_xlfn.XLOOKUP(PROYECTOS[[#This Row],[MUNICIPIO]],'4.CAP_ENDMNT'!B:B,'4.CAP_ENDMNT'!M:M,0,0,1)</f>
        <v>40629476482.864197</v>
      </c>
      <c r="AE107" s="134">
        <f>+_xlfn.XLOOKUP(PROYECTOS[[#This Row],[MUNICIPIO]],'4.CAP_ENDMNT'!B:B,'4.CAP_ENDMNT'!N:N,0,0,1)</f>
        <v>0</v>
      </c>
      <c r="AF107" s="134">
        <f>+_xlfn.XLOOKUP(PROYECTOS[[#This Row],[MUNICIPIO]],'4.CAP_ENDMNT'!B:B,'4.CAP_ENDMNT'!O:O,0,0,1)</f>
        <v>0.39321465077323631</v>
      </c>
      <c r="AG107" s="134">
        <f>+_xlfn.XLOOKUP(PROYECTOS[[#This Row],[MUNICIPIO]],'4.CAP_ENDMNT'!B:B,'4.CAP_ENDMNT'!P:P,0,0,1)</f>
        <v>0.7</v>
      </c>
      <c r="AH107" s="44" t="str">
        <f>+_xlfn.XLOOKUP(PROYECTOS[[#This Row],[MUNICIPIO]],'4.CAP_ENDMNT'!B:B,'4.CAP_ENDMNT'!Q:Q,0,0,1)</f>
        <v>Cumple</v>
      </c>
      <c r="AI107" s="139">
        <f>+_xlfn.XLOOKUP(PROYECTOS[[#This Row],[MUNICIPIO]],'4.CAP_ENDMNT'!B:B,'4.CAP_ENDMNT'!V:V,0,0,1)</f>
        <v>8125895296.5728397</v>
      </c>
      <c r="AJ107" s="139">
        <f>+_xlfn.XLOOKUP(PROYECTOS[[#This Row],[MUNICIPIO]],'4.CAP_ENDMNT'!B:B,'4.CAP_ENDMNT'!Y:Y,0,0,1)</f>
        <v>-38204944046.562965</v>
      </c>
      <c r="AK107"/>
      <c r="AL107"/>
      <c r="AM107"/>
    </row>
    <row r="108" spans="1:39">
      <c r="A108" s="44">
        <v>115</v>
      </c>
      <c r="B108" s="37" t="s">
        <v>1589</v>
      </c>
      <c r="C108" s="118">
        <f>+_xlfn.XLOOKUP(PROYECTOS[[#This Row],[ID_NECESIDAD]],'1.RADICADOS'!G:G,'1.RADICADOS'!C:C,0,0,1)*1</f>
        <v>45610</v>
      </c>
      <c r="D108" s="46" t="s">
        <v>223</v>
      </c>
      <c r="E108" s="47" t="str">
        <f>+_xlfn.XLOOKUP(PROYECTOS[[#This Row],[MUNICIPIO]],MUNICIPIOS!A:A,MUNICIPIOS!E:E,0,0,1)</f>
        <v>Suroeste</v>
      </c>
      <c r="F108" s="44">
        <f>+_xlfn.XLOOKUP(PROYECTOS[[#This Row],[MUNICIPIO]],MUNICIPIOS!A:A,MUNICIPIOS!F:F,0,0,1)</f>
        <v>-76.021508999999995</v>
      </c>
      <c r="G108" s="44" t="str">
        <f>+_xlfn.XLOOKUP(PROYECTOS[[#This Row],[MUNICIPIO]],MUNICIPIOS!A:A,MUNICIPIOS!G:G,0,0,1)</f>
        <v>5,850273</v>
      </c>
      <c r="H108" s="44">
        <f>+_xlfn.XLOOKUP(PROYECTOS[[#This Row],[MUNICIPIO]],MUNICIPIOS!A:A,MUNICIPIOS!B:B,0,0,1)</f>
        <v>0</v>
      </c>
      <c r="I108" s="44">
        <f>+_xlfn.XLOOKUP(PROYECTOS[[#This Row],[MUNICIPIO]],MUNICIPIOS!A:A,MUNICIPIOS!C:C,0,0,1)</f>
        <v>0</v>
      </c>
      <c r="J108" s="3" t="str" cm="1">
        <f t="array" ref="J108">_xlfn.TEXTJOIN(" ", TRUE, IF(radicados[ID PROYECTOS]=A108, radicados[RADICADO], ""))</f>
        <v>2024010520677</v>
      </c>
      <c r="K108" s="45">
        <v>3</v>
      </c>
      <c r="L108" s="214">
        <v>2177618498</v>
      </c>
      <c r="M108" s="34" t="s">
        <v>288</v>
      </c>
      <c r="N108" s="34" t="s">
        <v>398</v>
      </c>
      <c r="O108" s="34" t="s">
        <v>25</v>
      </c>
      <c r="P108" s="37" t="s">
        <v>1564</v>
      </c>
      <c r="Q108" s="45"/>
      <c r="R108" s="43"/>
      <c r="S108" s="43"/>
      <c r="T108" s="44">
        <f>+_xlfn.XLOOKUP(PROYECTOS[[#This Row],[MUNICIPIO]],'4.CAP_ENDMNT'!B:B,'4.CAP_ENDMNT'!C:C,0,0,1)</f>
        <v>6</v>
      </c>
      <c r="U108" s="139">
        <f>+_xlfn.XLOOKUP(PROYECTOS[[#This Row],[MUNICIPIO]],'4.CAP_ENDMNT'!B:B,'4.CAP_ENDMNT'!D:D,0,0,1)</f>
        <v>18608617574.017002</v>
      </c>
      <c r="V108" s="140">
        <f>+_xlfn.XLOOKUP(PROYECTOS[[#This Row],[MUNICIPIO]],'4.CAP_ENDMNT'!B:B,'4.CAP_ENDMNT'!E:E,0,0,1)</f>
        <v>7376218347.0799999</v>
      </c>
      <c r="W108" s="140">
        <f>+_xlfn.XLOOKUP(PROYECTOS[[#This Row],[MUNICIPIO]],'4.CAP_ENDMNT'!B:B,'4.CAP_ENDMNT'!F:F,0,0,1)</f>
        <v>11232399226.937002</v>
      </c>
      <c r="X108" s="140">
        <f>+_xlfn.XLOOKUP(PROYECTOS[[#This Row],[MUNICIPIO]],'4.CAP_ENDMNT'!B:B,'4.CAP_ENDMNT'!G:G,0,0,1)</f>
        <v>2665498102.3000002</v>
      </c>
      <c r="Y108" s="140">
        <f>+_xlfn.XLOOKUP(PROYECTOS[[#This Row],[MUNICIPIO]],'4.CAP_ENDMNT'!B:B,'4.CAP_ENDMNT'!H:H,0,0,1)</f>
        <v>2057047588</v>
      </c>
      <c r="Z108" s="140">
        <f>+_xlfn.XLOOKUP(PROYECTOS[[#This Row],[MUNICIPIO]],'4.CAP_ENDMNT'!B:B,'4.CAP_ENDMNT'!I:I,0,0,1)</f>
        <v>4722545690.3000002</v>
      </c>
      <c r="AA108" s="134">
        <f>+_xlfn.XLOOKUP(PROYECTOS[[#This Row],[MUNICIPIO]],'4.CAP_ENDMNT'!B:B,'4.CAP_ENDMNT'!J:J,0,0,1)</f>
        <v>0.25378272574605631</v>
      </c>
      <c r="AB108" s="140">
        <f>+_xlfn.XLOOKUP(PROYECTOS[[#This Row],[MUNICIPIO]],'4.CAP_ENDMNT'!B:B,'4.CAP_ENDMNT'!K:K,0,0,1)</f>
        <v>13886071883.717003</v>
      </c>
      <c r="AC108" s="140">
        <f>+_xlfn.XLOOKUP(PROYECTOS[[#This Row],[MUNICIPIO]],'4.CAP_ENDMNT'!B:B,'4.CAP_ENDMNT'!L:L,0,0,1)</f>
        <v>11108857506.973602</v>
      </c>
      <c r="AD108" s="140">
        <f>+_xlfn.XLOOKUP(PROYECTOS[[#This Row],[MUNICIPIO]],'4.CAP_ENDMNT'!B:B,'4.CAP_ENDMNT'!M:M,0,0,1)</f>
        <v>8331643130.2302017</v>
      </c>
      <c r="AE108" s="134">
        <f>+_xlfn.XLOOKUP(PROYECTOS[[#This Row],[MUNICIPIO]],'4.CAP_ENDMNT'!B:B,'4.CAP_ENDMNT'!N:N,0,0,1)</f>
        <v>0.56441975940537148</v>
      </c>
      <c r="AF108" s="134">
        <f>+_xlfn.XLOOKUP(PROYECTOS[[#This Row],[MUNICIPIO]],'4.CAP_ENDMNT'!B:B,'4.CAP_ENDMNT'!O:O,0,0,1)</f>
        <v>0.57306836090110702</v>
      </c>
      <c r="AG108" s="134">
        <f>+_xlfn.XLOOKUP(PROYECTOS[[#This Row],[MUNICIPIO]],'4.CAP_ENDMNT'!B:B,'4.CAP_ENDMNT'!P:P,0,0,1)</f>
        <v>0.8</v>
      </c>
      <c r="AH108" s="44" t="str">
        <f>+_xlfn.XLOOKUP(PROYECTOS[[#This Row],[MUNICIPIO]],'4.CAP_ENDMNT'!B:B,'4.CAP_ENDMNT'!Q:Q,0,0,1)</f>
        <v>Cumple</v>
      </c>
      <c r="AI108" s="139">
        <f>+_xlfn.XLOOKUP(PROYECTOS[[#This Row],[MUNICIPIO]],'4.CAP_ENDMNT'!B:B,'4.CAP_ENDMNT'!V:V,0,0,1)</f>
        <v>1666328626.0460405</v>
      </c>
      <c r="AJ108" s="139">
        <f>+_xlfn.XLOOKUP(PROYECTOS[[#This Row],[MUNICIPIO]],'4.CAP_ENDMNT'!B:B,'4.CAP_ENDMNT'!Y:Y,0,0,1)</f>
        <v>-31544185823.723759</v>
      </c>
      <c r="AK108"/>
      <c r="AL108"/>
      <c r="AM108"/>
    </row>
    <row r="109" spans="1:39">
      <c r="A109" s="44">
        <v>116</v>
      </c>
      <c r="B109" s="37" t="s">
        <v>424</v>
      </c>
      <c r="C109" s="118">
        <f>+_xlfn.XLOOKUP(PROYECTOS[[#This Row],[ID_NECESIDAD]],'1.RADICADOS'!G:G,'1.RADICADOS'!C:C,0,0,1)*1</f>
        <v>45454</v>
      </c>
      <c r="D109" s="46" t="s">
        <v>125</v>
      </c>
      <c r="E109" s="47" t="str">
        <f>+_xlfn.XLOOKUP(PROYECTOS[[#This Row],[MUNICIPIO]],MUNICIPIOS!A:A,MUNICIPIOS!E:E,0,0,1)</f>
        <v>Oriente</v>
      </c>
      <c r="F109" s="44">
        <f>+_xlfn.XLOOKUP(PROYECTOS[[#This Row],[MUNICIPIO]],MUNICIPIOS!A:A,MUNICIPIOS!F:F,0,0,1)</f>
        <v>-75.185483000000005</v>
      </c>
      <c r="G109" s="44" t="str">
        <f>+_xlfn.XLOOKUP(PROYECTOS[[#This Row],[MUNICIPIO]],MUNICIPIOS!A:A,MUNICIPIOS!G:G,0,0,1)</f>
        <v>6,058295</v>
      </c>
      <c r="H109" s="44">
        <f>+_xlfn.XLOOKUP(PROYECTOS[[#This Row],[MUNICIPIO]],MUNICIPIOS!A:A,MUNICIPIOS!B:B,0,0,1)</f>
        <v>0</v>
      </c>
      <c r="I109" s="44">
        <f>+_xlfn.XLOOKUP(PROYECTOS[[#This Row],[MUNICIPIO]],MUNICIPIOS!A:A,MUNICIPIOS!C:C,0,0,1)</f>
        <v>1</v>
      </c>
      <c r="J109" s="3" t="str" cm="1">
        <f t="array" ref="J109">_xlfn.TEXTJOIN(" ", TRUE, IF(radicados[ID PROYECTOS]=A109, radicados[RADICADO], ""))</f>
        <v>2024010506674</v>
      </c>
      <c r="K109" s="45">
        <v>3</v>
      </c>
      <c r="L109" s="48">
        <v>3721767433</v>
      </c>
      <c r="M109" s="34" t="s">
        <v>401</v>
      </c>
      <c r="N109" s="34" t="s">
        <v>394</v>
      </c>
      <c r="O109" s="34" t="s">
        <v>18</v>
      </c>
      <c r="P109" s="37"/>
      <c r="Q109" s="45"/>
      <c r="R109" s="43"/>
      <c r="S109" s="43"/>
      <c r="T109" s="44">
        <f>+_xlfn.XLOOKUP(PROYECTOS[[#This Row],[MUNICIPIO]],'4.CAP_ENDMNT'!B:B,'4.CAP_ENDMNT'!C:C,0,0,1)</f>
        <v>6</v>
      </c>
      <c r="U109" s="139">
        <f>+_xlfn.XLOOKUP(PROYECTOS[[#This Row],[MUNICIPIO]],'4.CAP_ENDMNT'!B:B,'4.CAP_ENDMNT'!D:D,0,0,1)</f>
        <v>12327690626.8465</v>
      </c>
      <c r="V109" s="140">
        <f>+_xlfn.XLOOKUP(PROYECTOS[[#This Row],[MUNICIPIO]],'4.CAP_ENDMNT'!B:B,'4.CAP_ENDMNT'!E:E,0,0,1)</f>
        <v>4723680091.2799997</v>
      </c>
      <c r="W109" s="140">
        <f>+_xlfn.XLOOKUP(PROYECTOS[[#This Row],[MUNICIPIO]],'4.CAP_ENDMNT'!B:B,'4.CAP_ENDMNT'!F:F,0,0,1)</f>
        <v>7604010535.5665007</v>
      </c>
      <c r="X109" s="140">
        <f>+_xlfn.XLOOKUP(PROYECTOS[[#This Row],[MUNICIPIO]],'4.CAP_ENDMNT'!B:B,'4.CAP_ENDMNT'!G:G,0,0,1)</f>
        <v>445297438</v>
      </c>
      <c r="Y109" s="140">
        <f>+_xlfn.XLOOKUP(PROYECTOS[[#This Row],[MUNICIPIO]],'4.CAP_ENDMNT'!B:B,'4.CAP_ENDMNT'!H:H,0,0,1)</f>
        <v>33508702</v>
      </c>
      <c r="Z109" s="140">
        <f>+_xlfn.XLOOKUP(PROYECTOS[[#This Row],[MUNICIPIO]],'4.CAP_ENDMNT'!B:B,'4.CAP_ENDMNT'!I:I,0,0,1)</f>
        <v>478806140</v>
      </c>
      <c r="AA109" s="134">
        <f>+_xlfn.XLOOKUP(PROYECTOS[[#This Row],[MUNICIPIO]],'4.CAP_ENDMNT'!B:B,'4.CAP_ENDMNT'!J:J,0,0,1)</f>
        <v>3.8839889359105498E-2</v>
      </c>
      <c r="AB109" s="140">
        <f>+_xlfn.XLOOKUP(PROYECTOS[[#This Row],[MUNICIPIO]],'4.CAP_ENDMNT'!B:B,'4.CAP_ENDMNT'!K:K,0,0,1)</f>
        <v>11848884486.8465</v>
      </c>
      <c r="AC109" s="140">
        <f>+_xlfn.XLOOKUP(PROYECTOS[[#This Row],[MUNICIPIO]],'4.CAP_ENDMNT'!B:B,'4.CAP_ENDMNT'!L:L,0,0,1)</f>
        <v>9479107589.4772015</v>
      </c>
      <c r="AD109" s="140">
        <f>+_xlfn.XLOOKUP(PROYECTOS[[#This Row],[MUNICIPIO]],'4.CAP_ENDMNT'!B:B,'4.CAP_ENDMNT'!M:M,0,0,1)</f>
        <v>7109330692.1078997</v>
      </c>
      <c r="AE109" s="134">
        <f>+_xlfn.XLOOKUP(PROYECTOS[[#This Row],[MUNICIPIO]],'4.CAP_ENDMNT'!B:B,'4.CAP_ENDMNT'!N:N,0,0,1)</f>
        <v>0.93001613972619479</v>
      </c>
      <c r="AF109" s="134">
        <f>+_xlfn.XLOOKUP(PROYECTOS[[#This Row],[MUNICIPIO]],'4.CAP_ENDMNT'!B:B,'4.CAP_ENDMNT'!O:O,0,0,1)</f>
        <v>0.63996045822337311</v>
      </c>
      <c r="AG109" s="134">
        <f>+_xlfn.XLOOKUP(PROYECTOS[[#This Row],[MUNICIPIO]],'4.CAP_ENDMNT'!B:B,'4.CAP_ENDMNT'!P:P,0,0,1)</f>
        <v>0.8</v>
      </c>
      <c r="AH109" s="44" t="str">
        <f>+_xlfn.XLOOKUP(PROYECTOS[[#This Row],[MUNICIPIO]],'4.CAP_ENDMNT'!B:B,'4.CAP_ENDMNT'!Q:Q,0,0,1)</f>
        <v>Cumple</v>
      </c>
      <c r="AI109" s="139">
        <f>+_xlfn.XLOOKUP(PROYECTOS[[#This Row],[MUNICIPIO]],'4.CAP_ENDMNT'!B:B,'4.CAP_ENDMNT'!V:V,0,0,1)</f>
        <v>1421866138.4215801</v>
      </c>
      <c r="AJ109" s="139">
        <f>+_xlfn.XLOOKUP(PROYECTOS[[#This Row],[MUNICIPIO]],'4.CAP_ENDMNT'!B:B,'4.CAP_ENDMNT'!Y:Y,0,0,1)</f>
        <v>4809429397.52948</v>
      </c>
      <c r="AK109"/>
      <c r="AL109"/>
      <c r="AM109"/>
    </row>
    <row r="110" spans="1:39">
      <c r="A110" s="44">
        <v>117</v>
      </c>
      <c r="B110" s="37" t="s">
        <v>425</v>
      </c>
      <c r="C110" s="118">
        <f>+_xlfn.XLOOKUP(PROYECTOS[[#This Row],[ID_NECESIDAD]],'1.RADICADOS'!G:G,'1.RADICADOS'!C:C,0,0,1)*1</f>
        <v>45637</v>
      </c>
      <c r="D110" s="46" t="s">
        <v>232</v>
      </c>
      <c r="E110" s="47" t="str">
        <f>+_xlfn.XLOOKUP(PROYECTOS[[#This Row],[MUNICIPIO]],MUNICIPIOS!A:A,MUNICIPIOS!E:E,0,0,1)</f>
        <v>Suroeste</v>
      </c>
      <c r="F110" s="44">
        <f>+_xlfn.XLOOKUP(PROYECTOS[[#This Row],[MUNICIPIO]],MUNICIPIOS!A:A,MUNICIPIOS!F:F,0,0,1)</f>
        <v>-75.523454999999998</v>
      </c>
      <c r="G110" s="44" t="str">
        <f>+_xlfn.XLOOKUP(PROYECTOS[[#This Row],[MUNICIPIO]],MUNICIPIOS!A:A,MUNICIPIOS!G:G,0,0,1)</f>
        <v>5,946313</v>
      </c>
      <c r="H110" s="44">
        <f>+_xlfn.XLOOKUP(PROYECTOS[[#This Row],[MUNICIPIO]],MUNICIPIOS!A:A,MUNICIPIOS!B:B,0,0,1)</f>
        <v>0</v>
      </c>
      <c r="I110" s="44">
        <f>+_xlfn.XLOOKUP(PROYECTOS[[#This Row],[MUNICIPIO]],MUNICIPIOS!A:A,MUNICIPIOS!C:C,0,0,1)</f>
        <v>1</v>
      </c>
      <c r="J110" s="3" t="str" cm="1">
        <f t="array" ref="J110">_xlfn.TEXTJOIN(" ", TRUE, IF(radicados[ID PROYECTOS]=A110, radicados[RADICADO], ""))</f>
        <v>2024010515296</v>
      </c>
      <c r="K110" s="45">
        <v>2</v>
      </c>
      <c r="L110" s="48"/>
      <c r="M110" s="34" t="s">
        <v>426</v>
      </c>
      <c r="N110" s="34" t="s">
        <v>394</v>
      </c>
      <c r="O110" s="34" t="s">
        <v>18</v>
      </c>
      <c r="P110" s="37"/>
      <c r="Q110" s="45"/>
      <c r="R110" s="43"/>
      <c r="S110" s="43"/>
      <c r="T110" s="44">
        <f>+_xlfn.XLOOKUP(PROYECTOS[[#This Row],[MUNICIPIO]],'4.CAP_ENDMNT'!B:B,'4.CAP_ENDMNT'!C:C,0,0,1)</f>
        <v>6</v>
      </c>
      <c r="U110" s="139">
        <f>+_xlfn.XLOOKUP(PROYECTOS[[#This Row],[MUNICIPIO]],'4.CAP_ENDMNT'!B:B,'4.CAP_ENDMNT'!D:D,0,0,1)</f>
        <v>6527267076.0299997</v>
      </c>
      <c r="V110" s="140">
        <f>+_xlfn.XLOOKUP(PROYECTOS[[#This Row],[MUNICIPIO]],'4.CAP_ENDMNT'!B:B,'4.CAP_ENDMNT'!E:E,0,0,1)</f>
        <v>2852468155.77</v>
      </c>
      <c r="W110" s="140">
        <f>+_xlfn.XLOOKUP(PROYECTOS[[#This Row],[MUNICIPIO]],'4.CAP_ENDMNT'!B:B,'4.CAP_ENDMNT'!F:F,0,0,1)</f>
        <v>3674798920.2599998</v>
      </c>
      <c r="X110" s="140">
        <f>+_xlfn.XLOOKUP(PROYECTOS[[#This Row],[MUNICIPIO]],'4.CAP_ENDMNT'!B:B,'4.CAP_ENDMNT'!G:G,0,0,1)</f>
        <v>1320825426</v>
      </c>
      <c r="Y110" s="140">
        <f>+_xlfn.XLOOKUP(PROYECTOS[[#This Row],[MUNICIPIO]],'4.CAP_ENDMNT'!B:B,'4.CAP_ENDMNT'!H:H,0,0,1)</f>
        <v>0</v>
      </c>
      <c r="Z110" s="140">
        <f>+_xlfn.XLOOKUP(PROYECTOS[[#This Row],[MUNICIPIO]],'4.CAP_ENDMNT'!B:B,'4.CAP_ENDMNT'!I:I,0,0,1)</f>
        <v>1320825426</v>
      </c>
      <c r="AA110" s="134">
        <f>+_xlfn.XLOOKUP(PROYECTOS[[#This Row],[MUNICIPIO]],'4.CAP_ENDMNT'!B:B,'4.CAP_ENDMNT'!J:J,0,0,1)</f>
        <v>0.2023550454753798</v>
      </c>
      <c r="AB110" s="140">
        <f>+_xlfn.XLOOKUP(PROYECTOS[[#This Row],[MUNICIPIO]],'4.CAP_ENDMNT'!B:B,'4.CAP_ENDMNT'!K:K,0,0,1)</f>
        <v>5206441650.0299997</v>
      </c>
      <c r="AC110" s="140">
        <f>+_xlfn.XLOOKUP(PROYECTOS[[#This Row],[MUNICIPIO]],'4.CAP_ENDMNT'!B:B,'4.CAP_ENDMNT'!L:L,0,0,1)</f>
        <v>4165153320.0240002</v>
      </c>
      <c r="AD110" s="140">
        <f>+_xlfn.XLOOKUP(PROYECTOS[[#This Row],[MUNICIPIO]],'4.CAP_ENDMNT'!B:B,'4.CAP_ENDMNT'!M:M,0,0,1)</f>
        <v>3123864990.0179996</v>
      </c>
      <c r="AE110" s="134">
        <f>+_xlfn.XLOOKUP(PROYECTOS[[#This Row],[MUNICIPIO]],'4.CAP_ENDMNT'!B:B,'4.CAP_ENDMNT'!N:N,0,0,1)</f>
        <v>1</v>
      </c>
      <c r="AF110" s="134">
        <f>+_xlfn.XLOOKUP(PROYECTOS[[#This Row],[MUNICIPIO]],'4.CAP_ENDMNT'!B:B,'4.CAP_ENDMNT'!O:O,0,0,1)</f>
        <v>0.63926485007667311</v>
      </c>
      <c r="AG110" s="134">
        <f>+_xlfn.XLOOKUP(PROYECTOS[[#This Row],[MUNICIPIO]],'4.CAP_ENDMNT'!B:B,'4.CAP_ENDMNT'!P:P,0,0,1)</f>
        <v>0.8</v>
      </c>
      <c r="AH110" s="44" t="str">
        <f>+_xlfn.XLOOKUP(PROYECTOS[[#This Row],[MUNICIPIO]],'4.CAP_ENDMNT'!B:B,'4.CAP_ENDMNT'!Q:Q,0,0,1)</f>
        <v>Cumple</v>
      </c>
      <c r="AI110" s="139">
        <f>+_xlfn.XLOOKUP(PROYECTOS[[#This Row],[MUNICIPIO]],'4.CAP_ENDMNT'!B:B,'4.CAP_ENDMNT'!V:V,0,0,1)</f>
        <v>624772998.0036</v>
      </c>
      <c r="AJ110" s="139">
        <f>+_xlfn.XLOOKUP(PROYECTOS[[#This Row],[MUNICIPIO]],'4.CAP_ENDMNT'!B:B,'4.CAP_ENDMNT'!Y:Y,0,0,1)</f>
        <v>3748637988.0215998</v>
      </c>
      <c r="AK110"/>
      <c r="AL110"/>
      <c r="AM110"/>
    </row>
    <row r="111" spans="1:39">
      <c r="A111" s="44">
        <v>118</v>
      </c>
      <c r="B111" s="37" t="s">
        <v>234</v>
      </c>
      <c r="C111" s="118">
        <f>+_xlfn.XLOOKUP(PROYECTOS[[#This Row],[ID_NECESIDAD]],'1.RADICADOS'!G:G,'1.RADICADOS'!C:C,0,0,1)*1</f>
        <v>45609</v>
      </c>
      <c r="D111" s="46" t="s">
        <v>38</v>
      </c>
      <c r="E111" s="47" t="str">
        <f>+_xlfn.XLOOKUP(PROYECTOS[[#This Row],[MUNICIPIO]],MUNICIPIOS!A:A,MUNICIPIOS!E:E,0,0,1)</f>
        <v>Urabá</v>
      </c>
      <c r="F111" s="44">
        <f>+_xlfn.XLOOKUP(PROYECTOS[[#This Row],[MUNICIPIO]],MUNICIPIOS!A:A,MUNICIPIOS!F:F,0,0,1)</f>
        <v>-76.652652000000003</v>
      </c>
      <c r="G111" s="44" t="str">
        <f>+_xlfn.XLOOKUP(PROYECTOS[[#This Row],[MUNICIPIO]],MUNICIPIOS!A:A,MUNICIPIOS!G:G,0,0,1)</f>
        <v>7,755148</v>
      </c>
      <c r="H111" s="44">
        <f>+_xlfn.XLOOKUP(PROYECTOS[[#This Row],[MUNICIPIO]],MUNICIPIOS!A:A,MUNICIPIOS!B:B,0,0,1)</f>
        <v>1</v>
      </c>
      <c r="I111" s="44">
        <f>+_xlfn.XLOOKUP(PROYECTOS[[#This Row],[MUNICIPIO]],MUNICIPIOS!A:A,MUNICIPIOS!C:C,0,0,1)</f>
        <v>1</v>
      </c>
      <c r="J111" s="3" t="str" cm="1">
        <f t="array" ref="J111">_xlfn.TEXTJOIN(" ", TRUE, IF(radicados[ID PROYECTOS]=A111, radicados[RADICADO], ""))</f>
        <v>2024010519763</v>
      </c>
      <c r="K111" s="45">
        <v>2</v>
      </c>
      <c r="L111" s="48"/>
      <c r="M111" s="34" t="s">
        <v>401</v>
      </c>
      <c r="N111" s="34" t="s">
        <v>398</v>
      </c>
      <c r="O111" s="34" t="s">
        <v>25</v>
      </c>
      <c r="P111" s="37"/>
      <c r="Q111" s="45"/>
      <c r="R111" s="43"/>
      <c r="S111" s="43"/>
      <c r="T111" s="44">
        <f>+_xlfn.XLOOKUP(PROYECTOS[[#This Row],[MUNICIPIO]],'4.CAP_ENDMNT'!B:B,'4.CAP_ENDMNT'!C:C,0,0,1)</f>
        <v>6</v>
      </c>
      <c r="U111" s="139">
        <f>+_xlfn.XLOOKUP(PROYECTOS[[#This Row],[MUNICIPIO]],'4.CAP_ENDMNT'!B:B,'4.CAP_ENDMNT'!D:D,0,0,1)</f>
        <v>31551501799.776001</v>
      </c>
      <c r="V111" s="140">
        <f>+_xlfn.XLOOKUP(PROYECTOS[[#This Row],[MUNICIPIO]],'4.CAP_ENDMNT'!B:B,'4.CAP_ENDMNT'!E:E,0,0,1)</f>
        <v>12896901947.809999</v>
      </c>
      <c r="W111" s="140">
        <f>+_xlfn.XLOOKUP(PROYECTOS[[#This Row],[MUNICIPIO]],'4.CAP_ENDMNT'!B:B,'4.CAP_ENDMNT'!F:F,0,0,1)</f>
        <v>18654599851.966003</v>
      </c>
      <c r="X111" s="140">
        <f>+_xlfn.XLOOKUP(PROYECTOS[[#This Row],[MUNICIPIO]],'4.CAP_ENDMNT'!B:B,'4.CAP_ENDMNT'!G:G,0,0,1)</f>
        <v>4320802475</v>
      </c>
      <c r="Y111" s="140">
        <f>+_xlfn.XLOOKUP(PROYECTOS[[#This Row],[MUNICIPIO]],'4.CAP_ENDMNT'!B:B,'4.CAP_ENDMNT'!H:H,0,0,1)</f>
        <v>2118562934.45</v>
      </c>
      <c r="Z111" s="140">
        <f>+_xlfn.XLOOKUP(PROYECTOS[[#This Row],[MUNICIPIO]],'4.CAP_ENDMNT'!B:B,'4.CAP_ENDMNT'!I:I,0,0,1)</f>
        <v>6439365409.4499998</v>
      </c>
      <c r="AA111" s="134">
        <f>+_xlfn.XLOOKUP(PROYECTOS[[#This Row],[MUNICIPIO]],'4.CAP_ENDMNT'!B:B,'4.CAP_ENDMNT'!J:J,0,0,1)</f>
        <v>0.20409061509381832</v>
      </c>
      <c r="AB111" s="140">
        <f>+_xlfn.XLOOKUP(PROYECTOS[[#This Row],[MUNICIPIO]],'4.CAP_ENDMNT'!B:B,'4.CAP_ENDMNT'!K:K,0,0,1)</f>
        <v>25112136390.326</v>
      </c>
      <c r="AC111" s="140">
        <f>+_xlfn.XLOOKUP(PROYECTOS[[#This Row],[MUNICIPIO]],'4.CAP_ENDMNT'!B:B,'4.CAP_ENDMNT'!L:L,0,0,1)</f>
        <v>20089709112.260799</v>
      </c>
      <c r="AD111" s="140">
        <f>+_xlfn.XLOOKUP(PROYECTOS[[#This Row],[MUNICIPIO]],'4.CAP_ENDMNT'!B:B,'4.CAP_ENDMNT'!M:M,0,0,1)</f>
        <v>15067281834.195601</v>
      </c>
      <c r="AE111" s="134">
        <f>+_xlfn.XLOOKUP(PROYECTOS[[#This Row],[MUNICIPIO]],'4.CAP_ENDMNT'!B:B,'4.CAP_ENDMNT'!N:N,0,0,1)</f>
        <v>0.67099818076158058</v>
      </c>
      <c r="AF111" s="134">
        <f>+_xlfn.XLOOKUP(PROYECTOS[[#This Row],[MUNICIPIO]],'4.CAP_ENDMNT'!B:B,'4.CAP_ENDMNT'!O:O,0,0,1)</f>
        <v>0.60103296352987046</v>
      </c>
      <c r="AG111" s="134">
        <f>+_xlfn.XLOOKUP(PROYECTOS[[#This Row],[MUNICIPIO]],'4.CAP_ENDMNT'!B:B,'4.CAP_ENDMNT'!P:P,0,0,1)</f>
        <v>0.8</v>
      </c>
      <c r="AH111" s="44" t="str">
        <f>+_xlfn.XLOOKUP(PROYECTOS[[#This Row],[MUNICIPIO]],'4.CAP_ENDMNT'!B:B,'4.CAP_ENDMNT'!Q:Q,0,0,1)</f>
        <v>Cumple</v>
      </c>
      <c r="AI111" s="139">
        <f>+_xlfn.XLOOKUP(PROYECTOS[[#This Row],[MUNICIPIO]],'4.CAP_ENDMNT'!B:B,'4.CAP_ENDMNT'!V:V,0,0,1)</f>
        <v>3013456366.8391204</v>
      </c>
      <c r="AJ111" s="139">
        <f>+_xlfn.XLOOKUP(PROYECTOS[[#This Row],[MUNICIPIO]],'4.CAP_ENDMNT'!B:B,'4.CAP_ENDMNT'!Y:Y,0,0,1)</f>
        <v>10290788523.034721</v>
      </c>
      <c r="AK111"/>
      <c r="AL111"/>
      <c r="AM111"/>
    </row>
    <row r="112" spans="1:39">
      <c r="A112" s="44">
        <v>119</v>
      </c>
      <c r="B112" s="37" t="s">
        <v>1395</v>
      </c>
      <c r="C112" s="118">
        <f>+_xlfn.XLOOKUP(PROYECTOS[[#This Row],[ID_NECESIDAD]],'1.RADICADOS'!G:G,'1.RADICADOS'!C:C,0,0,1)*1</f>
        <v>45637</v>
      </c>
      <c r="D112" s="46" t="s">
        <v>200</v>
      </c>
      <c r="E112" s="47" t="str">
        <f>+_xlfn.XLOOKUP(PROYECTOS[[#This Row],[MUNICIPIO]],MUNICIPIOS!A:A,MUNICIPIOS!E:E,0,0,1)</f>
        <v>Bajo Cauca</v>
      </c>
      <c r="F112" s="44">
        <f>+_xlfn.XLOOKUP(PROYECTOS[[#This Row],[MUNICIPIO]],MUNICIPIOS!A:A,MUNICIPIOS!F:F,0,0,1)</f>
        <v>-74.867075</v>
      </c>
      <c r="G112" s="44">
        <f>+_xlfn.XLOOKUP(PROYECTOS[[#This Row],[MUNICIPIO]],MUNICIPIOS!A:A,MUNICIPIOS!G:G,0,0,1)</f>
        <v>7.4885830000000002</v>
      </c>
      <c r="H112" s="44">
        <f>+_xlfn.XLOOKUP(PROYECTOS[[#This Row],[MUNICIPIO]],MUNICIPIOS!A:A,MUNICIPIOS!B:B,0,0,1)</f>
        <v>1</v>
      </c>
      <c r="I112" s="44">
        <f>+_xlfn.XLOOKUP(PROYECTOS[[#This Row],[MUNICIPIO]],MUNICIPIOS!A:A,MUNICIPIOS!C:C,0,0,1)</f>
        <v>1</v>
      </c>
      <c r="J112" s="3" t="str" cm="1">
        <f t="array" ref="J112">_xlfn.TEXTJOIN(" ", TRUE, IF(radicados[ID PROYECTOS]=A112, radicados[RADICADO], ""))</f>
        <v>2024020054785</v>
      </c>
      <c r="K112" s="45">
        <v>3</v>
      </c>
      <c r="L112" s="48">
        <v>3347941547</v>
      </c>
      <c r="M112" s="34" t="s">
        <v>392</v>
      </c>
      <c r="N112" s="40" t="s">
        <v>1079</v>
      </c>
      <c r="O112" s="40" t="s">
        <v>7</v>
      </c>
      <c r="P112" s="37" t="s">
        <v>1146</v>
      </c>
      <c r="Q112" s="45"/>
      <c r="R112" s="43"/>
      <c r="S112" s="43"/>
      <c r="T112" s="44">
        <f>+_xlfn.XLOOKUP(PROYECTOS[[#This Row],[MUNICIPIO]],'4.CAP_ENDMNT'!B:B,'4.CAP_ENDMNT'!C:C,0,0,1)</f>
        <v>6</v>
      </c>
      <c r="U112" s="139">
        <f>+_xlfn.XLOOKUP(PROYECTOS[[#This Row],[MUNICIPIO]],'4.CAP_ENDMNT'!B:B,'4.CAP_ENDMNT'!D:D,0,0,1)</f>
        <v>26491016162.216</v>
      </c>
      <c r="V112" s="140">
        <f>+_xlfn.XLOOKUP(PROYECTOS[[#This Row],[MUNICIPIO]],'4.CAP_ENDMNT'!B:B,'4.CAP_ENDMNT'!E:E,0,0,1)</f>
        <v>7986352410.1199999</v>
      </c>
      <c r="W112" s="140">
        <f>+_xlfn.XLOOKUP(PROYECTOS[[#This Row],[MUNICIPIO]],'4.CAP_ENDMNT'!B:B,'4.CAP_ENDMNT'!F:F,0,0,1)</f>
        <v>18504663752.096001</v>
      </c>
      <c r="X112" s="140">
        <f>+_xlfn.XLOOKUP(PROYECTOS[[#This Row],[MUNICIPIO]],'4.CAP_ENDMNT'!B:B,'4.CAP_ENDMNT'!G:G,0,0,1)</f>
        <v>6804069561</v>
      </c>
      <c r="Y112" s="140">
        <f>+_xlfn.XLOOKUP(PROYECTOS[[#This Row],[MUNICIPIO]],'4.CAP_ENDMNT'!B:B,'4.CAP_ENDMNT'!H:H,0,0,1)</f>
        <v>0</v>
      </c>
      <c r="Z112" s="140">
        <f>+_xlfn.XLOOKUP(PROYECTOS[[#This Row],[MUNICIPIO]],'4.CAP_ENDMNT'!B:B,'4.CAP_ENDMNT'!I:I,0,0,1)</f>
        <v>6804069561</v>
      </c>
      <c r="AA112" s="134">
        <f>+_xlfn.XLOOKUP(PROYECTOS[[#This Row],[MUNICIPIO]],'4.CAP_ENDMNT'!B:B,'4.CAP_ENDMNT'!J:J,0,0,1)</f>
        <v>0.25684441545525194</v>
      </c>
      <c r="AB112" s="140">
        <f>+_xlfn.XLOOKUP(PROYECTOS[[#This Row],[MUNICIPIO]],'4.CAP_ENDMNT'!B:B,'4.CAP_ENDMNT'!K:K,0,0,1)</f>
        <v>19686946601.216</v>
      </c>
      <c r="AC112" s="140">
        <f>+_xlfn.XLOOKUP(PROYECTOS[[#This Row],[MUNICIPIO]],'4.CAP_ENDMNT'!B:B,'4.CAP_ENDMNT'!L:L,0,0,1)</f>
        <v>15749557280.972801</v>
      </c>
      <c r="AD112" s="140">
        <f>+_xlfn.XLOOKUP(PROYECTOS[[#This Row],[MUNICIPIO]],'4.CAP_ENDMNT'!B:B,'4.CAP_ENDMNT'!M:M,0,0,1)</f>
        <v>11812167960.729599</v>
      </c>
      <c r="AE112" s="134">
        <f>+_xlfn.XLOOKUP(PROYECTOS[[#This Row],[MUNICIPIO]],'4.CAP_ENDMNT'!B:B,'4.CAP_ENDMNT'!N:N,0,0,1)</f>
        <v>1</v>
      </c>
      <c r="AF112" s="134">
        <f>+_xlfn.XLOOKUP(PROYECTOS[[#This Row],[MUNICIPIO]],'4.CAP_ENDMNT'!B:B,'4.CAP_ENDMNT'!O:O,0,0,1)</f>
        <v>0.54140540347070121</v>
      </c>
      <c r="AG112" s="134">
        <f>+_xlfn.XLOOKUP(PROYECTOS[[#This Row],[MUNICIPIO]],'4.CAP_ENDMNT'!B:B,'4.CAP_ENDMNT'!P:P,0,0,1)</f>
        <v>0.8</v>
      </c>
      <c r="AH112" s="44" t="str">
        <f>+_xlfn.XLOOKUP(PROYECTOS[[#This Row],[MUNICIPIO]],'4.CAP_ENDMNT'!B:B,'4.CAP_ENDMNT'!Q:Q,0,0,1)</f>
        <v>Cumple</v>
      </c>
      <c r="AI112" s="139">
        <f>+_xlfn.XLOOKUP(PROYECTOS[[#This Row],[MUNICIPIO]],'4.CAP_ENDMNT'!B:B,'4.CAP_ENDMNT'!V:V,0,0,1)</f>
        <v>2362433592.1459198</v>
      </c>
      <c r="AJ112" s="139">
        <f>+_xlfn.XLOOKUP(PROYECTOS[[#This Row],[MUNICIPIO]],'4.CAP_ENDMNT'!B:B,'4.CAP_ENDMNT'!Y:Y,0,0,1)</f>
        <v>-15716605637.124481</v>
      </c>
      <c r="AK112"/>
      <c r="AL112"/>
      <c r="AM112"/>
    </row>
    <row r="113" spans="1:39">
      <c r="A113" s="44">
        <v>120</v>
      </c>
      <c r="B113" s="36" t="s">
        <v>1396</v>
      </c>
      <c r="C113" s="118">
        <f>+_xlfn.XLOOKUP(PROYECTOS[[#This Row],[ID_NECESIDAD]],'1.RADICADOS'!G:G,'1.RADICADOS'!C:C,0,0,1)*1</f>
        <v>45483</v>
      </c>
      <c r="D113" s="46" t="s">
        <v>141</v>
      </c>
      <c r="E113" s="47" t="str">
        <f>+_xlfn.XLOOKUP(PROYECTOS[[#This Row],[MUNICIPIO]],MUNICIPIOS!A:A,MUNICIPIOS!E:E,0,0,1)</f>
        <v>Oriente</v>
      </c>
      <c r="F113" s="44">
        <f>+_xlfn.XLOOKUP(PROYECTOS[[#This Row],[MUNICIPIO]],MUNICIPIOS!A:A,MUNICIPIOS!F:F,0,0,1)</f>
        <v>-75.141069999999999</v>
      </c>
      <c r="G113" s="44" t="str">
        <f>+_xlfn.XLOOKUP(PROYECTOS[[#This Row],[MUNICIPIO]],MUNICIPIOS!A:A,MUNICIPIOS!G:G,0,0,1)</f>
        <v>5,731474</v>
      </c>
      <c r="H113" s="44">
        <f>+_xlfn.XLOOKUP(PROYECTOS[[#This Row],[MUNICIPIO]],MUNICIPIOS!A:A,MUNICIPIOS!B:B,0,0,1)</f>
        <v>0</v>
      </c>
      <c r="I113" s="44">
        <f>+_xlfn.XLOOKUP(PROYECTOS[[#This Row],[MUNICIPIO]],MUNICIPIOS!A:A,MUNICIPIOS!C:C,0,0,1)</f>
        <v>1</v>
      </c>
      <c r="J113" s="3" t="str" cm="1">
        <f t="array" ref="J113">_xlfn.TEXTJOIN(" ", TRUE, IF(radicados[ID PROYECTOS]=A113, radicados[RADICADO], ""))</f>
        <v>2024010499742</v>
      </c>
      <c r="K113" s="142">
        <v>2</v>
      </c>
      <c r="L113" s="48">
        <v>22454829831</v>
      </c>
      <c r="M113" s="34" t="s">
        <v>401</v>
      </c>
      <c r="N113" s="40" t="s">
        <v>398</v>
      </c>
      <c r="O113" s="40" t="s">
        <v>25</v>
      </c>
      <c r="P113" s="37" t="s">
        <v>966</v>
      </c>
      <c r="Q113" s="45"/>
      <c r="R113" s="43"/>
      <c r="S113" s="43"/>
      <c r="T113" s="44">
        <f>+_xlfn.XLOOKUP(PROYECTOS[[#This Row],[MUNICIPIO]],'4.CAP_ENDMNT'!B:B,'4.CAP_ENDMNT'!C:C,0,0,1)</f>
        <v>6</v>
      </c>
      <c r="U113" s="139">
        <f>+_xlfn.XLOOKUP(PROYECTOS[[#This Row],[MUNICIPIO]],'4.CAP_ENDMNT'!B:B,'4.CAP_ENDMNT'!D:D,0,0,1)</f>
        <v>7397887197.3409996</v>
      </c>
      <c r="V113" s="140">
        <f>+_xlfn.XLOOKUP(PROYECTOS[[#This Row],[MUNICIPIO]],'4.CAP_ENDMNT'!B:B,'4.CAP_ENDMNT'!E:E,0,0,1)</f>
        <v>2145550795.75</v>
      </c>
      <c r="W113" s="140">
        <f>+_xlfn.XLOOKUP(PROYECTOS[[#This Row],[MUNICIPIO]],'4.CAP_ENDMNT'!B:B,'4.CAP_ENDMNT'!F:F,0,0,1)</f>
        <v>5252336401.5909996</v>
      </c>
      <c r="X113" s="140">
        <f>+_xlfn.XLOOKUP(PROYECTOS[[#This Row],[MUNICIPIO]],'4.CAP_ENDMNT'!B:B,'4.CAP_ENDMNT'!G:G,0,0,1)</f>
        <v>913988424</v>
      </c>
      <c r="Y113" s="140">
        <f>+_xlfn.XLOOKUP(PROYECTOS[[#This Row],[MUNICIPIO]],'4.CAP_ENDMNT'!B:B,'4.CAP_ENDMNT'!H:H,0,0,1)</f>
        <v>0</v>
      </c>
      <c r="Z113" s="140">
        <f>+_xlfn.XLOOKUP(PROYECTOS[[#This Row],[MUNICIPIO]],'4.CAP_ENDMNT'!B:B,'4.CAP_ENDMNT'!I:I,0,0,1)</f>
        <v>913988424</v>
      </c>
      <c r="AA113" s="134">
        <f>+_xlfn.XLOOKUP(PROYECTOS[[#This Row],[MUNICIPIO]],'4.CAP_ENDMNT'!B:B,'4.CAP_ENDMNT'!J:J,0,0,1)</f>
        <v>0.12354722363548773</v>
      </c>
      <c r="AB113" s="140">
        <f>+_xlfn.XLOOKUP(PROYECTOS[[#This Row],[MUNICIPIO]],'4.CAP_ENDMNT'!B:B,'4.CAP_ENDMNT'!K:K,0,0,1)</f>
        <v>6483898773.3409996</v>
      </c>
      <c r="AC113" s="140">
        <f>+_xlfn.XLOOKUP(PROYECTOS[[#This Row],[MUNICIPIO]],'4.CAP_ENDMNT'!B:B,'4.CAP_ENDMNT'!L:L,0,0,1)</f>
        <v>5187119018.6728001</v>
      </c>
      <c r="AD113" s="140">
        <f>+_xlfn.XLOOKUP(PROYECTOS[[#This Row],[MUNICIPIO]],'4.CAP_ENDMNT'!B:B,'4.CAP_ENDMNT'!M:M,0,0,1)</f>
        <v>3890339264.0045996</v>
      </c>
      <c r="AE113" s="134">
        <f>+_xlfn.XLOOKUP(PROYECTOS[[#This Row],[MUNICIPIO]],'4.CAP_ENDMNT'!B:B,'4.CAP_ENDMNT'!N:N,0,0,1)</f>
        <v>1</v>
      </c>
      <c r="AF113" s="134">
        <f>+_xlfn.XLOOKUP(PROYECTOS[[#This Row],[MUNICIPIO]],'4.CAP_ENDMNT'!B:B,'4.CAP_ENDMNT'!O:O,0,0,1)</f>
        <v>0.55936476249157852</v>
      </c>
      <c r="AG113" s="134">
        <f>+_xlfn.XLOOKUP(PROYECTOS[[#This Row],[MUNICIPIO]],'4.CAP_ENDMNT'!B:B,'4.CAP_ENDMNT'!P:P,0,0,1)</f>
        <v>0.8</v>
      </c>
      <c r="AH113" s="44" t="str">
        <f>+_xlfn.XLOOKUP(PROYECTOS[[#This Row],[MUNICIPIO]],'4.CAP_ENDMNT'!B:B,'4.CAP_ENDMNT'!Q:Q,0,0,1)</f>
        <v>Cumple</v>
      </c>
      <c r="AI113" s="139">
        <f>+_xlfn.XLOOKUP(PROYECTOS[[#This Row],[MUNICIPIO]],'4.CAP_ENDMNT'!B:B,'4.CAP_ENDMNT'!V:V,0,0,1)</f>
        <v>778067852.80092001</v>
      </c>
      <c r="AJ113" s="139">
        <f>+_xlfn.XLOOKUP(PROYECTOS[[#This Row],[MUNICIPIO]],'4.CAP_ENDMNT'!B:B,'4.CAP_ENDMNT'!Y:Y,0,0,1)</f>
        <v>-57612554588.194481</v>
      </c>
      <c r="AK113"/>
      <c r="AL113"/>
      <c r="AM113"/>
    </row>
    <row r="114" spans="1:39">
      <c r="A114" s="44">
        <v>121</v>
      </c>
      <c r="B114" s="37" t="s">
        <v>1230</v>
      </c>
      <c r="C114" s="118">
        <f>+_xlfn.XLOOKUP(PROYECTOS[[#This Row],[ID_NECESIDAD]],'1.RADICADOS'!G:G,'1.RADICADOS'!C:C,0,0,1)*1</f>
        <v>45596</v>
      </c>
      <c r="D114" s="46" t="s">
        <v>332</v>
      </c>
      <c r="E114" s="47" t="str">
        <f>+_xlfn.XLOOKUP(PROYECTOS[[#This Row],[MUNICIPIO]],MUNICIPIOS!A:A,MUNICIPIOS!E:E,0,0,1)</f>
        <v>Oriente</v>
      </c>
      <c r="F114" s="44">
        <f>+_xlfn.XLOOKUP(PROYECTOS[[#This Row],[MUNICIPIO]],MUNICIPIOS!A:A,MUNICIPIOS!F:F,0,0,1)</f>
        <v>-75.242693000000003</v>
      </c>
      <c r="G114" s="44" t="str">
        <f>+_xlfn.XLOOKUP(PROYECTOS[[#This Row],[MUNICIPIO]],MUNICIPIOS!A:A,MUNICIPIOS!G:G,0,0,1)</f>
        <v>6,219349</v>
      </c>
      <c r="H114" s="44">
        <f>+_xlfn.XLOOKUP(PROYECTOS[[#This Row],[MUNICIPIO]],MUNICIPIOS!A:A,MUNICIPIOS!B:B,0,0,1)</f>
        <v>0</v>
      </c>
      <c r="I114" s="44">
        <f>+_xlfn.XLOOKUP(PROYECTOS[[#This Row],[MUNICIPIO]],MUNICIPIOS!A:A,MUNICIPIOS!C:C,0,0,1)</f>
        <v>0</v>
      </c>
      <c r="J114" s="34" t="str" cm="1">
        <f t="array" ref="J114">_xlfn.TEXTJOIN(" ", TRUE, IF(radicados[ID PROYECTOS]=A114, radicados[RADICADO], ""))</f>
        <v>2024010518399</v>
      </c>
      <c r="K114" s="45">
        <v>3</v>
      </c>
      <c r="L114" s="48">
        <v>5206425813</v>
      </c>
      <c r="M114" s="34" t="s">
        <v>288</v>
      </c>
      <c r="N114" s="40" t="s">
        <v>398</v>
      </c>
      <c r="O114" s="40" t="s">
        <v>25</v>
      </c>
      <c r="P114" s="37"/>
      <c r="Q114" s="45">
        <v>1</v>
      </c>
      <c r="R114" s="43" t="s">
        <v>922</v>
      </c>
      <c r="S114" s="43" t="s">
        <v>1618</v>
      </c>
      <c r="T114" s="44">
        <f>+_xlfn.XLOOKUP(PROYECTOS[[#This Row],[MUNICIPIO]],'4.CAP_ENDMNT'!B:B,'4.CAP_ENDMNT'!C:C,0,0,1)</f>
        <v>6</v>
      </c>
      <c r="U114" s="167">
        <f>+_xlfn.XLOOKUP(PROYECTOS[[#This Row],[MUNICIPIO]],'4.CAP_ENDMNT'!B:B,'4.CAP_ENDMNT'!D:D,0,0,1)</f>
        <v>28258567441.100002</v>
      </c>
      <c r="V114" s="44">
        <f>+_xlfn.XLOOKUP(PROYECTOS[[#This Row],[MUNICIPIO]],'4.CAP_ENDMNT'!B:B,'4.CAP_ENDMNT'!E:E,0,0,1)</f>
        <v>6469994311.25</v>
      </c>
      <c r="W114" s="44">
        <f>+_xlfn.XLOOKUP(PROYECTOS[[#This Row],[MUNICIPIO]],'4.CAP_ENDMNT'!B:B,'4.CAP_ENDMNT'!F:F,0,0,1)</f>
        <v>21788573129.850002</v>
      </c>
      <c r="X114" s="44">
        <f>+_xlfn.XLOOKUP(PROYECTOS[[#This Row],[MUNICIPIO]],'4.CAP_ENDMNT'!B:B,'4.CAP_ENDMNT'!G:G,0,0,1)</f>
        <v>1548230438</v>
      </c>
      <c r="Y114" s="44">
        <f>+_xlfn.XLOOKUP(PROYECTOS[[#This Row],[MUNICIPIO]],'4.CAP_ENDMNT'!B:B,'4.CAP_ENDMNT'!H:H,0,0,1)</f>
        <v>3356151670</v>
      </c>
      <c r="Z114" s="44">
        <f>+_xlfn.XLOOKUP(PROYECTOS[[#This Row],[MUNICIPIO]],'4.CAP_ENDMNT'!B:B,'4.CAP_ENDMNT'!I:I,0,0,1)</f>
        <v>4904382108</v>
      </c>
      <c r="AA114" s="134">
        <f>+_xlfn.XLOOKUP(PROYECTOS[[#This Row],[MUNICIPIO]],'4.CAP_ENDMNT'!B:B,'4.CAP_ENDMNT'!J:J,0,0,1)</f>
        <v>0.17355381224551877</v>
      </c>
      <c r="AB114" s="44">
        <f>+_xlfn.XLOOKUP(PROYECTOS[[#This Row],[MUNICIPIO]],'4.CAP_ENDMNT'!B:B,'4.CAP_ENDMNT'!K:K,0,0,1)</f>
        <v>23354185333.100002</v>
      </c>
      <c r="AC114" s="44">
        <f>+_xlfn.XLOOKUP(PROYECTOS[[#This Row],[MUNICIPIO]],'4.CAP_ENDMNT'!B:B,'4.CAP_ENDMNT'!L:L,0,0,1)</f>
        <v>18683348266.480003</v>
      </c>
      <c r="AD114" s="44">
        <f>+_xlfn.XLOOKUP(PROYECTOS[[#This Row],[MUNICIPIO]],'4.CAP_ENDMNT'!B:B,'4.CAP_ENDMNT'!M:M,0,0,1)</f>
        <v>14012511199.860001</v>
      </c>
      <c r="AE114" s="134">
        <f>+_xlfn.XLOOKUP(PROYECTOS[[#This Row],[MUNICIPIO]],'4.CAP_ENDMNT'!B:B,'4.CAP_ENDMNT'!N:N,0,0,1)</f>
        <v>0.31568307768567533</v>
      </c>
      <c r="AF114" s="134">
        <f>+_xlfn.XLOOKUP(PROYECTOS[[#This Row],[MUNICIPIO]],'4.CAP_ENDMNT'!B:B,'4.CAP_ENDMNT'!O:O,0,0,1)</f>
        <v>0.29902452385532635</v>
      </c>
      <c r="AG114" s="134">
        <f>+_xlfn.XLOOKUP(PROYECTOS[[#This Row],[MUNICIPIO]],'4.CAP_ENDMNT'!B:B,'4.CAP_ENDMNT'!P:P,0,0,1)</f>
        <v>0.8</v>
      </c>
      <c r="AH114" s="44" t="str">
        <f>+_xlfn.XLOOKUP(PROYECTOS[[#This Row],[MUNICIPIO]],'4.CAP_ENDMNT'!B:B,'4.CAP_ENDMNT'!Q:Q,0,0,1)</f>
        <v>Cumple</v>
      </c>
      <c r="AI114" s="139">
        <f>+_xlfn.XLOOKUP(PROYECTOS[[#This Row],[MUNICIPIO]],'4.CAP_ENDMNT'!B:B,'4.CAP_ENDMNT'!V:V,0,0,1)</f>
        <v>2802502239.9720001</v>
      </c>
      <c r="AJ114" s="139">
        <f>+_xlfn.XLOOKUP(PROYECTOS[[#This Row],[MUNICIPIO]],'4.CAP_ENDMNT'!B:B,'4.CAP_ENDMNT'!Y:Y,0,0,1)</f>
        <v>6184360283.8320007</v>
      </c>
      <c r="AK114"/>
      <c r="AL114"/>
      <c r="AM114"/>
    </row>
    <row r="115" spans="1:39">
      <c r="A115" s="44">
        <v>122</v>
      </c>
      <c r="B115" s="37" t="s">
        <v>1397</v>
      </c>
      <c r="C115" s="118">
        <f>+_xlfn.XLOOKUP(PROYECTOS[[#This Row],[ID_NECESIDAD]],'1.RADICADOS'!G:G,'1.RADICADOS'!C:C,0,0,1)*1</f>
        <v>45609</v>
      </c>
      <c r="D115" s="46" t="s">
        <v>97</v>
      </c>
      <c r="E115" s="47" t="str">
        <f>+_xlfn.XLOOKUP(PROYECTOS[[#This Row],[MUNICIPIO]],MUNICIPIOS!A:A,MUNICIPIOS!E:E,0,0,1)</f>
        <v>Oriente</v>
      </c>
      <c r="F115" s="44">
        <f>+_xlfn.XLOOKUP(PROYECTOS[[#This Row],[MUNICIPIO]],MUNICIPIOS!A:A,MUNICIPIOS!F:F,0,0,1)</f>
        <v>-74.988096999999996</v>
      </c>
      <c r="G115" s="44" t="str">
        <f>+_xlfn.XLOOKUP(PROYECTOS[[#This Row],[MUNICIPIO]],MUNICIPIOS!A:A,MUNICIPIOS!G:G,0,0,1)</f>
        <v>6,187746</v>
      </c>
      <c r="H115" s="44">
        <f>+_xlfn.XLOOKUP(PROYECTOS[[#This Row],[MUNICIPIO]],MUNICIPIOS!A:A,MUNICIPIOS!B:B,0,0,1)</f>
        <v>0</v>
      </c>
      <c r="I115" s="44">
        <f>+_xlfn.XLOOKUP(PROYECTOS[[#This Row],[MUNICIPIO]],MUNICIPIOS!A:A,MUNICIPIOS!C:C,0,0,1)</f>
        <v>1</v>
      </c>
      <c r="J115" s="3" t="str" cm="1">
        <f t="array" ref="J115">_xlfn.TEXTJOIN(" ", TRUE, IF(radicados[ID PROYECTOS]=A115, radicados[RADICADO], ""))</f>
        <v>2024010523151</v>
      </c>
      <c r="K115" s="45">
        <v>3</v>
      </c>
      <c r="L115" s="48">
        <v>2371629272</v>
      </c>
      <c r="M115" s="34" t="s">
        <v>401</v>
      </c>
      <c r="N115" s="34" t="s">
        <v>394</v>
      </c>
      <c r="O115" s="34" t="s">
        <v>18</v>
      </c>
      <c r="P115" s="37"/>
      <c r="Q115" s="45"/>
      <c r="R115" s="43"/>
      <c r="S115" s="43"/>
      <c r="T115" s="44">
        <f>+_xlfn.XLOOKUP(PROYECTOS[[#This Row],[MUNICIPIO]],'4.CAP_ENDMNT'!B:B,'4.CAP_ENDMNT'!C:C,0,0,1)</f>
        <v>6</v>
      </c>
      <c r="U115" s="139">
        <f>+_xlfn.XLOOKUP(PROYECTOS[[#This Row],[MUNICIPIO]],'4.CAP_ENDMNT'!B:B,'4.CAP_ENDMNT'!D:D,0,0,1)</f>
        <v>29325876885.033001</v>
      </c>
      <c r="V115" s="140">
        <f>+_xlfn.XLOOKUP(PROYECTOS[[#This Row],[MUNICIPIO]],'4.CAP_ENDMNT'!B:B,'4.CAP_ENDMNT'!E:E,0,0,1)</f>
        <v>5835926728.4000006</v>
      </c>
      <c r="W115" s="140">
        <f>+_xlfn.XLOOKUP(PROYECTOS[[#This Row],[MUNICIPIO]],'4.CAP_ENDMNT'!B:B,'4.CAP_ENDMNT'!F:F,0,0,1)</f>
        <v>23489950156.632999</v>
      </c>
      <c r="X115" s="140">
        <f>+_xlfn.XLOOKUP(PROYECTOS[[#This Row],[MUNICIPIO]],'4.CAP_ENDMNT'!B:B,'4.CAP_ENDMNT'!G:G,0,0,1)</f>
        <v>5787068508</v>
      </c>
      <c r="Y115" s="140">
        <f>+_xlfn.XLOOKUP(PROYECTOS[[#This Row],[MUNICIPIO]],'4.CAP_ENDMNT'!B:B,'4.CAP_ENDMNT'!H:H,0,0,1)</f>
        <v>0</v>
      </c>
      <c r="Z115" s="140">
        <f>+_xlfn.XLOOKUP(PROYECTOS[[#This Row],[MUNICIPIO]],'4.CAP_ENDMNT'!B:B,'4.CAP_ENDMNT'!I:I,0,0,1)</f>
        <v>5787068508</v>
      </c>
      <c r="AA115" s="134">
        <f>+_xlfn.XLOOKUP(PROYECTOS[[#This Row],[MUNICIPIO]],'4.CAP_ENDMNT'!B:B,'4.CAP_ENDMNT'!J:J,0,0,1)</f>
        <v>0.19733658879791371</v>
      </c>
      <c r="AB115" s="140">
        <f>+_xlfn.XLOOKUP(PROYECTOS[[#This Row],[MUNICIPIO]],'4.CAP_ENDMNT'!B:B,'4.CAP_ENDMNT'!K:K,0,0,1)</f>
        <v>23538808377.033001</v>
      </c>
      <c r="AC115" s="140">
        <f>+_xlfn.XLOOKUP(PROYECTOS[[#This Row],[MUNICIPIO]],'4.CAP_ENDMNT'!B:B,'4.CAP_ENDMNT'!L:L,0,0,1)</f>
        <v>18831046701.6264</v>
      </c>
      <c r="AD115" s="140">
        <f>+_xlfn.XLOOKUP(PROYECTOS[[#This Row],[MUNICIPIO]],'4.CAP_ENDMNT'!B:B,'4.CAP_ENDMNT'!M:M,0,0,1)</f>
        <v>14123285026.219801</v>
      </c>
      <c r="AE115" s="134">
        <f>+_xlfn.XLOOKUP(PROYECTOS[[#This Row],[MUNICIPIO]],'4.CAP_ENDMNT'!B:B,'4.CAP_ENDMNT'!N:N,0,0,1)</f>
        <v>1</v>
      </c>
      <c r="AF115" s="134">
        <f>+_xlfn.XLOOKUP(PROYECTOS[[#This Row],[MUNICIPIO]],'4.CAP_ENDMNT'!B:B,'4.CAP_ENDMNT'!O:O,0,0,1)</f>
        <v>0.67595312063685153</v>
      </c>
      <c r="AG115" s="134">
        <f>+_xlfn.XLOOKUP(PROYECTOS[[#This Row],[MUNICIPIO]],'4.CAP_ENDMNT'!B:B,'4.CAP_ENDMNT'!P:P,0,0,1)</f>
        <v>0.8</v>
      </c>
      <c r="AH115" s="44" t="str">
        <f>+_xlfn.XLOOKUP(PROYECTOS[[#This Row],[MUNICIPIO]],'4.CAP_ENDMNT'!B:B,'4.CAP_ENDMNT'!Q:Q,0,0,1)</f>
        <v>Cumple</v>
      </c>
      <c r="AI115" s="139">
        <f>+_xlfn.XLOOKUP(PROYECTOS[[#This Row],[MUNICIPIO]],'4.CAP_ENDMNT'!B:B,'4.CAP_ENDMNT'!V:V,0,0,1)</f>
        <v>2824657005.2439604</v>
      </c>
      <c r="AJ115" s="139">
        <f>+_xlfn.XLOOKUP(PROYECTOS[[#This Row],[MUNICIPIO]],'4.CAP_ENDMNT'!B:B,'4.CAP_ENDMNT'!Y:Y,0,0,1)</f>
        <v>13840765080.46376</v>
      </c>
      <c r="AK115"/>
      <c r="AL115"/>
      <c r="AM115"/>
    </row>
    <row r="116" spans="1:39">
      <c r="A116" s="44">
        <v>123</v>
      </c>
      <c r="B116" s="37" t="s">
        <v>1398</v>
      </c>
      <c r="C116" s="118">
        <f>+_xlfn.XLOOKUP(PROYECTOS[[#This Row],[ID_NECESIDAD]],'1.RADICADOS'!G:G,'1.RADICADOS'!C:C,0,0,1)*1</f>
        <v>45611</v>
      </c>
      <c r="D116" s="46" t="s">
        <v>84</v>
      </c>
      <c r="E116" s="47" t="str">
        <f>+_xlfn.XLOOKUP(PROYECTOS[[#This Row],[MUNICIPIO]],MUNICIPIOS!A:A,MUNICIPIOS!E:E,0,0,1)</f>
        <v>Oriente</v>
      </c>
      <c r="F116" s="44">
        <f>+_xlfn.XLOOKUP(PROYECTOS[[#This Row],[MUNICIPIO]],MUNICIPIOS!A:A,MUNICIPIOS!F:F,0,0,1)</f>
        <v>-75.309595999999999</v>
      </c>
      <c r="G116" s="44" t="str">
        <f>+_xlfn.XLOOKUP(PROYECTOS[[#This Row],[MUNICIPIO]],MUNICIPIOS!A:A,MUNICIPIOS!G:G,0,0,1)</f>
        <v>5,714851</v>
      </c>
      <c r="H116" s="44">
        <f>+_xlfn.XLOOKUP(PROYECTOS[[#This Row],[MUNICIPIO]],MUNICIPIOS!A:A,MUNICIPIOS!B:B,0,0,1)</f>
        <v>0</v>
      </c>
      <c r="I116" s="44">
        <f>+_xlfn.XLOOKUP(PROYECTOS[[#This Row],[MUNICIPIO]],MUNICIPIOS!A:A,MUNICIPIOS!C:C,0,0,1)</f>
        <v>1</v>
      </c>
      <c r="J116" s="3" t="str" cm="1">
        <f t="array" ref="J116">_xlfn.TEXTJOIN(" ", TRUE, IF(radicados[ID PROYECTOS]=A116, radicados[RADICADO], ""))</f>
        <v>2024010524340</v>
      </c>
      <c r="K116" s="45">
        <v>3</v>
      </c>
      <c r="L116" s="48">
        <v>10000000000</v>
      </c>
      <c r="M116" s="34" t="s">
        <v>401</v>
      </c>
      <c r="N116" s="34" t="s">
        <v>398</v>
      </c>
      <c r="O116" s="34" t="s">
        <v>25</v>
      </c>
      <c r="P116" s="37"/>
      <c r="Q116" s="45"/>
      <c r="R116" s="43"/>
      <c r="S116" s="43"/>
      <c r="T116" s="44">
        <f>+_xlfn.XLOOKUP(PROYECTOS[[#This Row],[MUNICIPIO]],'4.CAP_ENDMNT'!B:B,'4.CAP_ENDMNT'!C:C,0,0,1)</f>
        <v>5</v>
      </c>
      <c r="U116" s="139">
        <f>+_xlfn.XLOOKUP(PROYECTOS[[#This Row],[MUNICIPIO]],'4.CAP_ENDMNT'!B:B,'4.CAP_ENDMNT'!D:D,0,0,1)</f>
        <v>35695767669.016502</v>
      </c>
      <c r="V116" s="140">
        <f>+_xlfn.XLOOKUP(PROYECTOS[[#This Row],[MUNICIPIO]],'4.CAP_ENDMNT'!B:B,'4.CAP_ENDMNT'!E:E,0,0,1)</f>
        <v>13532488388.23</v>
      </c>
      <c r="W116" s="140">
        <f>+_xlfn.XLOOKUP(PROYECTOS[[#This Row],[MUNICIPIO]],'4.CAP_ENDMNT'!B:B,'4.CAP_ENDMNT'!F:F,0,0,1)</f>
        <v>22163279280.786503</v>
      </c>
      <c r="X116" s="140">
        <f>+_xlfn.XLOOKUP(PROYECTOS[[#This Row],[MUNICIPIO]],'4.CAP_ENDMNT'!B:B,'4.CAP_ENDMNT'!G:G,0,0,1)</f>
        <v>1067761948</v>
      </c>
      <c r="Y116" s="140">
        <f>+_xlfn.XLOOKUP(PROYECTOS[[#This Row],[MUNICIPIO]],'4.CAP_ENDMNT'!B:B,'4.CAP_ENDMNT'!H:H,0,0,1)</f>
        <v>4932032890</v>
      </c>
      <c r="Z116" s="140">
        <f>+_xlfn.XLOOKUP(PROYECTOS[[#This Row],[MUNICIPIO]],'4.CAP_ENDMNT'!B:B,'4.CAP_ENDMNT'!I:I,0,0,1)</f>
        <v>5999794838</v>
      </c>
      <c r="AA116" s="134">
        <f>+_xlfn.XLOOKUP(PROYECTOS[[#This Row],[MUNICIPIO]],'4.CAP_ENDMNT'!B:B,'4.CAP_ENDMNT'!J:J,0,0,1)</f>
        <v>0.16808140655867587</v>
      </c>
      <c r="AB116" s="140">
        <f>+_xlfn.XLOOKUP(PROYECTOS[[#This Row],[MUNICIPIO]],'4.CAP_ENDMNT'!B:B,'4.CAP_ENDMNT'!K:K,0,0,1)</f>
        <v>29695972831.016502</v>
      </c>
      <c r="AC116" s="140">
        <f>+_xlfn.XLOOKUP(PROYECTOS[[#This Row],[MUNICIPIO]],'4.CAP_ENDMNT'!B:B,'4.CAP_ENDMNT'!L:L,0,0,1)</f>
        <v>23756778264.813202</v>
      </c>
      <c r="AD116" s="140">
        <f>+_xlfn.XLOOKUP(PROYECTOS[[#This Row],[MUNICIPIO]],'4.CAP_ENDMNT'!B:B,'4.CAP_ENDMNT'!M:M,0,0,1)</f>
        <v>17817583698.609901</v>
      </c>
      <c r="AE116" s="134">
        <f>+_xlfn.XLOOKUP(PROYECTOS[[#This Row],[MUNICIPIO]],'4.CAP_ENDMNT'!B:B,'4.CAP_ENDMNT'!N:N,0,0,1)</f>
        <v>0.17796640999076777</v>
      </c>
      <c r="AF116" s="134">
        <f>+_xlfn.XLOOKUP(PROYECTOS[[#This Row],[MUNICIPIO]],'4.CAP_ENDMNT'!B:B,'4.CAP_ENDMNT'!O:O,0,0,1)</f>
        <v>0.4016729815979605</v>
      </c>
      <c r="AG116" s="134">
        <f>+_xlfn.XLOOKUP(PROYECTOS[[#This Row],[MUNICIPIO]],'4.CAP_ENDMNT'!B:B,'4.CAP_ENDMNT'!P:P,0,0,1)</f>
        <v>0.8</v>
      </c>
      <c r="AH116" s="44" t="str">
        <f>+_xlfn.XLOOKUP(PROYECTOS[[#This Row],[MUNICIPIO]],'4.CAP_ENDMNT'!B:B,'4.CAP_ENDMNT'!Q:Q,0,0,1)</f>
        <v>Cumple</v>
      </c>
      <c r="AI116" s="139">
        <f>+_xlfn.XLOOKUP(PROYECTOS[[#This Row],[MUNICIPIO]],'4.CAP_ENDMNT'!B:B,'4.CAP_ENDMNT'!V:V,0,0,1)</f>
        <v>3563516739.7219806</v>
      </c>
      <c r="AJ116" s="139">
        <f>+_xlfn.XLOOKUP(PROYECTOS[[#This Row],[MUNICIPIO]],'4.CAP_ENDMNT'!B:B,'4.CAP_ENDMNT'!Y:Y,0,0,1)</f>
        <v>-46557238264.668121</v>
      </c>
      <c r="AK116"/>
      <c r="AL116"/>
      <c r="AM116"/>
    </row>
    <row r="117" spans="1:39">
      <c r="A117" s="44">
        <v>124</v>
      </c>
      <c r="B117" s="37" t="s">
        <v>241</v>
      </c>
      <c r="C117" s="118">
        <f>+_xlfn.XLOOKUP(PROYECTOS[[#This Row],[ID_NECESIDAD]],'1.RADICADOS'!G:G,'1.RADICADOS'!C:C,0,0,1)*1</f>
        <v>45611</v>
      </c>
      <c r="D117" s="46" t="s">
        <v>115</v>
      </c>
      <c r="E117" s="47" t="str">
        <f>+_xlfn.XLOOKUP(PROYECTOS[[#This Row],[MUNICIPIO]],MUNICIPIOS!A:A,MUNICIPIOS!E:E,0,0,1)</f>
        <v>Oriente</v>
      </c>
      <c r="F117" s="44">
        <f>+_xlfn.XLOOKUP(PROYECTOS[[#This Row],[MUNICIPIO]],MUNICIPIOS!A:A,MUNICIPIOS!F:F,0,0,1)</f>
        <v>-75.429433000000003</v>
      </c>
      <c r="G117" s="44" t="str">
        <f>+_xlfn.XLOOKUP(PROYECTOS[[#This Row],[MUNICIPIO]],MUNICIPIOS!A:A,MUNICIPIOS!G:G,0,0,1)</f>
        <v>6,028062</v>
      </c>
      <c r="H117" s="44">
        <f>+_xlfn.XLOOKUP(PROYECTOS[[#This Row],[MUNICIPIO]],MUNICIPIOS!A:A,MUNICIPIOS!B:B,0,0,1)</f>
        <v>0</v>
      </c>
      <c r="I117" s="44">
        <f>+_xlfn.XLOOKUP(PROYECTOS[[#This Row],[MUNICIPIO]],MUNICIPIOS!A:A,MUNICIPIOS!C:C,0,0,1)</f>
        <v>0</v>
      </c>
      <c r="J117" s="3" t="str" cm="1">
        <f t="array" ref="J117">_xlfn.TEXTJOIN(" ", TRUE, IF(radicados[ID PROYECTOS]=A117, radicados[RADICADO], ""))</f>
        <v>2024010528792</v>
      </c>
      <c r="K117" s="45">
        <v>1</v>
      </c>
      <c r="L117" s="48"/>
      <c r="M117" s="34" t="s">
        <v>288</v>
      </c>
      <c r="N117" s="34" t="s">
        <v>398</v>
      </c>
      <c r="O117" s="34" t="s">
        <v>25</v>
      </c>
      <c r="P117" s="37" t="s">
        <v>977</v>
      </c>
      <c r="Q117" s="45"/>
      <c r="R117" s="43"/>
      <c r="S117" s="43"/>
      <c r="T117" s="44">
        <f>+_xlfn.XLOOKUP(PROYECTOS[[#This Row],[MUNICIPIO]],'4.CAP_ENDMNT'!B:B,'4.CAP_ENDMNT'!C:C,0,0,1)</f>
        <v>2</v>
      </c>
      <c r="U117" s="139">
        <f>+_xlfn.XLOOKUP(PROYECTOS[[#This Row],[MUNICIPIO]],'4.CAP_ENDMNT'!B:B,'4.CAP_ENDMNT'!D:D,0,0,1)</f>
        <v>102691614388.099</v>
      </c>
      <c r="V117" s="140">
        <f>+_xlfn.XLOOKUP(PROYECTOS[[#This Row],[MUNICIPIO]],'4.CAP_ENDMNT'!B:B,'4.CAP_ENDMNT'!E:E,0,0,1)</f>
        <v>29123622287.32</v>
      </c>
      <c r="W117" s="140">
        <f>+_xlfn.XLOOKUP(PROYECTOS[[#This Row],[MUNICIPIO]],'4.CAP_ENDMNT'!B:B,'4.CAP_ENDMNT'!F:F,0,0,1)</f>
        <v>73567992100.778992</v>
      </c>
      <c r="X117" s="140">
        <f>+_xlfn.XLOOKUP(PROYECTOS[[#This Row],[MUNICIPIO]],'4.CAP_ENDMNT'!B:B,'4.CAP_ENDMNT'!G:G,0,0,1)</f>
        <v>5166195556</v>
      </c>
      <c r="Y117" s="140">
        <f>+_xlfn.XLOOKUP(PROYECTOS[[#This Row],[MUNICIPIO]],'4.CAP_ENDMNT'!B:B,'4.CAP_ENDMNT'!H:H,0,0,1)</f>
        <v>27283390599</v>
      </c>
      <c r="Z117" s="140">
        <f>+_xlfn.XLOOKUP(PROYECTOS[[#This Row],[MUNICIPIO]],'4.CAP_ENDMNT'!B:B,'4.CAP_ENDMNT'!I:I,0,0,1)</f>
        <v>32449586155</v>
      </c>
      <c r="AA117" s="134">
        <f>+_xlfn.XLOOKUP(PROYECTOS[[#This Row],[MUNICIPIO]],'4.CAP_ENDMNT'!B:B,'4.CAP_ENDMNT'!J:J,0,0,1)</f>
        <v>0.3159906127521217</v>
      </c>
      <c r="AB117" s="140">
        <f>+_xlfn.XLOOKUP(PROYECTOS[[#This Row],[MUNICIPIO]],'4.CAP_ENDMNT'!B:B,'4.CAP_ENDMNT'!K:K,0,0,1)</f>
        <v>70242028233.098999</v>
      </c>
      <c r="AC117" s="140">
        <f>+_xlfn.XLOOKUP(PROYECTOS[[#This Row],[MUNICIPIO]],'4.CAP_ENDMNT'!B:B,'4.CAP_ENDMNT'!L:L,0,0,1)</f>
        <v>56193622586.479202</v>
      </c>
      <c r="AD117" s="140">
        <f>+_xlfn.XLOOKUP(PROYECTOS[[#This Row],[MUNICIPIO]],'4.CAP_ENDMNT'!B:B,'4.CAP_ENDMNT'!M:M,0,0,1)</f>
        <v>42145216939.859398</v>
      </c>
      <c r="AE117" s="134">
        <f>+_xlfn.XLOOKUP(PROYECTOS[[#This Row],[MUNICIPIO]],'4.CAP_ENDMNT'!B:B,'4.CAP_ENDMNT'!N:N,0,0,1)</f>
        <v>0.15920682412783146</v>
      </c>
      <c r="AF117" s="134">
        <f>+_xlfn.XLOOKUP(PROYECTOS[[#This Row],[MUNICIPIO]],'4.CAP_ENDMNT'!B:B,'4.CAP_ENDMNT'!O:O,0,0,1)</f>
        <v>0.28977187660096981</v>
      </c>
      <c r="AG117" s="134">
        <f>+_xlfn.XLOOKUP(PROYECTOS[[#This Row],[MUNICIPIO]],'4.CAP_ENDMNT'!B:B,'4.CAP_ENDMNT'!P:P,0,0,1)</f>
        <v>0.7</v>
      </c>
      <c r="AH117" s="44" t="str">
        <f>+_xlfn.XLOOKUP(PROYECTOS[[#This Row],[MUNICIPIO]],'4.CAP_ENDMNT'!B:B,'4.CAP_ENDMNT'!Q:Q,0,0,1)</f>
        <v>Cumple</v>
      </c>
      <c r="AI117" s="139">
        <f>+_xlfn.XLOOKUP(PROYECTOS[[#This Row],[MUNICIPIO]],'4.CAP_ENDMNT'!B:B,'4.CAP_ENDMNT'!V:V,0,0,1)</f>
        <v>8429043387.97188</v>
      </c>
      <c r="AJ117" s="139">
        <f>+_xlfn.XLOOKUP(PROYECTOS[[#This Row],[MUNICIPIO]],'4.CAP_ENDMNT'!B:B,'4.CAP_ENDMNT'!Y:Y,0,0,1)</f>
        <v>45609749252.831276</v>
      </c>
      <c r="AK117"/>
      <c r="AL117"/>
      <c r="AM117"/>
    </row>
    <row r="118" spans="1:39">
      <c r="A118" s="44">
        <v>125</v>
      </c>
      <c r="B118" s="37" t="s">
        <v>242</v>
      </c>
      <c r="C118" s="118">
        <f>+_xlfn.XLOOKUP(PROYECTOS[[#This Row],[ID_NECESIDAD]],'1.RADICADOS'!G:G,'1.RADICADOS'!C:C,0,0,1)*1</f>
        <v>45615</v>
      </c>
      <c r="D118" s="46" t="s">
        <v>332</v>
      </c>
      <c r="E118" s="47" t="str">
        <f>+_xlfn.XLOOKUP(PROYECTOS[[#This Row],[MUNICIPIO]],MUNICIPIOS!A:A,MUNICIPIOS!E:E,0,0,1)</f>
        <v>Oriente</v>
      </c>
      <c r="F118" s="44">
        <f>+_xlfn.XLOOKUP(PROYECTOS[[#This Row],[MUNICIPIO]],MUNICIPIOS!A:A,MUNICIPIOS!F:F,0,0,1)</f>
        <v>-75.242693000000003</v>
      </c>
      <c r="G118" s="44" t="str">
        <f>+_xlfn.XLOOKUP(PROYECTOS[[#This Row],[MUNICIPIO]],MUNICIPIOS!A:A,MUNICIPIOS!G:G,0,0,1)</f>
        <v>6,219349</v>
      </c>
      <c r="H118" s="44">
        <f>+_xlfn.XLOOKUP(PROYECTOS[[#This Row],[MUNICIPIO]],MUNICIPIOS!A:A,MUNICIPIOS!B:B,0,0,1)</f>
        <v>0</v>
      </c>
      <c r="I118" s="44">
        <f>+_xlfn.XLOOKUP(PROYECTOS[[#This Row],[MUNICIPIO]],MUNICIPIOS!A:A,MUNICIPIOS!C:C,0,0,1)</f>
        <v>0</v>
      </c>
      <c r="J118" s="3" t="str" cm="1">
        <f t="array" ref="J118">_xlfn.TEXTJOIN(" ", TRUE, IF(radicados[ID PROYECTOS]=A118, radicados[RADICADO], ""))</f>
        <v>2024010535795</v>
      </c>
      <c r="K118" s="45">
        <v>3</v>
      </c>
      <c r="L118" s="48">
        <v>4155687169</v>
      </c>
      <c r="M118" s="34" t="s">
        <v>396</v>
      </c>
      <c r="N118" s="34" t="s">
        <v>394</v>
      </c>
      <c r="O118" s="34" t="s">
        <v>18</v>
      </c>
      <c r="P118" s="37"/>
      <c r="Q118" s="45"/>
      <c r="R118" s="43"/>
      <c r="S118" s="43"/>
      <c r="T118" s="44">
        <f>+_xlfn.XLOOKUP(PROYECTOS[[#This Row],[MUNICIPIO]],'4.CAP_ENDMNT'!B:B,'4.CAP_ENDMNT'!C:C,0,0,1)</f>
        <v>6</v>
      </c>
      <c r="U118" s="139">
        <f>+_xlfn.XLOOKUP(PROYECTOS[[#This Row],[MUNICIPIO]],'4.CAP_ENDMNT'!B:B,'4.CAP_ENDMNT'!D:D,0,0,1)</f>
        <v>28258567441.100002</v>
      </c>
      <c r="V118" s="140">
        <f>+_xlfn.XLOOKUP(PROYECTOS[[#This Row],[MUNICIPIO]],'4.CAP_ENDMNT'!B:B,'4.CAP_ENDMNT'!E:E,0,0,1)</f>
        <v>6469994311.25</v>
      </c>
      <c r="W118" s="140">
        <f>+_xlfn.XLOOKUP(PROYECTOS[[#This Row],[MUNICIPIO]],'4.CAP_ENDMNT'!B:B,'4.CAP_ENDMNT'!F:F,0,0,1)</f>
        <v>21788573129.850002</v>
      </c>
      <c r="X118" s="140">
        <f>+_xlfn.XLOOKUP(PROYECTOS[[#This Row],[MUNICIPIO]],'4.CAP_ENDMNT'!B:B,'4.CAP_ENDMNT'!G:G,0,0,1)</f>
        <v>1548230438</v>
      </c>
      <c r="Y118" s="140">
        <f>+_xlfn.XLOOKUP(PROYECTOS[[#This Row],[MUNICIPIO]],'4.CAP_ENDMNT'!B:B,'4.CAP_ENDMNT'!H:H,0,0,1)</f>
        <v>3356151670</v>
      </c>
      <c r="Z118" s="140">
        <f>+_xlfn.XLOOKUP(PROYECTOS[[#This Row],[MUNICIPIO]],'4.CAP_ENDMNT'!B:B,'4.CAP_ENDMNT'!I:I,0,0,1)</f>
        <v>4904382108</v>
      </c>
      <c r="AA118" s="134">
        <f>+_xlfn.XLOOKUP(PROYECTOS[[#This Row],[MUNICIPIO]],'4.CAP_ENDMNT'!B:B,'4.CAP_ENDMNT'!J:J,0,0,1)</f>
        <v>0.17355381224551877</v>
      </c>
      <c r="AB118" s="140">
        <f>+_xlfn.XLOOKUP(PROYECTOS[[#This Row],[MUNICIPIO]],'4.CAP_ENDMNT'!B:B,'4.CAP_ENDMNT'!K:K,0,0,1)</f>
        <v>23354185333.100002</v>
      </c>
      <c r="AC118" s="140">
        <f>+_xlfn.XLOOKUP(PROYECTOS[[#This Row],[MUNICIPIO]],'4.CAP_ENDMNT'!B:B,'4.CAP_ENDMNT'!L:L,0,0,1)</f>
        <v>18683348266.480003</v>
      </c>
      <c r="AD118" s="140">
        <f>+_xlfn.XLOOKUP(PROYECTOS[[#This Row],[MUNICIPIO]],'4.CAP_ENDMNT'!B:B,'4.CAP_ENDMNT'!M:M,0,0,1)</f>
        <v>14012511199.860001</v>
      </c>
      <c r="AE118" s="134">
        <f>+_xlfn.XLOOKUP(PROYECTOS[[#This Row],[MUNICIPIO]],'4.CAP_ENDMNT'!B:B,'4.CAP_ENDMNT'!N:N,0,0,1)</f>
        <v>0.31568307768567533</v>
      </c>
      <c r="AF118" s="134">
        <f>+_xlfn.XLOOKUP(PROYECTOS[[#This Row],[MUNICIPIO]],'4.CAP_ENDMNT'!B:B,'4.CAP_ENDMNT'!O:O,0,0,1)</f>
        <v>0.29902452385532635</v>
      </c>
      <c r="AG118" s="134">
        <f>+_xlfn.XLOOKUP(PROYECTOS[[#This Row],[MUNICIPIO]],'4.CAP_ENDMNT'!B:B,'4.CAP_ENDMNT'!P:P,0,0,1)</f>
        <v>0.8</v>
      </c>
      <c r="AH118" s="44" t="str">
        <f>+_xlfn.XLOOKUP(PROYECTOS[[#This Row],[MUNICIPIO]],'4.CAP_ENDMNT'!B:B,'4.CAP_ENDMNT'!Q:Q,0,0,1)</f>
        <v>Cumple</v>
      </c>
      <c r="AI118" s="139">
        <f>+_xlfn.XLOOKUP(PROYECTOS[[#This Row],[MUNICIPIO]],'4.CAP_ENDMNT'!B:B,'4.CAP_ENDMNT'!V:V,0,0,1)</f>
        <v>2802502239.9720001</v>
      </c>
      <c r="AJ118" s="139">
        <f>+_xlfn.XLOOKUP(PROYECTOS[[#This Row],[MUNICIPIO]],'4.CAP_ENDMNT'!B:B,'4.CAP_ENDMNT'!Y:Y,0,0,1)</f>
        <v>6184360283.8320007</v>
      </c>
      <c r="AK118"/>
      <c r="AL118"/>
      <c r="AM118"/>
    </row>
    <row r="119" spans="1:39">
      <c r="A119" s="44">
        <v>126</v>
      </c>
      <c r="B119" s="37" t="s">
        <v>1097</v>
      </c>
      <c r="C119" s="118">
        <f>+_xlfn.XLOOKUP(PROYECTOS[[#This Row],[ID_NECESIDAD]],'1.RADICADOS'!G:G,'1.RADICADOS'!C:C,0,0,1)*1</f>
        <v>45618</v>
      </c>
      <c r="D119" s="46" t="s">
        <v>232</v>
      </c>
      <c r="E119" s="47" t="str">
        <f>+_xlfn.XLOOKUP(PROYECTOS[[#This Row],[MUNICIPIO]],MUNICIPIOS!A:A,MUNICIPIOS!E:E,0,0,1)</f>
        <v>Suroeste</v>
      </c>
      <c r="F119" s="44">
        <f>+_xlfn.XLOOKUP(PROYECTOS[[#This Row],[MUNICIPIO]],MUNICIPIOS!A:A,MUNICIPIOS!F:F,0,0,1)</f>
        <v>-75.523454999999998</v>
      </c>
      <c r="G119" s="44" t="str">
        <f>+_xlfn.XLOOKUP(PROYECTOS[[#This Row],[MUNICIPIO]],MUNICIPIOS!A:A,MUNICIPIOS!G:G,0,0,1)</f>
        <v>5,946313</v>
      </c>
      <c r="H119" s="44">
        <f>+_xlfn.XLOOKUP(PROYECTOS[[#This Row],[MUNICIPIO]],MUNICIPIOS!A:A,MUNICIPIOS!B:B,0,0,1)</f>
        <v>0</v>
      </c>
      <c r="I119" s="44">
        <f>+_xlfn.XLOOKUP(PROYECTOS[[#This Row],[MUNICIPIO]],MUNICIPIOS!A:A,MUNICIPIOS!C:C,0,0,1)</f>
        <v>1</v>
      </c>
      <c r="J119" s="3" t="str" cm="1">
        <f t="array" ref="J119">_xlfn.TEXTJOIN(" ", TRUE, IF(radicados[ID PROYECTOS]=A119, radicados[RADICADO], ""))</f>
        <v>2024010538367</v>
      </c>
      <c r="K119" s="45">
        <v>1</v>
      </c>
      <c r="L119" s="48"/>
      <c r="M119" s="34" t="s">
        <v>288</v>
      </c>
      <c r="N119" s="34" t="s">
        <v>398</v>
      </c>
      <c r="O119" s="34" t="s">
        <v>25</v>
      </c>
      <c r="P119" s="37"/>
      <c r="Q119" s="45"/>
      <c r="R119" s="43"/>
      <c r="S119" s="43"/>
      <c r="T119" s="44">
        <f>+_xlfn.XLOOKUP(PROYECTOS[[#This Row],[MUNICIPIO]],'4.CAP_ENDMNT'!B:B,'4.CAP_ENDMNT'!C:C,0,0,1)</f>
        <v>6</v>
      </c>
      <c r="U119" s="139">
        <f>+_xlfn.XLOOKUP(PROYECTOS[[#This Row],[MUNICIPIO]],'4.CAP_ENDMNT'!B:B,'4.CAP_ENDMNT'!D:D,0,0,1)</f>
        <v>6527267076.0299997</v>
      </c>
      <c r="V119" s="140">
        <f>+_xlfn.XLOOKUP(PROYECTOS[[#This Row],[MUNICIPIO]],'4.CAP_ENDMNT'!B:B,'4.CAP_ENDMNT'!E:E,0,0,1)</f>
        <v>2852468155.77</v>
      </c>
      <c r="W119" s="140">
        <f>+_xlfn.XLOOKUP(PROYECTOS[[#This Row],[MUNICIPIO]],'4.CAP_ENDMNT'!B:B,'4.CAP_ENDMNT'!F:F,0,0,1)</f>
        <v>3674798920.2599998</v>
      </c>
      <c r="X119" s="140">
        <f>+_xlfn.XLOOKUP(PROYECTOS[[#This Row],[MUNICIPIO]],'4.CAP_ENDMNT'!B:B,'4.CAP_ENDMNT'!G:G,0,0,1)</f>
        <v>1320825426</v>
      </c>
      <c r="Y119" s="140">
        <f>+_xlfn.XLOOKUP(PROYECTOS[[#This Row],[MUNICIPIO]],'4.CAP_ENDMNT'!B:B,'4.CAP_ENDMNT'!H:H,0,0,1)</f>
        <v>0</v>
      </c>
      <c r="Z119" s="140">
        <f>+_xlfn.XLOOKUP(PROYECTOS[[#This Row],[MUNICIPIO]],'4.CAP_ENDMNT'!B:B,'4.CAP_ENDMNT'!I:I,0,0,1)</f>
        <v>1320825426</v>
      </c>
      <c r="AA119" s="134">
        <f>+_xlfn.XLOOKUP(PROYECTOS[[#This Row],[MUNICIPIO]],'4.CAP_ENDMNT'!B:B,'4.CAP_ENDMNT'!J:J,0,0,1)</f>
        <v>0.2023550454753798</v>
      </c>
      <c r="AB119" s="140">
        <f>+_xlfn.XLOOKUP(PROYECTOS[[#This Row],[MUNICIPIO]],'4.CAP_ENDMNT'!B:B,'4.CAP_ENDMNT'!K:K,0,0,1)</f>
        <v>5206441650.0299997</v>
      </c>
      <c r="AC119" s="140">
        <f>+_xlfn.XLOOKUP(PROYECTOS[[#This Row],[MUNICIPIO]],'4.CAP_ENDMNT'!B:B,'4.CAP_ENDMNT'!L:L,0,0,1)</f>
        <v>4165153320.0240002</v>
      </c>
      <c r="AD119" s="140">
        <f>+_xlfn.XLOOKUP(PROYECTOS[[#This Row],[MUNICIPIO]],'4.CAP_ENDMNT'!B:B,'4.CAP_ENDMNT'!M:M,0,0,1)</f>
        <v>3123864990.0179996</v>
      </c>
      <c r="AE119" s="134">
        <f>+_xlfn.XLOOKUP(PROYECTOS[[#This Row],[MUNICIPIO]],'4.CAP_ENDMNT'!B:B,'4.CAP_ENDMNT'!N:N,0,0,1)</f>
        <v>1</v>
      </c>
      <c r="AF119" s="134">
        <f>+_xlfn.XLOOKUP(PROYECTOS[[#This Row],[MUNICIPIO]],'4.CAP_ENDMNT'!B:B,'4.CAP_ENDMNT'!O:O,0,0,1)</f>
        <v>0.63926485007667311</v>
      </c>
      <c r="AG119" s="134">
        <f>+_xlfn.XLOOKUP(PROYECTOS[[#This Row],[MUNICIPIO]],'4.CAP_ENDMNT'!B:B,'4.CAP_ENDMNT'!P:P,0,0,1)</f>
        <v>0.8</v>
      </c>
      <c r="AH119" s="44" t="str">
        <f>+_xlfn.XLOOKUP(PROYECTOS[[#This Row],[MUNICIPIO]],'4.CAP_ENDMNT'!B:B,'4.CAP_ENDMNT'!Q:Q,0,0,1)</f>
        <v>Cumple</v>
      </c>
      <c r="AI119" s="139">
        <f>+_xlfn.XLOOKUP(PROYECTOS[[#This Row],[MUNICIPIO]],'4.CAP_ENDMNT'!B:B,'4.CAP_ENDMNT'!V:V,0,0,1)</f>
        <v>624772998.0036</v>
      </c>
      <c r="AJ119" s="139">
        <f>+_xlfn.XLOOKUP(PROYECTOS[[#This Row],[MUNICIPIO]],'4.CAP_ENDMNT'!B:B,'4.CAP_ENDMNT'!Y:Y,0,0,1)</f>
        <v>3748637988.0215998</v>
      </c>
      <c r="AK119"/>
      <c r="AL119"/>
      <c r="AM119"/>
    </row>
    <row r="120" spans="1:39">
      <c r="A120" s="44">
        <v>128</v>
      </c>
      <c r="B120" s="37" t="s">
        <v>1399</v>
      </c>
      <c r="C120" s="118">
        <f>+_xlfn.XLOOKUP(PROYECTOS[[#This Row],[ID_NECESIDAD]],'1.RADICADOS'!G:G,'1.RADICADOS'!C:C,0,0,1)*1</f>
        <v>45624</v>
      </c>
      <c r="D120" s="46" t="s">
        <v>35</v>
      </c>
      <c r="E120" s="47" t="str">
        <f>+_xlfn.XLOOKUP(PROYECTOS[[#This Row],[MUNICIPIO]],MUNICIPIOS!A:A,MUNICIPIOS!E:E,0,0,1)</f>
        <v>Norte</v>
      </c>
      <c r="F120" s="44">
        <f>+_xlfn.XLOOKUP(PROYECTOS[[#This Row],[MUNICIPIO]],MUNICIPIOS!A:A,MUNICIPIOS!F:F,0,0,1)</f>
        <v>-75.392629999999997</v>
      </c>
      <c r="G120" s="44" t="str">
        <f>+_xlfn.XLOOKUP(PROYECTOS[[#This Row],[MUNICIPIO]],MUNICIPIOS!A:A,MUNICIPIOS!G:G,0,0,1)</f>
        <v>6,485603</v>
      </c>
      <c r="H120" s="44">
        <f>+_xlfn.XLOOKUP(PROYECTOS[[#This Row],[MUNICIPIO]],MUNICIPIOS!A:A,MUNICIPIOS!B:B,0,0,1)</f>
        <v>0</v>
      </c>
      <c r="I120" s="44">
        <f>+_xlfn.XLOOKUP(PROYECTOS[[#This Row],[MUNICIPIO]],MUNICIPIOS!A:A,MUNICIPIOS!C:C,0,0,1)</f>
        <v>0</v>
      </c>
      <c r="J120" s="3" t="str" cm="1">
        <f t="array" ref="J120">_xlfn.TEXTJOIN(" ", TRUE, IF(radicados[ID PROYECTOS]=A120, radicados[RADICADO], ""))</f>
        <v>2024010552957</v>
      </c>
      <c r="K120" s="128">
        <v>2</v>
      </c>
      <c r="L120" s="48"/>
      <c r="M120" s="34" t="s">
        <v>396</v>
      </c>
      <c r="N120" s="34" t="s">
        <v>398</v>
      </c>
      <c r="O120" s="34" t="s">
        <v>25</v>
      </c>
      <c r="P120" s="37"/>
      <c r="Q120" s="45"/>
      <c r="R120" s="43"/>
      <c r="S120" s="43"/>
      <c r="T120" s="44">
        <f>+_xlfn.XLOOKUP(PROYECTOS[[#This Row],[MUNICIPIO]],'4.CAP_ENDMNT'!B:B,'4.CAP_ENDMNT'!C:C,0,0,1)</f>
        <v>6</v>
      </c>
      <c r="U120" s="139">
        <f>+_xlfn.XLOOKUP(PROYECTOS[[#This Row],[MUNICIPIO]],'4.CAP_ENDMNT'!B:B,'4.CAP_ENDMNT'!D:D,0,0,1)</f>
        <v>24529039369.539501</v>
      </c>
      <c r="V120" s="140">
        <f>+_xlfn.XLOOKUP(PROYECTOS[[#This Row],[MUNICIPIO]],'4.CAP_ENDMNT'!B:B,'4.CAP_ENDMNT'!E:E,0,0,1)</f>
        <v>8973012363.6700001</v>
      </c>
      <c r="W120" s="140">
        <f>+_xlfn.XLOOKUP(PROYECTOS[[#This Row],[MUNICIPIO]],'4.CAP_ENDMNT'!B:B,'4.CAP_ENDMNT'!F:F,0,0,1)</f>
        <v>15556027005.869501</v>
      </c>
      <c r="X120" s="140">
        <f>+_xlfn.XLOOKUP(PROYECTOS[[#This Row],[MUNICIPIO]],'4.CAP_ENDMNT'!B:B,'4.CAP_ENDMNT'!G:G,0,0,1)</f>
        <v>7973050390</v>
      </c>
      <c r="Y120" s="140">
        <f>+_xlfn.XLOOKUP(PROYECTOS[[#This Row],[MUNICIPIO]],'4.CAP_ENDMNT'!B:B,'4.CAP_ENDMNT'!H:H,0,0,1)</f>
        <v>1625381984</v>
      </c>
      <c r="Z120" s="140">
        <f>+_xlfn.XLOOKUP(PROYECTOS[[#This Row],[MUNICIPIO]],'4.CAP_ENDMNT'!B:B,'4.CAP_ENDMNT'!I:I,0,0,1)</f>
        <v>9598432374</v>
      </c>
      <c r="AA120" s="134">
        <f>+_xlfn.XLOOKUP(PROYECTOS[[#This Row],[MUNICIPIO]],'4.CAP_ENDMNT'!B:B,'4.CAP_ENDMNT'!J:J,0,0,1)</f>
        <v>0.39130893914742809</v>
      </c>
      <c r="AB120" s="140">
        <f>+_xlfn.XLOOKUP(PROYECTOS[[#This Row],[MUNICIPIO]],'4.CAP_ENDMNT'!B:B,'4.CAP_ENDMNT'!K:K,0,0,1)</f>
        <v>14930606995.539501</v>
      </c>
      <c r="AC120" s="140">
        <f>+_xlfn.XLOOKUP(PROYECTOS[[#This Row],[MUNICIPIO]],'4.CAP_ENDMNT'!B:B,'4.CAP_ENDMNT'!L:L,0,0,1)</f>
        <v>11944485596.431602</v>
      </c>
      <c r="AD120" s="140">
        <f>+_xlfn.XLOOKUP(PROYECTOS[[#This Row],[MUNICIPIO]],'4.CAP_ENDMNT'!B:B,'4.CAP_ENDMNT'!M:M,0,0,1)</f>
        <v>8958364197.3237</v>
      </c>
      <c r="AE120" s="134">
        <f>+_xlfn.XLOOKUP(PROYECTOS[[#This Row],[MUNICIPIO]],'4.CAP_ENDMNT'!B:B,'4.CAP_ENDMNT'!N:N,0,0,1)</f>
        <v>0.83066172467883448</v>
      </c>
      <c r="AF120" s="134">
        <f>+_xlfn.XLOOKUP(PROYECTOS[[#This Row],[MUNICIPIO]],'4.CAP_ENDMNT'!B:B,'4.CAP_ENDMNT'!O:O,0,0,1)</f>
        <v>0.53024343717246458</v>
      </c>
      <c r="AG120" s="134">
        <f>+_xlfn.XLOOKUP(PROYECTOS[[#This Row],[MUNICIPIO]],'4.CAP_ENDMNT'!B:B,'4.CAP_ENDMNT'!P:P,0,0,1)</f>
        <v>0.8</v>
      </c>
      <c r="AH120" s="44" t="str">
        <f>+_xlfn.XLOOKUP(PROYECTOS[[#This Row],[MUNICIPIO]],'4.CAP_ENDMNT'!B:B,'4.CAP_ENDMNT'!Q:Q,0,0,1)</f>
        <v>Cumple</v>
      </c>
      <c r="AI120" s="139">
        <f>+_xlfn.XLOOKUP(PROYECTOS[[#This Row],[MUNICIPIO]],'4.CAP_ENDMNT'!B:B,'4.CAP_ENDMNT'!V:V,0,0,1)</f>
        <v>1791672839.46474</v>
      </c>
      <c r="AJ120" s="139">
        <f>+_xlfn.XLOOKUP(PROYECTOS[[#This Row],[MUNICIPIO]],'4.CAP_ENDMNT'!B:B,'4.CAP_ENDMNT'!Y:Y,0,0,1)</f>
        <v>-8164135575.2115593</v>
      </c>
      <c r="AK120"/>
      <c r="AL120"/>
      <c r="AM120"/>
    </row>
    <row r="121" spans="1:39">
      <c r="A121" s="44">
        <v>129</v>
      </c>
      <c r="B121" s="37" t="s">
        <v>1590</v>
      </c>
      <c r="C121" s="118">
        <f>+_xlfn.XLOOKUP(PROYECTOS[[#This Row],[ID_NECESIDAD]],'1.RADICADOS'!G:G,'1.RADICADOS'!C:C,0,0,1)*1</f>
        <v>45565</v>
      </c>
      <c r="D121" s="46" t="s">
        <v>208</v>
      </c>
      <c r="E121" s="47" t="str">
        <f>+_xlfn.XLOOKUP(PROYECTOS[[#This Row],[MUNICIPIO]],MUNICIPIOS!A:A,MUNICIPIOS!E:E,0,0,1)</f>
        <v>Oriente</v>
      </c>
      <c r="F121" s="44">
        <f>+_xlfn.XLOOKUP(PROYECTOS[[#This Row],[MUNICIPIO]],MUNICIPIOS!A:A,MUNICIPIOS!F:F,0,0,1)</f>
        <v>-75.265465000000006</v>
      </c>
      <c r="G121" s="44" t="str">
        <f>+_xlfn.XLOOKUP(PROYECTOS[[#This Row],[MUNICIPIO]],MUNICIPIOS!A:A,MUNICIPIOS!G:G,0,0,1)</f>
        <v>6,136871</v>
      </c>
      <c r="H121" s="44">
        <f>+_xlfn.XLOOKUP(PROYECTOS[[#This Row],[MUNICIPIO]],MUNICIPIOS!A:A,MUNICIPIOS!B:B,0,0,1)</f>
        <v>0</v>
      </c>
      <c r="I121" s="44">
        <f>+_xlfn.XLOOKUP(PROYECTOS[[#This Row],[MUNICIPIO]],MUNICIPIOS!A:A,MUNICIPIOS!C:C,0,0,1)</f>
        <v>0</v>
      </c>
      <c r="J121" s="3" t="str" cm="1">
        <f t="array" ref="J121">_xlfn.TEXTJOIN(" ", TRUE, IF(radicados[ID PROYECTOS]=A121, radicados[RADICADO], ""))</f>
        <v>2024010444750 2024010559100 2025010060550</v>
      </c>
      <c r="K121" s="45">
        <v>3</v>
      </c>
      <c r="L121" s="48">
        <v>2482841960</v>
      </c>
      <c r="M121" s="34" t="s">
        <v>288</v>
      </c>
      <c r="N121" s="40" t="s">
        <v>398</v>
      </c>
      <c r="O121" s="40" t="s">
        <v>25</v>
      </c>
      <c r="P121" s="37"/>
      <c r="Q121" s="45"/>
      <c r="R121" s="43"/>
      <c r="S121" s="43"/>
      <c r="T121" s="44">
        <f>+_xlfn.XLOOKUP(PROYECTOS[[#This Row],[MUNICIPIO]],'4.CAP_ENDMNT'!B:B,'4.CAP_ENDMNT'!C:C,0,0,1)</f>
        <v>6</v>
      </c>
      <c r="U121" s="139">
        <f>+_xlfn.XLOOKUP(PROYECTOS[[#This Row],[MUNICIPIO]],'4.CAP_ENDMNT'!B:B,'4.CAP_ENDMNT'!D:D,0,0,1)</f>
        <v>28148489568.315498</v>
      </c>
      <c r="V121" s="140">
        <f>+_xlfn.XLOOKUP(PROYECTOS[[#This Row],[MUNICIPIO]],'4.CAP_ENDMNT'!B:B,'4.CAP_ENDMNT'!E:E,0,0,1)</f>
        <v>9574117926.6900005</v>
      </c>
      <c r="W121" s="140">
        <f>+_xlfn.XLOOKUP(PROYECTOS[[#This Row],[MUNICIPIO]],'4.CAP_ENDMNT'!B:B,'4.CAP_ENDMNT'!F:F,0,0,1)</f>
        <v>18574371641.625496</v>
      </c>
      <c r="X121" s="140">
        <f>+_xlfn.XLOOKUP(PROYECTOS[[#This Row],[MUNICIPIO]],'4.CAP_ENDMNT'!B:B,'4.CAP_ENDMNT'!G:G,0,0,1)</f>
        <v>7165025466</v>
      </c>
      <c r="Y121" s="140">
        <f>+_xlfn.XLOOKUP(PROYECTOS[[#This Row],[MUNICIPIO]],'4.CAP_ENDMNT'!B:B,'4.CAP_ENDMNT'!H:H,0,0,1)</f>
        <v>0</v>
      </c>
      <c r="Z121" s="140">
        <f>+_xlfn.XLOOKUP(PROYECTOS[[#This Row],[MUNICIPIO]],'4.CAP_ENDMNT'!B:B,'4.CAP_ENDMNT'!I:I,0,0,1)</f>
        <v>7165025466</v>
      </c>
      <c r="AA121" s="134">
        <f>+_xlfn.XLOOKUP(PROYECTOS[[#This Row],[MUNICIPIO]],'4.CAP_ENDMNT'!B:B,'4.CAP_ENDMNT'!J:J,0,0,1)</f>
        <v>0.25454386988014788</v>
      </c>
      <c r="AB121" s="140">
        <f>+_xlfn.XLOOKUP(PROYECTOS[[#This Row],[MUNICIPIO]],'4.CAP_ENDMNT'!B:B,'4.CAP_ENDMNT'!K:K,0,0,1)</f>
        <v>20983464102.315498</v>
      </c>
      <c r="AC121" s="140">
        <f>+_xlfn.XLOOKUP(PROYECTOS[[#This Row],[MUNICIPIO]],'4.CAP_ENDMNT'!B:B,'4.CAP_ENDMNT'!L:L,0,0,1)</f>
        <v>16786771281.8524</v>
      </c>
      <c r="AD121" s="140">
        <f>+_xlfn.XLOOKUP(PROYECTOS[[#This Row],[MUNICIPIO]],'4.CAP_ENDMNT'!B:B,'4.CAP_ENDMNT'!M:M,0,0,1)</f>
        <v>12590078461.389299</v>
      </c>
      <c r="AE121" s="134">
        <f>+_xlfn.XLOOKUP(PROYECTOS[[#This Row],[MUNICIPIO]],'4.CAP_ENDMNT'!B:B,'4.CAP_ENDMNT'!N:N,0,0,1)</f>
        <v>1</v>
      </c>
      <c r="AF121" s="134">
        <f>+_xlfn.XLOOKUP(PROYECTOS[[#This Row],[MUNICIPIO]],'4.CAP_ENDMNT'!B:B,'4.CAP_ENDMNT'!O:O,0,0,1)</f>
        <v>0.38693852418292884</v>
      </c>
      <c r="AG121" s="134">
        <f>+_xlfn.XLOOKUP(PROYECTOS[[#This Row],[MUNICIPIO]],'4.CAP_ENDMNT'!B:B,'4.CAP_ENDMNT'!P:P,0,0,1)</f>
        <v>0.8</v>
      </c>
      <c r="AH121" s="44" t="str">
        <f>+_xlfn.XLOOKUP(PROYECTOS[[#This Row],[MUNICIPIO]],'4.CAP_ENDMNT'!B:B,'4.CAP_ENDMNT'!Q:Q,0,0,1)</f>
        <v>Cumple</v>
      </c>
      <c r="AI121" s="139">
        <f>+_xlfn.XLOOKUP(PROYECTOS[[#This Row],[MUNICIPIO]],'4.CAP_ENDMNT'!B:B,'4.CAP_ENDMNT'!V:V,0,0,1)</f>
        <v>2518015692.2778602</v>
      </c>
      <c r="AJ121" s="139">
        <f>+_xlfn.XLOOKUP(PROYECTOS[[#This Row],[MUNICIPIO]],'4.CAP_ENDMNT'!B:B,'4.CAP_ENDMNT'!Y:Y,0,0,1)</f>
        <v>-4116653327.33284</v>
      </c>
      <c r="AK121"/>
      <c r="AL121"/>
      <c r="AM121"/>
    </row>
    <row r="122" spans="1:39">
      <c r="A122" s="44">
        <v>130</v>
      </c>
      <c r="B122" s="37" t="s">
        <v>427</v>
      </c>
      <c r="C122" s="118">
        <f>+_xlfn.XLOOKUP(PROYECTOS[[#This Row],[ID_NECESIDAD]],'1.RADICADOS'!G:G,'1.RADICADOS'!C:C,0,0,1)*1</f>
        <v>45424</v>
      </c>
      <c r="D122" s="46" t="s">
        <v>45</v>
      </c>
      <c r="E122" s="47" t="str">
        <f>+_xlfn.XLOOKUP(PROYECTOS[[#This Row],[MUNICIPIO]],MUNICIPIOS!A:A,MUNICIPIOS!E:E,0,0,1)</f>
        <v>Bajo Cauca</v>
      </c>
      <c r="F122" s="44">
        <f>+_xlfn.XLOOKUP(PROYECTOS[[#This Row],[MUNICIPIO]],MUNICIPIOS!A:A,MUNICIPIOS!F:F,0,0,1)</f>
        <v>-75.197996000000003</v>
      </c>
      <c r="G122" s="44" t="str">
        <f>+_xlfn.XLOOKUP(PROYECTOS[[#This Row],[MUNICIPIO]],MUNICIPIOS!A:A,MUNICIPIOS!G:G,0,0,1)</f>
        <v>7,977278</v>
      </c>
      <c r="H122" s="44">
        <f>+_xlfn.XLOOKUP(PROYECTOS[[#This Row],[MUNICIPIO]],MUNICIPIOS!A:A,MUNICIPIOS!B:B,0,0,1)</f>
        <v>1</v>
      </c>
      <c r="I122" s="44">
        <f>+_xlfn.XLOOKUP(PROYECTOS[[#This Row],[MUNICIPIO]],MUNICIPIOS!A:A,MUNICIPIOS!C:C,0,0,1)</f>
        <v>1</v>
      </c>
      <c r="J122" s="3" t="str" cm="1">
        <f t="array" ref="J122">_xlfn.TEXTJOIN(" ", TRUE, IF(radicados[ID PROYECTOS]=A122, radicados[RADICADO], ""))</f>
        <v>2024010559910</v>
      </c>
      <c r="K122" s="45">
        <v>3</v>
      </c>
      <c r="L122" s="48">
        <v>1614250889</v>
      </c>
      <c r="M122" s="34" t="s">
        <v>401</v>
      </c>
      <c r="N122" s="34" t="s">
        <v>394</v>
      </c>
      <c r="O122" s="34" t="s">
        <v>18</v>
      </c>
      <c r="P122" s="37"/>
      <c r="Q122" s="45"/>
      <c r="R122" s="43"/>
      <c r="S122" s="43"/>
      <c r="T122" s="44">
        <f>+_xlfn.XLOOKUP(PROYECTOS[[#This Row],[MUNICIPIO]],'4.CAP_ENDMNT'!B:B,'4.CAP_ENDMNT'!C:C,0,0,1)</f>
        <v>5</v>
      </c>
      <c r="U122" s="139">
        <f>+_xlfn.XLOOKUP(PROYECTOS[[#This Row],[MUNICIPIO]],'4.CAP_ENDMNT'!B:B,'4.CAP_ENDMNT'!D:D,0,0,1)</f>
        <v>55415011363.643501</v>
      </c>
      <c r="V122" s="140">
        <f>+_xlfn.XLOOKUP(PROYECTOS[[#This Row],[MUNICIPIO]],'4.CAP_ENDMNT'!B:B,'4.CAP_ENDMNT'!E:E,0,0,1)</f>
        <v>24252117123.400002</v>
      </c>
      <c r="W122" s="140">
        <f>+_xlfn.XLOOKUP(PROYECTOS[[#This Row],[MUNICIPIO]],'4.CAP_ENDMNT'!B:B,'4.CAP_ENDMNT'!F:F,0,0,1)</f>
        <v>31162894240.2435</v>
      </c>
      <c r="X122" s="140">
        <f>+_xlfn.XLOOKUP(PROYECTOS[[#This Row],[MUNICIPIO]],'4.CAP_ENDMNT'!B:B,'4.CAP_ENDMNT'!G:G,0,0,1)</f>
        <v>8970758412</v>
      </c>
      <c r="Y122" s="140">
        <f>+_xlfn.XLOOKUP(PROYECTOS[[#This Row],[MUNICIPIO]],'4.CAP_ENDMNT'!B:B,'4.CAP_ENDMNT'!H:H,0,0,1)</f>
        <v>3572173854.98</v>
      </c>
      <c r="Z122" s="140">
        <f>+_xlfn.XLOOKUP(PROYECTOS[[#This Row],[MUNICIPIO]],'4.CAP_ENDMNT'!B:B,'4.CAP_ENDMNT'!I:I,0,0,1)</f>
        <v>12542932266.98</v>
      </c>
      <c r="AA122" s="134">
        <f>+_xlfn.XLOOKUP(PROYECTOS[[#This Row],[MUNICIPIO]],'4.CAP_ENDMNT'!B:B,'4.CAP_ENDMNT'!J:J,0,0,1)</f>
        <v>0.22634538834019124</v>
      </c>
      <c r="AB122" s="140">
        <f>+_xlfn.XLOOKUP(PROYECTOS[[#This Row],[MUNICIPIO]],'4.CAP_ENDMNT'!B:B,'4.CAP_ENDMNT'!K:K,0,0,1)</f>
        <v>42872079096.663498</v>
      </c>
      <c r="AC122" s="140">
        <f>+_xlfn.XLOOKUP(PROYECTOS[[#This Row],[MUNICIPIO]],'4.CAP_ENDMNT'!B:B,'4.CAP_ENDMNT'!L:L,0,0,1)</f>
        <v>34297663277.330799</v>
      </c>
      <c r="AD122" s="140">
        <f>+_xlfn.XLOOKUP(PROYECTOS[[#This Row],[MUNICIPIO]],'4.CAP_ENDMNT'!B:B,'4.CAP_ENDMNT'!M:M,0,0,1)</f>
        <v>25723247457.998096</v>
      </c>
      <c r="AE122" s="134">
        <f>+_xlfn.XLOOKUP(PROYECTOS[[#This Row],[MUNICIPIO]],'4.CAP_ENDMNT'!B:B,'4.CAP_ENDMNT'!N:N,0,0,1)</f>
        <v>0.71520424578996133</v>
      </c>
      <c r="AF122" s="134">
        <f>+_xlfn.XLOOKUP(PROYECTOS[[#This Row],[MUNICIPIO]],'4.CAP_ENDMNT'!B:B,'4.CAP_ENDMNT'!O:O,0,0,1)</f>
        <v>0.67052010826145281</v>
      </c>
      <c r="AG122" s="134">
        <f>+_xlfn.XLOOKUP(PROYECTOS[[#This Row],[MUNICIPIO]],'4.CAP_ENDMNT'!B:B,'4.CAP_ENDMNT'!P:P,0,0,1)</f>
        <v>0.8</v>
      </c>
      <c r="AH122" s="44" t="str">
        <f>+_xlfn.XLOOKUP(PROYECTOS[[#This Row],[MUNICIPIO]],'4.CAP_ENDMNT'!B:B,'4.CAP_ENDMNT'!Q:Q,0,0,1)</f>
        <v>Cumple</v>
      </c>
      <c r="AI122" s="139">
        <f>+_xlfn.XLOOKUP(PROYECTOS[[#This Row],[MUNICIPIO]],'4.CAP_ENDMNT'!B:B,'4.CAP_ENDMNT'!V:V,0,0,1)</f>
        <v>5144649491.5996199</v>
      </c>
      <c r="AJ122" s="139">
        <f>+_xlfn.XLOOKUP(PROYECTOS[[#This Row],[MUNICIPIO]],'4.CAP_ENDMNT'!B:B,'4.CAP_ENDMNT'!Y:Y,0,0,1)</f>
        <v>3549126953.5977173</v>
      </c>
      <c r="AK122"/>
      <c r="AL122"/>
      <c r="AM122"/>
    </row>
    <row r="123" spans="1:39">
      <c r="A123" s="44">
        <v>131</v>
      </c>
      <c r="B123" s="37" t="s">
        <v>251</v>
      </c>
      <c r="C123" s="118">
        <f>+_xlfn.XLOOKUP(PROYECTOS[[#This Row],[ID_NECESIDAD]],'1.RADICADOS'!G:G,'1.RADICADOS'!C:C,0,0,1)*1</f>
        <v>45455</v>
      </c>
      <c r="D123" s="46" t="s">
        <v>250</v>
      </c>
      <c r="E123" s="47" t="str">
        <f>+_xlfn.XLOOKUP(PROYECTOS[[#This Row],[MUNICIPIO]],MUNICIPIOS!A:A,MUNICIPIOS!E:E,0,0,1)</f>
        <v>Valle de Aburrá</v>
      </c>
      <c r="F123" s="44">
        <f>+_xlfn.XLOOKUP(PROYECTOS[[#This Row],[MUNICIPIO]],MUNICIPIOS!A:A,MUNICIPIOS!F:F,0,0,1)</f>
        <v>-75.615478999999993</v>
      </c>
      <c r="G123" s="44" t="str">
        <f>+_xlfn.XLOOKUP(PROYECTOS[[#This Row],[MUNICIPIO]],MUNICIPIOS!A:A,MUNICIPIOS!G:G,0,0,1)</f>
        <v>6,149903</v>
      </c>
      <c r="H123" s="44">
        <f>+_xlfn.XLOOKUP(PROYECTOS[[#This Row],[MUNICIPIO]],MUNICIPIOS!A:A,MUNICIPIOS!B:B,0,0,1)</f>
        <v>0</v>
      </c>
      <c r="I123" s="44">
        <f>+_xlfn.XLOOKUP(PROYECTOS[[#This Row],[MUNICIPIO]],MUNICIPIOS!A:A,MUNICIPIOS!C:C,0,0,1)</f>
        <v>0</v>
      </c>
      <c r="J123" s="3" t="str" cm="1">
        <f t="array" ref="J123">_xlfn.TEXTJOIN(" ", TRUE, IF(radicados[ID PROYECTOS]=A123, radicados[RADICADO], ""))</f>
        <v>2024010562218</v>
      </c>
      <c r="K123" s="45">
        <v>3</v>
      </c>
      <c r="L123" s="48">
        <v>16755097970</v>
      </c>
      <c r="M123" s="34" t="s">
        <v>393</v>
      </c>
      <c r="N123" s="34" t="s">
        <v>394</v>
      </c>
      <c r="O123" s="34" t="s">
        <v>18</v>
      </c>
      <c r="P123" s="37"/>
      <c r="Q123" s="45"/>
      <c r="R123" s="43"/>
      <c r="S123" s="43"/>
      <c r="T123" s="44">
        <f>+_xlfn.XLOOKUP(PROYECTOS[[#This Row],[MUNICIPIO]],'4.CAP_ENDMNT'!B:B,'4.CAP_ENDMNT'!C:C,0,0,1)</f>
        <v>1</v>
      </c>
      <c r="U123" s="139">
        <f>+_xlfn.XLOOKUP(PROYECTOS[[#This Row],[MUNICIPIO]],'4.CAP_ENDMNT'!B:B,'4.CAP_ENDMNT'!D:D,0,0,1)</f>
        <v>277583995965.57904</v>
      </c>
      <c r="V123" s="140">
        <f>+_xlfn.XLOOKUP(PROYECTOS[[#This Row],[MUNICIPIO]],'4.CAP_ENDMNT'!B:B,'4.CAP_ENDMNT'!E:E,0,0,1)</f>
        <v>130145150133.79001</v>
      </c>
      <c r="W123" s="140">
        <f>+_xlfn.XLOOKUP(PROYECTOS[[#This Row],[MUNICIPIO]],'4.CAP_ENDMNT'!B:B,'4.CAP_ENDMNT'!F:F,0,0,1)</f>
        <v>147438845831.78903</v>
      </c>
      <c r="X123" s="140">
        <f>+_xlfn.XLOOKUP(PROYECTOS[[#This Row],[MUNICIPIO]],'4.CAP_ENDMNT'!B:B,'4.CAP_ENDMNT'!G:G,0,0,1)</f>
        <v>5311889964</v>
      </c>
      <c r="Y123" s="140">
        <f>+_xlfn.XLOOKUP(PROYECTOS[[#This Row],[MUNICIPIO]],'4.CAP_ENDMNT'!B:B,'4.CAP_ENDMNT'!H:H,0,0,1)</f>
        <v>73866541452</v>
      </c>
      <c r="Z123" s="140">
        <f>+_xlfn.XLOOKUP(PROYECTOS[[#This Row],[MUNICIPIO]],'4.CAP_ENDMNT'!B:B,'4.CAP_ENDMNT'!I:I,0,0,1)</f>
        <v>79178431416</v>
      </c>
      <c r="AA123" s="134">
        <f>+_xlfn.XLOOKUP(PROYECTOS[[#This Row],[MUNICIPIO]],'4.CAP_ENDMNT'!B:B,'4.CAP_ENDMNT'!J:J,0,0,1)</f>
        <v>0.2852413416003215</v>
      </c>
      <c r="AB123" s="140">
        <f>+_xlfn.XLOOKUP(PROYECTOS[[#This Row],[MUNICIPIO]],'4.CAP_ENDMNT'!B:B,'4.CAP_ENDMNT'!K:K,0,0,1)</f>
        <v>198405564549.57904</v>
      </c>
      <c r="AC123" s="140">
        <f>+_xlfn.XLOOKUP(PROYECTOS[[#This Row],[MUNICIPIO]],'4.CAP_ENDMNT'!B:B,'4.CAP_ENDMNT'!L:L,0,0,1)</f>
        <v>158724451639.66324</v>
      </c>
      <c r="AD123" s="140">
        <f>+_xlfn.XLOOKUP(PROYECTOS[[#This Row],[MUNICIPIO]],'4.CAP_ENDMNT'!B:B,'4.CAP_ENDMNT'!M:M,0,0,1)</f>
        <v>119043338729.74742</v>
      </c>
      <c r="AE123" s="134">
        <f>+_xlfn.XLOOKUP(PROYECTOS[[#This Row],[MUNICIPIO]],'4.CAP_ENDMNT'!B:B,'4.CAP_ENDMNT'!N:N,0,0,1)</f>
        <v>6.7087587730698575E-2</v>
      </c>
      <c r="AF123" s="134">
        <f>+_xlfn.XLOOKUP(PROYECTOS[[#This Row],[MUNICIPIO]],'4.CAP_ENDMNT'!B:B,'4.CAP_ENDMNT'!O:O,0,0,1)</f>
        <v>0.44877725222713505</v>
      </c>
      <c r="AG123" s="134">
        <f>+_xlfn.XLOOKUP(PROYECTOS[[#This Row],[MUNICIPIO]],'4.CAP_ENDMNT'!B:B,'4.CAP_ENDMNT'!P:P,0,0,1)</f>
        <v>0.65</v>
      </c>
      <c r="AH123" s="44" t="str">
        <f>+_xlfn.XLOOKUP(PROYECTOS[[#This Row],[MUNICIPIO]],'4.CAP_ENDMNT'!B:B,'4.CAP_ENDMNT'!Q:Q,0,0,1)</f>
        <v>Cumple</v>
      </c>
      <c r="AI123" s="139">
        <f>+_xlfn.XLOOKUP(PROYECTOS[[#This Row],[MUNICIPIO]],'4.CAP_ENDMNT'!B:B,'4.CAP_ENDMNT'!V:V,0,0,1)</f>
        <v>23808667745.949486</v>
      </c>
      <c r="AJ123" s="139">
        <f>+_xlfn.XLOOKUP(PROYECTOS[[#This Row],[MUNICIPIO]],'4.CAP_ENDMNT'!B:B,'4.CAP_ENDMNT'!Y:Y,0,0,1)</f>
        <v>126096908505.6969</v>
      </c>
      <c r="AK123"/>
      <c r="AL123"/>
      <c r="AM123"/>
    </row>
    <row r="124" spans="1:39">
      <c r="A124" s="44">
        <v>132</v>
      </c>
      <c r="B124" s="37" t="s">
        <v>252</v>
      </c>
      <c r="C124" s="118">
        <f>+_xlfn.XLOOKUP(PROYECTOS[[#This Row],[ID_NECESIDAD]],'1.RADICADOS'!G:G,'1.RADICADOS'!C:C,0,0,1)*1</f>
        <v>45455</v>
      </c>
      <c r="D124" s="46" t="s">
        <v>11</v>
      </c>
      <c r="E124" s="47" t="str">
        <f>+_xlfn.XLOOKUP(PROYECTOS[[#This Row],[MUNICIPIO]],MUNICIPIOS!A:A,MUNICIPIOS!E:E,0,0,1)</f>
        <v>Magdalena Medio</v>
      </c>
      <c r="F124" s="44">
        <f>+_xlfn.XLOOKUP(PROYECTOS[[#This Row],[MUNICIPIO]],MUNICIPIOS!A:A,MUNICIPIOS!F:F,0,0,1)</f>
        <v>-74.641189999999995</v>
      </c>
      <c r="G124" s="44" t="str">
        <f>+_xlfn.XLOOKUP(PROYECTOS[[#This Row],[MUNICIPIO]],MUNICIPIOS!A:A,MUNICIPIOS!G:G,0,0,1)</f>
        <v>5,871318</v>
      </c>
      <c r="H124" s="44">
        <f>+_xlfn.XLOOKUP(PROYECTOS[[#This Row],[MUNICIPIO]],MUNICIPIOS!A:A,MUNICIPIOS!B:B,0,0,1)</f>
        <v>0</v>
      </c>
      <c r="I124" s="44">
        <f>+_xlfn.XLOOKUP(PROYECTOS[[#This Row],[MUNICIPIO]],MUNICIPIOS!A:A,MUNICIPIOS!C:C,0,0,1)</f>
        <v>0</v>
      </c>
      <c r="J124" s="3" t="str" cm="1">
        <f t="array" ref="J124">_xlfn.TEXTJOIN(" ", TRUE, IF(radicados[ID PROYECTOS]=A124, radicados[RADICADO], ""))</f>
        <v>2024010569332</v>
      </c>
      <c r="K124" s="45">
        <v>3</v>
      </c>
      <c r="L124" s="48">
        <v>5766878117</v>
      </c>
      <c r="M124" s="34" t="s">
        <v>401</v>
      </c>
      <c r="N124" s="34" t="s">
        <v>394</v>
      </c>
      <c r="O124" s="34" t="s">
        <v>18</v>
      </c>
      <c r="P124" s="37"/>
      <c r="Q124" s="45"/>
      <c r="R124" s="43"/>
      <c r="S124" s="43"/>
      <c r="T124" s="44">
        <f>+_xlfn.XLOOKUP(PROYECTOS[[#This Row],[MUNICIPIO]],'4.CAP_ENDMNT'!B:B,'4.CAP_ENDMNT'!C:C,0,0,1)</f>
        <v>6</v>
      </c>
      <c r="U124" s="139">
        <f>+_xlfn.XLOOKUP(PROYECTOS[[#This Row],[MUNICIPIO]],'4.CAP_ENDMNT'!B:B,'4.CAP_ENDMNT'!D:D,0,0,1)</f>
        <v>22896432570.9105</v>
      </c>
      <c r="V124" s="140">
        <f>+_xlfn.XLOOKUP(PROYECTOS[[#This Row],[MUNICIPIO]],'4.CAP_ENDMNT'!B:B,'4.CAP_ENDMNT'!E:E,0,0,1)</f>
        <v>6514105665.9899998</v>
      </c>
      <c r="W124" s="140">
        <f>+_xlfn.XLOOKUP(PROYECTOS[[#This Row],[MUNICIPIO]],'4.CAP_ENDMNT'!B:B,'4.CAP_ENDMNT'!F:F,0,0,1)</f>
        <v>16382326904.9205</v>
      </c>
      <c r="X124" s="140">
        <f>+_xlfn.XLOOKUP(PROYECTOS[[#This Row],[MUNICIPIO]],'4.CAP_ENDMNT'!B:B,'4.CAP_ENDMNT'!G:G,0,0,1)</f>
        <v>15087488121</v>
      </c>
      <c r="Y124" s="140">
        <f>+_xlfn.XLOOKUP(PROYECTOS[[#This Row],[MUNICIPIO]],'4.CAP_ENDMNT'!B:B,'4.CAP_ENDMNT'!H:H,0,0,1)</f>
        <v>152370595</v>
      </c>
      <c r="Z124" s="140">
        <f>+_xlfn.XLOOKUP(PROYECTOS[[#This Row],[MUNICIPIO]],'4.CAP_ENDMNT'!B:B,'4.CAP_ENDMNT'!I:I,0,0,1)</f>
        <v>15239858716</v>
      </c>
      <c r="AA124" s="134">
        <f>+_xlfn.XLOOKUP(PROYECTOS[[#This Row],[MUNICIPIO]],'4.CAP_ENDMNT'!B:B,'4.CAP_ENDMNT'!J:J,0,0,1)</f>
        <v>0.66559970287082904</v>
      </c>
      <c r="AB124" s="140">
        <f>+_xlfn.XLOOKUP(PROYECTOS[[#This Row],[MUNICIPIO]],'4.CAP_ENDMNT'!B:B,'4.CAP_ENDMNT'!K:K,0,0,1)</f>
        <v>7656573854.9104996</v>
      </c>
      <c r="AC124" s="140">
        <f>+_xlfn.XLOOKUP(PROYECTOS[[#This Row],[MUNICIPIO]],'4.CAP_ENDMNT'!B:B,'4.CAP_ENDMNT'!L:L,0,0,1)</f>
        <v>6125259083.9284</v>
      </c>
      <c r="AD124" s="140">
        <f>+_xlfn.XLOOKUP(PROYECTOS[[#This Row],[MUNICIPIO]],'4.CAP_ENDMNT'!B:B,'4.CAP_ENDMNT'!M:M,0,0,1)</f>
        <v>4593944312.9462996</v>
      </c>
      <c r="AE124" s="134">
        <f>+_xlfn.XLOOKUP(PROYECTOS[[#This Row],[MUNICIPIO]],'4.CAP_ENDMNT'!B:B,'4.CAP_ENDMNT'!N:N,0,0,1)</f>
        <v>0.99000183677293352</v>
      </c>
      <c r="AF124" s="134">
        <f>+_xlfn.XLOOKUP(PROYECTOS[[#This Row],[MUNICIPIO]],'4.CAP_ENDMNT'!B:B,'4.CAP_ENDMNT'!O:O,0,0,1)</f>
        <v>0.53987925149269589</v>
      </c>
      <c r="AG124" s="134">
        <f>+_xlfn.XLOOKUP(PROYECTOS[[#This Row],[MUNICIPIO]],'4.CAP_ENDMNT'!B:B,'4.CAP_ENDMNT'!P:P,0,0,1)</f>
        <v>0.8</v>
      </c>
      <c r="AH124" s="44" t="str">
        <f>+_xlfn.XLOOKUP(PROYECTOS[[#This Row],[MUNICIPIO]],'4.CAP_ENDMNT'!B:B,'4.CAP_ENDMNT'!Q:Q,0,0,1)</f>
        <v>Cumple</v>
      </c>
      <c r="AI124" s="139">
        <f>+_xlfn.XLOOKUP(PROYECTOS[[#This Row],[MUNICIPIO]],'4.CAP_ENDMNT'!B:B,'4.CAP_ENDMNT'!V:V,0,0,1)</f>
        <v>918788862.58925998</v>
      </c>
      <c r="AJ124" s="139">
        <f>+_xlfn.XLOOKUP(PROYECTOS[[#This Row],[MUNICIPIO]],'4.CAP_ENDMNT'!B:B,'4.CAP_ENDMNT'!Y:Y,0,0,1)</f>
        <v>-5124042499.4644403</v>
      </c>
      <c r="AK124"/>
      <c r="AL124"/>
      <c r="AM124"/>
    </row>
    <row r="125" spans="1:39">
      <c r="A125" s="44">
        <v>133</v>
      </c>
      <c r="B125" s="37" t="s">
        <v>1400</v>
      </c>
      <c r="C125" s="118">
        <f>+_xlfn.XLOOKUP(PROYECTOS[[#This Row],[ID_NECESIDAD]],'1.RADICADOS'!G:G,'1.RADICADOS'!C:C,0,0,1)*1</f>
        <v>45608</v>
      </c>
      <c r="D125" s="46" t="s">
        <v>327</v>
      </c>
      <c r="E125" s="47" t="str">
        <f>+_xlfn.XLOOKUP(PROYECTOS[[#This Row],[MUNICIPIO]],MUNICIPIOS!A:A,MUNICIPIOS!E:E,0,0,1)</f>
        <v>Nordeste</v>
      </c>
      <c r="F125" s="44">
        <f>+_xlfn.XLOOKUP(PROYECTOS[[#This Row],[MUNICIPIO]],MUNICIPIOS!A:A,MUNICIPIOS!F:F,0,0,1)</f>
        <v>-75.019109</v>
      </c>
      <c r="G125" s="44" t="str">
        <f>+_xlfn.XLOOKUP(PROYECTOS[[#This Row],[MUNICIPIO]],MUNICIPIOS!A:A,MUNICIPIOS!G:G,0,0,1)</f>
        <v>6,485939</v>
      </c>
      <c r="H125" s="44">
        <f>+_xlfn.XLOOKUP(PROYECTOS[[#This Row],[MUNICIPIO]],MUNICIPIOS!A:A,MUNICIPIOS!B:B,0,0,1)</f>
        <v>0</v>
      </c>
      <c r="I125" s="44">
        <f>+_xlfn.XLOOKUP(PROYECTOS[[#This Row],[MUNICIPIO]],MUNICIPIOS!A:A,MUNICIPIOS!C:C,0,0,1)</f>
        <v>0</v>
      </c>
      <c r="J125" s="3" t="str" cm="1">
        <f t="array" ref="J125">_xlfn.TEXTJOIN(" ", TRUE, IF(radicados[ID PROYECTOS]=A125, radicados[RADICADO], ""))</f>
        <v>2024010572157</v>
      </c>
      <c r="K125" s="45">
        <v>3</v>
      </c>
      <c r="L125" s="48">
        <v>1955624022</v>
      </c>
      <c r="M125" s="34" t="s">
        <v>401</v>
      </c>
      <c r="N125" s="34" t="s">
        <v>398</v>
      </c>
      <c r="O125" s="34" t="s">
        <v>25</v>
      </c>
      <c r="P125" s="37"/>
      <c r="Q125" s="45"/>
      <c r="R125" s="43"/>
      <c r="S125" s="43"/>
      <c r="T125" s="44">
        <f>+_xlfn.XLOOKUP(PROYECTOS[[#This Row],[MUNICIPIO]],'4.CAP_ENDMNT'!B:B,'4.CAP_ENDMNT'!C:C,0,0,1)</f>
        <v>6</v>
      </c>
      <c r="U125" s="139">
        <f>+_xlfn.XLOOKUP(PROYECTOS[[#This Row],[MUNICIPIO]],'4.CAP_ENDMNT'!B:B,'4.CAP_ENDMNT'!D:D,0,0,1)</f>
        <v>13645854382.4415</v>
      </c>
      <c r="V125" s="140">
        <f>+_xlfn.XLOOKUP(PROYECTOS[[#This Row],[MUNICIPIO]],'4.CAP_ENDMNT'!B:B,'4.CAP_ENDMNT'!E:E,0,0,1)</f>
        <v>5036095672.2200003</v>
      </c>
      <c r="W125" s="140">
        <f>+_xlfn.XLOOKUP(PROYECTOS[[#This Row],[MUNICIPIO]],'4.CAP_ENDMNT'!B:B,'4.CAP_ENDMNT'!F:F,0,0,1)</f>
        <v>8609758710.2215004</v>
      </c>
      <c r="X125" s="140">
        <f>+_xlfn.XLOOKUP(PROYECTOS[[#This Row],[MUNICIPIO]],'4.CAP_ENDMNT'!B:B,'4.CAP_ENDMNT'!G:G,0,0,1)</f>
        <v>2357809963</v>
      </c>
      <c r="Y125" s="140">
        <f>+_xlfn.XLOOKUP(PROYECTOS[[#This Row],[MUNICIPIO]],'4.CAP_ENDMNT'!B:B,'4.CAP_ENDMNT'!H:H,0,0,1)</f>
        <v>1093248488</v>
      </c>
      <c r="Z125" s="140">
        <f>+_xlfn.XLOOKUP(PROYECTOS[[#This Row],[MUNICIPIO]],'4.CAP_ENDMNT'!B:B,'4.CAP_ENDMNT'!I:I,0,0,1)</f>
        <v>3451058451</v>
      </c>
      <c r="AA125" s="134">
        <f>+_xlfn.XLOOKUP(PROYECTOS[[#This Row],[MUNICIPIO]],'4.CAP_ENDMNT'!B:B,'4.CAP_ENDMNT'!J:J,0,0,1)</f>
        <v>0.25290160324739891</v>
      </c>
      <c r="AB125" s="140">
        <f>+_xlfn.XLOOKUP(PROYECTOS[[#This Row],[MUNICIPIO]],'4.CAP_ENDMNT'!B:B,'4.CAP_ENDMNT'!K:K,0,0,1)</f>
        <v>10194795931.4415</v>
      </c>
      <c r="AC125" s="140">
        <f>+_xlfn.XLOOKUP(PROYECTOS[[#This Row],[MUNICIPIO]],'4.CAP_ENDMNT'!B:B,'4.CAP_ENDMNT'!L:L,0,0,1)</f>
        <v>8155836745.1532001</v>
      </c>
      <c r="AD125" s="140">
        <f>+_xlfn.XLOOKUP(PROYECTOS[[#This Row],[MUNICIPIO]],'4.CAP_ENDMNT'!B:B,'4.CAP_ENDMNT'!M:M,0,0,1)</f>
        <v>6116877558.8648996</v>
      </c>
      <c r="AE125" s="134">
        <f>+_xlfn.XLOOKUP(PROYECTOS[[#This Row],[MUNICIPIO]],'4.CAP_ENDMNT'!B:B,'4.CAP_ENDMNT'!N:N,0,0,1)</f>
        <v>0.68321356954032075</v>
      </c>
      <c r="AF125" s="134">
        <f>+_xlfn.XLOOKUP(PROYECTOS[[#This Row],[MUNICIPIO]],'4.CAP_ENDMNT'!B:B,'4.CAP_ENDMNT'!O:O,0,0,1)</f>
        <v>0.58815143933117542</v>
      </c>
      <c r="AG125" s="134">
        <f>+_xlfn.XLOOKUP(PROYECTOS[[#This Row],[MUNICIPIO]],'4.CAP_ENDMNT'!B:B,'4.CAP_ENDMNT'!P:P,0,0,1)</f>
        <v>0.8</v>
      </c>
      <c r="AH125" s="44" t="str">
        <f>+_xlfn.XLOOKUP(PROYECTOS[[#This Row],[MUNICIPIO]],'4.CAP_ENDMNT'!B:B,'4.CAP_ENDMNT'!Q:Q,0,0,1)</f>
        <v>Cumple</v>
      </c>
      <c r="AI125" s="139">
        <f>+_xlfn.XLOOKUP(PROYECTOS[[#This Row],[MUNICIPIO]],'4.CAP_ENDMNT'!B:B,'4.CAP_ENDMNT'!V:V,0,0,1)</f>
        <v>1223375511.77298</v>
      </c>
      <c r="AJ125" s="139">
        <f>+_xlfn.XLOOKUP(PROYECTOS[[#This Row],[MUNICIPIO]],'4.CAP_ENDMNT'!B:B,'4.CAP_ENDMNT'!Y:Y,0,0,1)</f>
        <v>-3684666242.3621206</v>
      </c>
      <c r="AK125"/>
      <c r="AL125"/>
      <c r="AM125"/>
    </row>
    <row r="126" spans="1:39">
      <c r="A126" s="44">
        <v>134</v>
      </c>
      <c r="B126" s="37" t="s">
        <v>254</v>
      </c>
      <c r="C126" s="118">
        <f>+_xlfn.XLOOKUP(PROYECTOS[[#This Row],[ID_NECESIDAD]],'1.RADICADOS'!G:G,'1.RADICADOS'!C:C,0,0,1)*1</f>
        <v>45638</v>
      </c>
      <c r="D126" s="46" t="s">
        <v>208</v>
      </c>
      <c r="E126" s="47" t="str">
        <f>+_xlfn.XLOOKUP(PROYECTOS[[#This Row],[MUNICIPIO]],MUNICIPIOS!A:A,MUNICIPIOS!E:E,0,0,1)</f>
        <v>Oriente</v>
      </c>
      <c r="F126" s="44">
        <f>+_xlfn.XLOOKUP(PROYECTOS[[#This Row],[MUNICIPIO]],MUNICIPIOS!A:A,MUNICIPIOS!F:F,0,0,1)</f>
        <v>-75.265465000000006</v>
      </c>
      <c r="G126" s="44" t="str">
        <f>+_xlfn.XLOOKUP(PROYECTOS[[#This Row],[MUNICIPIO]],MUNICIPIOS!A:A,MUNICIPIOS!G:G,0,0,1)</f>
        <v>6,136871</v>
      </c>
      <c r="H126" s="44">
        <f>+_xlfn.XLOOKUP(PROYECTOS[[#This Row],[MUNICIPIO]],MUNICIPIOS!A:A,MUNICIPIOS!B:B,0,0,1)</f>
        <v>0</v>
      </c>
      <c r="I126" s="44">
        <f>+_xlfn.XLOOKUP(PROYECTOS[[#This Row],[MUNICIPIO]],MUNICIPIOS!A:A,MUNICIPIOS!C:C,0,0,1)</f>
        <v>0</v>
      </c>
      <c r="J126" s="3" t="str" cm="1">
        <f t="array" ref="J126">_xlfn.TEXTJOIN(" ", TRUE, IF(radicados[ID PROYECTOS]=A126, radicados[RADICADO], ""))</f>
        <v>2024010575640</v>
      </c>
      <c r="K126" s="45">
        <v>3</v>
      </c>
      <c r="L126" s="48">
        <v>9804796414</v>
      </c>
      <c r="M126" s="34" t="s">
        <v>396</v>
      </c>
      <c r="N126" s="34" t="s">
        <v>394</v>
      </c>
      <c r="O126" s="34" t="s">
        <v>18</v>
      </c>
      <c r="P126" s="37"/>
      <c r="Q126" s="45"/>
      <c r="R126" s="43"/>
      <c r="S126" s="43"/>
      <c r="T126" s="44">
        <f>+_xlfn.XLOOKUP(PROYECTOS[[#This Row],[MUNICIPIO]],'4.CAP_ENDMNT'!B:B,'4.CAP_ENDMNT'!C:C,0,0,1)</f>
        <v>6</v>
      </c>
      <c r="U126" s="139">
        <f>+_xlfn.XLOOKUP(PROYECTOS[[#This Row],[MUNICIPIO]],'4.CAP_ENDMNT'!B:B,'4.CAP_ENDMNT'!D:D,0,0,1)</f>
        <v>28148489568.315498</v>
      </c>
      <c r="V126" s="140">
        <f>+_xlfn.XLOOKUP(PROYECTOS[[#This Row],[MUNICIPIO]],'4.CAP_ENDMNT'!B:B,'4.CAP_ENDMNT'!E:E,0,0,1)</f>
        <v>9574117926.6900005</v>
      </c>
      <c r="W126" s="140">
        <f>+_xlfn.XLOOKUP(PROYECTOS[[#This Row],[MUNICIPIO]],'4.CAP_ENDMNT'!B:B,'4.CAP_ENDMNT'!F:F,0,0,1)</f>
        <v>18574371641.625496</v>
      </c>
      <c r="X126" s="140">
        <f>+_xlfn.XLOOKUP(PROYECTOS[[#This Row],[MUNICIPIO]],'4.CAP_ENDMNT'!B:B,'4.CAP_ENDMNT'!G:G,0,0,1)</f>
        <v>7165025466</v>
      </c>
      <c r="Y126" s="140">
        <f>+_xlfn.XLOOKUP(PROYECTOS[[#This Row],[MUNICIPIO]],'4.CAP_ENDMNT'!B:B,'4.CAP_ENDMNT'!H:H,0,0,1)</f>
        <v>0</v>
      </c>
      <c r="Z126" s="140">
        <f>+_xlfn.XLOOKUP(PROYECTOS[[#This Row],[MUNICIPIO]],'4.CAP_ENDMNT'!B:B,'4.CAP_ENDMNT'!I:I,0,0,1)</f>
        <v>7165025466</v>
      </c>
      <c r="AA126" s="134">
        <f>+_xlfn.XLOOKUP(PROYECTOS[[#This Row],[MUNICIPIO]],'4.CAP_ENDMNT'!B:B,'4.CAP_ENDMNT'!J:J,0,0,1)</f>
        <v>0.25454386988014788</v>
      </c>
      <c r="AB126" s="140">
        <f>+_xlfn.XLOOKUP(PROYECTOS[[#This Row],[MUNICIPIO]],'4.CAP_ENDMNT'!B:B,'4.CAP_ENDMNT'!K:K,0,0,1)</f>
        <v>20983464102.315498</v>
      </c>
      <c r="AC126" s="140">
        <f>+_xlfn.XLOOKUP(PROYECTOS[[#This Row],[MUNICIPIO]],'4.CAP_ENDMNT'!B:B,'4.CAP_ENDMNT'!L:L,0,0,1)</f>
        <v>16786771281.8524</v>
      </c>
      <c r="AD126" s="140">
        <f>+_xlfn.XLOOKUP(PROYECTOS[[#This Row],[MUNICIPIO]],'4.CAP_ENDMNT'!B:B,'4.CAP_ENDMNT'!M:M,0,0,1)</f>
        <v>12590078461.389299</v>
      </c>
      <c r="AE126" s="134">
        <f>+_xlfn.XLOOKUP(PROYECTOS[[#This Row],[MUNICIPIO]],'4.CAP_ENDMNT'!B:B,'4.CAP_ENDMNT'!N:N,0,0,1)</f>
        <v>1</v>
      </c>
      <c r="AF126" s="134">
        <f>+_xlfn.XLOOKUP(PROYECTOS[[#This Row],[MUNICIPIO]],'4.CAP_ENDMNT'!B:B,'4.CAP_ENDMNT'!O:O,0,0,1)</f>
        <v>0.38693852418292884</v>
      </c>
      <c r="AG126" s="134">
        <f>+_xlfn.XLOOKUP(PROYECTOS[[#This Row],[MUNICIPIO]],'4.CAP_ENDMNT'!B:B,'4.CAP_ENDMNT'!P:P,0,0,1)</f>
        <v>0.8</v>
      </c>
      <c r="AH126" s="44" t="str">
        <f>+_xlfn.XLOOKUP(PROYECTOS[[#This Row],[MUNICIPIO]],'4.CAP_ENDMNT'!B:B,'4.CAP_ENDMNT'!Q:Q,0,0,1)</f>
        <v>Cumple</v>
      </c>
      <c r="AI126" s="139">
        <f>+_xlfn.XLOOKUP(PROYECTOS[[#This Row],[MUNICIPIO]],'4.CAP_ENDMNT'!B:B,'4.CAP_ENDMNT'!V:V,0,0,1)</f>
        <v>2518015692.2778602</v>
      </c>
      <c r="AJ126" s="139">
        <f>+_xlfn.XLOOKUP(PROYECTOS[[#This Row],[MUNICIPIO]],'4.CAP_ENDMNT'!B:B,'4.CAP_ENDMNT'!Y:Y,0,0,1)</f>
        <v>-4116653327.33284</v>
      </c>
      <c r="AK126"/>
      <c r="AL126"/>
      <c r="AM126"/>
    </row>
    <row r="127" spans="1:39">
      <c r="A127" s="44">
        <v>135</v>
      </c>
      <c r="B127" s="37" t="s">
        <v>255</v>
      </c>
      <c r="C127" s="118">
        <f>+_xlfn.XLOOKUP(PROYECTOS[[#This Row],[ID_NECESIDAD]],'1.RADICADOS'!G:G,'1.RADICADOS'!C:C,0,0,1)*1</f>
        <v>45639</v>
      </c>
      <c r="D127" s="46" t="s">
        <v>35</v>
      </c>
      <c r="E127" s="47" t="str">
        <f>+_xlfn.XLOOKUP(PROYECTOS[[#This Row],[MUNICIPIO]],MUNICIPIOS!A:A,MUNICIPIOS!E:E,0,0,1)</f>
        <v>Norte</v>
      </c>
      <c r="F127" s="44">
        <f>+_xlfn.XLOOKUP(PROYECTOS[[#This Row],[MUNICIPIO]],MUNICIPIOS!A:A,MUNICIPIOS!F:F,0,0,1)</f>
        <v>-75.392629999999997</v>
      </c>
      <c r="G127" s="44" t="str">
        <f>+_xlfn.XLOOKUP(PROYECTOS[[#This Row],[MUNICIPIO]],MUNICIPIOS!A:A,MUNICIPIOS!G:G,0,0,1)</f>
        <v>6,485603</v>
      </c>
      <c r="H127" s="44">
        <f>+_xlfn.XLOOKUP(PROYECTOS[[#This Row],[MUNICIPIO]],MUNICIPIOS!A:A,MUNICIPIOS!B:B,0,0,1)</f>
        <v>0</v>
      </c>
      <c r="I127" s="44">
        <f>+_xlfn.XLOOKUP(PROYECTOS[[#This Row],[MUNICIPIO]],MUNICIPIOS!A:A,MUNICIPIOS!C:C,0,0,1)</f>
        <v>0</v>
      </c>
      <c r="J127" s="3" t="str" cm="1">
        <f t="array" ref="J127">_xlfn.TEXTJOIN(" ", TRUE, IF(radicados[ID PROYECTOS]=A127, radicados[RADICADO], ""))</f>
        <v>2024010435914</v>
      </c>
      <c r="K127" s="45">
        <v>3</v>
      </c>
      <c r="L127" s="48">
        <v>2405517156</v>
      </c>
      <c r="M127" s="34" t="s">
        <v>396</v>
      </c>
      <c r="N127" s="40" t="s">
        <v>394</v>
      </c>
      <c r="O127" s="40" t="s">
        <v>18</v>
      </c>
      <c r="P127" s="37"/>
      <c r="Q127" s="45"/>
      <c r="R127" s="43"/>
      <c r="S127" s="43"/>
      <c r="T127" s="44">
        <f>+_xlfn.XLOOKUP(PROYECTOS[[#This Row],[MUNICIPIO]],'4.CAP_ENDMNT'!B:B,'4.CAP_ENDMNT'!C:C,0,0,1)</f>
        <v>6</v>
      </c>
      <c r="U127" s="139">
        <f>+_xlfn.XLOOKUP(PROYECTOS[[#This Row],[MUNICIPIO]],'4.CAP_ENDMNT'!B:B,'4.CAP_ENDMNT'!D:D,0,0,1)</f>
        <v>24529039369.539501</v>
      </c>
      <c r="V127" s="140">
        <f>+_xlfn.XLOOKUP(PROYECTOS[[#This Row],[MUNICIPIO]],'4.CAP_ENDMNT'!B:B,'4.CAP_ENDMNT'!E:E,0,0,1)</f>
        <v>8973012363.6700001</v>
      </c>
      <c r="W127" s="140">
        <f>+_xlfn.XLOOKUP(PROYECTOS[[#This Row],[MUNICIPIO]],'4.CAP_ENDMNT'!B:B,'4.CAP_ENDMNT'!F:F,0,0,1)</f>
        <v>15556027005.869501</v>
      </c>
      <c r="X127" s="140">
        <f>+_xlfn.XLOOKUP(PROYECTOS[[#This Row],[MUNICIPIO]],'4.CAP_ENDMNT'!B:B,'4.CAP_ENDMNT'!G:G,0,0,1)</f>
        <v>7973050390</v>
      </c>
      <c r="Y127" s="140">
        <f>+_xlfn.XLOOKUP(PROYECTOS[[#This Row],[MUNICIPIO]],'4.CAP_ENDMNT'!B:B,'4.CAP_ENDMNT'!H:H,0,0,1)</f>
        <v>1625381984</v>
      </c>
      <c r="Z127" s="140">
        <f>+_xlfn.XLOOKUP(PROYECTOS[[#This Row],[MUNICIPIO]],'4.CAP_ENDMNT'!B:B,'4.CAP_ENDMNT'!I:I,0,0,1)</f>
        <v>9598432374</v>
      </c>
      <c r="AA127" s="134">
        <f>+_xlfn.XLOOKUP(PROYECTOS[[#This Row],[MUNICIPIO]],'4.CAP_ENDMNT'!B:B,'4.CAP_ENDMNT'!J:J,0,0,1)</f>
        <v>0.39130893914742809</v>
      </c>
      <c r="AB127" s="140">
        <f>+_xlfn.XLOOKUP(PROYECTOS[[#This Row],[MUNICIPIO]],'4.CAP_ENDMNT'!B:B,'4.CAP_ENDMNT'!K:K,0,0,1)</f>
        <v>14930606995.539501</v>
      </c>
      <c r="AC127" s="140">
        <f>+_xlfn.XLOOKUP(PROYECTOS[[#This Row],[MUNICIPIO]],'4.CAP_ENDMNT'!B:B,'4.CAP_ENDMNT'!L:L,0,0,1)</f>
        <v>11944485596.431602</v>
      </c>
      <c r="AD127" s="140">
        <f>+_xlfn.XLOOKUP(PROYECTOS[[#This Row],[MUNICIPIO]],'4.CAP_ENDMNT'!B:B,'4.CAP_ENDMNT'!M:M,0,0,1)</f>
        <v>8958364197.3237</v>
      </c>
      <c r="AE127" s="134">
        <f>+_xlfn.XLOOKUP(PROYECTOS[[#This Row],[MUNICIPIO]],'4.CAP_ENDMNT'!B:B,'4.CAP_ENDMNT'!N:N,0,0,1)</f>
        <v>0.83066172467883448</v>
      </c>
      <c r="AF127" s="134">
        <f>+_xlfn.XLOOKUP(PROYECTOS[[#This Row],[MUNICIPIO]],'4.CAP_ENDMNT'!B:B,'4.CAP_ENDMNT'!O:O,0,0,1)</f>
        <v>0.53024343717246458</v>
      </c>
      <c r="AG127" s="134">
        <f>+_xlfn.XLOOKUP(PROYECTOS[[#This Row],[MUNICIPIO]],'4.CAP_ENDMNT'!B:B,'4.CAP_ENDMNT'!P:P,0,0,1)</f>
        <v>0.8</v>
      </c>
      <c r="AH127" s="44" t="str">
        <f>+_xlfn.XLOOKUP(PROYECTOS[[#This Row],[MUNICIPIO]],'4.CAP_ENDMNT'!B:B,'4.CAP_ENDMNT'!Q:Q,0,0,1)</f>
        <v>Cumple</v>
      </c>
      <c r="AI127" s="139">
        <f>+_xlfn.XLOOKUP(PROYECTOS[[#This Row],[MUNICIPIO]],'4.CAP_ENDMNT'!B:B,'4.CAP_ENDMNT'!V:V,0,0,1)</f>
        <v>1791672839.46474</v>
      </c>
      <c r="AJ127" s="139">
        <f>+_xlfn.XLOOKUP(PROYECTOS[[#This Row],[MUNICIPIO]],'4.CAP_ENDMNT'!B:B,'4.CAP_ENDMNT'!Y:Y,0,0,1)</f>
        <v>-8164135575.2115593</v>
      </c>
      <c r="AK127"/>
      <c r="AL127"/>
      <c r="AM127"/>
    </row>
    <row r="128" spans="1:39">
      <c r="A128" s="44">
        <v>136</v>
      </c>
      <c r="B128" s="37" t="s">
        <v>257</v>
      </c>
      <c r="C128" s="118">
        <f>+_xlfn.XLOOKUP(PROYECTOS[[#This Row],[ID_NECESIDAD]],'1.RADICADOS'!G:G,'1.RADICADOS'!C:C,0,0,1)*1</f>
        <v>45559</v>
      </c>
      <c r="D128" s="46" t="s">
        <v>256</v>
      </c>
      <c r="E128" s="47" t="str">
        <f>+_xlfn.XLOOKUP(PROYECTOS[[#This Row],[MUNICIPIO]],MUNICIPIOS!A:A,MUNICIPIOS!E:E,0,0,1)</f>
        <v>Occidente</v>
      </c>
      <c r="F128" s="44">
        <f>+_xlfn.XLOOKUP(PROYECTOS[[#This Row],[MUNICIPIO]],MUNICIPIOS!A:A,MUNICIPIOS!F:F,0,0,1)</f>
        <v>-76.130764999999997</v>
      </c>
      <c r="G128" s="44" t="str">
        <f>+_xlfn.XLOOKUP(PROYECTOS[[#This Row],[MUNICIPIO]],MUNICIPIOS!A:A,MUNICIPIOS!G:G,0,0,1)</f>
        <v>6,776066</v>
      </c>
      <c r="H128" s="44">
        <f>+_xlfn.XLOOKUP(PROYECTOS[[#This Row],[MUNICIPIO]],MUNICIPIOS!A:A,MUNICIPIOS!B:B,0,0,1)</f>
        <v>0</v>
      </c>
      <c r="I128" s="44">
        <f>+_xlfn.XLOOKUP(PROYECTOS[[#This Row],[MUNICIPIO]],MUNICIPIOS!A:A,MUNICIPIOS!C:C,0,0,1)</f>
        <v>1</v>
      </c>
      <c r="J128" s="3" t="str" cm="1">
        <f t="array" ref="J128">_xlfn.TEXTJOIN(" ", TRUE, IF(radicados[ID PROYECTOS]=A128, radicados[RADICADO], ""))</f>
        <v>2024010435573</v>
      </c>
      <c r="K128" s="45">
        <v>3</v>
      </c>
      <c r="L128" s="48">
        <v>18933645714</v>
      </c>
      <c r="M128" s="34" t="s">
        <v>396</v>
      </c>
      <c r="N128" s="40" t="s">
        <v>397</v>
      </c>
      <c r="O128" s="40" t="s">
        <v>56</v>
      </c>
      <c r="P128" s="37"/>
      <c r="Q128" s="45"/>
      <c r="R128" s="43"/>
      <c r="S128" s="43"/>
      <c r="T128" s="44">
        <f>+_xlfn.XLOOKUP(PROYECTOS[[#This Row],[MUNICIPIO]],'4.CAP_ENDMNT'!B:B,'4.CAP_ENDMNT'!C:C,0,0,1)</f>
        <v>6</v>
      </c>
      <c r="U128" s="139">
        <f>+_xlfn.XLOOKUP(PROYECTOS[[#This Row],[MUNICIPIO]],'4.CAP_ENDMNT'!B:B,'4.CAP_ENDMNT'!D:D,0,0,1)</f>
        <v>15502017167.017002</v>
      </c>
      <c r="V128" s="140">
        <f>+_xlfn.XLOOKUP(PROYECTOS[[#This Row],[MUNICIPIO]],'4.CAP_ENDMNT'!B:B,'4.CAP_ENDMNT'!E:E,0,0,1)</f>
        <v>4560047682.8000002</v>
      </c>
      <c r="W128" s="140">
        <f>+_xlfn.XLOOKUP(PROYECTOS[[#This Row],[MUNICIPIO]],'4.CAP_ENDMNT'!B:B,'4.CAP_ENDMNT'!F:F,0,0,1)</f>
        <v>10941969484.217003</v>
      </c>
      <c r="X128" s="140">
        <f>+_xlfn.XLOOKUP(PROYECTOS[[#This Row],[MUNICIPIO]],'4.CAP_ENDMNT'!B:B,'4.CAP_ENDMNT'!G:G,0,0,1)</f>
        <v>1591148139</v>
      </c>
      <c r="Y128" s="140">
        <f>+_xlfn.XLOOKUP(PROYECTOS[[#This Row],[MUNICIPIO]],'4.CAP_ENDMNT'!B:B,'4.CAP_ENDMNT'!H:H,0,0,1)</f>
        <v>1671853559</v>
      </c>
      <c r="Z128" s="140">
        <f>+_xlfn.XLOOKUP(PROYECTOS[[#This Row],[MUNICIPIO]],'4.CAP_ENDMNT'!B:B,'4.CAP_ENDMNT'!I:I,0,0,1)</f>
        <v>3263001698</v>
      </c>
      <c r="AA128" s="134">
        <f>+_xlfn.XLOOKUP(PROYECTOS[[#This Row],[MUNICIPIO]],'4.CAP_ENDMNT'!B:B,'4.CAP_ENDMNT'!J:J,0,0,1)</f>
        <v>0.2104888456027873</v>
      </c>
      <c r="AB128" s="140">
        <f>+_xlfn.XLOOKUP(PROYECTOS[[#This Row],[MUNICIPIO]],'4.CAP_ENDMNT'!B:B,'4.CAP_ENDMNT'!K:K,0,0,1)</f>
        <v>12239015469.017002</v>
      </c>
      <c r="AC128" s="140">
        <f>+_xlfn.XLOOKUP(PROYECTOS[[#This Row],[MUNICIPIO]],'4.CAP_ENDMNT'!B:B,'4.CAP_ENDMNT'!L:L,0,0,1)</f>
        <v>9791212375.2136021</v>
      </c>
      <c r="AD128" s="140">
        <f>+_xlfn.XLOOKUP(PROYECTOS[[#This Row],[MUNICIPIO]],'4.CAP_ENDMNT'!B:B,'4.CAP_ENDMNT'!M:M,0,0,1)</f>
        <v>7343409281.4102011</v>
      </c>
      <c r="AE128" s="134">
        <f>+_xlfn.XLOOKUP(PROYECTOS[[#This Row],[MUNICIPIO]],'4.CAP_ENDMNT'!B:B,'4.CAP_ENDMNT'!N:N,0,0,1)</f>
        <v>0.4876332549796914</v>
      </c>
      <c r="AF128" s="134">
        <f>+_xlfn.XLOOKUP(PROYECTOS[[#This Row],[MUNICIPIO]],'4.CAP_ENDMNT'!B:B,'4.CAP_ENDMNT'!O:O,0,0,1)</f>
        <v>0.42560105953702715</v>
      </c>
      <c r="AG128" s="134">
        <f>+_xlfn.XLOOKUP(PROYECTOS[[#This Row],[MUNICIPIO]],'4.CAP_ENDMNT'!B:B,'4.CAP_ENDMNT'!P:P,0,0,1)</f>
        <v>0.8</v>
      </c>
      <c r="AH128" s="44" t="str">
        <f>+_xlfn.XLOOKUP(PROYECTOS[[#This Row],[MUNICIPIO]],'4.CAP_ENDMNT'!B:B,'4.CAP_ENDMNT'!Q:Q,0,0,1)</f>
        <v>Cumple</v>
      </c>
      <c r="AI128" s="139">
        <f>+_xlfn.XLOOKUP(PROYECTOS[[#This Row],[MUNICIPIO]],'4.CAP_ENDMNT'!B:B,'4.CAP_ENDMNT'!V:V,0,0,1)</f>
        <v>1468681856.2820404</v>
      </c>
      <c r="AJ128" s="139">
        <f>+_xlfn.XLOOKUP(PROYECTOS[[#This Row],[MUNICIPIO]],'4.CAP_ENDMNT'!B:B,'4.CAP_ENDMNT'!Y:Y,0,0,1)</f>
        <v>-10121554576.307758</v>
      </c>
      <c r="AK128"/>
      <c r="AL128"/>
      <c r="AM128"/>
    </row>
    <row r="129" spans="1:39">
      <c r="A129" s="44">
        <v>137</v>
      </c>
      <c r="B129" s="37" t="s">
        <v>259</v>
      </c>
      <c r="C129" s="118">
        <f>+_xlfn.XLOOKUP(PROYECTOS[[#This Row],[ID_NECESIDAD]],'1.RADICADOS'!G:G,'1.RADICADOS'!C:C,0,0,1)*1</f>
        <v>45559</v>
      </c>
      <c r="D129" s="46" t="s">
        <v>258</v>
      </c>
      <c r="E129" s="47" t="str">
        <f>+_xlfn.XLOOKUP(PROYECTOS[[#This Row],[MUNICIPIO]],MUNICIPIOS!A:A,MUNICIPIOS!E:E,0,0,1)</f>
        <v>Urabá</v>
      </c>
      <c r="F129" s="44">
        <f>+_xlfn.XLOOKUP(PROYECTOS[[#This Row],[MUNICIPIO]],MUNICIPIOS!A:A,MUNICIPIOS!F:F,0,0,1)</f>
        <v>-76.817485000000005</v>
      </c>
      <c r="G129" s="44" t="str">
        <f>+_xlfn.XLOOKUP(PROYECTOS[[#This Row],[MUNICIPIO]],MUNICIPIOS!A:A,MUNICIPIOS!G:G,0,0,1)</f>
        <v>6,97771</v>
      </c>
      <c r="H129" s="44">
        <f>+_xlfn.XLOOKUP(PROYECTOS[[#This Row],[MUNICIPIO]],MUNICIPIOS!A:A,MUNICIPIOS!B:B,0,0,1)</f>
        <v>1</v>
      </c>
      <c r="I129" s="44">
        <f>+_xlfn.XLOOKUP(PROYECTOS[[#This Row],[MUNICIPIO]],MUNICIPIOS!A:A,MUNICIPIOS!C:C,0,0,1)</f>
        <v>1</v>
      </c>
      <c r="J129" s="3" t="str" cm="1">
        <f t="array" ref="J129">_xlfn.TEXTJOIN(" ", TRUE, IF(radicados[ID PROYECTOS]=A129, radicados[RADICADO], ""))</f>
        <v>2024010432919</v>
      </c>
      <c r="K129" s="45">
        <v>2</v>
      </c>
      <c r="L129" s="48"/>
      <c r="M129" s="34" t="s">
        <v>428</v>
      </c>
      <c r="N129" s="40" t="s">
        <v>394</v>
      </c>
      <c r="O129" s="40" t="s">
        <v>18</v>
      </c>
      <c r="P129" s="37"/>
      <c r="Q129" s="45"/>
      <c r="R129" s="43"/>
      <c r="S129" s="43"/>
      <c r="T129" s="44">
        <f>+_xlfn.XLOOKUP(PROYECTOS[[#This Row],[MUNICIPIO]],'4.CAP_ENDMNT'!B:B,'4.CAP_ENDMNT'!C:C,0,0,1)</f>
        <v>6</v>
      </c>
      <c r="U129" s="139">
        <f>+_xlfn.XLOOKUP(PROYECTOS[[#This Row],[MUNICIPIO]],'4.CAP_ENDMNT'!B:B,'4.CAP_ENDMNT'!D:D,0,0,1)</f>
        <v>17114409570.042</v>
      </c>
      <c r="V129" s="140">
        <f>+_xlfn.XLOOKUP(PROYECTOS[[#This Row],[MUNICIPIO]],'4.CAP_ENDMNT'!B:B,'4.CAP_ENDMNT'!E:E,0,0,1)</f>
        <v>5233556503.5699997</v>
      </c>
      <c r="W129" s="140">
        <f>+_xlfn.XLOOKUP(PROYECTOS[[#This Row],[MUNICIPIO]],'4.CAP_ENDMNT'!B:B,'4.CAP_ENDMNT'!F:F,0,0,1)</f>
        <v>11880853066.472</v>
      </c>
      <c r="X129" s="140">
        <f>+_xlfn.XLOOKUP(PROYECTOS[[#This Row],[MUNICIPIO]],'4.CAP_ENDMNT'!B:B,'4.CAP_ENDMNT'!G:G,0,0,1)</f>
        <v>690572471</v>
      </c>
      <c r="Y129" s="140">
        <f>+_xlfn.XLOOKUP(PROYECTOS[[#This Row],[MUNICIPIO]],'4.CAP_ENDMNT'!B:B,'4.CAP_ENDMNT'!H:H,0,0,1)</f>
        <v>0</v>
      </c>
      <c r="Z129" s="140">
        <f>+_xlfn.XLOOKUP(PROYECTOS[[#This Row],[MUNICIPIO]],'4.CAP_ENDMNT'!B:B,'4.CAP_ENDMNT'!I:I,0,0,1)</f>
        <v>690572471</v>
      </c>
      <c r="AA129" s="134">
        <f>+_xlfn.XLOOKUP(PROYECTOS[[#This Row],[MUNICIPIO]],'4.CAP_ENDMNT'!B:B,'4.CAP_ENDMNT'!J:J,0,0,1)</f>
        <v>4.0350353202298947E-2</v>
      </c>
      <c r="AB129" s="140">
        <f>+_xlfn.XLOOKUP(PROYECTOS[[#This Row],[MUNICIPIO]],'4.CAP_ENDMNT'!B:B,'4.CAP_ENDMNT'!K:K,0,0,1)</f>
        <v>16423837099.042</v>
      </c>
      <c r="AC129" s="140">
        <f>+_xlfn.XLOOKUP(PROYECTOS[[#This Row],[MUNICIPIO]],'4.CAP_ENDMNT'!B:B,'4.CAP_ENDMNT'!L:L,0,0,1)</f>
        <v>13139069679.233601</v>
      </c>
      <c r="AD129" s="140">
        <f>+_xlfn.XLOOKUP(PROYECTOS[[#This Row],[MUNICIPIO]],'4.CAP_ENDMNT'!B:B,'4.CAP_ENDMNT'!M:M,0,0,1)</f>
        <v>9854302259.4251995</v>
      </c>
      <c r="AE129" s="134">
        <f>+_xlfn.XLOOKUP(PROYECTOS[[#This Row],[MUNICIPIO]],'4.CAP_ENDMNT'!B:B,'4.CAP_ENDMNT'!N:N,0,0,1)</f>
        <v>1</v>
      </c>
      <c r="AF129" s="134">
        <f>+_xlfn.XLOOKUP(PROYECTOS[[#This Row],[MUNICIPIO]],'4.CAP_ENDMNT'!B:B,'4.CAP_ENDMNT'!O:O,0,0,1)</f>
        <v>0.61563469645402102</v>
      </c>
      <c r="AG129" s="134">
        <f>+_xlfn.XLOOKUP(PROYECTOS[[#This Row],[MUNICIPIO]],'4.CAP_ENDMNT'!B:B,'4.CAP_ENDMNT'!P:P,0,0,1)</f>
        <v>0.8</v>
      </c>
      <c r="AH129" s="44" t="str">
        <f>+_xlfn.XLOOKUP(PROYECTOS[[#This Row],[MUNICIPIO]],'4.CAP_ENDMNT'!B:B,'4.CAP_ENDMNT'!Q:Q,0,0,1)</f>
        <v>Cumple</v>
      </c>
      <c r="AI129" s="139">
        <f>+_xlfn.XLOOKUP(PROYECTOS[[#This Row],[MUNICIPIO]],'4.CAP_ENDMNT'!B:B,'4.CAP_ENDMNT'!V:V,0,0,1)</f>
        <v>1970860451.88504</v>
      </c>
      <c r="AJ129" s="139">
        <f>+_xlfn.XLOOKUP(PROYECTOS[[#This Row],[MUNICIPIO]],'4.CAP_ENDMNT'!B:B,'4.CAP_ENDMNT'!Y:Y,0,0,1)</f>
        <v>1517445968.3102398</v>
      </c>
      <c r="AK129"/>
      <c r="AL129"/>
      <c r="AM129"/>
    </row>
    <row r="130" spans="1:39">
      <c r="A130" s="44">
        <v>138</v>
      </c>
      <c r="B130" s="37" t="s">
        <v>1401</v>
      </c>
      <c r="C130" s="118">
        <f>+_xlfn.XLOOKUP(PROYECTOS[[#This Row],[ID_NECESIDAD]],'1.RADICADOS'!G:G,'1.RADICADOS'!C:C,0,0,1)*1</f>
        <v>45558</v>
      </c>
      <c r="D130" s="46" t="s">
        <v>260</v>
      </c>
      <c r="E130" s="47" t="str">
        <f>+_xlfn.XLOOKUP(PROYECTOS[[#This Row],[MUNICIPIO]],MUNICIPIOS!A:A,MUNICIPIOS!E:E,0,0,1)</f>
        <v>Occidente</v>
      </c>
      <c r="F130" s="44">
        <f>+_xlfn.XLOOKUP(PROYECTOS[[#This Row],[MUNICIPIO]],MUNICIPIOS!A:A,MUNICIPIOS!F:F,0,0,1)</f>
        <v>-76.173283999999995</v>
      </c>
      <c r="G130" s="44">
        <f>+_xlfn.XLOOKUP(PROYECTOS[[#This Row],[MUNICIPIO]],MUNICIPIOS!A:A,MUNICIPIOS!G:G,0,0,1)</f>
        <v>6.8983930000000004</v>
      </c>
      <c r="H130" s="44">
        <f>+_xlfn.XLOOKUP(PROYECTOS[[#This Row],[MUNICIPIO]],MUNICIPIOS!A:A,MUNICIPIOS!B:B,0,0,1)</f>
        <v>0</v>
      </c>
      <c r="I130" s="44">
        <f>+_xlfn.XLOOKUP(PROYECTOS[[#This Row],[MUNICIPIO]],MUNICIPIOS!A:A,MUNICIPIOS!C:C,0,0,1)</f>
        <v>1</v>
      </c>
      <c r="J130" s="3" t="str" cm="1">
        <f t="array" ref="J130">_xlfn.TEXTJOIN(" ", TRUE, IF(radicados[ID PROYECTOS]=A130, radicados[RADICADO], ""))</f>
        <v>2024010575497</v>
      </c>
      <c r="K130" s="45">
        <v>3</v>
      </c>
      <c r="L130" s="48">
        <v>1958822896</v>
      </c>
      <c r="M130" s="34" t="s">
        <v>396</v>
      </c>
      <c r="N130" s="34" t="s">
        <v>394</v>
      </c>
      <c r="O130" s="34" t="s">
        <v>18</v>
      </c>
      <c r="P130" s="37"/>
      <c r="Q130" s="45"/>
      <c r="R130" s="43"/>
      <c r="S130" s="43"/>
      <c r="T130" s="44">
        <f>+_xlfn.XLOOKUP(PROYECTOS[[#This Row],[MUNICIPIO]],'4.CAP_ENDMNT'!B:B,'4.CAP_ENDMNT'!C:C,0,0,1)</f>
        <v>6</v>
      </c>
      <c r="U130" s="139">
        <f>+_xlfn.XLOOKUP(PROYECTOS[[#This Row],[MUNICIPIO]],'4.CAP_ENDMNT'!B:B,'4.CAP_ENDMNT'!D:D,0,0,1)</f>
        <v>9683475507.1875</v>
      </c>
      <c r="V130" s="140">
        <f>+_xlfn.XLOOKUP(PROYECTOS[[#This Row],[MUNICIPIO]],'4.CAP_ENDMNT'!B:B,'4.CAP_ENDMNT'!E:E,0,0,1)</f>
        <v>3083007311.46</v>
      </c>
      <c r="W130" s="140">
        <f>+_xlfn.XLOOKUP(PROYECTOS[[#This Row],[MUNICIPIO]],'4.CAP_ENDMNT'!B:B,'4.CAP_ENDMNT'!F:F,0,0,1)</f>
        <v>6600468195.7275</v>
      </c>
      <c r="X130" s="140">
        <f>+_xlfn.XLOOKUP(PROYECTOS[[#This Row],[MUNICIPIO]],'4.CAP_ENDMNT'!B:B,'4.CAP_ENDMNT'!G:G,0,0,1)</f>
        <v>178661475</v>
      </c>
      <c r="Y130" s="140">
        <f>+_xlfn.XLOOKUP(PROYECTOS[[#This Row],[MUNICIPIO]],'4.CAP_ENDMNT'!B:B,'4.CAP_ENDMNT'!H:H,0,0,1)</f>
        <v>2978048806</v>
      </c>
      <c r="Z130" s="140">
        <f>+_xlfn.XLOOKUP(PROYECTOS[[#This Row],[MUNICIPIO]],'4.CAP_ENDMNT'!B:B,'4.CAP_ENDMNT'!I:I,0,0,1)</f>
        <v>3156710281</v>
      </c>
      <c r="AA130" s="134">
        <f>+_xlfn.XLOOKUP(PROYECTOS[[#This Row],[MUNICIPIO]],'4.CAP_ENDMNT'!B:B,'4.CAP_ENDMNT'!J:J,0,0,1)</f>
        <v>0.32598939075716682</v>
      </c>
      <c r="AB130" s="140">
        <f>+_xlfn.XLOOKUP(PROYECTOS[[#This Row],[MUNICIPIO]],'4.CAP_ENDMNT'!B:B,'4.CAP_ENDMNT'!K:K,0,0,1)</f>
        <v>6526765226.1875</v>
      </c>
      <c r="AC130" s="140">
        <f>+_xlfn.XLOOKUP(PROYECTOS[[#This Row],[MUNICIPIO]],'4.CAP_ENDMNT'!B:B,'4.CAP_ENDMNT'!L:L,0,0,1)</f>
        <v>5221412180.9500008</v>
      </c>
      <c r="AD130" s="140">
        <f>+_xlfn.XLOOKUP(PROYECTOS[[#This Row],[MUNICIPIO]],'4.CAP_ENDMNT'!B:B,'4.CAP_ENDMNT'!M:M,0,0,1)</f>
        <v>3916059135.7124996</v>
      </c>
      <c r="AE130" s="134">
        <f>+_xlfn.XLOOKUP(PROYECTOS[[#This Row],[MUNICIPIO]],'4.CAP_ENDMNT'!B:B,'4.CAP_ENDMNT'!N:N,0,0,1)</f>
        <v>5.6597362157480804E-2</v>
      </c>
      <c r="AF130" s="134">
        <f>+_xlfn.XLOOKUP(PROYECTOS[[#This Row],[MUNICIPIO]],'4.CAP_ENDMNT'!B:B,'4.CAP_ENDMNT'!O:O,0,0,1)</f>
        <v>0.64507007180798703</v>
      </c>
      <c r="AG130" s="134">
        <f>+_xlfn.XLOOKUP(PROYECTOS[[#This Row],[MUNICIPIO]],'4.CAP_ENDMNT'!B:B,'4.CAP_ENDMNT'!P:P,0,0,1)</f>
        <v>0.8</v>
      </c>
      <c r="AH130" s="44" t="str">
        <f>+_xlfn.XLOOKUP(PROYECTOS[[#This Row],[MUNICIPIO]],'4.CAP_ENDMNT'!B:B,'4.CAP_ENDMNT'!Q:Q,0,0,1)</f>
        <v>Cumple</v>
      </c>
      <c r="AI130" s="139">
        <f>+_xlfn.XLOOKUP(PROYECTOS[[#This Row],[MUNICIPIO]],'4.CAP_ENDMNT'!B:B,'4.CAP_ENDMNT'!V:V,0,0,1)</f>
        <v>783211827.14249992</v>
      </c>
      <c r="AJ130" s="139">
        <f>+_xlfn.XLOOKUP(PROYECTOS[[#This Row],[MUNICIPIO]],'4.CAP_ENDMNT'!B:B,'4.CAP_ENDMNT'!Y:Y,0,0,1)</f>
        <v>2740448066.8549995</v>
      </c>
      <c r="AK130"/>
      <c r="AL130"/>
      <c r="AM130"/>
    </row>
    <row r="131" spans="1:39">
      <c r="A131" s="44">
        <v>140</v>
      </c>
      <c r="B131" s="37" t="s">
        <v>263</v>
      </c>
      <c r="C131" s="118">
        <f>+_xlfn.XLOOKUP(PROYECTOS[[#This Row],[ID_NECESIDAD]],'1.RADICADOS'!G:G,'1.RADICADOS'!C:C,0,0,1)*1</f>
        <v>45552</v>
      </c>
      <c r="D131" s="46" t="s">
        <v>11</v>
      </c>
      <c r="E131" s="47" t="str">
        <f>+_xlfn.XLOOKUP(PROYECTOS[[#This Row],[MUNICIPIO]],MUNICIPIOS!A:A,MUNICIPIOS!E:E,0,0,1)</f>
        <v>Magdalena Medio</v>
      </c>
      <c r="F131" s="44">
        <f>+_xlfn.XLOOKUP(PROYECTOS[[#This Row],[MUNICIPIO]],MUNICIPIOS!A:A,MUNICIPIOS!F:F,0,0,1)</f>
        <v>-74.641189999999995</v>
      </c>
      <c r="G131" s="44" t="str">
        <f>+_xlfn.XLOOKUP(PROYECTOS[[#This Row],[MUNICIPIO]],MUNICIPIOS!A:A,MUNICIPIOS!G:G,0,0,1)</f>
        <v>5,871318</v>
      </c>
      <c r="H131" s="44">
        <f>+_xlfn.XLOOKUP(PROYECTOS[[#This Row],[MUNICIPIO]],MUNICIPIOS!A:A,MUNICIPIOS!B:B,0,0,1)</f>
        <v>0</v>
      </c>
      <c r="I131" s="44">
        <f>+_xlfn.XLOOKUP(PROYECTOS[[#This Row],[MUNICIPIO]],MUNICIPIOS!A:A,MUNICIPIOS!C:C,0,0,1)</f>
        <v>0</v>
      </c>
      <c r="J131" s="3" t="str" cm="1">
        <f t="array" ref="J131">_xlfn.TEXTJOIN(" ", TRUE, IF(radicados[ID PROYECTOS]=A131, radicados[RADICADO], ""))</f>
        <v>2024010569315</v>
      </c>
      <c r="K131" s="45">
        <v>3</v>
      </c>
      <c r="L131" s="48">
        <v>180000000</v>
      </c>
      <c r="M131" s="34" t="s">
        <v>392</v>
      </c>
      <c r="N131" s="40" t="s">
        <v>1079</v>
      </c>
      <c r="O131" s="40" t="s">
        <v>7</v>
      </c>
      <c r="P131" s="37"/>
      <c r="Q131" s="45"/>
      <c r="R131" s="43"/>
      <c r="S131" s="43"/>
      <c r="T131" s="44">
        <f>+_xlfn.XLOOKUP(PROYECTOS[[#This Row],[MUNICIPIO]],'4.CAP_ENDMNT'!B:B,'4.CAP_ENDMNT'!C:C,0,0,1)</f>
        <v>6</v>
      </c>
      <c r="U131" s="139">
        <f>+_xlfn.XLOOKUP(PROYECTOS[[#This Row],[MUNICIPIO]],'4.CAP_ENDMNT'!B:B,'4.CAP_ENDMNT'!D:D,0,0,1)</f>
        <v>22896432570.9105</v>
      </c>
      <c r="V131" s="140">
        <f>+_xlfn.XLOOKUP(PROYECTOS[[#This Row],[MUNICIPIO]],'4.CAP_ENDMNT'!B:B,'4.CAP_ENDMNT'!E:E,0,0,1)</f>
        <v>6514105665.9899998</v>
      </c>
      <c r="W131" s="140">
        <f>+_xlfn.XLOOKUP(PROYECTOS[[#This Row],[MUNICIPIO]],'4.CAP_ENDMNT'!B:B,'4.CAP_ENDMNT'!F:F,0,0,1)</f>
        <v>16382326904.9205</v>
      </c>
      <c r="X131" s="140">
        <f>+_xlfn.XLOOKUP(PROYECTOS[[#This Row],[MUNICIPIO]],'4.CAP_ENDMNT'!B:B,'4.CAP_ENDMNT'!G:G,0,0,1)</f>
        <v>15087488121</v>
      </c>
      <c r="Y131" s="140">
        <f>+_xlfn.XLOOKUP(PROYECTOS[[#This Row],[MUNICIPIO]],'4.CAP_ENDMNT'!B:B,'4.CAP_ENDMNT'!H:H,0,0,1)</f>
        <v>152370595</v>
      </c>
      <c r="Z131" s="140">
        <f>+_xlfn.XLOOKUP(PROYECTOS[[#This Row],[MUNICIPIO]],'4.CAP_ENDMNT'!B:B,'4.CAP_ENDMNT'!I:I,0,0,1)</f>
        <v>15239858716</v>
      </c>
      <c r="AA131" s="134">
        <f>+_xlfn.XLOOKUP(PROYECTOS[[#This Row],[MUNICIPIO]],'4.CAP_ENDMNT'!B:B,'4.CAP_ENDMNT'!J:J,0,0,1)</f>
        <v>0.66559970287082904</v>
      </c>
      <c r="AB131" s="140">
        <f>+_xlfn.XLOOKUP(PROYECTOS[[#This Row],[MUNICIPIO]],'4.CAP_ENDMNT'!B:B,'4.CAP_ENDMNT'!K:K,0,0,1)</f>
        <v>7656573854.9104996</v>
      </c>
      <c r="AC131" s="140">
        <f>+_xlfn.XLOOKUP(PROYECTOS[[#This Row],[MUNICIPIO]],'4.CAP_ENDMNT'!B:B,'4.CAP_ENDMNT'!L:L,0,0,1)</f>
        <v>6125259083.9284</v>
      </c>
      <c r="AD131" s="140">
        <f>+_xlfn.XLOOKUP(PROYECTOS[[#This Row],[MUNICIPIO]],'4.CAP_ENDMNT'!B:B,'4.CAP_ENDMNT'!M:M,0,0,1)</f>
        <v>4593944312.9462996</v>
      </c>
      <c r="AE131" s="134">
        <f>+_xlfn.XLOOKUP(PROYECTOS[[#This Row],[MUNICIPIO]],'4.CAP_ENDMNT'!B:B,'4.CAP_ENDMNT'!N:N,0,0,1)</f>
        <v>0.99000183677293352</v>
      </c>
      <c r="AF131" s="134">
        <f>+_xlfn.XLOOKUP(PROYECTOS[[#This Row],[MUNICIPIO]],'4.CAP_ENDMNT'!B:B,'4.CAP_ENDMNT'!O:O,0,0,1)</f>
        <v>0.53987925149269589</v>
      </c>
      <c r="AG131" s="134">
        <f>+_xlfn.XLOOKUP(PROYECTOS[[#This Row],[MUNICIPIO]],'4.CAP_ENDMNT'!B:B,'4.CAP_ENDMNT'!P:P,0,0,1)</f>
        <v>0.8</v>
      </c>
      <c r="AH131" s="44" t="str">
        <f>+_xlfn.XLOOKUP(PROYECTOS[[#This Row],[MUNICIPIO]],'4.CAP_ENDMNT'!B:B,'4.CAP_ENDMNT'!Q:Q,0,0,1)</f>
        <v>Cumple</v>
      </c>
      <c r="AI131" s="139">
        <f>+_xlfn.XLOOKUP(PROYECTOS[[#This Row],[MUNICIPIO]],'4.CAP_ENDMNT'!B:B,'4.CAP_ENDMNT'!V:V,0,0,1)</f>
        <v>918788862.58925998</v>
      </c>
      <c r="AJ131" s="139">
        <f>+_xlfn.XLOOKUP(PROYECTOS[[#This Row],[MUNICIPIO]],'4.CAP_ENDMNT'!B:B,'4.CAP_ENDMNT'!Y:Y,0,0,1)</f>
        <v>-5124042499.4644403</v>
      </c>
      <c r="AK131"/>
      <c r="AL131"/>
      <c r="AM131"/>
    </row>
    <row r="132" spans="1:39">
      <c r="A132" s="44">
        <v>141</v>
      </c>
      <c r="B132" s="37" t="s">
        <v>984</v>
      </c>
      <c r="C132" s="118">
        <f>+_xlfn.XLOOKUP(PROYECTOS[[#This Row],[ID_NECESIDAD]],'1.RADICADOS'!G:G,'1.RADICADOS'!C:C,0,0,1)*1</f>
        <v>45394</v>
      </c>
      <c r="D132" s="46" t="s">
        <v>177</v>
      </c>
      <c r="E132" s="47" t="str">
        <f>+_xlfn.XLOOKUP(PROYECTOS[[#This Row],[MUNICIPIO]],MUNICIPIOS!A:A,MUNICIPIOS!E:E,0,0,1)</f>
        <v>Oriente</v>
      </c>
      <c r="F132" s="44">
        <f>+_xlfn.XLOOKUP(PROYECTOS[[#This Row],[MUNICIPIO]],MUNICIPIOS!A:A,MUNICIPIOS!F:F,0,0,1)</f>
        <v>-75.339344999999994</v>
      </c>
      <c r="G132" s="44" t="str">
        <f>+_xlfn.XLOOKUP(PROYECTOS[[#This Row],[MUNICIPIO]],MUNICIPIOS!A:A,MUNICIPIOS!G:G,0,0,1)</f>
        <v>6,173995</v>
      </c>
      <c r="H132" s="44">
        <f>+_xlfn.XLOOKUP(PROYECTOS[[#This Row],[MUNICIPIO]],MUNICIPIOS!A:A,MUNICIPIOS!B:B,0,0,1)</f>
        <v>0</v>
      </c>
      <c r="I132" s="44">
        <f>+_xlfn.XLOOKUP(PROYECTOS[[#This Row],[MUNICIPIO]],MUNICIPIOS!A:A,MUNICIPIOS!C:C,0,0,1)</f>
        <v>0</v>
      </c>
      <c r="J132" s="3" t="str" cm="1">
        <f t="array" ref="J132">_xlfn.TEXTJOIN(" ", TRUE, IF(radicados[ID PROYECTOS]=A132, radicados[RADICADO], ""))</f>
        <v>2024010572114</v>
      </c>
      <c r="K132" s="45">
        <v>3</v>
      </c>
      <c r="L132" s="48">
        <v>1518014647883</v>
      </c>
      <c r="M132" s="34" t="s">
        <v>429</v>
      </c>
      <c r="N132" s="40" t="s">
        <v>1079</v>
      </c>
      <c r="O132" s="40" t="s">
        <v>7</v>
      </c>
      <c r="P132" s="37"/>
      <c r="Q132" s="45"/>
      <c r="R132" s="43"/>
      <c r="S132" s="43"/>
      <c r="T132" s="44">
        <f>+_xlfn.XLOOKUP(PROYECTOS[[#This Row],[MUNICIPIO]],'4.CAP_ENDMNT'!B:B,'4.CAP_ENDMNT'!C:C,0,0,1)</f>
        <v>4</v>
      </c>
      <c r="U132" s="139">
        <f>+_xlfn.XLOOKUP(PROYECTOS[[#This Row],[MUNICIPIO]],'4.CAP_ENDMNT'!B:B,'4.CAP_ENDMNT'!D:D,0,0,1)</f>
        <v>62016835956.019493</v>
      </c>
      <c r="V132" s="140">
        <f>+_xlfn.XLOOKUP(PROYECTOS[[#This Row],[MUNICIPIO]],'4.CAP_ENDMNT'!B:B,'4.CAP_ENDMNT'!E:E,0,0,1)</f>
        <v>25368005936.310001</v>
      </c>
      <c r="W132" s="140">
        <f>+_xlfn.XLOOKUP(PROYECTOS[[#This Row],[MUNICIPIO]],'4.CAP_ENDMNT'!B:B,'4.CAP_ENDMNT'!F:F,0,0,1)</f>
        <v>36648830019.709488</v>
      </c>
      <c r="X132" s="140">
        <f>+_xlfn.XLOOKUP(PROYECTOS[[#This Row],[MUNICIPIO]],'4.CAP_ENDMNT'!B:B,'4.CAP_ENDMNT'!G:G,0,0,1)</f>
        <v>25635932166</v>
      </c>
      <c r="Y132" s="140">
        <f>+_xlfn.XLOOKUP(PROYECTOS[[#This Row],[MUNICIPIO]],'4.CAP_ENDMNT'!B:B,'4.CAP_ENDMNT'!H:H,0,0,1)</f>
        <v>7522176280</v>
      </c>
      <c r="Z132" s="140">
        <f>+_xlfn.XLOOKUP(PROYECTOS[[#This Row],[MUNICIPIO]],'4.CAP_ENDMNT'!B:B,'4.CAP_ENDMNT'!I:I,0,0,1)</f>
        <v>33158108446</v>
      </c>
      <c r="AA132" s="134">
        <f>+_xlfn.XLOOKUP(PROYECTOS[[#This Row],[MUNICIPIO]],'4.CAP_ENDMNT'!B:B,'4.CAP_ENDMNT'!J:J,0,0,1)</f>
        <v>0.53466301424204787</v>
      </c>
      <c r="AB132" s="140">
        <f>+_xlfn.XLOOKUP(PROYECTOS[[#This Row],[MUNICIPIO]],'4.CAP_ENDMNT'!B:B,'4.CAP_ENDMNT'!K:K,0,0,1)</f>
        <v>28858727510.019493</v>
      </c>
      <c r="AC132" s="140">
        <f>+_xlfn.XLOOKUP(PROYECTOS[[#This Row],[MUNICIPIO]],'4.CAP_ENDMNT'!B:B,'4.CAP_ENDMNT'!L:L,0,0,1)</f>
        <v>23086982008.015594</v>
      </c>
      <c r="AD132" s="140">
        <f>+_xlfn.XLOOKUP(PROYECTOS[[#This Row],[MUNICIPIO]],'4.CAP_ENDMNT'!B:B,'4.CAP_ENDMNT'!M:M,0,0,1)</f>
        <v>17315236506.011696</v>
      </c>
      <c r="AE132" s="134">
        <f>+_xlfn.XLOOKUP(PROYECTOS[[#This Row],[MUNICIPIO]],'4.CAP_ENDMNT'!B:B,'4.CAP_ENDMNT'!N:N,0,0,1)</f>
        <v>0.77314217750839676</v>
      </c>
      <c r="AF132" s="134">
        <f>+_xlfn.XLOOKUP(PROYECTOS[[#This Row],[MUNICIPIO]],'4.CAP_ENDMNT'!B:B,'4.CAP_ENDMNT'!O:O,0,0,1)</f>
        <v>0.52777286703387605</v>
      </c>
      <c r="AG132" s="134">
        <f>+_xlfn.XLOOKUP(PROYECTOS[[#This Row],[MUNICIPIO]],'4.CAP_ENDMNT'!B:B,'4.CAP_ENDMNT'!P:P,0,0,1)</f>
        <v>0.8</v>
      </c>
      <c r="AH132" s="44" t="str">
        <f>+_xlfn.XLOOKUP(PROYECTOS[[#This Row],[MUNICIPIO]],'4.CAP_ENDMNT'!B:B,'4.CAP_ENDMNT'!Q:Q,0,0,1)</f>
        <v>Cumple</v>
      </c>
      <c r="AI132" s="139">
        <f>+_xlfn.XLOOKUP(PROYECTOS[[#This Row],[MUNICIPIO]],'4.CAP_ENDMNT'!B:B,'4.CAP_ENDMNT'!V:V,0,0,1)</f>
        <v>3463047301.2023392</v>
      </c>
      <c r="AJ132" s="139">
        <f>+_xlfn.XLOOKUP(PROYECTOS[[#This Row],[MUNICIPIO]],'4.CAP_ENDMNT'!B:B,'4.CAP_ENDMNT'!Y:Y,0,0,1)</f>
        <v>-1514260574754.7859</v>
      </c>
      <c r="AK132"/>
      <c r="AL132"/>
      <c r="AM132"/>
    </row>
    <row r="133" spans="1:39">
      <c r="A133" s="44">
        <v>142</v>
      </c>
      <c r="B133" s="37" t="s">
        <v>1567</v>
      </c>
      <c r="C133" s="118">
        <f>+_xlfn.XLOOKUP(PROYECTOS[[#This Row],[ID_NECESIDAD]],'1.RADICADOS'!G:G,'1.RADICADOS'!C:C,0,0,1)*1</f>
        <v>45577</v>
      </c>
      <c r="D133" s="46" t="s">
        <v>214</v>
      </c>
      <c r="E133" s="47" t="str">
        <f>+_xlfn.XLOOKUP(PROYECTOS[[#This Row],[MUNICIPIO]],MUNICIPIOS!A:A,MUNICIPIOS!E:E,0,0,1)</f>
        <v>Occidente</v>
      </c>
      <c r="F133" s="44">
        <f>+_xlfn.XLOOKUP(PROYECTOS[[#This Row],[MUNICIPIO]],MUNICIPIOS!A:A,MUNICIPIOS!F:F,0,0,1)</f>
        <v>-75.812837999999999</v>
      </c>
      <c r="G133" s="44" t="str">
        <f>+_xlfn.XLOOKUP(PROYECTOS[[#This Row],[MUNICIPIO]],MUNICIPIOS!A:A,MUNICIPIOS!G:G,0,0,1)</f>
        <v>6,677316</v>
      </c>
      <c r="H133" s="44">
        <f>+_xlfn.XLOOKUP(PROYECTOS[[#This Row],[MUNICIPIO]],MUNICIPIOS!A:A,MUNICIPIOS!B:B,0,0,1)</f>
        <v>0</v>
      </c>
      <c r="I133" s="44">
        <f>+_xlfn.XLOOKUP(PROYECTOS[[#This Row],[MUNICIPIO]],MUNICIPIOS!A:A,MUNICIPIOS!C:C,0,0,1)</f>
        <v>0</v>
      </c>
      <c r="J133" s="3" t="str" cm="1">
        <f t="array" ref="J133">_xlfn.TEXTJOIN(" ", TRUE, IF(radicados[ID PROYECTOS]=A133, radicados[RADICADO], ""))</f>
        <v>2024010596746 2024010596745</v>
      </c>
      <c r="K133" s="45">
        <v>1</v>
      </c>
      <c r="L133" s="48"/>
      <c r="M133" s="34" t="s">
        <v>288</v>
      </c>
      <c r="N133" s="34" t="s">
        <v>398</v>
      </c>
      <c r="O133" s="34" t="s">
        <v>25</v>
      </c>
      <c r="P133" s="37" t="s">
        <v>1144</v>
      </c>
      <c r="Q133" s="45"/>
      <c r="R133" s="43"/>
      <c r="S133" s="43"/>
      <c r="T133" s="44">
        <f>+_xlfn.XLOOKUP(PROYECTOS[[#This Row],[MUNICIPIO]],'4.CAP_ENDMNT'!B:B,'4.CAP_ENDMNT'!C:C,0,0,1)</f>
        <v>6</v>
      </c>
      <c r="U133" s="139">
        <f>+_xlfn.XLOOKUP(PROYECTOS[[#This Row],[MUNICIPIO]],'4.CAP_ENDMNT'!B:B,'4.CAP_ENDMNT'!D:D,0,0,1)</f>
        <v>8030428413.9210014</v>
      </c>
      <c r="V133" s="140">
        <f>+_xlfn.XLOOKUP(PROYECTOS[[#This Row],[MUNICIPIO]],'4.CAP_ENDMNT'!B:B,'4.CAP_ENDMNT'!E:E,0,0,1)</f>
        <v>3080588699.4500003</v>
      </c>
      <c r="W133" s="140">
        <f>+_xlfn.XLOOKUP(PROYECTOS[[#This Row],[MUNICIPIO]],'4.CAP_ENDMNT'!B:B,'4.CAP_ENDMNT'!F:F,0,0,1)</f>
        <v>4949839714.4710007</v>
      </c>
      <c r="X133" s="140">
        <f>+_xlfn.XLOOKUP(PROYECTOS[[#This Row],[MUNICIPIO]],'4.CAP_ENDMNT'!B:B,'4.CAP_ENDMNT'!G:G,0,0,1)</f>
        <v>1577607418.01</v>
      </c>
      <c r="Y133" s="140">
        <f>+_xlfn.XLOOKUP(PROYECTOS[[#This Row],[MUNICIPIO]],'4.CAP_ENDMNT'!B:B,'4.CAP_ENDMNT'!H:H,0,0,1)</f>
        <v>1800000000</v>
      </c>
      <c r="Z133" s="140">
        <f>+_xlfn.XLOOKUP(PROYECTOS[[#This Row],[MUNICIPIO]],'4.CAP_ENDMNT'!B:B,'4.CAP_ENDMNT'!I:I,0,0,1)</f>
        <v>3377607418.0100002</v>
      </c>
      <c r="AA133" s="134">
        <f>+_xlfn.XLOOKUP(PROYECTOS[[#This Row],[MUNICIPIO]],'4.CAP_ENDMNT'!B:B,'4.CAP_ENDMNT'!J:J,0,0,1)</f>
        <v>0.42060114901900014</v>
      </c>
      <c r="AB133" s="140">
        <f>+_xlfn.XLOOKUP(PROYECTOS[[#This Row],[MUNICIPIO]],'4.CAP_ENDMNT'!B:B,'4.CAP_ENDMNT'!K:K,0,0,1)</f>
        <v>4652820995.9110012</v>
      </c>
      <c r="AC133" s="140">
        <f>+_xlfn.XLOOKUP(PROYECTOS[[#This Row],[MUNICIPIO]],'4.CAP_ENDMNT'!B:B,'4.CAP_ENDMNT'!L:L,0,0,1)</f>
        <v>3722256796.7288013</v>
      </c>
      <c r="AD133" s="140">
        <f>+_xlfn.XLOOKUP(PROYECTOS[[#This Row],[MUNICIPIO]],'4.CAP_ENDMNT'!B:B,'4.CAP_ENDMNT'!M:M,0,0,1)</f>
        <v>2791692597.5466008</v>
      </c>
      <c r="AE133" s="134">
        <f>+_xlfn.XLOOKUP(PROYECTOS[[#This Row],[MUNICIPIO]],'4.CAP_ENDMNT'!B:B,'4.CAP_ENDMNT'!N:N,0,0,1)</f>
        <v>0.46707838501239612</v>
      </c>
      <c r="AF133" s="134">
        <f>+_xlfn.XLOOKUP(PROYECTOS[[#This Row],[MUNICIPIO]],'4.CAP_ENDMNT'!B:B,'4.CAP_ENDMNT'!O:O,0,0,1)</f>
        <v>0.73590701114566914</v>
      </c>
      <c r="AG133" s="134">
        <f>+_xlfn.XLOOKUP(PROYECTOS[[#This Row],[MUNICIPIO]],'4.CAP_ENDMNT'!B:B,'4.CAP_ENDMNT'!P:P,0,0,1)</f>
        <v>0.8</v>
      </c>
      <c r="AH133" s="44" t="str">
        <f>+_xlfn.XLOOKUP(PROYECTOS[[#This Row],[MUNICIPIO]],'4.CAP_ENDMNT'!B:B,'4.CAP_ENDMNT'!Q:Q,0,0,1)</f>
        <v>Cumple</v>
      </c>
      <c r="AI133" s="139">
        <f>+_xlfn.XLOOKUP(PROYECTOS[[#This Row],[MUNICIPIO]],'4.CAP_ENDMNT'!B:B,'4.CAP_ENDMNT'!V:V,0,0,1)</f>
        <v>558338519.50932014</v>
      </c>
      <c r="AJ133" s="139">
        <f>+_xlfn.XLOOKUP(PROYECTOS[[#This Row],[MUNICIPIO]],'4.CAP_ENDMNT'!B:B,'4.CAP_ENDMNT'!Y:Y,0,0,1)</f>
        <v>-4580433251.9440784</v>
      </c>
      <c r="AK133"/>
      <c r="AL133"/>
      <c r="AM133"/>
    </row>
    <row r="134" spans="1:39">
      <c r="A134" s="44">
        <v>144</v>
      </c>
      <c r="B134" s="37" t="s">
        <v>430</v>
      </c>
      <c r="C134" s="118">
        <f>+_xlfn.XLOOKUP(PROYECTOS[[#This Row],[ID_NECESIDAD]],'1.RADICADOS'!G:G,'1.RADICADOS'!C:C,0,0,1)*1</f>
        <v>45644</v>
      </c>
      <c r="D134" s="46" t="s">
        <v>120</v>
      </c>
      <c r="E134" s="47" t="str">
        <f>+_xlfn.XLOOKUP(PROYECTOS[[#This Row],[MUNICIPIO]],MUNICIPIOS!A:A,MUNICIPIOS!E:E,0,0,1)</f>
        <v>Norte</v>
      </c>
      <c r="F134" s="44">
        <f>+_xlfn.XLOOKUP(PROYECTOS[[#This Row],[MUNICIPIO]],MUNICIPIOS!A:A,MUNICIPIOS!F:F,0,0,1)</f>
        <v>-75.418828000000005</v>
      </c>
      <c r="G134" s="44">
        <f>+_xlfn.XLOOKUP(PROYECTOS[[#This Row],[MUNICIPIO]],MUNICIPIOS!A:A,MUNICIPIOS!G:G,0,0,1)</f>
        <v>6.963832</v>
      </c>
      <c r="H134" s="44">
        <f>+_xlfn.XLOOKUP(PROYECTOS[[#This Row],[MUNICIPIO]],MUNICIPIOS!A:A,MUNICIPIOS!B:B,0,0,1)</f>
        <v>0</v>
      </c>
      <c r="I134" s="44">
        <f>+_xlfn.XLOOKUP(PROYECTOS[[#This Row],[MUNICIPIO]],MUNICIPIOS!A:A,MUNICIPIOS!C:C,0,0,1)</f>
        <v>1</v>
      </c>
      <c r="J134" s="3" t="str" cm="1">
        <f t="array" ref="J134">_xlfn.TEXTJOIN(" ", TRUE, IF(radicados[ID PROYECTOS]=A134, radicados[RADICADO], ""))</f>
        <v>2025010011836</v>
      </c>
      <c r="K134" s="45">
        <v>3</v>
      </c>
      <c r="L134" s="48">
        <v>5541310263</v>
      </c>
      <c r="M134" s="34" t="s">
        <v>288</v>
      </c>
      <c r="N134" s="40" t="s">
        <v>398</v>
      </c>
      <c r="O134" s="40" t="s">
        <v>25</v>
      </c>
      <c r="P134" s="37"/>
      <c r="Q134" s="45"/>
      <c r="R134" s="43"/>
      <c r="S134" s="43"/>
      <c r="T134" s="44">
        <f>+_xlfn.XLOOKUP(PROYECTOS[[#This Row],[MUNICIPIO]],'4.CAP_ENDMNT'!B:B,'4.CAP_ENDMNT'!C:C,0,0,1)</f>
        <v>5</v>
      </c>
      <c r="U134" s="139">
        <f>+_xlfn.XLOOKUP(PROYECTOS[[#This Row],[MUNICIPIO]],'4.CAP_ENDMNT'!B:B,'4.CAP_ENDMNT'!D:D,0,0,1)</f>
        <v>36204719778.619003</v>
      </c>
      <c r="V134" s="140">
        <f>+_xlfn.XLOOKUP(PROYECTOS[[#This Row],[MUNICIPIO]],'4.CAP_ENDMNT'!B:B,'4.CAP_ENDMNT'!E:E,0,0,1)</f>
        <v>11082623753.610001</v>
      </c>
      <c r="W134" s="140">
        <f>+_xlfn.XLOOKUP(PROYECTOS[[#This Row],[MUNICIPIO]],'4.CAP_ENDMNT'!B:B,'4.CAP_ENDMNT'!F:F,0,0,1)</f>
        <v>25122096025.009003</v>
      </c>
      <c r="X134" s="140">
        <f>+_xlfn.XLOOKUP(PROYECTOS[[#This Row],[MUNICIPIO]],'4.CAP_ENDMNT'!B:B,'4.CAP_ENDMNT'!G:G,0,0,1)</f>
        <v>1291156679</v>
      </c>
      <c r="Y134" s="140">
        <f>+_xlfn.XLOOKUP(PROYECTOS[[#This Row],[MUNICIPIO]],'4.CAP_ENDMNT'!B:B,'4.CAP_ENDMNT'!H:H,0,0,1)</f>
        <v>12320355879.07</v>
      </c>
      <c r="Z134" s="140">
        <f>+_xlfn.XLOOKUP(PROYECTOS[[#This Row],[MUNICIPIO]],'4.CAP_ENDMNT'!B:B,'4.CAP_ENDMNT'!I:I,0,0,1)</f>
        <v>13611512558.07</v>
      </c>
      <c r="AA134" s="134">
        <f>+_xlfn.XLOOKUP(PROYECTOS[[#This Row],[MUNICIPIO]],'4.CAP_ENDMNT'!B:B,'4.CAP_ENDMNT'!J:J,0,0,1)</f>
        <v>0.37595961635113639</v>
      </c>
      <c r="AB134" s="140">
        <f>+_xlfn.XLOOKUP(PROYECTOS[[#This Row],[MUNICIPIO]],'4.CAP_ENDMNT'!B:B,'4.CAP_ENDMNT'!K:K,0,0,1)</f>
        <v>22593207220.549004</v>
      </c>
      <c r="AC134" s="140">
        <f>+_xlfn.XLOOKUP(PROYECTOS[[#This Row],[MUNICIPIO]],'4.CAP_ENDMNT'!B:B,'4.CAP_ENDMNT'!L:L,0,0,1)</f>
        <v>18074565776.439205</v>
      </c>
      <c r="AD134" s="140">
        <f>+_xlfn.XLOOKUP(PROYECTOS[[#This Row],[MUNICIPIO]],'4.CAP_ENDMNT'!B:B,'4.CAP_ENDMNT'!M:M,0,0,1)</f>
        <v>13555924332.329401</v>
      </c>
      <c r="AE134" s="134">
        <f>+_xlfn.XLOOKUP(PROYECTOS[[#This Row],[MUNICIPIO]],'4.CAP_ENDMNT'!B:B,'4.CAP_ENDMNT'!N:N,0,0,1)</f>
        <v>9.4857692963336279E-2</v>
      </c>
      <c r="AF134" s="134">
        <f>+_xlfn.XLOOKUP(PROYECTOS[[#This Row],[MUNICIPIO]],'4.CAP_ENDMNT'!B:B,'4.CAP_ENDMNT'!O:O,0,0,1)</f>
        <v>0.39053077044629697</v>
      </c>
      <c r="AG134" s="134">
        <f>+_xlfn.XLOOKUP(PROYECTOS[[#This Row],[MUNICIPIO]],'4.CAP_ENDMNT'!B:B,'4.CAP_ENDMNT'!P:P,0,0,1)</f>
        <v>0.8</v>
      </c>
      <c r="AH134" s="44" t="str">
        <f>+_xlfn.XLOOKUP(PROYECTOS[[#This Row],[MUNICIPIO]],'4.CAP_ENDMNT'!B:B,'4.CAP_ENDMNT'!Q:Q,0,0,1)</f>
        <v>Cumple</v>
      </c>
      <c r="AI134" s="139">
        <f>+_xlfn.XLOOKUP(PROYECTOS[[#This Row],[MUNICIPIO]],'4.CAP_ENDMNT'!B:B,'4.CAP_ENDMNT'!V:V,0,0,1)</f>
        <v>2711184866.4658804</v>
      </c>
      <c r="AJ134" s="139">
        <f>+_xlfn.XLOOKUP(PROYECTOS[[#This Row],[MUNICIPIO]],'4.CAP_ENDMNT'!B:B,'4.CAP_ENDMNT'!Y:Y,0,0,1)</f>
        <v>-192411827505.20471</v>
      </c>
      <c r="AK134"/>
      <c r="AL134"/>
      <c r="AM134"/>
    </row>
    <row r="135" spans="1:39">
      <c r="A135" s="44">
        <v>145</v>
      </c>
      <c r="B135" s="37" t="s">
        <v>269</v>
      </c>
      <c r="C135" s="118">
        <f>+_xlfn.XLOOKUP(PROYECTOS[[#This Row],[ID_NECESIDAD]],'1.RADICADOS'!G:G,'1.RADICADOS'!C:C,0,0,1)*1</f>
        <v>45599</v>
      </c>
      <c r="D135" s="46" t="s">
        <v>323</v>
      </c>
      <c r="E135" s="47" t="str">
        <f>+_xlfn.XLOOKUP(PROYECTOS[[#This Row],[MUNICIPIO]],MUNICIPIOS!A:A,MUNICIPIOS!E:E,0,0,1)</f>
        <v>Oriente</v>
      </c>
      <c r="F135" s="44">
        <f>+_xlfn.XLOOKUP(PROYECTOS[[#This Row],[MUNICIPIO]],MUNICIPIOS!A:A,MUNICIPIOS!F:F,0,0,1)</f>
        <v>-75.501300999999998</v>
      </c>
      <c r="G135" s="44" t="str">
        <f>+_xlfn.XLOOKUP(PROYECTOS[[#This Row],[MUNICIPIO]],MUNICIPIOS!A:A,MUNICIPIOS!G:G,0,0,1)</f>
        <v>6,062454</v>
      </c>
      <c r="H135" s="44">
        <f>+_xlfn.XLOOKUP(PROYECTOS[[#This Row],[MUNICIPIO]],MUNICIPIOS!A:A,MUNICIPIOS!B:B,0,0,1)</f>
        <v>0</v>
      </c>
      <c r="I135" s="44">
        <f>+_xlfn.XLOOKUP(PROYECTOS[[#This Row],[MUNICIPIO]],MUNICIPIOS!A:A,MUNICIPIOS!C:C,0,0,1)</f>
        <v>0</v>
      </c>
      <c r="J135" s="3" t="str" cm="1">
        <f t="array" ref="J135">_xlfn.TEXTJOIN(" ", TRUE, IF(radicados[ID PROYECTOS]=A135, radicados[RADICADO], ""))</f>
        <v>2024010110440 2024010518216</v>
      </c>
      <c r="K135" s="45">
        <v>3</v>
      </c>
      <c r="L135" s="48">
        <v>21621443440</v>
      </c>
      <c r="M135" s="34" t="s">
        <v>392</v>
      </c>
      <c r="N135" s="40" t="s">
        <v>1079</v>
      </c>
      <c r="O135" s="40" t="s">
        <v>7</v>
      </c>
      <c r="P135" s="37"/>
      <c r="Q135" s="45"/>
      <c r="R135" s="43"/>
      <c r="S135" s="43"/>
      <c r="T135" s="44">
        <f>+_xlfn.XLOOKUP(PROYECTOS[[#This Row],[MUNICIPIO]],'4.CAP_ENDMNT'!B:B,'4.CAP_ENDMNT'!C:C,0,0,1)</f>
        <v>3</v>
      </c>
      <c r="U135" s="139">
        <f>+_xlfn.XLOOKUP(PROYECTOS[[#This Row],[MUNICIPIO]],'4.CAP_ENDMNT'!B:B,'4.CAP_ENDMNT'!D:D,0,0,1)</f>
        <v>69187005609.695007</v>
      </c>
      <c r="V135" s="140">
        <f>+_xlfn.XLOOKUP(PROYECTOS[[#This Row],[MUNICIPIO]],'4.CAP_ENDMNT'!B:B,'4.CAP_ENDMNT'!E:E,0,0,1)</f>
        <v>24929217109.209999</v>
      </c>
      <c r="W135" s="140">
        <f>+_xlfn.XLOOKUP(PROYECTOS[[#This Row],[MUNICIPIO]],'4.CAP_ENDMNT'!B:B,'4.CAP_ENDMNT'!F:F,0,0,1)</f>
        <v>44257788500.485008</v>
      </c>
      <c r="X135" s="140">
        <f>+_xlfn.XLOOKUP(PROYECTOS[[#This Row],[MUNICIPIO]],'4.CAP_ENDMNT'!B:B,'4.CAP_ENDMNT'!G:G,0,0,1)</f>
        <v>0</v>
      </c>
      <c r="Y135" s="140">
        <f>+_xlfn.XLOOKUP(PROYECTOS[[#This Row],[MUNICIPIO]],'4.CAP_ENDMNT'!B:B,'4.CAP_ENDMNT'!H:H,0,0,1)</f>
        <v>0</v>
      </c>
      <c r="Z135" s="140">
        <f>+_xlfn.XLOOKUP(PROYECTOS[[#This Row],[MUNICIPIO]],'4.CAP_ENDMNT'!B:B,'4.CAP_ENDMNT'!I:I,0,0,1)</f>
        <v>0</v>
      </c>
      <c r="AA135" s="134">
        <f>+_xlfn.XLOOKUP(PROYECTOS[[#This Row],[MUNICIPIO]],'4.CAP_ENDMNT'!B:B,'4.CAP_ENDMNT'!J:J,0,0,1)</f>
        <v>0</v>
      </c>
      <c r="AB135" s="140">
        <f>+_xlfn.XLOOKUP(PROYECTOS[[#This Row],[MUNICIPIO]],'4.CAP_ENDMNT'!B:B,'4.CAP_ENDMNT'!K:K,0,0,1)</f>
        <v>69187005609.695007</v>
      </c>
      <c r="AC135" s="140">
        <f>+_xlfn.XLOOKUP(PROYECTOS[[#This Row],[MUNICIPIO]],'4.CAP_ENDMNT'!B:B,'4.CAP_ENDMNT'!L:L,0,0,1)</f>
        <v>55349604487.756012</v>
      </c>
      <c r="AD135" s="140">
        <f>+_xlfn.XLOOKUP(PROYECTOS[[#This Row],[MUNICIPIO]],'4.CAP_ENDMNT'!B:B,'4.CAP_ENDMNT'!M:M,0,0,1)</f>
        <v>41512203365.817001</v>
      </c>
      <c r="AE135" s="134">
        <f>+_xlfn.XLOOKUP(PROYECTOS[[#This Row],[MUNICIPIO]],'4.CAP_ENDMNT'!B:B,'4.CAP_ENDMNT'!N:N,0,0,1)</f>
        <v>0</v>
      </c>
      <c r="AF135" s="134">
        <f>+_xlfn.XLOOKUP(PROYECTOS[[#This Row],[MUNICIPIO]],'4.CAP_ENDMNT'!B:B,'4.CAP_ENDMNT'!O:O,0,0,1)</f>
        <v>0.36680132048521774</v>
      </c>
      <c r="AG135" s="134">
        <f>+_xlfn.XLOOKUP(PROYECTOS[[#This Row],[MUNICIPIO]],'4.CAP_ENDMNT'!B:B,'4.CAP_ENDMNT'!P:P,0,0,1)</f>
        <v>0.7</v>
      </c>
      <c r="AH135" s="44" t="str">
        <f>+_xlfn.XLOOKUP(PROYECTOS[[#This Row],[MUNICIPIO]],'4.CAP_ENDMNT'!B:B,'4.CAP_ENDMNT'!Q:Q,0,0,1)</f>
        <v>Cumple</v>
      </c>
      <c r="AI135" s="139">
        <f>+_xlfn.XLOOKUP(PROYECTOS[[#This Row],[MUNICIPIO]],'4.CAP_ENDMNT'!B:B,'4.CAP_ENDMNT'!V:V,0,0,1)</f>
        <v>8302440673.1634007</v>
      </c>
      <c r="AJ135" s="139">
        <f>+_xlfn.XLOOKUP(PROYECTOS[[#This Row],[MUNICIPIO]],'4.CAP_ENDMNT'!B:B,'4.CAP_ENDMNT'!Y:Y,0,0,1)</f>
        <v>9066808020.9804001</v>
      </c>
      <c r="AK135"/>
      <c r="AL135"/>
      <c r="AM135"/>
    </row>
    <row r="136" spans="1:39">
      <c r="A136" s="44">
        <v>146</v>
      </c>
      <c r="B136" s="37" t="s">
        <v>271</v>
      </c>
      <c r="C136" s="118">
        <f>+_xlfn.XLOOKUP(PROYECTOS[[#This Row],[ID_NECESIDAD]],'1.RADICADOS'!G:G,'1.RADICADOS'!C:C,0,0,1)*1</f>
        <v>45394</v>
      </c>
      <c r="D136" s="46" t="s">
        <v>270</v>
      </c>
      <c r="E136" s="47" t="str">
        <f>+_xlfn.XLOOKUP(PROYECTOS[[#This Row],[MUNICIPIO]],MUNICIPIOS!A:A,MUNICIPIOS!E:E,0,0,1)</f>
        <v>Oriente</v>
      </c>
      <c r="F136" s="44">
        <f>+_xlfn.XLOOKUP(PROYECTOS[[#This Row],[MUNICIPIO]],MUNICIPIOS!A:A,MUNICIPIOS!F:F,0,0,1)</f>
        <v>-74.993618999999995</v>
      </c>
      <c r="G136" s="44" t="str">
        <f>+_xlfn.XLOOKUP(PROYECTOS[[#This Row],[MUNICIPIO]],MUNICIPIOS!A:A,MUNICIPIOS!G:G,0,0,1)</f>
        <v>6,043017</v>
      </c>
      <c r="H136" s="44">
        <f>+_xlfn.XLOOKUP(PROYECTOS[[#This Row],[MUNICIPIO]],MUNICIPIOS!A:A,MUNICIPIOS!B:B,0,0,1)</f>
        <v>0</v>
      </c>
      <c r="I136" s="44">
        <f>+_xlfn.XLOOKUP(PROYECTOS[[#This Row],[MUNICIPIO]],MUNICIPIOS!A:A,MUNICIPIOS!C:C,0,0,1)</f>
        <v>1</v>
      </c>
      <c r="J136" s="3" t="str" cm="1">
        <f t="array" ref="J136">_xlfn.TEXTJOIN(" ", TRUE, IF(radicados[ID PROYECTOS]=A136, radicados[RADICADO], ""))</f>
        <v>2025010002774</v>
      </c>
      <c r="K136" s="45">
        <v>3</v>
      </c>
      <c r="L136" s="48">
        <v>78158511470</v>
      </c>
      <c r="M136" s="34" t="s">
        <v>396</v>
      </c>
      <c r="N136" s="40" t="s">
        <v>398</v>
      </c>
      <c r="O136" s="40" t="s">
        <v>25</v>
      </c>
      <c r="P136" s="37"/>
      <c r="Q136" s="45"/>
      <c r="R136" s="43"/>
      <c r="S136" s="43"/>
      <c r="T136" s="44">
        <f>+_xlfn.XLOOKUP(PROYECTOS[[#This Row],[MUNICIPIO]],'4.CAP_ENDMNT'!B:B,'4.CAP_ENDMNT'!C:C,0,0,1)</f>
        <v>6</v>
      </c>
      <c r="U136" s="139">
        <f>+_xlfn.XLOOKUP(PROYECTOS[[#This Row],[MUNICIPIO]],'4.CAP_ENDMNT'!B:B,'4.CAP_ENDMNT'!D:D,0,0,1)</f>
        <v>10860999220.161499</v>
      </c>
      <c r="V136" s="140">
        <f>+_xlfn.XLOOKUP(PROYECTOS[[#This Row],[MUNICIPIO]],'4.CAP_ENDMNT'!B:B,'4.CAP_ENDMNT'!E:E,0,0,1)</f>
        <v>3903981787.4000001</v>
      </c>
      <c r="W136" s="140">
        <f>+_xlfn.XLOOKUP(PROYECTOS[[#This Row],[MUNICIPIO]],'4.CAP_ENDMNT'!B:B,'4.CAP_ENDMNT'!F:F,0,0,1)</f>
        <v>6957017432.7614994</v>
      </c>
      <c r="X136" s="140">
        <f>+_xlfn.XLOOKUP(PROYECTOS[[#This Row],[MUNICIPIO]],'4.CAP_ENDMNT'!B:B,'4.CAP_ENDMNT'!G:G,0,0,1)</f>
        <v>1425530293</v>
      </c>
      <c r="Y136" s="140">
        <f>+_xlfn.XLOOKUP(PROYECTOS[[#This Row],[MUNICIPIO]],'4.CAP_ENDMNT'!B:B,'4.CAP_ENDMNT'!H:H,0,0,1)</f>
        <v>0</v>
      </c>
      <c r="Z136" s="140">
        <f>+_xlfn.XLOOKUP(PROYECTOS[[#This Row],[MUNICIPIO]],'4.CAP_ENDMNT'!B:B,'4.CAP_ENDMNT'!I:I,0,0,1)</f>
        <v>1425530293</v>
      </c>
      <c r="AA136" s="134">
        <f>+_xlfn.XLOOKUP(PROYECTOS[[#This Row],[MUNICIPIO]],'4.CAP_ENDMNT'!B:B,'4.CAP_ENDMNT'!J:J,0,0,1)</f>
        <v>0.13125222312453153</v>
      </c>
      <c r="AB136" s="140">
        <f>+_xlfn.XLOOKUP(PROYECTOS[[#This Row],[MUNICIPIO]],'4.CAP_ENDMNT'!B:B,'4.CAP_ENDMNT'!K:K,0,0,1)</f>
        <v>9435468927.161499</v>
      </c>
      <c r="AC136" s="140">
        <f>+_xlfn.XLOOKUP(PROYECTOS[[#This Row],[MUNICIPIO]],'4.CAP_ENDMNT'!B:B,'4.CAP_ENDMNT'!L:L,0,0,1)</f>
        <v>7548375141.7291994</v>
      </c>
      <c r="AD136" s="140">
        <f>+_xlfn.XLOOKUP(PROYECTOS[[#This Row],[MUNICIPIO]],'4.CAP_ENDMNT'!B:B,'4.CAP_ENDMNT'!M:M,0,0,1)</f>
        <v>5661281356.2968988</v>
      </c>
      <c r="AE136" s="134">
        <f>+_xlfn.XLOOKUP(PROYECTOS[[#This Row],[MUNICIPIO]],'4.CAP_ENDMNT'!B:B,'4.CAP_ENDMNT'!N:N,0,0,1)</f>
        <v>1</v>
      </c>
      <c r="AF136" s="134">
        <f>+_xlfn.XLOOKUP(PROYECTOS[[#This Row],[MUNICIPIO]],'4.CAP_ENDMNT'!B:B,'4.CAP_ENDMNT'!O:O,0,0,1)</f>
        <v>0.63270124114427018</v>
      </c>
      <c r="AG136" s="134">
        <f>+_xlfn.XLOOKUP(PROYECTOS[[#This Row],[MUNICIPIO]],'4.CAP_ENDMNT'!B:B,'4.CAP_ENDMNT'!P:P,0,0,1)</f>
        <v>0.8</v>
      </c>
      <c r="AH136" s="44" t="str">
        <f>+_xlfn.XLOOKUP(PROYECTOS[[#This Row],[MUNICIPIO]],'4.CAP_ENDMNT'!B:B,'4.CAP_ENDMNT'!Q:Q,0,0,1)</f>
        <v>Cumple</v>
      </c>
      <c r="AI136" s="139">
        <f>+_xlfn.XLOOKUP(PROYECTOS[[#This Row],[MUNICIPIO]],'4.CAP_ENDMNT'!B:B,'4.CAP_ENDMNT'!V:V,0,0,1)</f>
        <v>1132256271.2593799</v>
      </c>
      <c r="AJ136" s="139">
        <f>+_xlfn.XLOOKUP(PROYECTOS[[#This Row],[MUNICIPIO]],'4.CAP_ENDMNT'!B:B,'4.CAP_ENDMNT'!Y:Y,0,0,1)</f>
        <v>-72218731181.443726</v>
      </c>
      <c r="AK136"/>
      <c r="AL136"/>
      <c r="AM136"/>
    </row>
    <row r="137" spans="1:39">
      <c r="A137" s="44">
        <v>147</v>
      </c>
      <c r="B137" s="37" t="s">
        <v>274</v>
      </c>
      <c r="C137" s="118">
        <f>+_xlfn.XLOOKUP(PROYECTOS[[#This Row],[ID_NECESIDAD]],'1.RADICADOS'!G:G,'1.RADICADOS'!C:C,0,0,1)*1</f>
        <v>45609</v>
      </c>
      <c r="D137" s="46" t="s">
        <v>273</v>
      </c>
      <c r="E137" s="47" t="str">
        <f>+_xlfn.XLOOKUP(PROYECTOS[[#This Row],[MUNICIPIO]],MUNICIPIOS!A:A,MUNICIPIOS!E:E,0,0,1)</f>
        <v>Occidente</v>
      </c>
      <c r="F137" s="44">
        <f>+_xlfn.XLOOKUP(PROYECTOS[[#This Row],[MUNICIPIO]],MUNICIPIOS!A:A,MUNICIPIOS!F:F,0,0,1)</f>
        <v>-75.811773000000002</v>
      </c>
      <c r="G137" s="44" t="str">
        <f>+_xlfn.XLOOKUP(PROYECTOS[[#This Row],[MUNICIPIO]],MUNICIPIOS!A:A,MUNICIPIOS!G:G,0,0,1)</f>
        <v>6,626492</v>
      </c>
      <c r="H137" s="44">
        <f>+_xlfn.XLOOKUP(PROYECTOS[[#This Row],[MUNICIPIO]],MUNICIPIOS!A:A,MUNICIPIOS!B:B,0,0,1)</f>
        <v>0</v>
      </c>
      <c r="I137" s="44">
        <f>+_xlfn.XLOOKUP(PROYECTOS[[#This Row],[MUNICIPIO]],MUNICIPIOS!A:A,MUNICIPIOS!C:C,0,0,1)</f>
        <v>0</v>
      </c>
      <c r="J137" s="3" t="str" cm="1">
        <f t="array" ref="J137">_xlfn.TEXTJOIN(" ", TRUE, IF(radicados[ID PROYECTOS]=A137, radicados[RADICADO], ""))</f>
        <v>2025010013911</v>
      </c>
      <c r="K137" s="45">
        <v>3</v>
      </c>
      <c r="L137" s="48">
        <v>4297876107</v>
      </c>
      <c r="M137" s="34" t="s">
        <v>396</v>
      </c>
      <c r="N137" s="34" t="s">
        <v>398</v>
      </c>
      <c r="O137" s="34" t="s">
        <v>25</v>
      </c>
      <c r="P137" s="37"/>
      <c r="Q137" s="45"/>
      <c r="R137" s="43"/>
      <c r="S137" s="43"/>
      <c r="T137" s="44">
        <f>+_xlfn.XLOOKUP(PROYECTOS[[#This Row],[MUNICIPIO]],'4.CAP_ENDMNT'!B:B,'4.CAP_ENDMNT'!C:C,0,0,1)</f>
        <v>6</v>
      </c>
      <c r="U137" s="139">
        <f>+_xlfn.XLOOKUP(PROYECTOS[[#This Row],[MUNICIPIO]],'4.CAP_ENDMNT'!B:B,'4.CAP_ENDMNT'!D:D,0,0,1)</f>
        <v>4127448900.7750001</v>
      </c>
      <c r="V137" s="140">
        <f>+_xlfn.XLOOKUP(PROYECTOS[[#This Row],[MUNICIPIO]],'4.CAP_ENDMNT'!B:B,'4.CAP_ENDMNT'!E:E,0,0,1)</f>
        <v>1679484660.96</v>
      </c>
      <c r="W137" s="140">
        <f>+_xlfn.XLOOKUP(PROYECTOS[[#This Row],[MUNICIPIO]],'4.CAP_ENDMNT'!B:B,'4.CAP_ENDMNT'!F:F,0,0,1)</f>
        <v>2447964239.8150001</v>
      </c>
      <c r="X137" s="140">
        <f>+_xlfn.XLOOKUP(PROYECTOS[[#This Row],[MUNICIPIO]],'4.CAP_ENDMNT'!B:B,'4.CAP_ENDMNT'!G:G,0,0,1)</f>
        <v>2175868693</v>
      </c>
      <c r="Y137" s="140">
        <f>+_xlfn.XLOOKUP(PROYECTOS[[#This Row],[MUNICIPIO]],'4.CAP_ENDMNT'!B:B,'4.CAP_ENDMNT'!H:H,0,0,1)</f>
        <v>0</v>
      </c>
      <c r="Z137" s="140">
        <f>+_xlfn.XLOOKUP(PROYECTOS[[#This Row],[MUNICIPIO]],'4.CAP_ENDMNT'!B:B,'4.CAP_ENDMNT'!I:I,0,0,1)</f>
        <v>2175868693</v>
      </c>
      <c r="AA137" s="134">
        <f>+_xlfn.XLOOKUP(PROYECTOS[[#This Row],[MUNICIPIO]],'4.CAP_ENDMNT'!B:B,'4.CAP_ENDMNT'!J:J,0,0,1)</f>
        <v>0.52717035275504998</v>
      </c>
      <c r="AB137" s="140">
        <f>+_xlfn.XLOOKUP(PROYECTOS[[#This Row],[MUNICIPIO]],'4.CAP_ENDMNT'!B:B,'4.CAP_ENDMNT'!K:K,0,0,1)</f>
        <v>1951580207.7750001</v>
      </c>
      <c r="AC137" s="140">
        <f>+_xlfn.XLOOKUP(PROYECTOS[[#This Row],[MUNICIPIO]],'4.CAP_ENDMNT'!B:B,'4.CAP_ENDMNT'!L:L,0,0,1)</f>
        <v>1561264166.2200003</v>
      </c>
      <c r="AD137" s="140">
        <f>+_xlfn.XLOOKUP(PROYECTOS[[#This Row],[MUNICIPIO]],'4.CAP_ENDMNT'!B:B,'4.CAP_ENDMNT'!M:M,0,0,1)</f>
        <v>1170948124.665</v>
      </c>
      <c r="AE137" s="134">
        <f>+_xlfn.XLOOKUP(PROYECTOS[[#This Row],[MUNICIPIO]],'4.CAP_ENDMNT'!B:B,'4.CAP_ENDMNT'!N:N,0,0,1)</f>
        <v>1</v>
      </c>
      <c r="AF137" s="134">
        <f>+_xlfn.XLOOKUP(PROYECTOS[[#This Row],[MUNICIPIO]],'4.CAP_ENDMNT'!B:B,'4.CAP_ENDMNT'!O:O,0,0,1)</f>
        <v>0.89586302238809568</v>
      </c>
      <c r="AG137" s="134">
        <f>+_xlfn.XLOOKUP(PROYECTOS[[#This Row],[MUNICIPIO]],'4.CAP_ENDMNT'!B:B,'4.CAP_ENDMNT'!P:P,0,0,1)</f>
        <v>0.8</v>
      </c>
      <c r="AH137" s="44" t="str">
        <f>+_xlfn.XLOOKUP(PROYECTOS[[#This Row],[MUNICIPIO]],'4.CAP_ENDMNT'!B:B,'4.CAP_ENDMNT'!Q:Q,0,0,1)</f>
        <v>Incumple</v>
      </c>
      <c r="AI137" s="139">
        <f>+_xlfn.XLOOKUP(PROYECTOS[[#This Row],[MUNICIPIO]],'4.CAP_ENDMNT'!B:B,'4.CAP_ENDMNT'!V:V,0,0,1)</f>
        <v>234189624.933</v>
      </c>
      <c r="AJ137" s="139">
        <f>+_xlfn.XLOOKUP(PROYECTOS[[#This Row],[MUNICIPIO]],'4.CAP_ENDMNT'!B:B,'4.CAP_ENDMNT'!Y:Y,0,0,1)</f>
        <v>-5192738357.4020004</v>
      </c>
      <c r="AK137"/>
      <c r="AL137"/>
      <c r="AM137"/>
    </row>
    <row r="138" spans="1:39">
      <c r="A138" s="44">
        <v>148</v>
      </c>
      <c r="B138" s="192" t="s">
        <v>276</v>
      </c>
      <c r="C138" s="118">
        <f>+_xlfn.XLOOKUP(PROYECTOS[[#This Row],[ID_NECESIDAD]],'1.RADICADOS'!G:G,'1.RADICADOS'!C:C,0,0,1)*1</f>
        <v>45671</v>
      </c>
      <c r="D138" s="46" t="s">
        <v>74</v>
      </c>
      <c r="E138" s="47" t="str">
        <f>+_xlfn.XLOOKUP(PROYECTOS[[#This Row],[MUNICIPIO]],MUNICIPIOS!A:A,MUNICIPIOS!E:E,0,0,1)</f>
        <v>Urabá</v>
      </c>
      <c r="F138" s="44">
        <f>+_xlfn.XLOOKUP(PROYECTOS[[#This Row],[MUNICIPIO]],MUNICIPIOS!A:A,MUNICIPIOS!F:F,0,0,1)</f>
        <v>-76.728858000000002</v>
      </c>
      <c r="G138" s="44">
        <f>+_xlfn.XLOOKUP(PROYECTOS[[#This Row],[MUNICIPIO]],MUNICIPIOS!A:A,MUNICIPIOS!G:G,0,0,1)</f>
        <v>8.0899289999999997</v>
      </c>
      <c r="H138" s="44">
        <f>+_xlfn.XLOOKUP(PROYECTOS[[#This Row],[MUNICIPIO]],MUNICIPIOS!A:A,MUNICIPIOS!B:B,0,0,1)</f>
        <v>1</v>
      </c>
      <c r="I138" s="44">
        <f>+_xlfn.XLOOKUP(PROYECTOS[[#This Row],[MUNICIPIO]],MUNICIPIOS!A:A,MUNICIPIOS!C:C,0,0,1)</f>
        <v>1</v>
      </c>
      <c r="J138" s="3" t="str" cm="1">
        <f t="array" ref="J138">_xlfn.TEXTJOIN(" ", TRUE, IF(radicados[ID PROYECTOS]=A138, radicados[RADICADO], ""))</f>
        <v>2025010030512 2025010030805</v>
      </c>
      <c r="K138" s="45">
        <v>3</v>
      </c>
      <c r="L138" s="48">
        <v>40010655318</v>
      </c>
      <c r="M138" s="34" t="s">
        <v>396</v>
      </c>
      <c r="N138" s="34" t="s">
        <v>398</v>
      </c>
      <c r="O138" s="34" t="s">
        <v>25</v>
      </c>
      <c r="Q138" s="45"/>
      <c r="R138" s="43"/>
      <c r="S138" s="43"/>
      <c r="T138" s="44">
        <f>+_xlfn.XLOOKUP(PROYECTOS[[#This Row],[MUNICIPIO]],'4.CAP_ENDMNT'!B:B,'4.CAP_ENDMNT'!C:C,0,0,1)</f>
        <v>5</v>
      </c>
      <c r="U138" s="139">
        <f>+_xlfn.XLOOKUP(PROYECTOS[[#This Row],[MUNICIPIO]],'4.CAP_ENDMNT'!B:B,'4.CAP_ENDMNT'!D:D,0,0,1)</f>
        <v>57277943756.629501</v>
      </c>
      <c r="V138" s="140">
        <f>+_xlfn.XLOOKUP(PROYECTOS[[#This Row],[MUNICIPIO]],'4.CAP_ENDMNT'!B:B,'4.CAP_ENDMNT'!E:E,0,0,1)</f>
        <v>34159399600.959999</v>
      </c>
      <c r="W138" s="140">
        <f>+_xlfn.XLOOKUP(PROYECTOS[[#This Row],[MUNICIPIO]],'4.CAP_ENDMNT'!B:B,'4.CAP_ENDMNT'!F:F,0,0,1)</f>
        <v>23118544155.669502</v>
      </c>
      <c r="X138" s="140">
        <f>+_xlfn.XLOOKUP(PROYECTOS[[#This Row],[MUNICIPIO]],'4.CAP_ENDMNT'!B:B,'4.CAP_ENDMNT'!G:G,0,0,1)</f>
        <v>3450000000</v>
      </c>
      <c r="Y138" s="140">
        <f>+_xlfn.XLOOKUP(PROYECTOS[[#This Row],[MUNICIPIO]],'4.CAP_ENDMNT'!B:B,'4.CAP_ENDMNT'!H:H,0,0,1)</f>
        <v>21452083665</v>
      </c>
      <c r="Z138" s="140">
        <f>+_xlfn.XLOOKUP(PROYECTOS[[#This Row],[MUNICIPIO]],'4.CAP_ENDMNT'!B:B,'4.CAP_ENDMNT'!I:I,0,0,1)</f>
        <v>24902083665</v>
      </c>
      <c r="AA138" s="134">
        <f>+_xlfn.XLOOKUP(PROYECTOS[[#This Row],[MUNICIPIO]],'4.CAP_ENDMNT'!B:B,'4.CAP_ENDMNT'!J:J,0,0,1)</f>
        <v>0.43475868775610099</v>
      </c>
      <c r="AB138" s="140">
        <f>+_xlfn.XLOOKUP(PROYECTOS[[#This Row],[MUNICIPIO]],'4.CAP_ENDMNT'!B:B,'4.CAP_ENDMNT'!K:K,0,0,1)</f>
        <v>32375860091.629501</v>
      </c>
      <c r="AC138" s="140">
        <f>+_xlfn.XLOOKUP(PROYECTOS[[#This Row],[MUNICIPIO]],'4.CAP_ENDMNT'!B:B,'4.CAP_ENDMNT'!L:L,0,0,1)</f>
        <v>25900688073.303604</v>
      </c>
      <c r="AD138" s="140">
        <f>+_xlfn.XLOOKUP(PROYECTOS[[#This Row],[MUNICIPIO]],'4.CAP_ENDMNT'!B:B,'4.CAP_ENDMNT'!M:M,0,0,1)</f>
        <v>19425516054.977699</v>
      </c>
      <c r="AE138" s="134">
        <f>+_xlfn.XLOOKUP(PROYECTOS[[#This Row],[MUNICIPIO]],'4.CAP_ENDMNT'!B:B,'4.CAP_ENDMNT'!N:N,0,0,1)</f>
        <v>0.13854262343712995</v>
      </c>
      <c r="AF138" s="134">
        <f>+_xlfn.XLOOKUP(PROYECTOS[[#This Row],[MUNICIPIO]],'4.CAP_ENDMNT'!B:B,'4.CAP_ENDMNT'!O:O,0,0,1)</f>
        <v>0.87015152665365447</v>
      </c>
      <c r="AG138" s="134">
        <f>+_xlfn.XLOOKUP(PROYECTOS[[#This Row],[MUNICIPIO]],'4.CAP_ENDMNT'!B:B,'4.CAP_ENDMNT'!P:P,0,0,1)</f>
        <v>0.8</v>
      </c>
      <c r="AH138" s="44" t="str">
        <f>+_xlfn.XLOOKUP(PROYECTOS[[#This Row],[MUNICIPIO]],'4.CAP_ENDMNT'!B:B,'4.CAP_ENDMNT'!Q:Q,0,0,1)</f>
        <v>Incumple</v>
      </c>
      <c r="AI138" s="139">
        <f>+_xlfn.XLOOKUP(PROYECTOS[[#This Row],[MUNICIPIO]],'4.CAP_ENDMNT'!B:B,'4.CAP_ENDMNT'!V:V,0,0,1)</f>
        <v>3885103210.9955401</v>
      </c>
      <c r="AJ138" s="139">
        <f>+_xlfn.XLOOKUP(PROYECTOS[[#This Row],[MUNICIPIO]],'4.CAP_ENDMNT'!B:B,'4.CAP_ENDMNT'!Y:Y,0,0,1)</f>
        <v>-114052861009.72676</v>
      </c>
      <c r="AK138"/>
      <c r="AL138"/>
      <c r="AM138"/>
    </row>
    <row r="139" spans="1:39">
      <c r="A139" s="44">
        <v>149</v>
      </c>
      <c r="B139" s="37" t="s">
        <v>1583</v>
      </c>
      <c r="C139" s="118">
        <f>+_xlfn.XLOOKUP(PROYECTOS[[#This Row],[ID_NECESIDAD]],'1.RADICADOS'!G:G,'1.RADICADOS'!C:C,0,0,1)*1</f>
        <v>45391</v>
      </c>
      <c r="D139" s="46" t="s">
        <v>32</v>
      </c>
      <c r="E139" s="47" t="str">
        <f>+_xlfn.XLOOKUP(PROYECTOS[[#This Row],[MUNICIPIO]],MUNICIPIOS!A:A,MUNICIPIOS!E:E,0,0,1)</f>
        <v>Oriente</v>
      </c>
      <c r="F139" s="44">
        <f>+_xlfn.XLOOKUP(PROYECTOS[[#This Row],[MUNICIPIO]],MUNICIPIOS!A:A,MUNICIPIOS!F:F,0,0,1)</f>
        <v>-75.428738999999993</v>
      </c>
      <c r="G139" s="44">
        <f>+_xlfn.XLOOKUP(PROYECTOS[[#This Row],[MUNICIPIO]],MUNICIPIOS!A:A,MUNICIPIOS!G:G,0,0,1)</f>
        <v>5.7893150000000002</v>
      </c>
      <c r="H139" s="44">
        <f>+_xlfn.XLOOKUP(PROYECTOS[[#This Row],[MUNICIPIO]],MUNICIPIOS!A:A,MUNICIPIOS!B:B,0,0,1)</f>
        <v>0</v>
      </c>
      <c r="I139" s="44">
        <f>+_xlfn.XLOOKUP(PROYECTOS[[#This Row],[MUNICIPIO]],MUNICIPIOS!A:A,MUNICIPIOS!C:C,0,0,1)</f>
        <v>1</v>
      </c>
      <c r="J139" s="3" t="str" cm="1">
        <f t="array" ref="J139">_xlfn.TEXTJOIN(" ", TRUE, IF(radicados[ID PROYECTOS]=A139, radicados[RADICADO], ""))</f>
        <v>2024010387444 2025010035548</v>
      </c>
      <c r="K139" s="45">
        <v>3</v>
      </c>
      <c r="L139" s="48">
        <v>5202752628</v>
      </c>
      <c r="M139" s="34" t="s">
        <v>288</v>
      </c>
      <c r="N139" s="40" t="s">
        <v>398</v>
      </c>
      <c r="O139" s="40" t="s">
        <v>25</v>
      </c>
      <c r="P139" s="37"/>
      <c r="Q139" s="45"/>
      <c r="R139" s="43"/>
      <c r="S139" s="43"/>
      <c r="T139" s="44">
        <f>+_xlfn.XLOOKUP(PROYECTOS[[#This Row],[MUNICIPIO]],'4.CAP_ENDMNT'!B:B,'4.CAP_ENDMNT'!C:C,0,0,1)</f>
        <v>6</v>
      </c>
      <c r="U139" s="139">
        <f>+_xlfn.XLOOKUP(PROYECTOS[[#This Row],[MUNICIPIO]],'4.CAP_ENDMNT'!B:B,'4.CAP_ENDMNT'!D:D,0,0,1)</f>
        <v>15030770872.282</v>
      </c>
      <c r="V139" s="140">
        <f>+_xlfn.XLOOKUP(PROYECTOS[[#This Row],[MUNICIPIO]],'4.CAP_ENDMNT'!B:B,'4.CAP_ENDMNT'!E:E,0,0,1)</f>
        <v>4409672661.8199997</v>
      </c>
      <c r="W139" s="140">
        <f>+_xlfn.XLOOKUP(PROYECTOS[[#This Row],[MUNICIPIO]],'4.CAP_ENDMNT'!B:B,'4.CAP_ENDMNT'!F:F,0,0,1)</f>
        <v>10621098210.462</v>
      </c>
      <c r="X139" s="140">
        <f>+_xlfn.XLOOKUP(PROYECTOS[[#This Row],[MUNICIPIO]],'4.CAP_ENDMNT'!B:B,'4.CAP_ENDMNT'!G:G,0,0,1)</f>
        <v>1969764886</v>
      </c>
      <c r="Y139" s="140">
        <f>+_xlfn.XLOOKUP(PROYECTOS[[#This Row],[MUNICIPIO]],'4.CAP_ENDMNT'!B:B,'4.CAP_ENDMNT'!H:H,0,0,1)</f>
        <v>0</v>
      </c>
      <c r="Z139" s="140">
        <f>+_xlfn.XLOOKUP(PROYECTOS[[#This Row],[MUNICIPIO]],'4.CAP_ENDMNT'!B:B,'4.CAP_ENDMNT'!I:I,0,0,1)</f>
        <v>1969764886</v>
      </c>
      <c r="AA139" s="134">
        <f>+_xlfn.XLOOKUP(PROYECTOS[[#This Row],[MUNICIPIO]],'4.CAP_ENDMNT'!B:B,'4.CAP_ENDMNT'!J:J,0,0,1)</f>
        <v>0.13104882661955891</v>
      </c>
      <c r="AB139" s="140">
        <f>+_xlfn.XLOOKUP(PROYECTOS[[#This Row],[MUNICIPIO]],'4.CAP_ENDMNT'!B:B,'4.CAP_ENDMNT'!K:K,0,0,1)</f>
        <v>13061005986.282</v>
      </c>
      <c r="AC139" s="140">
        <f>+_xlfn.XLOOKUP(PROYECTOS[[#This Row],[MUNICIPIO]],'4.CAP_ENDMNT'!B:B,'4.CAP_ENDMNT'!L:L,0,0,1)</f>
        <v>10448804789.0256</v>
      </c>
      <c r="AD139" s="140">
        <f>+_xlfn.XLOOKUP(PROYECTOS[[#This Row],[MUNICIPIO]],'4.CAP_ENDMNT'!B:B,'4.CAP_ENDMNT'!M:M,0,0,1)</f>
        <v>7836603591.7691994</v>
      </c>
      <c r="AE139" s="134">
        <f>+_xlfn.XLOOKUP(PROYECTOS[[#This Row],[MUNICIPIO]],'4.CAP_ENDMNT'!B:B,'4.CAP_ENDMNT'!N:N,0,0,1)</f>
        <v>1</v>
      </c>
      <c r="AF139" s="134">
        <f>+_xlfn.XLOOKUP(PROYECTOS[[#This Row],[MUNICIPIO]],'4.CAP_ENDMNT'!B:B,'4.CAP_ENDMNT'!O:O,0,0,1)</f>
        <v>0.39507659260977307</v>
      </c>
      <c r="AG139" s="134">
        <f>+_xlfn.XLOOKUP(PROYECTOS[[#This Row],[MUNICIPIO]],'4.CAP_ENDMNT'!B:B,'4.CAP_ENDMNT'!P:P,0,0,1)</f>
        <v>0.8</v>
      </c>
      <c r="AH139" s="44" t="str">
        <f>+_xlfn.XLOOKUP(PROYECTOS[[#This Row],[MUNICIPIO]],'4.CAP_ENDMNT'!B:B,'4.CAP_ENDMNT'!Q:Q,0,0,1)</f>
        <v>Cumple</v>
      </c>
      <c r="AI139" s="139">
        <f>+_xlfn.XLOOKUP(PROYECTOS[[#This Row],[MUNICIPIO]],'4.CAP_ENDMNT'!B:B,'4.CAP_ENDMNT'!V:V,0,0,1)</f>
        <v>1567320718.3538399</v>
      </c>
      <c r="AJ139" s="139">
        <f>+_xlfn.XLOOKUP(PROYECTOS[[#This Row],[MUNICIPIO]],'4.CAP_ENDMNT'!B:B,'4.CAP_ENDMNT'!Y:Y,0,0,1)</f>
        <v>4201171682.1230392</v>
      </c>
      <c r="AK139"/>
      <c r="AL139"/>
      <c r="AM139"/>
    </row>
    <row r="140" spans="1:39">
      <c r="A140" s="44">
        <v>151</v>
      </c>
      <c r="B140" s="37" t="s">
        <v>1402</v>
      </c>
      <c r="C140" s="118">
        <f>+_xlfn.XLOOKUP(PROYECTOS[[#This Row],[ID_NECESIDAD]],'1.RADICADOS'!G:G,'1.RADICADOS'!C:C,0,0,1)*1</f>
        <v>45688</v>
      </c>
      <c r="D140" s="46" t="s">
        <v>208</v>
      </c>
      <c r="E140" s="47" t="str">
        <f>+_xlfn.XLOOKUP(PROYECTOS[[#This Row],[MUNICIPIO]],MUNICIPIOS!A:A,MUNICIPIOS!E:E,0,0,1)</f>
        <v>Oriente</v>
      </c>
      <c r="F140" s="44">
        <f>+_xlfn.XLOOKUP(PROYECTOS[[#This Row],[MUNICIPIO]],MUNICIPIOS!A:A,MUNICIPIOS!F:F,0,0,1)</f>
        <v>-75.265465000000006</v>
      </c>
      <c r="G140" s="44" t="str">
        <f>+_xlfn.XLOOKUP(PROYECTOS[[#This Row],[MUNICIPIO]],MUNICIPIOS!A:A,MUNICIPIOS!G:G,0,0,1)</f>
        <v>6,136871</v>
      </c>
      <c r="H140" s="44">
        <f>+_xlfn.XLOOKUP(PROYECTOS[[#This Row],[MUNICIPIO]],MUNICIPIOS!A:A,MUNICIPIOS!B:B,0,0,1)</f>
        <v>0</v>
      </c>
      <c r="I140" s="44">
        <f>+_xlfn.XLOOKUP(PROYECTOS[[#This Row],[MUNICIPIO]],MUNICIPIOS!A:A,MUNICIPIOS!C:C,0,0,1)</f>
        <v>0</v>
      </c>
      <c r="J140" s="3" t="str" cm="1">
        <f t="array" ref="J140">_xlfn.TEXTJOIN(" ", TRUE, IF(radicados[ID PROYECTOS]=A140, radicados[RADICADO], ""))</f>
        <v>2024010496207 2025010004443</v>
      </c>
      <c r="K140" s="45">
        <v>3</v>
      </c>
      <c r="L140" s="48">
        <v>1824902596</v>
      </c>
      <c r="M140" s="34" t="s">
        <v>429</v>
      </c>
      <c r="N140" s="40" t="s">
        <v>1079</v>
      </c>
      <c r="O140" s="34" t="s">
        <v>7</v>
      </c>
      <c r="P140" s="37"/>
      <c r="Q140" s="45"/>
      <c r="R140" s="43"/>
      <c r="S140" s="43"/>
      <c r="T140" s="44">
        <f>+_xlfn.XLOOKUP(PROYECTOS[[#This Row],[MUNICIPIO]],'4.CAP_ENDMNT'!B:B,'4.CAP_ENDMNT'!C:C,0,0,1)</f>
        <v>6</v>
      </c>
      <c r="U140" s="139">
        <f>+_xlfn.XLOOKUP(PROYECTOS[[#This Row],[MUNICIPIO]],'4.CAP_ENDMNT'!B:B,'4.CAP_ENDMNT'!D:D,0,0,1)</f>
        <v>28148489568.315498</v>
      </c>
      <c r="V140" s="140">
        <f>+_xlfn.XLOOKUP(PROYECTOS[[#This Row],[MUNICIPIO]],'4.CAP_ENDMNT'!B:B,'4.CAP_ENDMNT'!E:E,0,0,1)</f>
        <v>9574117926.6900005</v>
      </c>
      <c r="W140" s="140">
        <f>+_xlfn.XLOOKUP(PROYECTOS[[#This Row],[MUNICIPIO]],'4.CAP_ENDMNT'!B:B,'4.CAP_ENDMNT'!F:F,0,0,1)</f>
        <v>18574371641.625496</v>
      </c>
      <c r="X140" s="140">
        <f>+_xlfn.XLOOKUP(PROYECTOS[[#This Row],[MUNICIPIO]],'4.CAP_ENDMNT'!B:B,'4.CAP_ENDMNT'!G:G,0,0,1)</f>
        <v>7165025466</v>
      </c>
      <c r="Y140" s="140">
        <f>+_xlfn.XLOOKUP(PROYECTOS[[#This Row],[MUNICIPIO]],'4.CAP_ENDMNT'!B:B,'4.CAP_ENDMNT'!H:H,0,0,1)</f>
        <v>0</v>
      </c>
      <c r="Z140" s="140">
        <f>+_xlfn.XLOOKUP(PROYECTOS[[#This Row],[MUNICIPIO]],'4.CAP_ENDMNT'!B:B,'4.CAP_ENDMNT'!I:I,0,0,1)</f>
        <v>7165025466</v>
      </c>
      <c r="AA140" s="134">
        <f>+_xlfn.XLOOKUP(PROYECTOS[[#This Row],[MUNICIPIO]],'4.CAP_ENDMNT'!B:B,'4.CAP_ENDMNT'!J:J,0,0,1)</f>
        <v>0.25454386988014788</v>
      </c>
      <c r="AB140" s="140">
        <f>+_xlfn.XLOOKUP(PROYECTOS[[#This Row],[MUNICIPIO]],'4.CAP_ENDMNT'!B:B,'4.CAP_ENDMNT'!K:K,0,0,1)</f>
        <v>20983464102.315498</v>
      </c>
      <c r="AC140" s="140">
        <f>+_xlfn.XLOOKUP(PROYECTOS[[#This Row],[MUNICIPIO]],'4.CAP_ENDMNT'!B:B,'4.CAP_ENDMNT'!L:L,0,0,1)</f>
        <v>16786771281.8524</v>
      </c>
      <c r="AD140" s="140">
        <f>+_xlfn.XLOOKUP(PROYECTOS[[#This Row],[MUNICIPIO]],'4.CAP_ENDMNT'!B:B,'4.CAP_ENDMNT'!M:M,0,0,1)</f>
        <v>12590078461.389299</v>
      </c>
      <c r="AE140" s="134">
        <f>+_xlfn.XLOOKUP(PROYECTOS[[#This Row],[MUNICIPIO]],'4.CAP_ENDMNT'!B:B,'4.CAP_ENDMNT'!N:N,0,0,1)</f>
        <v>1</v>
      </c>
      <c r="AF140" s="134">
        <f>+_xlfn.XLOOKUP(PROYECTOS[[#This Row],[MUNICIPIO]],'4.CAP_ENDMNT'!B:B,'4.CAP_ENDMNT'!O:O,0,0,1)</f>
        <v>0.38693852418292884</v>
      </c>
      <c r="AG140" s="134">
        <f>+_xlfn.XLOOKUP(PROYECTOS[[#This Row],[MUNICIPIO]],'4.CAP_ENDMNT'!B:B,'4.CAP_ENDMNT'!P:P,0,0,1)</f>
        <v>0.8</v>
      </c>
      <c r="AH140" s="44" t="str">
        <f>+_xlfn.XLOOKUP(PROYECTOS[[#This Row],[MUNICIPIO]],'4.CAP_ENDMNT'!B:B,'4.CAP_ENDMNT'!Q:Q,0,0,1)</f>
        <v>Cumple</v>
      </c>
      <c r="AI140" s="139">
        <f>+_xlfn.XLOOKUP(PROYECTOS[[#This Row],[MUNICIPIO]],'4.CAP_ENDMNT'!B:B,'4.CAP_ENDMNT'!V:V,0,0,1)</f>
        <v>2518015692.2778602</v>
      </c>
      <c r="AJ140" s="139">
        <f>+_xlfn.XLOOKUP(PROYECTOS[[#This Row],[MUNICIPIO]],'4.CAP_ENDMNT'!B:B,'4.CAP_ENDMNT'!Y:Y,0,0,1)</f>
        <v>-4116653327.33284</v>
      </c>
      <c r="AK140"/>
      <c r="AL140"/>
      <c r="AM140"/>
    </row>
    <row r="141" spans="1:39">
      <c r="A141" s="44">
        <v>152</v>
      </c>
      <c r="B141" s="37" t="s">
        <v>280</v>
      </c>
      <c r="C141" s="118">
        <f>+_xlfn.XLOOKUP(PROYECTOS[[#This Row],[ID_NECESIDAD]],'1.RADICADOS'!G:G,'1.RADICADOS'!C:C,0,0,1)*1</f>
        <v>45596</v>
      </c>
      <c r="D141" s="46" t="s">
        <v>35</v>
      </c>
      <c r="E141" s="47" t="str">
        <f>+_xlfn.XLOOKUP(PROYECTOS[[#This Row],[MUNICIPIO]],MUNICIPIOS!A:A,MUNICIPIOS!E:E,0,0,1)</f>
        <v>Norte</v>
      </c>
      <c r="F141" s="44">
        <f>+_xlfn.XLOOKUP(PROYECTOS[[#This Row],[MUNICIPIO]],MUNICIPIOS!A:A,MUNICIPIOS!F:F,0,0,1)</f>
        <v>-75.392629999999997</v>
      </c>
      <c r="G141" s="44" t="str">
        <f>+_xlfn.XLOOKUP(PROYECTOS[[#This Row],[MUNICIPIO]],MUNICIPIOS!A:A,MUNICIPIOS!G:G,0,0,1)</f>
        <v>6,485603</v>
      </c>
      <c r="H141" s="44">
        <f>+_xlfn.XLOOKUP(PROYECTOS[[#This Row],[MUNICIPIO]],MUNICIPIOS!A:A,MUNICIPIOS!B:B,0,0,1)</f>
        <v>0</v>
      </c>
      <c r="I141" s="44">
        <f>+_xlfn.XLOOKUP(PROYECTOS[[#This Row],[MUNICIPIO]],MUNICIPIOS!A:A,MUNICIPIOS!C:C,0,0,1)</f>
        <v>0</v>
      </c>
      <c r="J141" s="3" t="str" cm="1">
        <f t="array" ref="J141">_xlfn.TEXTJOIN(" ", TRUE, IF(radicados[ID PROYECTOS]=A141, radicados[RADICADO], ""))</f>
        <v>2024010500586</v>
      </c>
      <c r="K141" s="45">
        <v>3</v>
      </c>
      <c r="L141" s="48">
        <v>3490850340</v>
      </c>
      <c r="M141" s="34" t="s">
        <v>396</v>
      </c>
      <c r="N141" s="34" t="s">
        <v>398</v>
      </c>
      <c r="O141" s="34" t="s">
        <v>25</v>
      </c>
      <c r="P141" s="37"/>
      <c r="Q141" s="45"/>
      <c r="R141" s="43"/>
      <c r="S141" s="43"/>
      <c r="T141" s="44">
        <f>+_xlfn.XLOOKUP(PROYECTOS[[#This Row],[MUNICIPIO]],'4.CAP_ENDMNT'!B:B,'4.CAP_ENDMNT'!C:C,0,0,1)</f>
        <v>6</v>
      </c>
      <c r="U141" s="139">
        <f>+_xlfn.XLOOKUP(PROYECTOS[[#This Row],[MUNICIPIO]],'4.CAP_ENDMNT'!B:B,'4.CAP_ENDMNT'!D:D,0,0,1)</f>
        <v>24529039369.539501</v>
      </c>
      <c r="V141" s="140">
        <f>+_xlfn.XLOOKUP(PROYECTOS[[#This Row],[MUNICIPIO]],'4.CAP_ENDMNT'!B:B,'4.CAP_ENDMNT'!E:E,0,0,1)</f>
        <v>8973012363.6700001</v>
      </c>
      <c r="W141" s="140">
        <f>+_xlfn.XLOOKUP(PROYECTOS[[#This Row],[MUNICIPIO]],'4.CAP_ENDMNT'!B:B,'4.CAP_ENDMNT'!F:F,0,0,1)</f>
        <v>15556027005.869501</v>
      </c>
      <c r="X141" s="140">
        <f>+_xlfn.XLOOKUP(PROYECTOS[[#This Row],[MUNICIPIO]],'4.CAP_ENDMNT'!B:B,'4.CAP_ENDMNT'!G:G,0,0,1)</f>
        <v>7973050390</v>
      </c>
      <c r="Y141" s="140">
        <f>+_xlfn.XLOOKUP(PROYECTOS[[#This Row],[MUNICIPIO]],'4.CAP_ENDMNT'!B:B,'4.CAP_ENDMNT'!H:H,0,0,1)</f>
        <v>1625381984</v>
      </c>
      <c r="Z141" s="140">
        <f>+_xlfn.XLOOKUP(PROYECTOS[[#This Row],[MUNICIPIO]],'4.CAP_ENDMNT'!B:B,'4.CAP_ENDMNT'!I:I,0,0,1)</f>
        <v>9598432374</v>
      </c>
      <c r="AA141" s="134">
        <f>+_xlfn.XLOOKUP(PROYECTOS[[#This Row],[MUNICIPIO]],'4.CAP_ENDMNT'!B:B,'4.CAP_ENDMNT'!J:J,0,0,1)</f>
        <v>0.39130893914742809</v>
      </c>
      <c r="AB141" s="140">
        <f>+_xlfn.XLOOKUP(PROYECTOS[[#This Row],[MUNICIPIO]],'4.CAP_ENDMNT'!B:B,'4.CAP_ENDMNT'!K:K,0,0,1)</f>
        <v>14930606995.539501</v>
      </c>
      <c r="AC141" s="140">
        <f>+_xlfn.XLOOKUP(PROYECTOS[[#This Row],[MUNICIPIO]],'4.CAP_ENDMNT'!B:B,'4.CAP_ENDMNT'!L:L,0,0,1)</f>
        <v>11944485596.431602</v>
      </c>
      <c r="AD141" s="140">
        <f>+_xlfn.XLOOKUP(PROYECTOS[[#This Row],[MUNICIPIO]],'4.CAP_ENDMNT'!B:B,'4.CAP_ENDMNT'!M:M,0,0,1)</f>
        <v>8958364197.3237</v>
      </c>
      <c r="AE141" s="134">
        <f>+_xlfn.XLOOKUP(PROYECTOS[[#This Row],[MUNICIPIO]],'4.CAP_ENDMNT'!B:B,'4.CAP_ENDMNT'!N:N,0,0,1)</f>
        <v>0.83066172467883448</v>
      </c>
      <c r="AF141" s="134">
        <f>+_xlfn.XLOOKUP(PROYECTOS[[#This Row],[MUNICIPIO]],'4.CAP_ENDMNT'!B:B,'4.CAP_ENDMNT'!O:O,0,0,1)</f>
        <v>0.53024343717246458</v>
      </c>
      <c r="AG141" s="134">
        <f>+_xlfn.XLOOKUP(PROYECTOS[[#This Row],[MUNICIPIO]],'4.CAP_ENDMNT'!B:B,'4.CAP_ENDMNT'!P:P,0,0,1)</f>
        <v>0.8</v>
      </c>
      <c r="AH141" s="44" t="str">
        <f>+_xlfn.XLOOKUP(PROYECTOS[[#This Row],[MUNICIPIO]],'4.CAP_ENDMNT'!B:B,'4.CAP_ENDMNT'!Q:Q,0,0,1)</f>
        <v>Cumple</v>
      </c>
      <c r="AI141" s="139">
        <f>+_xlfn.XLOOKUP(PROYECTOS[[#This Row],[MUNICIPIO]],'4.CAP_ENDMNT'!B:B,'4.CAP_ENDMNT'!V:V,0,0,1)</f>
        <v>1791672839.46474</v>
      </c>
      <c r="AJ141" s="139">
        <f>+_xlfn.XLOOKUP(PROYECTOS[[#This Row],[MUNICIPIO]],'4.CAP_ENDMNT'!B:B,'4.CAP_ENDMNT'!Y:Y,0,0,1)</f>
        <v>-8164135575.2115593</v>
      </c>
      <c r="AK141"/>
      <c r="AL141"/>
      <c r="AM141"/>
    </row>
    <row r="142" spans="1:39">
      <c r="A142" s="44">
        <v>153</v>
      </c>
      <c r="B142" s="37" t="s">
        <v>282</v>
      </c>
      <c r="C142" s="118">
        <f>+_xlfn.XLOOKUP(PROYECTOS[[#This Row],[ID_NECESIDAD]],'1.RADICADOS'!G:G,'1.RADICADOS'!C:C,0,0,1)*1</f>
        <v>45302</v>
      </c>
      <c r="D142" s="46" t="s">
        <v>281</v>
      </c>
      <c r="E142" s="47" t="str">
        <f>+_xlfn.XLOOKUP(PROYECTOS[[#This Row],[MUNICIPIO]],MUNICIPIOS!A:A,MUNICIPIOS!E:E,0,0,1)</f>
        <v>Suroeste</v>
      </c>
      <c r="F142" s="44">
        <f>+_xlfn.XLOOKUP(PROYECTOS[[#This Row],[MUNICIPIO]],MUNICIPIOS!A:A,MUNICIPIOS!F:F,0,0,1)</f>
        <v>-75.735544000000004</v>
      </c>
      <c r="G142" s="44">
        <f>+_xlfn.XLOOKUP(PROYECTOS[[#This Row],[MUNICIPIO]],MUNICIPIOS!A:A,MUNICIPIOS!G:G,0,0,1)</f>
        <v>5.9646929999999996</v>
      </c>
      <c r="H142" s="44">
        <f>+_xlfn.XLOOKUP(PROYECTOS[[#This Row],[MUNICIPIO]],MUNICIPIOS!A:A,MUNICIPIOS!B:B,0,0,1)</f>
        <v>0</v>
      </c>
      <c r="I142" s="44">
        <f>+_xlfn.XLOOKUP(PROYECTOS[[#This Row],[MUNICIPIO]],MUNICIPIOS!A:A,MUNICIPIOS!C:C,0,0,1)</f>
        <v>0</v>
      </c>
      <c r="J142" s="3" t="str" cm="1">
        <f t="array" ref="J142">_xlfn.TEXTJOIN(" ", TRUE, IF(radicados[ID PROYECTOS]=A142, radicados[RADICADO], ""))</f>
        <v>2024010502152</v>
      </c>
      <c r="K142" s="45">
        <v>3</v>
      </c>
      <c r="L142" s="48">
        <v>36407442672</v>
      </c>
      <c r="M142" s="34" t="s">
        <v>401</v>
      </c>
      <c r="N142" s="34" t="s">
        <v>394</v>
      </c>
      <c r="O142" s="34" t="s">
        <v>18</v>
      </c>
      <c r="P142" s="37"/>
      <c r="Q142" s="45"/>
      <c r="R142" s="43"/>
      <c r="S142" s="43"/>
      <c r="T142" s="44">
        <f>+_xlfn.XLOOKUP(PROYECTOS[[#This Row],[MUNICIPIO]],'4.CAP_ENDMNT'!B:B,'4.CAP_ENDMNT'!C:C,0,0,1)</f>
        <v>6</v>
      </c>
      <c r="U142" s="139">
        <f>+_xlfn.XLOOKUP(PROYECTOS[[#This Row],[MUNICIPIO]],'4.CAP_ENDMNT'!B:B,'4.CAP_ENDMNT'!D:D,0,0,1)</f>
        <v>12522207884.799</v>
      </c>
      <c r="V142" s="140">
        <f>+_xlfn.XLOOKUP(PROYECTOS[[#This Row],[MUNICIPIO]],'4.CAP_ENDMNT'!B:B,'4.CAP_ENDMNT'!E:E,0,0,1)</f>
        <v>6810462569.46</v>
      </c>
      <c r="W142" s="140">
        <f>+_xlfn.XLOOKUP(PROYECTOS[[#This Row],[MUNICIPIO]],'4.CAP_ENDMNT'!B:B,'4.CAP_ENDMNT'!F:F,0,0,1)</f>
        <v>5711745315.3389997</v>
      </c>
      <c r="X142" s="140">
        <f>+_xlfn.XLOOKUP(PROYECTOS[[#This Row],[MUNICIPIO]],'4.CAP_ENDMNT'!B:B,'4.CAP_ENDMNT'!G:G,0,0,1)</f>
        <v>0</v>
      </c>
      <c r="Y142" s="140">
        <f>+_xlfn.XLOOKUP(PROYECTOS[[#This Row],[MUNICIPIO]],'4.CAP_ENDMNT'!B:B,'4.CAP_ENDMNT'!H:H,0,0,1)</f>
        <v>0</v>
      </c>
      <c r="Z142" s="140">
        <f>+_xlfn.XLOOKUP(PROYECTOS[[#This Row],[MUNICIPIO]],'4.CAP_ENDMNT'!B:B,'4.CAP_ENDMNT'!I:I,0,0,1)</f>
        <v>0</v>
      </c>
      <c r="AA142" s="134">
        <f>+_xlfn.XLOOKUP(PROYECTOS[[#This Row],[MUNICIPIO]],'4.CAP_ENDMNT'!B:B,'4.CAP_ENDMNT'!J:J,0,0,1)</f>
        <v>0</v>
      </c>
      <c r="AB142" s="140">
        <f>+_xlfn.XLOOKUP(PROYECTOS[[#This Row],[MUNICIPIO]],'4.CAP_ENDMNT'!B:B,'4.CAP_ENDMNT'!K:K,0,0,1)</f>
        <v>12522207884.799</v>
      </c>
      <c r="AC142" s="140">
        <f>+_xlfn.XLOOKUP(PROYECTOS[[#This Row],[MUNICIPIO]],'4.CAP_ENDMNT'!B:B,'4.CAP_ENDMNT'!L:L,0,0,1)</f>
        <v>10017766307.839201</v>
      </c>
      <c r="AD142" s="140">
        <f>+_xlfn.XLOOKUP(PROYECTOS[[#This Row],[MUNICIPIO]],'4.CAP_ENDMNT'!B:B,'4.CAP_ENDMNT'!M:M,0,0,1)</f>
        <v>7513324730.8793993</v>
      </c>
      <c r="AE142" s="134">
        <f>+_xlfn.XLOOKUP(PROYECTOS[[#This Row],[MUNICIPIO]],'4.CAP_ENDMNT'!B:B,'4.CAP_ENDMNT'!N:N,0,0,1)</f>
        <v>0</v>
      </c>
      <c r="AF142" s="134">
        <f>+_xlfn.XLOOKUP(PROYECTOS[[#This Row],[MUNICIPIO]],'4.CAP_ENDMNT'!B:B,'4.CAP_ENDMNT'!O:O,0,0,1)</f>
        <v>0.68767493145996073</v>
      </c>
      <c r="AG142" s="134">
        <f>+_xlfn.XLOOKUP(PROYECTOS[[#This Row],[MUNICIPIO]],'4.CAP_ENDMNT'!B:B,'4.CAP_ENDMNT'!P:P,0,0,1)</f>
        <v>0.8</v>
      </c>
      <c r="AH142" s="44" t="str">
        <f>+_xlfn.XLOOKUP(PROYECTOS[[#This Row],[MUNICIPIO]],'4.CAP_ENDMNT'!B:B,'4.CAP_ENDMNT'!Q:Q,0,0,1)</f>
        <v>Cumple</v>
      </c>
      <c r="AI142" s="139">
        <f>+_xlfn.XLOOKUP(PROYECTOS[[#This Row],[MUNICIPIO]],'4.CAP_ENDMNT'!B:B,'4.CAP_ENDMNT'!V:V,0,0,1)</f>
        <v>1502664946.17588</v>
      </c>
      <c r="AJ142" s="139">
        <f>+_xlfn.XLOOKUP(PROYECTOS[[#This Row],[MUNICIPIO]],'4.CAP_ENDMNT'!B:B,'4.CAP_ENDMNT'!Y:Y,0,0,1)</f>
        <v>-30486452994.944721</v>
      </c>
      <c r="AK142"/>
      <c r="AL142"/>
      <c r="AM142"/>
    </row>
    <row r="143" spans="1:39">
      <c r="A143" s="44">
        <v>154</v>
      </c>
      <c r="B143" s="37" t="s">
        <v>283</v>
      </c>
      <c r="C143" s="118">
        <f>+_xlfn.XLOOKUP(PROYECTOS[[#This Row],[ID_NECESIDAD]],'1.RADICADOS'!G:G,'1.RADICADOS'!C:C,0,0,1)*1</f>
        <v>45609</v>
      </c>
      <c r="D143" s="46" t="s">
        <v>101</v>
      </c>
      <c r="E143" s="47" t="str">
        <f>+_xlfn.XLOOKUP(PROYECTOS[[#This Row],[MUNICIPIO]],MUNICIPIOS!A:A,MUNICIPIOS!E:E,0,0,1)</f>
        <v>Suroeste</v>
      </c>
      <c r="F143" s="44">
        <f>+_xlfn.XLOOKUP(PROYECTOS[[#This Row],[MUNICIPIO]],MUNICIPIOS!A:A,MUNICIPIOS!F:F,0,0,1)</f>
        <v>-75.607810000000001</v>
      </c>
      <c r="G143" s="44" t="str">
        <f>+_xlfn.XLOOKUP(PROYECTOS[[#This Row],[MUNICIPIO]],MUNICIPIOS!A:A,MUNICIPIOS!G:G,0,0,1)</f>
        <v>5,743808</v>
      </c>
      <c r="H143" s="44">
        <f>+_xlfn.XLOOKUP(PROYECTOS[[#This Row],[MUNICIPIO]],MUNICIPIOS!A:A,MUNICIPIOS!B:B,0,0,1)</f>
        <v>0</v>
      </c>
      <c r="I143" s="44">
        <f>+_xlfn.XLOOKUP(PROYECTOS[[#This Row],[MUNICIPIO]],MUNICIPIOS!A:A,MUNICIPIOS!C:C,0,0,1)</f>
        <v>0</v>
      </c>
      <c r="J143" s="3" t="str" cm="1">
        <f t="array" ref="J143">_xlfn.TEXTJOIN(" ", TRUE, IF(radicados[ID PROYECTOS]=A143, radicados[RADICADO], ""))</f>
        <v>2024010528004 2024010376421</v>
      </c>
      <c r="K143" s="45">
        <v>3</v>
      </c>
      <c r="L143" s="48">
        <v>1263024676</v>
      </c>
      <c r="M143" s="34" t="s">
        <v>396</v>
      </c>
      <c r="N143" s="34" t="s">
        <v>394</v>
      </c>
      <c r="O143" s="34" t="s">
        <v>18</v>
      </c>
      <c r="P143" s="37"/>
      <c r="Q143" s="45"/>
      <c r="R143" s="43"/>
      <c r="S143" s="43"/>
      <c r="T143" s="44">
        <f>+_xlfn.XLOOKUP(PROYECTOS[[#This Row],[MUNICIPIO]],'4.CAP_ENDMNT'!B:B,'4.CAP_ENDMNT'!C:C,0,0,1)</f>
        <v>6</v>
      </c>
      <c r="U143" s="139">
        <f>+_xlfn.XLOOKUP(PROYECTOS[[#This Row],[MUNICIPIO]],'4.CAP_ENDMNT'!B:B,'4.CAP_ENDMNT'!D:D,0,0,1)</f>
        <v>10783113038.2925</v>
      </c>
      <c r="V143" s="140">
        <f>+_xlfn.XLOOKUP(PROYECTOS[[#This Row],[MUNICIPIO]],'4.CAP_ENDMNT'!B:B,'4.CAP_ENDMNT'!E:E,0,0,1)</f>
        <v>5750561650.9200001</v>
      </c>
      <c r="W143" s="140">
        <f>+_xlfn.XLOOKUP(PROYECTOS[[#This Row],[MUNICIPIO]],'4.CAP_ENDMNT'!B:B,'4.CAP_ENDMNT'!F:F,0,0,1)</f>
        <v>5032551387.3724995</v>
      </c>
      <c r="X143" s="140">
        <f>+_xlfn.XLOOKUP(PROYECTOS[[#This Row],[MUNICIPIO]],'4.CAP_ENDMNT'!B:B,'4.CAP_ENDMNT'!G:G,0,0,1)</f>
        <v>4104930290</v>
      </c>
      <c r="Y143" s="140">
        <f>+_xlfn.XLOOKUP(PROYECTOS[[#This Row],[MUNICIPIO]],'4.CAP_ENDMNT'!B:B,'4.CAP_ENDMNT'!H:H,0,0,1)</f>
        <v>0</v>
      </c>
      <c r="Z143" s="140">
        <f>+_xlfn.XLOOKUP(PROYECTOS[[#This Row],[MUNICIPIO]],'4.CAP_ENDMNT'!B:B,'4.CAP_ENDMNT'!I:I,0,0,1)</f>
        <v>4104930290</v>
      </c>
      <c r="AA143" s="134">
        <f>+_xlfn.XLOOKUP(PROYECTOS[[#This Row],[MUNICIPIO]],'4.CAP_ENDMNT'!B:B,'4.CAP_ENDMNT'!J:J,0,0,1)</f>
        <v>0.38068137423977277</v>
      </c>
      <c r="AB143" s="140">
        <f>+_xlfn.XLOOKUP(PROYECTOS[[#This Row],[MUNICIPIO]],'4.CAP_ENDMNT'!B:B,'4.CAP_ENDMNT'!K:K,0,0,1)</f>
        <v>6678182748.2924995</v>
      </c>
      <c r="AC143" s="140">
        <f>+_xlfn.XLOOKUP(PROYECTOS[[#This Row],[MUNICIPIO]],'4.CAP_ENDMNT'!B:B,'4.CAP_ENDMNT'!L:L,0,0,1)</f>
        <v>5342546198.6339998</v>
      </c>
      <c r="AD143" s="140">
        <f>+_xlfn.XLOOKUP(PROYECTOS[[#This Row],[MUNICIPIO]],'4.CAP_ENDMNT'!B:B,'4.CAP_ENDMNT'!M:M,0,0,1)</f>
        <v>4006909648.9754996</v>
      </c>
      <c r="AE143" s="134">
        <f>+_xlfn.XLOOKUP(PROYECTOS[[#This Row],[MUNICIPIO]],'4.CAP_ENDMNT'!B:B,'4.CAP_ENDMNT'!N:N,0,0,1)</f>
        <v>1</v>
      </c>
      <c r="AF143" s="134">
        <f>+_xlfn.XLOOKUP(PROYECTOS[[#This Row],[MUNICIPIO]],'4.CAP_ENDMNT'!B:B,'4.CAP_ENDMNT'!O:O,0,0,1)</f>
        <v>0.6829525248720959</v>
      </c>
      <c r="AG143" s="134">
        <f>+_xlfn.XLOOKUP(PROYECTOS[[#This Row],[MUNICIPIO]],'4.CAP_ENDMNT'!B:B,'4.CAP_ENDMNT'!P:P,0,0,1)</f>
        <v>0.8</v>
      </c>
      <c r="AH143" s="44" t="str">
        <f>+_xlfn.XLOOKUP(PROYECTOS[[#This Row],[MUNICIPIO]],'4.CAP_ENDMNT'!B:B,'4.CAP_ENDMNT'!Q:Q,0,0,1)</f>
        <v>Cumple</v>
      </c>
      <c r="AI143" s="139">
        <f>+_xlfn.XLOOKUP(PROYECTOS[[#This Row],[MUNICIPIO]],'4.CAP_ENDMNT'!B:B,'4.CAP_ENDMNT'!V:V,0,0,1)</f>
        <v>801381929.79509997</v>
      </c>
      <c r="AJ143" s="139">
        <f>+_xlfn.XLOOKUP(PROYECTOS[[#This Row],[MUNICIPIO]],'4.CAP_ENDMNT'!B:B,'4.CAP_ENDMNT'!Y:Y,0,0,1)</f>
        <v>3545266902.7705994</v>
      </c>
      <c r="AK143"/>
      <c r="AL143"/>
      <c r="AM143"/>
    </row>
    <row r="144" spans="1:39">
      <c r="A144" s="44">
        <v>155</v>
      </c>
      <c r="B144" s="37" t="s">
        <v>1403</v>
      </c>
      <c r="C144" s="118">
        <f>+_xlfn.XLOOKUP(PROYECTOS[[#This Row],[ID_NECESIDAD]],'1.RADICADOS'!G:G,'1.RADICADOS'!C:C,0,0,1)*1</f>
        <v>45616</v>
      </c>
      <c r="D144" s="46" t="s">
        <v>209</v>
      </c>
      <c r="E144" s="47" t="str">
        <f>+_xlfn.XLOOKUP(PROYECTOS[[#This Row],[MUNICIPIO]],MUNICIPIOS!A:A,MUNICIPIOS!E:E,0,0,1)</f>
        <v>Norte</v>
      </c>
      <c r="F144" s="44">
        <f>+_xlfn.XLOOKUP(PROYECTOS[[#This Row],[MUNICIPIO]],MUNICIPIOS!A:A,MUNICIPIOS!F:F,0,0,1)</f>
        <v>-75.439273999999997</v>
      </c>
      <c r="G144" s="44">
        <f>+_xlfn.XLOOKUP(PROYECTOS[[#This Row],[MUNICIPIO]],MUNICIPIOS!A:A,MUNICIPIOS!G:G,0,0,1)</f>
        <v>7.1651999999999996</v>
      </c>
      <c r="H144" s="44">
        <f>+_xlfn.XLOOKUP(PROYECTOS[[#This Row],[MUNICIPIO]],MUNICIPIOS!A:A,MUNICIPIOS!B:B,0,0,1)</f>
        <v>1</v>
      </c>
      <c r="I144" s="44">
        <f>+_xlfn.XLOOKUP(PROYECTOS[[#This Row],[MUNICIPIO]],MUNICIPIOS!A:A,MUNICIPIOS!C:C,0,0,1)</f>
        <v>1</v>
      </c>
      <c r="J144" s="3" t="str" cm="1">
        <f t="array" ref="J144">_xlfn.TEXTJOIN(" ", TRUE, IF(radicados[ID PROYECTOS]=A144, radicados[RADICADO], ""))</f>
        <v>2025010011461</v>
      </c>
      <c r="K144" s="45">
        <v>3</v>
      </c>
      <c r="L144" s="48">
        <v>1541708549</v>
      </c>
      <c r="M144" s="34" t="s">
        <v>401</v>
      </c>
      <c r="N144" s="34" t="s">
        <v>398</v>
      </c>
      <c r="O144" s="34" t="s">
        <v>25</v>
      </c>
      <c r="P144" s="37"/>
      <c r="Q144" s="45"/>
      <c r="R144" s="43"/>
      <c r="S144" s="43"/>
      <c r="T144" s="44">
        <f>+_xlfn.XLOOKUP(PROYECTOS[[#This Row],[MUNICIPIO]],'4.CAP_ENDMNT'!B:B,'4.CAP_ENDMNT'!C:C,0,0,1)</f>
        <v>6</v>
      </c>
      <c r="U144" s="139">
        <f>+_xlfn.XLOOKUP(PROYECTOS[[#This Row],[MUNICIPIO]],'4.CAP_ENDMNT'!B:B,'4.CAP_ENDMNT'!D:D,0,0,1)</f>
        <v>13037566833.207003</v>
      </c>
      <c r="V144" s="140">
        <f>+_xlfn.XLOOKUP(PROYECTOS[[#This Row],[MUNICIPIO]],'4.CAP_ENDMNT'!B:B,'4.CAP_ENDMNT'!E:E,0,0,1)</f>
        <v>3869989518.3099999</v>
      </c>
      <c r="W144" s="140">
        <f>+_xlfn.XLOOKUP(PROYECTOS[[#This Row],[MUNICIPIO]],'4.CAP_ENDMNT'!B:B,'4.CAP_ENDMNT'!F:F,0,0,1)</f>
        <v>9167577314.8970032</v>
      </c>
      <c r="X144" s="140">
        <f>+_xlfn.XLOOKUP(PROYECTOS[[#This Row],[MUNICIPIO]],'4.CAP_ENDMNT'!B:B,'4.CAP_ENDMNT'!G:G,0,0,1)</f>
        <v>3761583922</v>
      </c>
      <c r="Y144" s="140">
        <f>+_xlfn.XLOOKUP(PROYECTOS[[#This Row],[MUNICIPIO]],'4.CAP_ENDMNT'!B:B,'4.CAP_ENDMNT'!H:H,0,0,1)</f>
        <v>0</v>
      </c>
      <c r="Z144" s="140">
        <f>+_xlfn.XLOOKUP(PROYECTOS[[#This Row],[MUNICIPIO]],'4.CAP_ENDMNT'!B:B,'4.CAP_ENDMNT'!I:I,0,0,1)</f>
        <v>3761583922</v>
      </c>
      <c r="AA144" s="134">
        <f>+_xlfn.XLOOKUP(PROYECTOS[[#This Row],[MUNICIPIO]],'4.CAP_ENDMNT'!B:B,'4.CAP_ENDMNT'!J:J,0,0,1)</f>
        <v>0.28851886016178674</v>
      </c>
      <c r="AB144" s="140">
        <f>+_xlfn.XLOOKUP(PROYECTOS[[#This Row],[MUNICIPIO]],'4.CAP_ENDMNT'!B:B,'4.CAP_ENDMNT'!K:K,0,0,1)</f>
        <v>9275982911.2070026</v>
      </c>
      <c r="AC144" s="140">
        <f>+_xlfn.XLOOKUP(PROYECTOS[[#This Row],[MUNICIPIO]],'4.CAP_ENDMNT'!B:B,'4.CAP_ENDMNT'!L:L,0,0,1)</f>
        <v>7420786328.9656029</v>
      </c>
      <c r="AD144" s="140">
        <f>+_xlfn.XLOOKUP(PROYECTOS[[#This Row],[MUNICIPIO]],'4.CAP_ENDMNT'!B:B,'4.CAP_ENDMNT'!M:M,0,0,1)</f>
        <v>5565589746.7242012</v>
      </c>
      <c r="AE144" s="134">
        <f>+_xlfn.XLOOKUP(PROYECTOS[[#This Row],[MUNICIPIO]],'4.CAP_ENDMNT'!B:B,'4.CAP_ENDMNT'!N:N,0,0,1)</f>
        <v>1</v>
      </c>
      <c r="AF144" s="134">
        <f>+_xlfn.XLOOKUP(PROYECTOS[[#This Row],[MUNICIPIO]],'4.CAP_ENDMNT'!B:B,'4.CAP_ENDMNT'!O:O,0,0,1)</f>
        <v>0.55776534569064784</v>
      </c>
      <c r="AG144" s="134">
        <f>+_xlfn.XLOOKUP(PROYECTOS[[#This Row],[MUNICIPIO]],'4.CAP_ENDMNT'!B:B,'4.CAP_ENDMNT'!P:P,0,0,1)</f>
        <v>0.8</v>
      </c>
      <c r="AH144" s="44" t="str">
        <f>+_xlfn.XLOOKUP(PROYECTOS[[#This Row],[MUNICIPIO]],'4.CAP_ENDMNT'!B:B,'4.CAP_ENDMNT'!Q:Q,0,0,1)</f>
        <v>Cumple</v>
      </c>
      <c r="AI144" s="139">
        <f>+_xlfn.XLOOKUP(PROYECTOS[[#This Row],[MUNICIPIO]],'4.CAP_ENDMNT'!B:B,'4.CAP_ENDMNT'!V:V,0,0,1)</f>
        <v>1113117949.3448403</v>
      </c>
      <c r="AJ144" s="139">
        <f>+_xlfn.XLOOKUP(PROYECTOS[[#This Row],[MUNICIPIO]],'4.CAP_ENDMNT'!B:B,'4.CAP_ENDMNT'!Y:Y,0,0,1)</f>
        <v>-623173287.21095943</v>
      </c>
      <c r="AK144"/>
      <c r="AL144"/>
      <c r="AM144"/>
    </row>
    <row r="145" spans="1:39">
      <c r="A145" s="44">
        <v>156</v>
      </c>
      <c r="B145" s="37" t="s">
        <v>1587</v>
      </c>
      <c r="C145" s="118">
        <f>+_xlfn.XLOOKUP(PROYECTOS[[#This Row],[ID_NECESIDAD]],'1.RADICADOS'!G:G,'1.RADICADOS'!C:C,0,0,1)*1</f>
        <v>45684</v>
      </c>
      <c r="D145" s="46" t="s">
        <v>286</v>
      </c>
      <c r="E145" s="47" t="str">
        <f>+_xlfn.XLOOKUP(PROYECTOS[[#This Row],[MUNICIPIO]],MUNICIPIOS!A:A,MUNICIPIOS!E:E,0,0,1)</f>
        <v>Norte</v>
      </c>
      <c r="F145" s="44">
        <f>+_xlfn.XLOOKUP(PROYECTOS[[#This Row],[MUNICIPIO]],MUNICIPIOS!A:A,MUNICIPIOS!F:F,0,0,1)</f>
        <v>-75.298090999999999</v>
      </c>
      <c r="G145" s="44" t="str">
        <f>+_xlfn.XLOOKUP(PROYECTOS[[#This Row],[MUNICIPIO]],MUNICIPIOS!A:A,MUNICIPIOS!G:G,0,0,1)</f>
        <v>6,979771</v>
      </c>
      <c r="H145" s="44">
        <f>+_xlfn.XLOOKUP(PROYECTOS[[#This Row],[MUNICIPIO]],MUNICIPIOS!A:A,MUNICIPIOS!B:B,0,0,1)</f>
        <v>0</v>
      </c>
      <c r="I145" s="44">
        <f>+_xlfn.XLOOKUP(PROYECTOS[[#This Row],[MUNICIPIO]],MUNICIPIOS!A:A,MUNICIPIOS!C:C,0,0,1)</f>
        <v>1</v>
      </c>
      <c r="J145" s="3" t="str" cm="1">
        <f t="array" ref="J145">_xlfn.TEXTJOIN(" ", TRUE, IF(radicados[ID PROYECTOS]=A145, radicados[RADICADO], ""))</f>
        <v>2025010031841</v>
      </c>
      <c r="K145" s="45">
        <v>3</v>
      </c>
      <c r="L145" s="48">
        <v>6202802054</v>
      </c>
      <c r="M145" s="34" t="s">
        <v>288</v>
      </c>
      <c r="N145" s="40" t="s">
        <v>398</v>
      </c>
      <c r="O145" s="40" t="s">
        <v>25</v>
      </c>
      <c r="P145" s="37"/>
      <c r="Q145" s="45">
        <v>1</v>
      </c>
      <c r="R145" s="43" t="s">
        <v>922</v>
      </c>
      <c r="S145" s="43" t="s">
        <v>1639</v>
      </c>
      <c r="T145" s="44">
        <f>+_xlfn.XLOOKUP(PROYECTOS[[#This Row],[MUNICIPIO]],'4.CAP_ENDMNT'!B:B,'4.CAP_ENDMNT'!C:C,0,0,1)</f>
        <v>6</v>
      </c>
      <c r="U145" s="139">
        <f>+_xlfn.XLOOKUP(PROYECTOS[[#This Row],[MUNICIPIO]],'4.CAP_ENDMNT'!B:B,'4.CAP_ENDMNT'!D:D,0,0,1)</f>
        <v>8809287720.75</v>
      </c>
      <c r="V145" s="140">
        <f>+_xlfn.XLOOKUP(PROYECTOS[[#This Row],[MUNICIPIO]],'4.CAP_ENDMNT'!B:B,'4.CAP_ENDMNT'!E:E,0,0,1)</f>
        <v>2669441983.3800001</v>
      </c>
      <c r="W145" s="140">
        <f>+_xlfn.XLOOKUP(PROYECTOS[[#This Row],[MUNICIPIO]],'4.CAP_ENDMNT'!B:B,'4.CAP_ENDMNT'!F:F,0,0,1)</f>
        <v>6139845737.3699999</v>
      </c>
      <c r="X145" s="140">
        <f>+_xlfn.XLOOKUP(PROYECTOS[[#This Row],[MUNICIPIO]],'4.CAP_ENDMNT'!B:B,'4.CAP_ENDMNT'!G:G,0,0,1)</f>
        <v>3083047525</v>
      </c>
      <c r="Y145" s="140">
        <f>+_xlfn.XLOOKUP(PROYECTOS[[#This Row],[MUNICIPIO]],'4.CAP_ENDMNT'!B:B,'4.CAP_ENDMNT'!H:H,0,0,1)</f>
        <v>0</v>
      </c>
      <c r="Z145" s="140">
        <f>+_xlfn.XLOOKUP(PROYECTOS[[#This Row],[MUNICIPIO]],'4.CAP_ENDMNT'!B:B,'4.CAP_ENDMNT'!I:I,0,0,1)</f>
        <v>3083047525</v>
      </c>
      <c r="AA145" s="134">
        <f>+_xlfn.XLOOKUP(PROYECTOS[[#This Row],[MUNICIPIO]],'4.CAP_ENDMNT'!B:B,'4.CAP_ENDMNT'!J:J,0,0,1)</f>
        <v>0.34997693601696972</v>
      </c>
      <c r="AB145" s="140">
        <f>+_xlfn.XLOOKUP(PROYECTOS[[#This Row],[MUNICIPIO]],'4.CAP_ENDMNT'!B:B,'4.CAP_ENDMNT'!K:K,0,0,1)</f>
        <v>5726240195.75</v>
      </c>
      <c r="AC145" s="140">
        <f>+_xlfn.XLOOKUP(PROYECTOS[[#This Row],[MUNICIPIO]],'4.CAP_ENDMNT'!B:B,'4.CAP_ENDMNT'!L:L,0,0,1)</f>
        <v>4580992156.6000004</v>
      </c>
      <c r="AD145" s="140">
        <f>+_xlfn.XLOOKUP(PROYECTOS[[#This Row],[MUNICIPIO]],'4.CAP_ENDMNT'!B:B,'4.CAP_ENDMNT'!M:M,0,0,1)</f>
        <v>3435744117.4499998</v>
      </c>
      <c r="AE145" s="134">
        <f>+_xlfn.XLOOKUP(PROYECTOS[[#This Row],[MUNICIPIO]],'4.CAP_ENDMNT'!B:B,'4.CAP_ENDMNT'!N:N,0,0,1)</f>
        <v>1</v>
      </c>
      <c r="AF145" s="134">
        <f>+_xlfn.XLOOKUP(PROYECTOS[[#This Row],[MUNICIPIO]],'4.CAP_ENDMNT'!B:B,'4.CAP_ENDMNT'!O:O,0,0,1)</f>
        <v>0.72230003829506451</v>
      </c>
      <c r="AG145" s="134">
        <f>+_xlfn.XLOOKUP(PROYECTOS[[#This Row],[MUNICIPIO]],'4.CAP_ENDMNT'!B:B,'4.CAP_ENDMNT'!P:P,0,0,1)</f>
        <v>0.8</v>
      </c>
      <c r="AH145" s="44" t="str">
        <f>+_xlfn.XLOOKUP(PROYECTOS[[#This Row],[MUNICIPIO]],'4.CAP_ENDMNT'!B:B,'4.CAP_ENDMNT'!Q:Q,0,0,1)</f>
        <v>Cumple</v>
      </c>
      <c r="AI145" s="139">
        <f>+_xlfn.XLOOKUP(PROYECTOS[[#This Row],[MUNICIPIO]],'4.CAP_ENDMNT'!B:B,'4.CAP_ENDMNT'!V:V,0,0,1)</f>
        <v>687148823.49000001</v>
      </c>
      <c r="AJ145" s="139">
        <f>+_xlfn.XLOOKUP(PROYECTOS[[#This Row],[MUNICIPIO]],'4.CAP_ENDMNT'!B:B,'4.CAP_ENDMNT'!Y:Y,0,0,1)</f>
        <v>-2079909113.0600004</v>
      </c>
      <c r="AK145"/>
      <c r="AL145"/>
      <c r="AM145"/>
    </row>
    <row r="146" spans="1:39">
      <c r="A146" s="44">
        <v>157</v>
      </c>
      <c r="B146" s="37" t="s">
        <v>431</v>
      </c>
      <c r="C146" s="118">
        <f>+_xlfn.XLOOKUP(PROYECTOS[[#This Row],[ID_NECESIDAD]],'1.RADICADOS'!G:G,'1.RADICADOS'!C:C,0,0,1)*1</f>
        <v>45678</v>
      </c>
      <c r="D146" s="46" t="s">
        <v>4</v>
      </c>
      <c r="E146" s="47" t="str">
        <f>+_xlfn.XLOOKUP(PROYECTOS[[#This Row],[MUNICIPIO]],MUNICIPIOS!A:A,MUNICIPIOS!E:E,0,0,1)</f>
        <v>Nordeste</v>
      </c>
      <c r="F146" s="44">
        <f>+_xlfn.XLOOKUP(PROYECTOS[[#This Row],[MUNICIPIO]],MUNICIPIOS!A:A,MUNICIPIOS!F:F,0,0,1)</f>
        <v>-74.798714000000004</v>
      </c>
      <c r="G146" s="44">
        <f>+_xlfn.XLOOKUP(PROYECTOS[[#This Row],[MUNICIPIO]],MUNICIPIOS!A:A,MUNICIPIOS!G:G,0,0,1)</f>
        <v>6.7735250000000002</v>
      </c>
      <c r="H146" s="44">
        <f>+_xlfn.XLOOKUP(PROYECTOS[[#This Row],[MUNICIPIO]],MUNICIPIOS!A:A,MUNICIPIOS!B:B,0,0,1)</f>
        <v>0</v>
      </c>
      <c r="I146" s="44">
        <f>+_xlfn.XLOOKUP(PROYECTOS[[#This Row],[MUNICIPIO]],MUNICIPIOS!A:A,MUNICIPIOS!C:C,0,0,1)</f>
        <v>1</v>
      </c>
      <c r="J146" s="3" t="str" cm="1">
        <f t="array" ref="J146">_xlfn.TEXTJOIN(" ", TRUE, IF(radicados[ID PROYECTOS]=A146, radicados[RADICADO], ""))</f>
        <v>2025010028865 2025010028861</v>
      </c>
      <c r="K146" s="45">
        <v>3</v>
      </c>
      <c r="L146" s="48">
        <v>7470010822</v>
      </c>
      <c r="M146" s="34" t="s">
        <v>401</v>
      </c>
      <c r="N146" s="34" t="s">
        <v>394</v>
      </c>
      <c r="O146" s="34" t="s">
        <v>18</v>
      </c>
      <c r="P146" s="37"/>
      <c r="Q146" s="45"/>
      <c r="R146" s="43"/>
      <c r="S146" s="43"/>
      <c r="T146" s="44">
        <f>+_xlfn.XLOOKUP(PROYECTOS[[#This Row],[MUNICIPIO]],'4.CAP_ENDMNT'!B:B,'4.CAP_ENDMNT'!C:C,0,0,1)</f>
        <v>6</v>
      </c>
      <c r="U146" s="139">
        <f>+_xlfn.XLOOKUP(PROYECTOS[[#This Row],[MUNICIPIO]],'4.CAP_ENDMNT'!B:B,'4.CAP_ENDMNT'!D:D,0,0,1)</f>
        <v>14438255937.0725</v>
      </c>
      <c r="V146" s="140">
        <f>+_xlfn.XLOOKUP(PROYECTOS[[#This Row],[MUNICIPIO]],'4.CAP_ENDMNT'!B:B,'4.CAP_ENDMNT'!E:E,0,0,1)</f>
        <v>4668200945.8400002</v>
      </c>
      <c r="W146" s="140">
        <f>+_xlfn.XLOOKUP(PROYECTOS[[#This Row],[MUNICIPIO]],'4.CAP_ENDMNT'!B:B,'4.CAP_ENDMNT'!F:F,0,0,1)</f>
        <v>9770054991.2325001</v>
      </c>
      <c r="X146" s="140">
        <f>+_xlfn.XLOOKUP(PROYECTOS[[#This Row],[MUNICIPIO]],'4.CAP_ENDMNT'!B:B,'4.CAP_ENDMNT'!G:G,0,0,1)</f>
        <v>2534414723</v>
      </c>
      <c r="Y146" s="140">
        <f>+_xlfn.XLOOKUP(PROYECTOS[[#This Row],[MUNICIPIO]],'4.CAP_ENDMNT'!B:B,'4.CAP_ENDMNT'!H:H,0,0,1)</f>
        <v>0</v>
      </c>
      <c r="Z146" s="140">
        <f>+_xlfn.XLOOKUP(PROYECTOS[[#This Row],[MUNICIPIO]],'4.CAP_ENDMNT'!B:B,'4.CAP_ENDMNT'!I:I,0,0,1)</f>
        <v>2534414723</v>
      </c>
      <c r="AA146" s="134">
        <f>+_xlfn.XLOOKUP(PROYECTOS[[#This Row],[MUNICIPIO]],'4.CAP_ENDMNT'!B:B,'4.CAP_ENDMNT'!J:J,0,0,1)</f>
        <v>0.17553468604836753</v>
      </c>
      <c r="AB146" s="140">
        <f>+_xlfn.XLOOKUP(PROYECTOS[[#This Row],[MUNICIPIO]],'4.CAP_ENDMNT'!B:B,'4.CAP_ENDMNT'!K:K,0,0,1)</f>
        <v>11903841214.0725</v>
      </c>
      <c r="AC146" s="140">
        <f>+_xlfn.XLOOKUP(PROYECTOS[[#This Row],[MUNICIPIO]],'4.CAP_ENDMNT'!B:B,'4.CAP_ENDMNT'!L:L,0,0,1)</f>
        <v>9523072971.2580013</v>
      </c>
      <c r="AD146" s="140">
        <f>+_xlfn.XLOOKUP(PROYECTOS[[#This Row],[MUNICIPIO]],'4.CAP_ENDMNT'!B:B,'4.CAP_ENDMNT'!M:M,0,0,1)</f>
        <v>7142304728.4434996</v>
      </c>
      <c r="AE146" s="134">
        <f>+_xlfn.XLOOKUP(PROYECTOS[[#This Row],[MUNICIPIO]],'4.CAP_ENDMNT'!B:B,'4.CAP_ENDMNT'!N:N,0,0,1)</f>
        <v>1</v>
      </c>
      <c r="AF146" s="134">
        <f>+_xlfn.XLOOKUP(PROYECTOS[[#This Row],[MUNICIPIO]],'4.CAP_ENDMNT'!B:B,'4.CAP_ENDMNT'!O:O,0,0,1)</f>
        <v>0.5148707777903756</v>
      </c>
      <c r="AG146" s="134">
        <f>+_xlfn.XLOOKUP(PROYECTOS[[#This Row],[MUNICIPIO]],'4.CAP_ENDMNT'!B:B,'4.CAP_ENDMNT'!P:P,0,0,1)</f>
        <v>0.8</v>
      </c>
      <c r="AH146" s="44" t="str">
        <f>+_xlfn.XLOOKUP(PROYECTOS[[#This Row],[MUNICIPIO]],'4.CAP_ENDMNT'!B:B,'4.CAP_ENDMNT'!Q:Q,0,0,1)</f>
        <v>Cumple</v>
      </c>
      <c r="AI146" s="139">
        <f>+_xlfn.XLOOKUP(PROYECTOS[[#This Row],[MUNICIPIO]],'4.CAP_ENDMNT'!B:B,'4.CAP_ENDMNT'!V:V,0,0,1)</f>
        <v>1428460945.6887</v>
      </c>
      <c r="AJ146" s="139">
        <f>+_xlfn.XLOOKUP(PROYECTOS[[#This Row],[MUNICIPIO]],'4.CAP_ENDMNT'!B:B,'4.CAP_ENDMNT'!Y:Y,0,0,1)</f>
        <v>1100754852.1321993</v>
      </c>
      <c r="AK146"/>
      <c r="AL146"/>
      <c r="AM146"/>
    </row>
    <row r="147" spans="1:39">
      <c r="A147" s="44">
        <v>158</v>
      </c>
      <c r="B147" s="37" t="s">
        <v>290</v>
      </c>
      <c r="C147" s="118">
        <f>+_xlfn.XLOOKUP(PROYECTOS[[#This Row],[ID_NECESIDAD]],'1.RADICADOS'!G:G,'1.RADICADOS'!C:C,0,0,1)*1</f>
        <v>45680</v>
      </c>
      <c r="D147" s="46" t="s">
        <v>70</v>
      </c>
      <c r="E147" s="47" t="str">
        <f>+_xlfn.XLOOKUP(PROYECTOS[[#This Row],[MUNICIPIO]],MUNICIPIOS!A:A,MUNICIPIOS!E:E,0,0,1)</f>
        <v>Oriente</v>
      </c>
      <c r="F147" s="44">
        <f>+_xlfn.XLOOKUP(PROYECTOS[[#This Row],[MUNICIPIO]],MUNICIPIOS!A:A,MUNICIPIOS!F:F,0,0,1)</f>
        <v>-75.141345999999999</v>
      </c>
      <c r="G147" s="44" t="str">
        <f>+_xlfn.XLOOKUP(PROYECTOS[[#This Row],[MUNICIPIO]],MUNICIPIOS!A:A,MUNICIPIOS!G:G,0,0,1)</f>
        <v>6,376061</v>
      </c>
      <c r="H147" s="44">
        <f>+_xlfn.XLOOKUP(PROYECTOS[[#This Row],[MUNICIPIO]],MUNICIPIOS!A:A,MUNICIPIOS!B:B,0,0,1)</f>
        <v>0</v>
      </c>
      <c r="I147" s="44">
        <f>+_xlfn.XLOOKUP(PROYECTOS[[#This Row],[MUNICIPIO]],MUNICIPIOS!A:A,MUNICIPIOS!C:C,0,0,1)</f>
        <v>1</v>
      </c>
      <c r="J147" s="3" t="str" cm="1">
        <f t="array" ref="J147">_xlfn.TEXTJOIN(" ", TRUE, IF(radicados[ID PROYECTOS]=A147, radicados[RADICADO], ""))</f>
        <v>2025010056787</v>
      </c>
      <c r="K147" s="45">
        <v>3</v>
      </c>
      <c r="L147" s="48">
        <v>1406675371</v>
      </c>
      <c r="M147" s="34" t="s">
        <v>288</v>
      </c>
      <c r="N147" s="40" t="s">
        <v>398</v>
      </c>
      <c r="O147" s="40" t="s">
        <v>25</v>
      </c>
      <c r="P147" s="37" t="s">
        <v>965</v>
      </c>
      <c r="Q147" s="45"/>
      <c r="R147" s="43"/>
      <c r="S147" s="43"/>
      <c r="T147" s="44">
        <f>+_xlfn.XLOOKUP(PROYECTOS[[#This Row],[MUNICIPIO]],'4.CAP_ENDMNT'!B:B,'4.CAP_ENDMNT'!C:C,0,0,1)</f>
        <v>6</v>
      </c>
      <c r="U147" s="139">
        <f>+_xlfn.XLOOKUP(PROYECTOS[[#This Row],[MUNICIPIO]],'4.CAP_ENDMNT'!B:B,'4.CAP_ENDMNT'!D:D,0,0,1)</f>
        <v>8362831920.7600002</v>
      </c>
      <c r="V147" s="140">
        <f>+_xlfn.XLOOKUP(PROYECTOS[[#This Row],[MUNICIPIO]],'4.CAP_ENDMNT'!B:B,'4.CAP_ENDMNT'!E:E,0,0,1)</f>
        <v>2199279418.0799999</v>
      </c>
      <c r="W147" s="140">
        <f>+_xlfn.XLOOKUP(PROYECTOS[[#This Row],[MUNICIPIO]],'4.CAP_ENDMNT'!B:B,'4.CAP_ENDMNT'!F:F,0,0,1)</f>
        <v>6163552502.6800003</v>
      </c>
      <c r="X147" s="140">
        <f>+_xlfn.XLOOKUP(PROYECTOS[[#This Row],[MUNICIPIO]],'4.CAP_ENDMNT'!B:B,'4.CAP_ENDMNT'!G:G,0,0,1)</f>
        <v>284104325</v>
      </c>
      <c r="Y147" s="140">
        <f>+_xlfn.XLOOKUP(PROYECTOS[[#This Row],[MUNICIPIO]],'4.CAP_ENDMNT'!B:B,'4.CAP_ENDMNT'!H:H,0,0,1)</f>
        <v>209000000</v>
      </c>
      <c r="Z147" s="140">
        <f>+_xlfn.XLOOKUP(PROYECTOS[[#This Row],[MUNICIPIO]],'4.CAP_ENDMNT'!B:B,'4.CAP_ENDMNT'!I:I,0,0,1)</f>
        <v>493104325</v>
      </c>
      <c r="AA147" s="134">
        <f>+_xlfn.XLOOKUP(PROYECTOS[[#This Row],[MUNICIPIO]],'4.CAP_ENDMNT'!B:B,'4.CAP_ENDMNT'!J:J,0,0,1)</f>
        <v>5.8963797152961017E-2</v>
      </c>
      <c r="AB147" s="140">
        <f>+_xlfn.XLOOKUP(PROYECTOS[[#This Row],[MUNICIPIO]],'4.CAP_ENDMNT'!B:B,'4.CAP_ENDMNT'!K:K,0,0,1)</f>
        <v>7869727595.7600002</v>
      </c>
      <c r="AC147" s="140">
        <f>+_xlfn.XLOOKUP(PROYECTOS[[#This Row],[MUNICIPIO]],'4.CAP_ENDMNT'!B:B,'4.CAP_ENDMNT'!L:L,0,0,1)</f>
        <v>6295782076.6080008</v>
      </c>
      <c r="AD147" s="140">
        <f>+_xlfn.XLOOKUP(PROYECTOS[[#This Row],[MUNICIPIO]],'4.CAP_ENDMNT'!B:B,'4.CAP_ENDMNT'!M:M,0,0,1)</f>
        <v>4721836557.4560003</v>
      </c>
      <c r="AE147" s="134">
        <f>+_xlfn.XLOOKUP(PROYECTOS[[#This Row],[MUNICIPIO]],'4.CAP_ENDMNT'!B:B,'4.CAP_ENDMNT'!N:N,0,0,1)</f>
        <v>0.57615459973911198</v>
      </c>
      <c r="AF147" s="134">
        <f>+_xlfn.XLOOKUP(PROYECTOS[[#This Row],[MUNICIPIO]],'4.CAP_ENDMNT'!B:B,'4.CAP_ENDMNT'!O:O,0,0,1)</f>
        <v>0.61308928502962989</v>
      </c>
      <c r="AG147" s="134">
        <f>+_xlfn.XLOOKUP(PROYECTOS[[#This Row],[MUNICIPIO]],'4.CAP_ENDMNT'!B:B,'4.CAP_ENDMNT'!P:P,0,0,1)</f>
        <v>0.8</v>
      </c>
      <c r="AH147" s="44" t="str">
        <f>+_xlfn.XLOOKUP(PROYECTOS[[#This Row],[MUNICIPIO]],'4.CAP_ENDMNT'!B:B,'4.CAP_ENDMNT'!Q:Q,0,0,1)</f>
        <v>Cumple</v>
      </c>
      <c r="AI147" s="139">
        <f>+_xlfn.XLOOKUP(PROYECTOS[[#This Row],[MUNICIPIO]],'4.CAP_ENDMNT'!B:B,'4.CAP_ENDMNT'!V:V,0,0,1)</f>
        <v>944367311.49120009</v>
      </c>
      <c r="AJ147" s="139">
        <f>+_xlfn.XLOOKUP(PROYECTOS[[#This Row],[MUNICIPIO]],'4.CAP_ENDMNT'!B:B,'4.CAP_ENDMNT'!Y:Y,0,0,1)</f>
        <v>-7856322705.0527992</v>
      </c>
      <c r="AK147"/>
      <c r="AL147"/>
      <c r="AM147"/>
    </row>
    <row r="148" spans="1:39">
      <c r="A148" s="44">
        <v>159</v>
      </c>
      <c r="B148" s="37" t="s">
        <v>1586</v>
      </c>
      <c r="C148" s="118">
        <f>+_xlfn.XLOOKUP(PROYECTOS[[#This Row],[ID_NECESIDAD]],'1.RADICADOS'!G:G,'1.RADICADOS'!C:C,0,0,1)*1</f>
        <v>45363</v>
      </c>
      <c r="D148" s="46" t="s">
        <v>127</v>
      </c>
      <c r="E148" s="47" t="str">
        <f>+_xlfn.XLOOKUP(PROYECTOS[[#This Row],[MUNICIPIO]],MUNICIPIOS!A:A,MUNICIPIOS!E:E,0,0,1)</f>
        <v>Suroeste</v>
      </c>
      <c r="F148" s="44">
        <f>+_xlfn.XLOOKUP(PROYECTOS[[#This Row],[MUNICIPIO]],MUNICIPIOS!A:A,MUNICIPIOS!F:F,0,0,1)</f>
        <v>-75.976789999999994</v>
      </c>
      <c r="G148" s="44" t="str">
        <f>+_xlfn.XLOOKUP(PROYECTOS[[#This Row],[MUNICIPIO]],MUNICIPIOS!A:A,MUNICIPIOS!G:G,0,0,1)</f>
        <v>5,74615</v>
      </c>
      <c r="H148" s="44">
        <f>+_xlfn.XLOOKUP(PROYECTOS[[#This Row],[MUNICIPIO]],MUNICIPIOS!A:A,MUNICIPIOS!B:B,0,0,1)</f>
        <v>0</v>
      </c>
      <c r="I148" s="44">
        <f>+_xlfn.XLOOKUP(PROYECTOS[[#This Row],[MUNICIPIO]],MUNICIPIOS!A:A,MUNICIPIOS!C:C,0,0,1)</f>
        <v>0</v>
      </c>
      <c r="J148" s="3" t="str" cm="1">
        <f t="array" ref="J148">_xlfn.TEXTJOIN(" ", TRUE, IF(radicados[ID PROYECTOS]=A148, radicados[RADICADO], ""))</f>
        <v>2024010556193 2025010057498 2025010057500</v>
      </c>
      <c r="K148" s="45">
        <v>3</v>
      </c>
      <c r="L148" s="48">
        <v>2457394197</v>
      </c>
      <c r="M148" s="34" t="s">
        <v>288</v>
      </c>
      <c r="N148" s="40" t="s">
        <v>398</v>
      </c>
      <c r="O148" s="40" t="s">
        <v>25</v>
      </c>
      <c r="P148" s="37"/>
      <c r="Q148" s="45">
        <v>1</v>
      </c>
      <c r="R148" s="43" t="s">
        <v>922</v>
      </c>
      <c r="S148" s="43" t="s">
        <v>1639</v>
      </c>
      <c r="T148" s="44">
        <f>+_xlfn.XLOOKUP(PROYECTOS[[#This Row],[MUNICIPIO]],'4.CAP_ENDMNT'!B:B,'4.CAP_ENDMNT'!C:C,0,0,1)</f>
        <v>6</v>
      </c>
      <c r="U148" s="139">
        <f>+_xlfn.XLOOKUP(PROYECTOS[[#This Row],[MUNICIPIO]],'4.CAP_ENDMNT'!B:B,'4.CAP_ENDMNT'!D:D,0,0,1)</f>
        <v>9197355968.8835011</v>
      </c>
      <c r="V148" s="140">
        <f>+_xlfn.XLOOKUP(PROYECTOS[[#This Row],[MUNICIPIO]],'4.CAP_ENDMNT'!B:B,'4.CAP_ENDMNT'!E:E,0,0,1)</f>
        <v>3350398615.7000003</v>
      </c>
      <c r="W148" s="140">
        <f>+_xlfn.XLOOKUP(PROYECTOS[[#This Row],[MUNICIPIO]],'4.CAP_ENDMNT'!B:B,'4.CAP_ENDMNT'!F:F,0,0,1)</f>
        <v>5846957353.1835003</v>
      </c>
      <c r="X148" s="140">
        <f>+_xlfn.XLOOKUP(PROYECTOS[[#This Row],[MUNICIPIO]],'4.CAP_ENDMNT'!B:B,'4.CAP_ENDMNT'!G:G,0,0,1)</f>
        <v>958841544</v>
      </c>
      <c r="Y148" s="140">
        <f>+_xlfn.XLOOKUP(PROYECTOS[[#This Row],[MUNICIPIO]],'4.CAP_ENDMNT'!B:B,'4.CAP_ENDMNT'!H:H,0,0,1)</f>
        <v>680000000</v>
      </c>
      <c r="Z148" s="140">
        <f>+_xlfn.XLOOKUP(PROYECTOS[[#This Row],[MUNICIPIO]],'4.CAP_ENDMNT'!B:B,'4.CAP_ENDMNT'!I:I,0,0,1)</f>
        <v>1638841544</v>
      </c>
      <c r="AA148" s="134">
        <f>+_xlfn.XLOOKUP(PROYECTOS[[#This Row],[MUNICIPIO]],'4.CAP_ENDMNT'!B:B,'4.CAP_ENDMNT'!J:J,0,0,1)</f>
        <v>0.17818616019044273</v>
      </c>
      <c r="AB148" s="140">
        <f>+_xlfn.XLOOKUP(PROYECTOS[[#This Row],[MUNICIPIO]],'4.CAP_ENDMNT'!B:B,'4.CAP_ENDMNT'!K:K,0,0,1)</f>
        <v>7558514424.8835011</v>
      </c>
      <c r="AC148" s="140">
        <f>+_xlfn.XLOOKUP(PROYECTOS[[#This Row],[MUNICIPIO]],'4.CAP_ENDMNT'!B:B,'4.CAP_ENDMNT'!L:L,0,0,1)</f>
        <v>6046811539.9068012</v>
      </c>
      <c r="AD148" s="140">
        <f>+_xlfn.XLOOKUP(PROYECTOS[[#This Row],[MUNICIPIO]],'4.CAP_ENDMNT'!B:B,'4.CAP_ENDMNT'!M:M,0,0,1)</f>
        <v>4535108654.9301004</v>
      </c>
      <c r="AE148" s="134">
        <f>+_xlfn.XLOOKUP(PROYECTOS[[#This Row],[MUNICIPIO]],'4.CAP_ENDMNT'!B:B,'4.CAP_ENDMNT'!N:N,0,0,1)</f>
        <v>0.58507275917579493</v>
      </c>
      <c r="AF148" s="134">
        <f>+_xlfn.XLOOKUP(PROYECTOS[[#This Row],[MUNICIPIO]],'4.CAP_ENDMNT'!B:B,'4.CAP_ENDMNT'!O:O,0,0,1)</f>
        <v>0.53687312631507866</v>
      </c>
      <c r="AG148" s="134">
        <f>+_xlfn.XLOOKUP(PROYECTOS[[#This Row],[MUNICIPIO]],'4.CAP_ENDMNT'!B:B,'4.CAP_ENDMNT'!P:P,0,0,1)</f>
        <v>0.8</v>
      </c>
      <c r="AH148" s="44" t="str">
        <f>+_xlfn.XLOOKUP(PROYECTOS[[#This Row],[MUNICIPIO]],'4.CAP_ENDMNT'!B:B,'4.CAP_ENDMNT'!Q:Q,0,0,1)</f>
        <v>Cumple</v>
      </c>
      <c r="AI148" s="139">
        <f>+_xlfn.XLOOKUP(PROYECTOS[[#This Row],[MUNICIPIO]],'4.CAP_ENDMNT'!B:B,'4.CAP_ENDMNT'!V:V,0,0,1)</f>
        <v>907021730.98602009</v>
      </c>
      <c r="AJ148" s="139">
        <f>+_xlfn.XLOOKUP(PROYECTOS[[#This Row],[MUNICIPIO]],'4.CAP_ENDMNT'!B:B,'4.CAP_ENDMNT'!Y:Y,0,0,1)</f>
        <v>-2964573994.0838795</v>
      </c>
      <c r="AK148"/>
      <c r="AL148"/>
      <c r="AM148"/>
    </row>
    <row r="149" spans="1:39">
      <c r="A149" s="44">
        <v>160</v>
      </c>
      <c r="B149" s="192" t="s">
        <v>432</v>
      </c>
      <c r="C149" s="118">
        <f>+_xlfn.XLOOKUP(PROYECTOS[[#This Row],[ID_NECESIDAD]],'1.RADICADOS'!G:G,'1.RADICADOS'!C:C,0,0,1)*1</f>
        <v>45700</v>
      </c>
      <c r="D149" s="46" t="s">
        <v>74</v>
      </c>
      <c r="E149" s="47" t="str">
        <f>+_xlfn.XLOOKUP(PROYECTOS[[#This Row],[MUNICIPIO]],MUNICIPIOS!A:A,MUNICIPIOS!E:E,0,0,1)</f>
        <v>Urabá</v>
      </c>
      <c r="F149" s="44">
        <f>+_xlfn.XLOOKUP(PROYECTOS[[#This Row],[MUNICIPIO]],MUNICIPIOS!A:A,MUNICIPIOS!F:F,0,0,1)</f>
        <v>-76.728858000000002</v>
      </c>
      <c r="G149" s="44">
        <f>+_xlfn.XLOOKUP(PROYECTOS[[#This Row],[MUNICIPIO]],MUNICIPIOS!A:A,MUNICIPIOS!G:G,0,0,1)</f>
        <v>8.0899289999999997</v>
      </c>
      <c r="H149" s="44">
        <f>+_xlfn.XLOOKUP(PROYECTOS[[#This Row],[MUNICIPIO]],MUNICIPIOS!A:A,MUNICIPIOS!B:B,0,0,1)</f>
        <v>1</v>
      </c>
      <c r="I149" s="44">
        <f>+_xlfn.XLOOKUP(PROYECTOS[[#This Row],[MUNICIPIO]],MUNICIPIOS!A:A,MUNICIPIOS!C:C,0,0,1)</f>
        <v>1</v>
      </c>
      <c r="J149" s="3" t="str" cm="1">
        <f t="array" ref="J149">_xlfn.TEXTJOIN(" ", TRUE, IF(radicados[ID PROYECTOS]=A149, radicados[RADICADO], ""))</f>
        <v>2025010065132 2025010189622</v>
      </c>
      <c r="K149" s="45">
        <v>3</v>
      </c>
      <c r="L149" s="48">
        <v>2467375711</v>
      </c>
      <c r="M149" s="34" t="s">
        <v>288</v>
      </c>
      <c r="N149" s="40" t="s">
        <v>398</v>
      </c>
      <c r="O149" s="40" t="s">
        <v>25</v>
      </c>
      <c r="Q149" s="45"/>
      <c r="R149" s="43"/>
      <c r="S149" s="43"/>
      <c r="T149" s="44">
        <f>+_xlfn.XLOOKUP(PROYECTOS[[#This Row],[MUNICIPIO]],'4.CAP_ENDMNT'!B:B,'4.CAP_ENDMNT'!C:C,0,0,1)</f>
        <v>5</v>
      </c>
      <c r="U149" s="139">
        <f>+_xlfn.XLOOKUP(PROYECTOS[[#This Row],[MUNICIPIO]],'4.CAP_ENDMNT'!B:B,'4.CAP_ENDMNT'!D:D,0,0,1)</f>
        <v>57277943756.629501</v>
      </c>
      <c r="V149" s="140">
        <f>+_xlfn.XLOOKUP(PROYECTOS[[#This Row],[MUNICIPIO]],'4.CAP_ENDMNT'!B:B,'4.CAP_ENDMNT'!E:E,0,0,1)</f>
        <v>34159399600.959999</v>
      </c>
      <c r="W149" s="140">
        <f>+_xlfn.XLOOKUP(PROYECTOS[[#This Row],[MUNICIPIO]],'4.CAP_ENDMNT'!B:B,'4.CAP_ENDMNT'!F:F,0,0,1)</f>
        <v>23118544155.669502</v>
      </c>
      <c r="X149" s="140">
        <f>+_xlfn.XLOOKUP(PROYECTOS[[#This Row],[MUNICIPIO]],'4.CAP_ENDMNT'!B:B,'4.CAP_ENDMNT'!G:G,0,0,1)</f>
        <v>3450000000</v>
      </c>
      <c r="Y149" s="140">
        <f>+_xlfn.XLOOKUP(PROYECTOS[[#This Row],[MUNICIPIO]],'4.CAP_ENDMNT'!B:B,'4.CAP_ENDMNT'!H:H,0,0,1)</f>
        <v>21452083665</v>
      </c>
      <c r="Z149" s="140">
        <f>+_xlfn.XLOOKUP(PROYECTOS[[#This Row],[MUNICIPIO]],'4.CAP_ENDMNT'!B:B,'4.CAP_ENDMNT'!I:I,0,0,1)</f>
        <v>24902083665</v>
      </c>
      <c r="AA149" s="134">
        <f>+_xlfn.XLOOKUP(PROYECTOS[[#This Row],[MUNICIPIO]],'4.CAP_ENDMNT'!B:B,'4.CAP_ENDMNT'!J:J,0,0,1)</f>
        <v>0.43475868775610099</v>
      </c>
      <c r="AB149" s="140">
        <f>+_xlfn.XLOOKUP(PROYECTOS[[#This Row],[MUNICIPIO]],'4.CAP_ENDMNT'!B:B,'4.CAP_ENDMNT'!K:K,0,0,1)</f>
        <v>32375860091.629501</v>
      </c>
      <c r="AC149" s="140">
        <f>+_xlfn.XLOOKUP(PROYECTOS[[#This Row],[MUNICIPIO]],'4.CAP_ENDMNT'!B:B,'4.CAP_ENDMNT'!L:L,0,0,1)</f>
        <v>25900688073.303604</v>
      </c>
      <c r="AD149" s="140">
        <f>+_xlfn.XLOOKUP(PROYECTOS[[#This Row],[MUNICIPIO]],'4.CAP_ENDMNT'!B:B,'4.CAP_ENDMNT'!M:M,0,0,1)</f>
        <v>19425516054.977699</v>
      </c>
      <c r="AE149" s="134">
        <f>+_xlfn.XLOOKUP(PROYECTOS[[#This Row],[MUNICIPIO]],'4.CAP_ENDMNT'!B:B,'4.CAP_ENDMNT'!N:N,0,0,1)</f>
        <v>0.13854262343712995</v>
      </c>
      <c r="AF149" s="134">
        <f>+_xlfn.XLOOKUP(PROYECTOS[[#This Row],[MUNICIPIO]],'4.CAP_ENDMNT'!B:B,'4.CAP_ENDMNT'!O:O,0,0,1)</f>
        <v>0.87015152665365447</v>
      </c>
      <c r="AG149" s="134">
        <f>+_xlfn.XLOOKUP(PROYECTOS[[#This Row],[MUNICIPIO]],'4.CAP_ENDMNT'!B:B,'4.CAP_ENDMNT'!P:P,0,0,1)</f>
        <v>0.8</v>
      </c>
      <c r="AH149" s="44" t="str">
        <f>+_xlfn.XLOOKUP(PROYECTOS[[#This Row],[MUNICIPIO]],'4.CAP_ENDMNT'!B:B,'4.CAP_ENDMNT'!Q:Q,0,0,1)</f>
        <v>Incumple</v>
      </c>
      <c r="AI149" s="139">
        <f>+_xlfn.XLOOKUP(PROYECTOS[[#This Row],[MUNICIPIO]],'4.CAP_ENDMNT'!B:B,'4.CAP_ENDMNT'!V:V,0,0,1)</f>
        <v>3885103210.9955401</v>
      </c>
      <c r="AJ149" s="139">
        <f>+_xlfn.XLOOKUP(PROYECTOS[[#This Row],[MUNICIPIO]],'4.CAP_ENDMNT'!B:B,'4.CAP_ENDMNT'!Y:Y,0,0,1)</f>
        <v>-114052861009.72676</v>
      </c>
      <c r="AK149"/>
      <c r="AL149"/>
      <c r="AM149"/>
    </row>
    <row r="150" spans="1:39">
      <c r="A150" s="44">
        <v>161</v>
      </c>
      <c r="B150" s="37" t="s">
        <v>1572</v>
      </c>
      <c r="C150" s="118">
        <f>+_xlfn.XLOOKUP(PROYECTOS[[#This Row],[ID_NECESIDAD]],'1.RADICADOS'!G:G,'1.RADICADOS'!C:C,0,0,1)*1</f>
        <v>45391</v>
      </c>
      <c r="D150" s="46" t="s">
        <v>327</v>
      </c>
      <c r="E150" s="47" t="str">
        <f>+_xlfn.XLOOKUP(PROYECTOS[[#This Row],[MUNICIPIO]],MUNICIPIOS!A:A,MUNICIPIOS!E:E,0,0,1)</f>
        <v>Nordeste</v>
      </c>
      <c r="F150" s="44">
        <f>+_xlfn.XLOOKUP(PROYECTOS[[#This Row],[MUNICIPIO]],MUNICIPIOS!A:A,MUNICIPIOS!F:F,0,0,1)</f>
        <v>-75.019109</v>
      </c>
      <c r="G150" s="44" t="str">
        <f>+_xlfn.XLOOKUP(PROYECTOS[[#This Row],[MUNICIPIO]],MUNICIPIOS!A:A,MUNICIPIOS!G:G,0,0,1)</f>
        <v>6,485939</v>
      </c>
      <c r="H150" s="44">
        <f>+_xlfn.XLOOKUP(PROYECTOS[[#This Row],[MUNICIPIO]],MUNICIPIOS!A:A,MUNICIPIOS!B:B,0,0,1)</f>
        <v>0</v>
      </c>
      <c r="I150" s="44">
        <f>+_xlfn.XLOOKUP(PROYECTOS[[#This Row],[MUNICIPIO]],MUNICIPIOS!A:A,MUNICIPIOS!C:C,0,0,1)</f>
        <v>0</v>
      </c>
      <c r="J150" s="3" t="str" cm="1">
        <f t="array" ref="J150">_xlfn.TEXTJOIN(" ", TRUE, IF(radicados[ID PROYECTOS]=A150, radicados[RADICADO], ""))</f>
        <v>2024010404411 2025010033564</v>
      </c>
      <c r="K150" s="45">
        <v>1</v>
      </c>
      <c r="L150" s="48"/>
      <c r="M150" s="34" t="s">
        <v>288</v>
      </c>
      <c r="N150" s="34" t="s">
        <v>398</v>
      </c>
      <c r="O150" s="34" t="s">
        <v>25</v>
      </c>
      <c r="P150" s="37"/>
      <c r="Q150" s="45"/>
      <c r="R150" s="43"/>
      <c r="S150" s="43"/>
      <c r="T150" s="44">
        <f>+_xlfn.XLOOKUP(PROYECTOS[[#This Row],[MUNICIPIO]],'4.CAP_ENDMNT'!B:B,'4.CAP_ENDMNT'!C:C,0,0,1)</f>
        <v>6</v>
      </c>
      <c r="U150" s="139">
        <f>+_xlfn.XLOOKUP(PROYECTOS[[#This Row],[MUNICIPIO]],'4.CAP_ENDMNT'!B:B,'4.CAP_ENDMNT'!D:D,0,0,1)</f>
        <v>13645854382.4415</v>
      </c>
      <c r="V150" s="140">
        <f>+_xlfn.XLOOKUP(PROYECTOS[[#This Row],[MUNICIPIO]],'4.CAP_ENDMNT'!B:B,'4.CAP_ENDMNT'!E:E,0,0,1)</f>
        <v>5036095672.2200003</v>
      </c>
      <c r="W150" s="140">
        <f>+_xlfn.XLOOKUP(PROYECTOS[[#This Row],[MUNICIPIO]],'4.CAP_ENDMNT'!B:B,'4.CAP_ENDMNT'!F:F,0,0,1)</f>
        <v>8609758710.2215004</v>
      </c>
      <c r="X150" s="140">
        <f>+_xlfn.XLOOKUP(PROYECTOS[[#This Row],[MUNICIPIO]],'4.CAP_ENDMNT'!B:B,'4.CAP_ENDMNT'!G:G,0,0,1)</f>
        <v>2357809963</v>
      </c>
      <c r="Y150" s="140">
        <f>+_xlfn.XLOOKUP(PROYECTOS[[#This Row],[MUNICIPIO]],'4.CAP_ENDMNT'!B:B,'4.CAP_ENDMNT'!H:H,0,0,1)</f>
        <v>1093248488</v>
      </c>
      <c r="Z150" s="140">
        <f>+_xlfn.XLOOKUP(PROYECTOS[[#This Row],[MUNICIPIO]],'4.CAP_ENDMNT'!B:B,'4.CAP_ENDMNT'!I:I,0,0,1)</f>
        <v>3451058451</v>
      </c>
      <c r="AA150" s="134">
        <f>+_xlfn.XLOOKUP(PROYECTOS[[#This Row],[MUNICIPIO]],'4.CAP_ENDMNT'!B:B,'4.CAP_ENDMNT'!J:J,0,0,1)</f>
        <v>0.25290160324739891</v>
      </c>
      <c r="AB150" s="140">
        <f>+_xlfn.XLOOKUP(PROYECTOS[[#This Row],[MUNICIPIO]],'4.CAP_ENDMNT'!B:B,'4.CAP_ENDMNT'!K:K,0,0,1)</f>
        <v>10194795931.4415</v>
      </c>
      <c r="AC150" s="140">
        <f>+_xlfn.XLOOKUP(PROYECTOS[[#This Row],[MUNICIPIO]],'4.CAP_ENDMNT'!B:B,'4.CAP_ENDMNT'!L:L,0,0,1)</f>
        <v>8155836745.1532001</v>
      </c>
      <c r="AD150" s="140">
        <f>+_xlfn.XLOOKUP(PROYECTOS[[#This Row],[MUNICIPIO]],'4.CAP_ENDMNT'!B:B,'4.CAP_ENDMNT'!M:M,0,0,1)</f>
        <v>6116877558.8648996</v>
      </c>
      <c r="AE150" s="134">
        <f>+_xlfn.XLOOKUP(PROYECTOS[[#This Row],[MUNICIPIO]],'4.CAP_ENDMNT'!B:B,'4.CAP_ENDMNT'!N:N,0,0,1)</f>
        <v>0.68321356954032075</v>
      </c>
      <c r="AF150" s="134">
        <f>+_xlfn.XLOOKUP(PROYECTOS[[#This Row],[MUNICIPIO]],'4.CAP_ENDMNT'!B:B,'4.CAP_ENDMNT'!O:O,0,0,1)</f>
        <v>0.58815143933117542</v>
      </c>
      <c r="AG150" s="134">
        <f>+_xlfn.XLOOKUP(PROYECTOS[[#This Row],[MUNICIPIO]],'4.CAP_ENDMNT'!B:B,'4.CAP_ENDMNT'!P:P,0,0,1)</f>
        <v>0.8</v>
      </c>
      <c r="AH150" s="44" t="str">
        <f>+_xlfn.XLOOKUP(PROYECTOS[[#This Row],[MUNICIPIO]],'4.CAP_ENDMNT'!B:B,'4.CAP_ENDMNT'!Q:Q,0,0,1)</f>
        <v>Cumple</v>
      </c>
      <c r="AI150" s="139">
        <f>+_xlfn.XLOOKUP(PROYECTOS[[#This Row],[MUNICIPIO]],'4.CAP_ENDMNT'!B:B,'4.CAP_ENDMNT'!V:V,0,0,1)</f>
        <v>1223375511.77298</v>
      </c>
      <c r="AJ150" s="139">
        <f>+_xlfn.XLOOKUP(PROYECTOS[[#This Row],[MUNICIPIO]],'4.CAP_ENDMNT'!B:B,'4.CAP_ENDMNT'!Y:Y,0,0,1)</f>
        <v>-3684666242.3621206</v>
      </c>
      <c r="AK150"/>
      <c r="AL150"/>
      <c r="AM150"/>
    </row>
    <row r="151" spans="1:39">
      <c r="A151" s="44">
        <v>162</v>
      </c>
      <c r="B151" s="37" t="s">
        <v>1570</v>
      </c>
      <c r="C151" s="118">
        <f>+_xlfn.XLOOKUP(PROYECTOS[[#This Row],[ID_NECESIDAD]],'1.RADICADOS'!G:G,'1.RADICADOS'!C:C,0,0,1)*1</f>
        <v>45701</v>
      </c>
      <c r="D151" s="46" t="s">
        <v>334</v>
      </c>
      <c r="E151" s="47" t="str">
        <f>+_xlfn.XLOOKUP(PROYECTOS[[#This Row],[MUNICIPIO]],MUNICIPIOS!A:A,MUNICIPIOS!E:E,0,0,1)</f>
        <v>Occidente</v>
      </c>
      <c r="F151" s="44">
        <f>+_xlfn.XLOOKUP(PROYECTOS[[#This Row],[MUNICIPIO]],MUNICIPIOS!A:A,MUNICIPIOS!F:F,0,0,1)</f>
        <v>-75.726974999999996</v>
      </c>
      <c r="G151" s="44" t="str">
        <f>+_xlfn.XLOOKUP(PROYECTOS[[#This Row],[MUNICIPIO]],MUNICIPIOS!A:A,MUNICIPIOS!G:G,0,0,1)</f>
        <v>6,44809</v>
      </c>
      <c r="H151" s="44">
        <f>+_xlfn.XLOOKUP(PROYECTOS[[#This Row],[MUNICIPIO]],MUNICIPIOS!A:A,MUNICIPIOS!B:B,0,0,1)</f>
        <v>0</v>
      </c>
      <c r="I151" s="44">
        <f>+_xlfn.XLOOKUP(PROYECTOS[[#This Row],[MUNICIPIO]],MUNICIPIOS!A:A,MUNICIPIOS!C:C,0,0,1)</f>
        <v>0</v>
      </c>
      <c r="J151" s="3" t="str" cm="1">
        <f t="array" ref="J151">_xlfn.TEXTJOIN(" ", TRUE, IF(radicados[ID PROYECTOS]=A151, radicados[RADICADO], ""))</f>
        <v>2025010067582</v>
      </c>
      <c r="K151" s="45">
        <v>3</v>
      </c>
      <c r="L151" s="48"/>
      <c r="M151" s="34" t="s">
        <v>288</v>
      </c>
      <c r="N151" s="40" t="s">
        <v>398</v>
      </c>
      <c r="O151" s="40" t="s">
        <v>25</v>
      </c>
      <c r="P151" s="37" t="s">
        <v>1404</v>
      </c>
      <c r="Q151" s="45"/>
      <c r="R151" s="43"/>
      <c r="S151" s="43"/>
      <c r="T151" s="44">
        <f>+_xlfn.XLOOKUP(PROYECTOS[[#This Row],[MUNICIPIO]],'4.CAP_ENDMNT'!B:B,'4.CAP_ENDMNT'!C:C,0,0,1)</f>
        <v>6</v>
      </c>
      <c r="U151" s="139">
        <f>+_xlfn.XLOOKUP(PROYECTOS[[#This Row],[MUNICIPIO]],'4.CAP_ENDMNT'!B:B,'4.CAP_ENDMNT'!D:D,0,0,1)</f>
        <v>21865753958.964001</v>
      </c>
      <c r="V151" s="140">
        <f>+_xlfn.XLOOKUP(PROYECTOS[[#This Row],[MUNICIPIO]],'4.CAP_ENDMNT'!B:B,'4.CAP_ENDMNT'!E:E,0,0,1)</f>
        <v>8371779870.6599998</v>
      </c>
      <c r="W151" s="140">
        <f>+_xlfn.XLOOKUP(PROYECTOS[[#This Row],[MUNICIPIO]],'4.CAP_ENDMNT'!B:B,'4.CAP_ENDMNT'!F:F,0,0,1)</f>
        <v>13493974088.304001</v>
      </c>
      <c r="X151" s="140">
        <f>+_xlfn.XLOOKUP(PROYECTOS[[#This Row],[MUNICIPIO]],'4.CAP_ENDMNT'!B:B,'4.CAP_ENDMNT'!G:G,0,0,1)</f>
        <v>851002641</v>
      </c>
      <c r="Y151" s="140">
        <f>+_xlfn.XLOOKUP(PROYECTOS[[#This Row],[MUNICIPIO]],'4.CAP_ENDMNT'!B:B,'4.CAP_ENDMNT'!H:H,0,0,1)</f>
        <v>4636492005</v>
      </c>
      <c r="Z151" s="140">
        <f>+_xlfn.XLOOKUP(PROYECTOS[[#This Row],[MUNICIPIO]],'4.CAP_ENDMNT'!B:B,'4.CAP_ENDMNT'!I:I,0,0,1)</f>
        <v>5487494646</v>
      </c>
      <c r="AA151" s="134">
        <f>+_xlfn.XLOOKUP(PROYECTOS[[#This Row],[MUNICIPIO]],'4.CAP_ENDMNT'!B:B,'4.CAP_ENDMNT'!J:J,0,0,1)</f>
        <v>0.25096297416949431</v>
      </c>
      <c r="AB151" s="140">
        <f>+_xlfn.XLOOKUP(PROYECTOS[[#This Row],[MUNICIPIO]],'4.CAP_ENDMNT'!B:B,'4.CAP_ENDMNT'!K:K,0,0,1)</f>
        <v>16378259312.964001</v>
      </c>
      <c r="AC151" s="140">
        <f>+_xlfn.XLOOKUP(PROYECTOS[[#This Row],[MUNICIPIO]],'4.CAP_ENDMNT'!B:B,'4.CAP_ENDMNT'!L:L,0,0,1)</f>
        <v>13102607450.371201</v>
      </c>
      <c r="AD151" s="140">
        <f>+_xlfn.XLOOKUP(PROYECTOS[[#This Row],[MUNICIPIO]],'4.CAP_ENDMNT'!B:B,'4.CAP_ENDMNT'!M:M,0,0,1)</f>
        <v>9826955587.7784004</v>
      </c>
      <c r="AE151" s="134">
        <f>+_xlfn.XLOOKUP(PROYECTOS[[#This Row],[MUNICIPIO]],'4.CAP_ENDMNT'!B:B,'4.CAP_ENDMNT'!N:N,0,0,1)</f>
        <v>0.15508035923466848</v>
      </c>
      <c r="AF151" s="134">
        <f>+_xlfn.XLOOKUP(PROYECTOS[[#This Row],[MUNICIPIO]],'4.CAP_ENDMNT'!B:B,'4.CAP_ENDMNT'!O:O,0,0,1)</f>
        <v>0.43479333121090752</v>
      </c>
      <c r="AG151" s="134">
        <f>+_xlfn.XLOOKUP(PROYECTOS[[#This Row],[MUNICIPIO]],'4.CAP_ENDMNT'!B:B,'4.CAP_ENDMNT'!P:P,0,0,1)</f>
        <v>0.8</v>
      </c>
      <c r="AH151" s="44" t="str">
        <f>+_xlfn.XLOOKUP(PROYECTOS[[#This Row],[MUNICIPIO]],'4.CAP_ENDMNT'!B:B,'4.CAP_ENDMNT'!Q:Q,0,0,1)</f>
        <v>Cumple</v>
      </c>
      <c r="AI151" s="139">
        <f>+_xlfn.XLOOKUP(PROYECTOS[[#This Row],[MUNICIPIO]],'4.CAP_ENDMNT'!B:B,'4.CAP_ENDMNT'!V:V,0,0,1)</f>
        <v>1965391117.5556803</v>
      </c>
      <c r="AJ151" s="139">
        <f>+_xlfn.XLOOKUP(PROYECTOS[[#This Row],[MUNICIPIO]],'4.CAP_ENDMNT'!B:B,'4.CAP_ENDMNT'!Y:Y,0,0,1)</f>
        <v>-4462766845.8359203</v>
      </c>
      <c r="AK151"/>
      <c r="AL151"/>
      <c r="AM151"/>
    </row>
    <row r="152" spans="1:39">
      <c r="A152" s="44">
        <v>163</v>
      </c>
      <c r="B152" s="37" t="s">
        <v>1405</v>
      </c>
      <c r="C152" s="118">
        <f>+_xlfn.XLOOKUP(PROYECTOS[[#This Row],[ID_NECESIDAD]],'1.RADICADOS'!G:G,'1.RADICADOS'!C:C,0,0,1)*1</f>
        <v>45315</v>
      </c>
      <c r="D152" s="46" t="s">
        <v>136</v>
      </c>
      <c r="E152" s="47" t="str">
        <f>+_xlfn.XLOOKUP(PROYECTOS[[#This Row],[MUNICIPIO]],MUNICIPIOS!A:A,MUNICIPIOS!E:E,0,0,1)</f>
        <v>Norte</v>
      </c>
      <c r="F152" s="44">
        <f>+_xlfn.XLOOKUP(PROYECTOS[[#This Row],[MUNICIPIO]],MUNICIPIOS!A:A,MUNICIPIOS!F:F,0,0,1)</f>
        <v>-75.550359999999998</v>
      </c>
      <c r="G152" s="44" t="str">
        <f>+_xlfn.XLOOKUP(PROYECTOS[[#This Row],[MUNICIPIO]],MUNICIPIOS!A:A,MUNICIPIOS!G:G,0,0,1)</f>
        <v>7,112803</v>
      </c>
      <c r="H152" s="44">
        <f>+_xlfn.XLOOKUP(PROYECTOS[[#This Row],[MUNICIPIO]],MUNICIPIOS!A:A,MUNICIPIOS!B:B,0,0,1)</f>
        <v>1</v>
      </c>
      <c r="I152" s="44">
        <f>+_xlfn.XLOOKUP(PROYECTOS[[#This Row],[MUNICIPIO]],MUNICIPIOS!A:A,MUNICIPIOS!C:C,0,0,1)</f>
        <v>1</v>
      </c>
      <c r="J152" s="3" t="str" cm="1">
        <f t="array" ref="J152">_xlfn.TEXTJOIN(" ", TRUE, IF(radicados[ID PROYECTOS]=A152, radicados[RADICADO], ""))</f>
        <v>2025010055918</v>
      </c>
      <c r="K152" s="128">
        <v>2</v>
      </c>
      <c r="L152" s="48"/>
      <c r="M152" s="34" t="s">
        <v>435</v>
      </c>
      <c r="N152" s="34" t="s">
        <v>398</v>
      </c>
      <c r="O152" s="34" t="s">
        <v>25</v>
      </c>
      <c r="P152" s="37"/>
      <c r="Q152" s="45"/>
      <c r="R152" s="43"/>
      <c r="S152" s="43"/>
      <c r="T152" s="44">
        <f>+_xlfn.XLOOKUP(PROYECTOS[[#This Row],[MUNICIPIO]],'4.CAP_ENDMNT'!B:B,'4.CAP_ENDMNT'!C:C,0,0,1)</f>
        <v>6</v>
      </c>
      <c r="U152" s="139">
        <f>+_xlfn.XLOOKUP(PROYECTOS[[#This Row],[MUNICIPIO]],'4.CAP_ENDMNT'!B:B,'4.CAP_ENDMNT'!D:D,0,0,1)</f>
        <v>15936675551.976999</v>
      </c>
      <c r="V152" s="140">
        <f>+_xlfn.XLOOKUP(PROYECTOS[[#This Row],[MUNICIPIO]],'4.CAP_ENDMNT'!B:B,'4.CAP_ENDMNT'!E:E,0,0,1)</f>
        <v>6355203503.6700001</v>
      </c>
      <c r="W152" s="140">
        <f>+_xlfn.XLOOKUP(PROYECTOS[[#This Row],[MUNICIPIO]],'4.CAP_ENDMNT'!B:B,'4.CAP_ENDMNT'!F:F,0,0,1)</f>
        <v>9581472048.3069992</v>
      </c>
      <c r="X152" s="140">
        <f>+_xlfn.XLOOKUP(PROYECTOS[[#This Row],[MUNICIPIO]],'4.CAP_ENDMNT'!B:B,'4.CAP_ENDMNT'!G:G,0,0,1)</f>
        <v>166905356.59</v>
      </c>
      <c r="Y152" s="140">
        <f>+_xlfn.XLOOKUP(PROYECTOS[[#This Row],[MUNICIPIO]],'4.CAP_ENDMNT'!B:B,'4.CAP_ENDMNT'!H:H,0,0,1)</f>
        <v>5064590198</v>
      </c>
      <c r="Z152" s="140">
        <f>+_xlfn.XLOOKUP(PROYECTOS[[#This Row],[MUNICIPIO]],'4.CAP_ENDMNT'!B:B,'4.CAP_ENDMNT'!I:I,0,0,1)</f>
        <v>5231495554.5900002</v>
      </c>
      <c r="AA152" s="134">
        <f>+_xlfn.XLOOKUP(PROYECTOS[[#This Row],[MUNICIPIO]],'4.CAP_ENDMNT'!B:B,'4.CAP_ENDMNT'!J:J,0,0,1)</f>
        <v>0.32826768277534613</v>
      </c>
      <c r="AB152" s="140">
        <f>+_xlfn.XLOOKUP(PROYECTOS[[#This Row],[MUNICIPIO]],'4.CAP_ENDMNT'!B:B,'4.CAP_ENDMNT'!K:K,0,0,1)</f>
        <v>10705179997.386999</v>
      </c>
      <c r="AC152" s="140">
        <f>+_xlfn.XLOOKUP(PROYECTOS[[#This Row],[MUNICIPIO]],'4.CAP_ENDMNT'!B:B,'4.CAP_ENDMNT'!L:L,0,0,1)</f>
        <v>8564143997.9095993</v>
      </c>
      <c r="AD152" s="140">
        <f>+_xlfn.XLOOKUP(PROYECTOS[[#This Row],[MUNICIPIO]],'4.CAP_ENDMNT'!B:B,'4.CAP_ENDMNT'!M:M,0,0,1)</f>
        <v>6423107998.4321995</v>
      </c>
      <c r="AE152" s="134">
        <f>+_xlfn.XLOOKUP(PROYECTOS[[#This Row],[MUNICIPIO]],'4.CAP_ENDMNT'!B:B,'4.CAP_ENDMNT'!N:N,0,0,1)</f>
        <v>3.1903946939907245E-2</v>
      </c>
      <c r="AF152" s="134">
        <f>+_xlfn.XLOOKUP(PROYECTOS[[#This Row],[MUNICIPIO]],'4.CAP_ENDMNT'!B:B,'4.CAP_ENDMNT'!O:O,0,0,1)</f>
        <v>0.65192157878949775</v>
      </c>
      <c r="AG152" s="134">
        <f>+_xlfn.XLOOKUP(PROYECTOS[[#This Row],[MUNICIPIO]],'4.CAP_ENDMNT'!B:B,'4.CAP_ENDMNT'!P:P,0,0,1)</f>
        <v>0.8</v>
      </c>
      <c r="AH152" s="44" t="str">
        <f>+_xlfn.XLOOKUP(PROYECTOS[[#This Row],[MUNICIPIO]],'4.CAP_ENDMNT'!B:B,'4.CAP_ENDMNT'!Q:Q,0,0,1)</f>
        <v>Cumple</v>
      </c>
      <c r="AI152" s="139">
        <f>+_xlfn.XLOOKUP(PROYECTOS[[#This Row],[MUNICIPIO]],'4.CAP_ENDMNT'!B:B,'4.CAP_ENDMNT'!V:V,0,0,1)</f>
        <v>1284621599.68644</v>
      </c>
      <c r="AJ152" s="139">
        <f>+_xlfn.XLOOKUP(PROYECTOS[[#This Row],[MUNICIPIO]],'4.CAP_ENDMNT'!B:B,'4.CAP_ENDMNT'!Y:Y,0,0,1)</f>
        <v>-1198654643.881361</v>
      </c>
      <c r="AK152"/>
      <c r="AL152"/>
      <c r="AM152"/>
    </row>
    <row r="153" spans="1:39">
      <c r="A153" s="44">
        <v>164</v>
      </c>
      <c r="B153" s="37" t="s">
        <v>436</v>
      </c>
      <c r="C153" s="118">
        <f>+_xlfn.XLOOKUP(PROYECTOS[[#This Row],[ID_NECESIDAD]],'1.RADICADOS'!G:G,'1.RADICADOS'!C:C,0,0,1)*1</f>
        <v>45335</v>
      </c>
      <c r="D153" s="46" t="s">
        <v>334</v>
      </c>
      <c r="E153" s="47" t="str">
        <f>+_xlfn.XLOOKUP(PROYECTOS[[#This Row],[MUNICIPIO]],MUNICIPIOS!A:A,MUNICIPIOS!E:E,0,0,1)</f>
        <v>Occidente</v>
      </c>
      <c r="F153" s="44">
        <f>+_xlfn.XLOOKUP(PROYECTOS[[#This Row],[MUNICIPIO]],MUNICIPIOS!A:A,MUNICIPIOS!F:F,0,0,1)</f>
        <v>-75.726974999999996</v>
      </c>
      <c r="G153" s="44" t="str">
        <f>+_xlfn.XLOOKUP(PROYECTOS[[#This Row],[MUNICIPIO]],MUNICIPIOS!A:A,MUNICIPIOS!G:G,0,0,1)</f>
        <v>6,44809</v>
      </c>
      <c r="H153" s="44">
        <f>+_xlfn.XLOOKUP(PROYECTOS[[#This Row],[MUNICIPIO]],MUNICIPIOS!A:A,MUNICIPIOS!B:B,0,0,1)</f>
        <v>0</v>
      </c>
      <c r="I153" s="44">
        <f>+_xlfn.XLOOKUP(PROYECTOS[[#This Row],[MUNICIPIO]],MUNICIPIOS!A:A,MUNICIPIOS!C:C,0,0,1)</f>
        <v>0</v>
      </c>
      <c r="J153" s="3" t="str" cm="1">
        <f t="array" ref="J153">_xlfn.TEXTJOIN(" ", TRUE, IF(radicados[ID PROYECTOS]=A153, radicados[RADICADO], ""))</f>
        <v>2025010067584</v>
      </c>
      <c r="K153" s="45">
        <v>3</v>
      </c>
      <c r="L153" s="48"/>
      <c r="M153" s="34" t="s">
        <v>401</v>
      </c>
      <c r="N153" s="40" t="s">
        <v>394</v>
      </c>
      <c r="O153" s="40" t="s">
        <v>18</v>
      </c>
      <c r="P153" s="37" t="s">
        <v>1404</v>
      </c>
      <c r="Q153" s="45"/>
      <c r="R153" s="43"/>
      <c r="S153" s="43"/>
      <c r="T153" s="44">
        <f>+_xlfn.XLOOKUP(PROYECTOS[[#This Row],[MUNICIPIO]],'4.CAP_ENDMNT'!B:B,'4.CAP_ENDMNT'!C:C,0,0,1)</f>
        <v>6</v>
      </c>
      <c r="U153" s="139">
        <f>+_xlfn.XLOOKUP(PROYECTOS[[#This Row],[MUNICIPIO]],'4.CAP_ENDMNT'!B:B,'4.CAP_ENDMNT'!D:D,0,0,1)</f>
        <v>21865753958.964001</v>
      </c>
      <c r="V153" s="140">
        <f>+_xlfn.XLOOKUP(PROYECTOS[[#This Row],[MUNICIPIO]],'4.CAP_ENDMNT'!B:B,'4.CAP_ENDMNT'!E:E,0,0,1)</f>
        <v>8371779870.6599998</v>
      </c>
      <c r="W153" s="140">
        <f>+_xlfn.XLOOKUP(PROYECTOS[[#This Row],[MUNICIPIO]],'4.CAP_ENDMNT'!B:B,'4.CAP_ENDMNT'!F:F,0,0,1)</f>
        <v>13493974088.304001</v>
      </c>
      <c r="X153" s="140">
        <f>+_xlfn.XLOOKUP(PROYECTOS[[#This Row],[MUNICIPIO]],'4.CAP_ENDMNT'!B:B,'4.CAP_ENDMNT'!G:G,0,0,1)</f>
        <v>851002641</v>
      </c>
      <c r="Y153" s="140">
        <f>+_xlfn.XLOOKUP(PROYECTOS[[#This Row],[MUNICIPIO]],'4.CAP_ENDMNT'!B:B,'4.CAP_ENDMNT'!H:H,0,0,1)</f>
        <v>4636492005</v>
      </c>
      <c r="Z153" s="140">
        <f>+_xlfn.XLOOKUP(PROYECTOS[[#This Row],[MUNICIPIO]],'4.CAP_ENDMNT'!B:B,'4.CAP_ENDMNT'!I:I,0,0,1)</f>
        <v>5487494646</v>
      </c>
      <c r="AA153" s="134">
        <f>+_xlfn.XLOOKUP(PROYECTOS[[#This Row],[MUNICIPIO]],'4.CAP_ENDMNT'!B:B,'4.CAP_ENDMNT'!J:J,0,0,1)</f>
        <v>0.25096297416949431</v>
      </c>
      <c r="AB153" s="140">
        <f>+_xlfn.XLOOKUP(PROYECTOS[[#This Row],[MUNICIPIO]],'4.CAP_ENDMNT'!B:B,'4.CAP_ENDMNT'!K:K,0,0,1)</f>
        <v>16378259312.964001</v>
      </c>
      <c r="AC153" s="140">
        <f>+_xlfn.XLOOKUP(PROYECTOS[[#This Row],[MUNICIPIO]],'4.CAP_ENDMNT'!B:B,'4.CAP_ENDMNT'!L:L,0,0,1)</f>
        <v>13102607450.371201</v>
      </c>
      <c r="AD153" s="140">
        <f>+_xlfn.XLOOKUP(PROYECTOS[[#This Row],[MUNICIPIO]],'4.CAP_ENDMNT'!B:B,'4.CAP_ENDMNT'!M:M,0,0,1)</f>
        <v>9826955587.7784004</v>
      </c>
      <c r="AE153" s="134">
        <f>+_xlfn.XLOOKUP(PROYECTOS[[#This Row],[MUNICIPIO]],'4.CAP_ENDMNT'!B:B,'4.CAP_ENDMNT'!N:N,0,0,1)</f>
        <v>0.15508035923466848</v>
      </c>
      <c r="AF153" s="134">
        <f>+_xlfn.XLOOKUP(PROYECTOS[[#This Row],[MUNICIPIO]],'4.CAP_ENDMNT'!B:B,'4.CAP_ENDMNT'!O:O,0,0,1)</f>
        <v>0.43479333121090752</v>
      </c>
      <c r="AG153" s="134">
        <f>+_xlfn.XLOOKUP(PROYECTOS[[#This Row],[MUNICIPIO]],'4.CAP_ENDMNT'!B:B,'4.CAP_ENDMNT'!P:P,0,0,1)</f>
        <v>0.8</v>
      </c>
      <c r="AH153" s="44" t="str">
        <f>+_xlfn.XLOOKUP(PROYECTOS[[#This Row],[MUNICIPIO]],'4.CAP_ENDMNT'!B:B,'4.CAP_ENDMNT'!Q:Q,0,0,1)</f>
        <v>Cumple</v>
      </c>
      <c r="AI153" s="139">
        <f>+_xlfn.XLOOKUP(PROYECTOS[[#This Row],[MUNICIPIO]],'4.CAP_ENDMNT'!B:B,'4.CAP_ENDMNT'!V:V,0,0,1)</f>
        <v>1965391117.5556803</v>
      </c>
      <c r="AJ153" s="139">
        <f>+_xlfn.XLOOKUP(PROYECTOS[[#This Row],[MUNICIPIO]],'4.CAP_ENDMNT'!B:B,'4.CAP_ENDMNT'!Y:Y,0,0,1)</f>
        <v>-4462766845.8359203</v>
      </c>
      <c r="AK153"/>
      <c r="AL153"/>
      <c r="AM153"/>
    </row>
    <row r="154" spans="1:39">
      <c r="A154" s="44">
        <v>165</v>
      </c>
      <c r="B154" s="37" t="s">
        <v>437</v>
      </c>
      <c r="C154" s="118">
        <f>+_xlfn.XLOOKUP(PROYECTOS[[#This Row],[ID_NECESIDAD]],'1.RADICADOS'!G:G,'1.RADICADOS'!C:C,0,0,1)*1</f>
        <v>45445</v>
      </c>
      <c r="D154" s="46" t="s">
        <v>120</v>
      </c>
      <c r="E154" s="47" t="str">
        <f>+_xlfn.XLOOKUP(PROYECTOS[[#This Row],[MUNICIPIO]],MUNICIPIOS!A:A,MUNICIPIOS!E:E,0,0,1)</f>
        <v>Norte</v>
      </c>
      <c r="F154" s="44">
        <f>+_xlfn.XLOOKUP(PROYECTOS[[#This Row],[MUNICIPIO]],MUNICIPIOS!A:A,MUNICIPIOS!F:F,0,0,1)</f>
        <v>-75.418828000000005</v>
      </c>
      <c r="G154" s="44">
        <f>+_xlfn.XLOOKUP(PROYECTOS[[#This Row],[MUNICIPIO]],MUNICIPIOS!A:A,MUNICIPIOS!G:G,0,0,1)</f>
        <v>6.963832</v>
      </c>
      <c r="H154" s="44">
        <f>+_xlfn.XLOOKUP(PROYECTOS[[#This Row],[MUNICIPIO]],MUNICIPIOS!A:A,MUNICIPIOS!B:B,0,0,1)</f>
        <v>0</v>
      </c>
      <c r="I154" s="44">
        <f>+_xlfn.XLOOKUP(PROYECTOS[[#This Row],[MUNICIPIO]],MUNICIPIOS!A:A,MUNICIPIOS!C:C,0,0,1)</f>
        <v>1</v>
      </c>
      <c r="J154" s="3" t="str" cm="1">
        <f t="array" ref="J154">_xlfn.TEXTJOIN(" ", TRUE, IF(radicados[ID PROYECTOS]=A154, radicados[RADICADO], ""))</f>
        <v>2025010063968</v>
      </c>
      <c r="K154" s="128">
        <v>2</v>
      </c>
      <c r="L154" s="48"/>
      <c r="M154" s="34" t="s">
        <v>407</v>
      </c>
      <c r="N154" s="34" t="s">
        <v>398</v>
      </c>
      <c r="O154" s="34" t="s">
        <v>25</v>
      </c>
      <c r="P154" s="37" t="s">
        <v>1262</v>
      </c>
      <c r="Q154" s="45">
        <v>1</v>
      </c>
      <c r="R154" s="43" t="s">
        <v>922</v>
      </c>
      <c r="S154" s="43" t="s">
        <v>1643</v>
      </c>
      <c r="T154" s="44">
        <f>+_xlfn.XLOOKUP(PROYECTOS[[#This Row],[MUNICIPIO]],'4.CAP_ENDMNT'!B:B,'4.CAP_ENDMNT'!C:C,0,0,1)</f>
        <v>5</v>
      </c>
      <c r="U154" s="139">
        <f>+_xlfn.XLOOKUP(PROYECTOS[[#This Row],[MUNICIPIO]],'4.CAP_ENDMNT'!B:B,'4.CAP_ENDMNT'!D:D,0,0,1)</f>
        <v>36204719778.619003</v>
      </c>
      <c r="V154" s="140">
        <f>+_xlfn.XLOOKUP(PROYECTOS[[#This Row],[MUNICIPIO]],'4.CAP_ENDMNT'!B:B,'4.CAP_ENDMNT'!E:E,0,0,1)</f>
        <v>11082623753.610001</v>
      </c>
      <c r="W154" s="140">
        <f>+_xlfn.XLOOKUP(PROYECTOS[[#This Row],[MUNICIPIO]],'4.CAP_ENDMNT'!B:B,'4.CAP_ENDMNT'!F:F,0,0,1)</f>
        <v>25122096025.009003</v>
      </c>
      <c r="X154" s="140">
        <f>+_xlfn.XLOOKUP(PROYECTOS[[#This Row],[MUNICIPIO]],'4.CAP_ENDMNT'!B:B,'4.CAP_ENDMNT'!G:G,0,0,1)</f>
        <v>1291156679</v>
      </c>
      <c r="Y154" s="140">
        <f>+_xlfn.XLOOKUP(PROYECTOS[[#This Row],[MUNICIPIO]],'4.CAP_ENDMNT'!B:B,'4.CAP_ENDMNT'!H:H,0,0,1)</f>
        <v>12320355879.07</v>
      </c>
      <c r="Z154" s="140">
        <f>+_xlfn.XLOOKUP(PROYECTOS[[#This Row],[MUNICIPIO]],'4.CAP_ENDMNT'!B:B,'4.CAP_ENDMNT'!I:I,0,0,1)</f>
        <v>13611512558.07</v>
      </c>
      <c r="AA154" s="134">
        <f>+_xlfn.XLOOKUP(PROYECTOS[[#This Row],[MUNICIPIO]],'4.CAP_ENDMNT'!B:B,'4.CAP_ENDMNT'!J:J,0,0,1)</f>
        <v>0.37595961635113639</v>
      </c>
      <c r="AB154" s="140">
        <f>+_xlfn.XLOOKUP(PROYECTOS[[#This Row],[MUNICIPIO]],'4.CAP_ENDMNT'!B:B,'4.CAP_ENDMNT'!K:K,0,0,1)</f>
        <v>22593207220.549004</v>
      </c>
      <c r="AC154" s="140">
        <f>+_xlfn.XLOOKUP(PROYECTOS[[#This Row],[MUNICIPIO]],'4.CAP_ENDMNT'!B:B,'4.CAP_ENDMNT'!L:L,0,0,1)</f>
        <v>18074565776.439205</v>
      </c>
      <c r="AD154" s="140">
        <f>+_xlfn.XLOOKUP(PROYECTOS[[#This Row],[MUNICIPIO]],'4.CAP_ENDMNT'!B:B,'4.CAP_ENDMNT'!M:M,0,0,1)</f>
        <v>13555924332.329401</v>
      </c>
      <c r="AE154" s="134">
        <f>+_xlfn.XLOOKUP(PROYECTOS[[#This Row],[MUNICIPIO]],'4.CAP_ENDMNT'!B:B,'4.CAP_ENDMNT'!N:N,0,0,1)</f>
        <v>9.4857692963336279E-2</v>
      </c>
      <c r="AF154" s="134">
        <f>+_xlfn.XLOOKUP(PROYECTOS[[#This Row],[MUNICIPIO]],'4.CAP_ENDMNT'!B:B,'4.CAP_ENDMNT'!O:O,0,0,1)</f>
        <v>0.39053077044629697</v>
      </c>
      <c r="AG154" s="134">
        <f>+_xlfn.XLOOKUP(PROYECTOS[[#This Row],[MUNICIPIO]],'4.CAP_ENDMNT'!B:B,'4.CAP_ENDMNT'!P:P,0,0,1)</f>
        <v>0.8</v>
      </c>
      <c r="AH154" s="44" t="str">
        <f>+_xlfn.XLOOKUP(PROYECTOS[[#This Row],[MUNICIPIO]],'4.CAP_ENDMNT'!B:B,'4.CAP_ENDMNT'!Q:Q,0,0,1)</f>
        <v>Cumple</v>
      </c>
      <c r="AI154" s="139">
        <f>+_xlfn.XLOOKUP(PROYECTOS[[#This Row],[MUNICIPIO]],'4.CAP_ENDMNT'!B:B,'4.CAP_ENDMNT'!V:V,0,0,1)</f>
        <v>2711184866.4658804</v>
      </c>
      <c r="AJ154" s="139">
        <f>+_xlfn.XLOOKUP(PROYECTOS[[#This Row],[MUNICIPIO]],'4.CAP_ENDMNT'!B:B,'4.CAP_ENDMNT'!Y:Y,0,0,1)</f>
        <v>-192411827505.20471</v>
      </c>
      <c r="AK154"/>
      <c r="AL154"/>
      <c r="AM154"/>
    </row>
    <row r="155" spans="1:39">
      <c r="A155" s="44">
        <v>167</v>
      </c>
      <c r="B155" s="37" t="s">
        <v>301</v>
      </c>
      <c r="C155" s="118">
        <f>+_xlfn.XLOOKUP(PROYECTOS[[#This Row],[ID_NECESIDAD]],'1.RADICADOS'!G:G,'1.RADICADOS'!C:C,0,0,1)*1</f>
        <v>45598</v>
      </c>
      <c r="D155" s="46" t="s">
        <v>227</v>
      </c>
      <c r="E155" s="47" t="str">
        <f>+_xlfn.XLOOKUP(PROYECTOS[[#This Row],[MUNICIPIO]],MUNICIPIOS!A:A,MUNICIPIOS!E:E,0,0,1)</f>
        <v>Oriente</v>
      </c>
      <c r="F155" s="44">
        <f>+_xlfn.XLOOKUP(PROYECTOS[[#This Row],[MUNICIPIO]],MUNICIPIOS!A:A,MUNICIPIOS!F:F,0,0,1)</f>
        <v>-75.184445999999994</v>
      </c>
      <c r="G155" s="44" t="str">
        <f>+_xlfn.XLOOKUP(PROYECTOS[[#This Row],[MUNICIPIO]],MUNICIPIOS!A:A,MUNICIPIOS!G:G,0,0,1)</f>
        <v>6,142892</v>
      </c>
      <c r="H155" s="44">
        <f>+_xlfn.XLOOKUP(PROYECTOS[[#This Row],[MUNICIPIO]],MUNICIPIOS!A:A,MUNICIPIOS!B:B,0,0,1)</f>
        <v>0</v>
      </c>
      <c r="I155" s="44">
        <f>+_xlfn.XLOOKUP(PROYECTOS[[#This Row],[MUNICIPIO]],MUNICIPIOS!A:A,MUNICIPIOS!C:C,0,0,1)</f>
        <v>1</v>
      </c>
      <c r="J155" s="3" t="str" cm="1">
        <f t="array" ref="J155">_xlfn.TEXTJOIN(" ", TRUE, IF(radicados[ID PROYECTOS]=A155, radicados[RADICADO], ""))</f>
        <v>2025010053678</v>
      </c>
      <c r="K155" s="45">
        <v>1</v>
      </c>
      <c r="L155" s="48"/>
      <c r="M155" s="34" t="s">
        <v>288</v>
      </c>
      <c r="N155" s="34" t="s">
        <v>398</v>
      </c>
      <c r="O155" s="34" t="s">
        <v>25</v>
      </c>
      <c r="P155" s="37" t="s">
        <v>971</v>
      </c>
      <c r="Q155" s="45"/>
      <c r="R155" s="43"/>
      <c r="S155" s="43"/>
      <c r="T155" s="44">
        <f>+_xlfn.XLOOKUP(PROYECTOS[[#This Row],[MUNICIPIO]],'4.CAP_ENDMNT'!B:B,'4.CAP_ENDMNT'!C:C,0,0,1)</f>
        <v>6</v>
      </c>
      <c r="U155" s="139">
        <f>+_xlfn.XLOOKUP(PROYECTOS[[#This Row],[MUNICIPIO]],'4.CAP_ENDMNT'!B:B,'4.CAP_ENDMNT'!D:D,0,0,1)</f>
        <v>9100976268.0305004</v>
      </c>
      <c r="V155" s="140">
        <f>+_xlfn.XLOOKUP(PROYECTOS[[#This Row],[MUNICIPIO]],'4.CAP_ENDMNT'!B:B,'4.CAP_ENDMNT'!E:E,0,0,1)</f>
        <v>3221460794.1700001</v>
      </c>
      <c r="W155" s="140">
        <f>+_xlfn.XLOOKUP(PROYECTOS[[#This Row],[MUNICIPIO]],'4.CAP_ENDMNT'!B:B,'4.CAP_ENDMNT'!F:F,0,0,1)</f>
        <v>5879515473.8605003</v>
      </c>
      <c r="X155" s="140">
        <f>+_xlfn.XLOOKUP(PROYECTOS[[#This Row],[MUNICIPIO]],'4.CAP_ENDMNT'!B:B,'4.CAP_ENDMNT'!G:G,0,0,1)</f>
        <v>1026722956</v>
      </c>
      <c r="Y155" s="140">
        <f>+_xlfn.XLOOKUP(PROYECTOS[[#This Row],[MUNICIPIO]],'4.CAP_ENDMNT'!B:B,'4.CAP_ENDMNT'!H:H,0,0,1)</f>
        <v>190000000</v>
      </c>
      <c r="Z155" s="140">
        <f>+_xlfn.XLOOKUP(PROYECTOS[[#This Row],[MUNICIPIO]],'4.CAP_ENDMNT'!B:B,'4.CAP_ENDMNT'!I:I,0,0,1)</f>
        <v>1216722956</v>
      </c>
      <c r="AA155" s="134">
        <f>+_xlfn.XLOOKUP(PROYECTOS[[#This Row],[MUNICIPIO]],'4.CAP_ENDMNT'!B:B,'4.CAP_ENDMNT'!J:J,0,0,1)</f>
        <v>0.13369147662477152</v>
      </c>
      <c r="AB155" s="140">
        <f>+_xlfn.XLOOKUP(PROYECTOS[[#This Row],[MUNICIPIO]],'4.CAP_ENDMNT'!B:B,'4.CAP_ENDMNT'!K:K,0,0,1)</f>
        <v>7884253312.0305004</v>
      </c>
      <c r="AC155" s="140">
        <f>+_xlfn.XLOOKUP(PROYECTOS[[#This Row],[MUNICIPIO]],'4.CAP_ENDMNT'!B:B,'4.CAP_ENDMNT'!L:L,0,0,1)</f>
        <v>6307402649.6244011</v>
      </c>
      <c r="AD155" s="140">
        <f>+_xlfn.XLOOKUP(PROYECTOS[[#This Row],[MUNICIPIO]],'4.CAP_ENDMNT'!B:B,'4.CAP_ENDMNT'!M:M,0,0,1)</f>
        <v>4730551987.2182999</v>
      </c>
      <c r="AE155" s="134">
        <f>+_xlfn.XLOOKUP(PROYECTOS[[#This Row],[MUNICIPIO]],'4.CAP_ENDMNT'!B:B,'4.CAP_ENDMNT'!N:N,0,0,1)</f>
        <v>0.84384284108140062</v>
      </c>
      <c r="AF155" s="134">
        <f>+_xlfn.XLOOKUP(PROYECTOS[[#This Row],[MUNICIPIO]],'4.CAP_ENDMNT'!B:B,'4.CAP_ENDMNT'!O:O,0,0,1)</f>
        <v>0.65864601932480682</v>
      </c>
      <c r="AG155" s="134">
        <f>+_xlfn.XLOOKUP(PROYECTOS[[#This Row],[MUNICIPIO]],'4.CAP_ENDMNT'!B:B,'4.CAP_ENDMNT'!P:P,0,0,1)</f>
        <v>0.8</v>
      </c>
      <c r="AH155" s="44" t="str">
        <f>+_xlfn.XLOOKUP(PROYECTOS[[#This Row],[MUNICIPIO]],'4.CAP_ENDMNT'!B:B,'4.CAP_ENDMNT'!Q:Q,0,0,1)</f>
        <v>Cumple</v>
      </c>
      <c r="AI155" s="139">
        <f>+_xlfn.XLOOKUP(PROYECTOS[[#This Row],[MUNICIPIO]],'4.CAP_ENDMNT'!B:B,'4.CAP_ENDMNT'!V:V,0,0,1)</f>
        <v>946110397.44366002</v>
      </c>
      <c r="AJ155" s="139">
        <f>+_xlfn.XLOOKUP(PROYECTOS[[#This Row],[MUNICIPIO]],'4.CAP_ENDMNT'!B:B,'4.CAP_ENDMNT'!Y:Y,0,0,1)</f>
        <v>-37054965217.338043</v>
      </c>
      <c r="AK155"/>
      <c r="AL155"/>
      <c r="AM155"/>
    </row>
    <row r="156" spans="1:39">
      <c r="A156" s="44">
        <v>168</v>
      </c>
      <c r="B156" s="37" t="s">
        <v>302</v>
      </c>
      <c r="C156" s="118">
        <f>+_xlfn.XLOOKUP(PROYECTOS[[#This Row],[ID_NECESIDAD]],'1.RADICADOS'!G:G,'1.RADICADOS'!C:C,0,0,1)*1</f>
        <v>45679</v>
      </c>
      <c r="D156" s="46" t="s">
        <v>227</v>
      </c>
      <c r="E156" s="47" t="str">
        <f>+_xlfn.XLOOKUP(PROYECTOS[[#This Row],[MUNICIPIO]],MUNICIPIOS!A:A,MUNICIPIOS!E:E,0,0,1)</f>
        <v>Oriente</v>
      </c>
      <c r="F156" s="44">
        <f>+_xlfn.XLOOKUP(PROYECTOS[[#This Row],[MUNICIPIO]],MUNICIPIOS!A:A,MUNICIPIOS!F:F,0,0,1)</f>
        <v>-75.184445999999994</v>
      </c>
      <c r="G156" s="44" t="str">
        <f>+_xlfn.XLOOKUP(PROYECTOS[[#This Row],[MUNICIPIO]],MUNICIPIOS!A:A,MUNICIPIOS!G:G,0,0,1)</f>
        <v>6,142892</v>
      </c>
      <c r="H156" s="44">
        <f>+_xlfn.XLOOKUP(PROYECTOS[[#This Row],[MUNICIPIO]],MUNICIPIOS!A:A,MUNICIPIOS!B:B,0,0,1)</f>
        <v>0</v>
      </c>
      <c r="I156" s="44">
        <f>+_xlfn.XLOOKUP(PROYECTOS[[#This Row],[MUNICIPIO]],MUNICIPIOS!A:A,MUNICIPIOS!C:C,0,0,1)</f>
        <v>1</v>
      </c>
      <c r="J156" s="3" t="str" cm="1">
        <f t="array" ref="J156">_xlfn.TEXTJOIN(" ", TRUE, IF(radicados[ID PROYECTOS]=A156, radicados[RADICADO], ""))</f>
        <v>2025010053674</v>
      </c>
      <c r="K156" s="45">
        <v>1</v>
      </c>
      <c r="L156" s="48"/>
      <c r="M156" s="34" t="s">
        <v>288</v>
      </c>
      <c r="N156" s="34" t="s">
        <v>398</v>
      </c>
      <c r="O156" s="34" t="s">
        <v>25</v>
      </c>
      <c r="P156" s="37" t="s">
        <v>971</v>
      </c>
      <c r="Q156" s="45"/>
      <c r="R156" s="43"/>
      <c r="S156" s="43"/>
      <c r="T156" s="44">
        <f>+_xlfn.XLOOKUP(PROYECTOS[[#This Row],[MUNICIPIO]],'4.CAP_ENDMNT'!B:B,'4.CAP_ENDMNT'!C:C,0,0,1)</f>
        <v>6</v>
      </c>
      <c r="U156" s="139">
        <f>+_xlfn.XLOOKUP(PROYECTOS[[#This Row],[MUNICIPIO]],'4.CAP_ENDMNT'!B:B,'4.CAP_ENDMNT'!D:D,0,0,1)</f>
        <v>9100976268.0305004</v>
      </c>
      <c r="V156" s="140">
        <f>+_xlfn.XLOOKUP(PROYECTOS[[#This Row],[MUNICIPIO]],'4.CAP_ENDMNT'!B:B,'4.CAP_ENDMNT'!E:E,0,0,1)</f>
        <v>3221460794.1700001</v>
      </c>
      <c r="W156" s="140">
        <f>+_xlfn.XLOOKUP(PROYECTOS[[#This Row],[MUNICIPIO]],'4.CAP_ENDMNT'!B:B,'4.CAP_ENDMNT'!F:F,0,0,1)</f>
        <v>5879515473.8605003</v>
      </c>
      <c r="X156" s="140">
        <f>+_xlfn.XLOOKUP(PROYECTOS[[#This Row],[MUNICIPIO]],'4.CAP_ENDMNT'!B:B,'4.CAP_ENDMNT'!G:G,0,0,1)</f>
        <v>1026722956</v>
      </c>
      <c r="Y156" s="140">
        <f>+_xlfn.XLOOKUP(PROYECTOS[[#This Row],[MUNICIPIO]],'4.CAP_ENDMNT'!B:B,'4.CAP_ENDMNT'!H:H,0,0,1)</f>
        <v>190000000</v>
      </c>
      <c r="Z156" s="140">
        <f>+_xlfn.XLOOKUP(PROYECTOS[[#This Row],[MUNICIPIO]],'4.CAP_ENDMNT'!B:B,'4.CAP_ENDMNT'!I:I,0,0,1)</f>
        <v>1216722956</v>
      </c>
      <c r="AA156" s="134">
        <f>+_xlfn.XLOOKUP(PROYECTOS[[#This Row],[MUNICIPIO]],'4.CAP_ENDMNT'!B:B,'4.CAP_ENDMNT'!J:J,0,0,1)</f>
        <v>0.13369147662477152</v>
      </c>
      <c r="AB156" s="140">
        <f>+_xlfn.XLOOKUP(PROYECTOS[[#This Row],[MUNICIPIO]],'4.CAP_ENDMNT'!B:B,'4.CAP_ENDMNT'!K:K,0,0,1)</f>
        <v>7884253312.0305004</v>
      </c>
      <c r="AC156" s="140">
        <f>+_xlfn.XLOOKUP(PROYECTOS[[#This Row],[MUNICIPIO]],'4.CAP_ENDMNT'!B:B,'4.CAP_ENDMNT'!L:L,0,0,1)</f>
        <v>6307402649.6244011</v>
      </c>
      <c r="AD156" s="140">
        <f>+_xlfn.XLOOKUP(PROYECTOS[[#This Row],[MUNICIPIO]],'4.CAP_ENDMNT'!B:B,'4.CAP_ENDMNT'!M:M,0,0,1)</f>
        <v>4730551987.2182999</v>
      </c>
      <c r="AE156" s="134">
        <f>+_xlfn.XLOOKUP(PROYECTOS[[#This Row],[MUNICIPIO]],'4.CAP_ENDMNT'!B:B,'4.CAP_ENDMNT'!N:N,0,0,1)</f>
        <v>0.84384284108140062</v>
      </c>
      <c r="AF156" s="134">
        <f>+_xlfn.XLOOKUP(PROYECTOS[[#This Row],[MUNICIPIO]],'4.CAP_ENDMNT'!B:B,'4.CAP_ENDMNT'!O:O,0,0,1)</f>
        <v>0.65864601932480682</v>
      </c>
      <c r="AG156" s="134">
        <f>+_xlfn.XLOOKUP(PROYECTOS[[#This Row],[MUNICIPIO]],'4.CAP_ENDMNT'!B:B,'4.CAP_ENDMNT'!P:P,0,0,1)</f>
        <v>0.8</v>
      </c>
      <c r="AH156" s="44" t="str">
        <f>+_xlfn.XLOOKUP(PROYECTOS[[#This Row],[MUNICIPIO]],'4.CAP_ENDMNT'!B:B,'4.CAP_ENDMNT'!Q:Q,0,0,1)</f>
        <v>Cumple</v>
      </c>
      <c r="AI156" s="139">
        <f>+_xlfn.XLOOKUP(PROYECTOS[[#This Row],[MUNICIPIO]],'4.CAP_ENDMNT'!B:B,'4.CAP_ENDMNT'!V:V,0,0,1)</f>
        <v>946110397.44366002</v>
      </c>
      <c r="AJ156" s="139">
        <f>+_xlfn.XLOOKUP(PROYECTOS[[#This Row],[MUNICIPIO]],'4.CAP_ENDMNT'!B:B,'4.CAP_ENDMNT'!Y:Y,0,0,1)</f>
        <v>-37054965217.338043</v>
      </c>
      <c r="AK156"/>
      <c r="AL156"/>
      <c r="AM156"/>
    </row>
    <row r="157" spans="1:39">
      <c r="A157" s="44">
        <v>169</v>
      </c>
      <c r="B157" s="37" t="s">
        <v>303</v>
      </c>
      <c r="C157" s="118">
        <f>+_xlfn.XLOOKUP(PROYECTOS[[#This Row],[ID_NECESIDAD]],'1.RADICADOS'!G:G,'1.RADICADOS'!C:C,0,0,1)*1</f>
        <v>45693</v>
      </c>
      <c r="D157" s="46" t="s">
        <v>227</v>
      </c>
      <c r="E157" s="47" t="str">
        <f>+_xlfn.XLOOKUP(PROYECTOS[[#This Row],[MUNICIPIO]],MUNICIPIOS!A:A,MUNICIPIOS!E:E,0,0,1)</f>
        <v>Oriente</v>
      </c>
      <c r="F157" s="44">
        <f>+_xlfn.XLOOKUP(PROYECTOS[[#This Row],[MUNICIPIO]],MUNICIPIOS!A:A,MUNICIPIOS!F:F,0,0,1)</f>
        <v>-75.184445999999994</v>
      </c>
      <c r="G157" s="44" t="str">
        <f>+_xlfn.XLOOKUP(PROYECTOS[[#This Row],[MUNICIPIO]],MUNICIPIOS!A:A,MUNICIPIOS!G:G,0,0,1)</f>
        <v>6,142892</v>
      </c>
      <c r="H157" s="44">
        <f>+_xlfn.XLOOKUP(PROYECTOS[[#This Row],[MUNICIPIO]],MUNICIPIOS!A:A,MUNICIPIOS!B:B,0,0,1)</f>
        <v>0</v>
      </c>
      <c r="I157" s="44">
        <f>+_xlfn.XLOOKUP(PROYECTOS[[#This Row],[MUNICIPIO]],MUNICIPIOS!A:A,MUNICIPIOS!C:C,0,0,1)</f>
        <v>1</v>
      </c>
      <c r="J157" s="3" t="str" cm="1">
        <f t="array" ref="J157">_xlfn.TEXTJOIN(" ", TRUE, IF(radicados[ID PROYECTOS]=A157, radicados[RADICADO], ""))</f>
        <v>2025010053667</v>
      </c>
      <c r="K157" s="45">
        <v>1</v>
      </c>
      <c r="L157" s="48"/>
      <c r="M157" s="34" t="s">
        <v>288</v>
      </c>
      <c r="N157" s="34" t="s">
        <v>398</v>
      </c>
      <c r="O157" s="34" t="s">
        <v>25</v>
      </c>
      <c r="P157" s="37" t="s">
        <v>971</v>
      </c>
      <c r="Q157" s="45"/>
      <c r="R157" s="43"/>
      <c r="S157" s="43"/>
      <c r="T157" s="44">
        <f>+_xlfn.XLOOKUP(PROYECTOS[[#This Row],[MUNICIPIO]],'4.CAP_ENDMNT'!B:B,'4.CAP_ENDMNT'!C:C,0,0,1)</f>
        <v>6</v>
      </c>
      <c r="U157" s="139">
        <f>+_xlfn.XLOOKUP(PROYECTOS[[#This Row],[MUNICIPIO]],'4.CAP_ENDMNT'!B:B,'4.CAP_ENDMNT'!D:D,0,0,1)</f>
        <v>9100976268.0305004</v>
      </c>
      <c r="V157" s="140">
        <f>+_xlfn.XLOOKUP(PROYECTOS[[#This Row],[MUNICIPIO]],'4.CAP_ENDMNT'!B:B,'4.CAP_ENDMNT'!E:E,0,0,1)</f>
        <v>3221460794.1700001</v>
      </c>
      <c r="W157" s="140">
        <f>+_xlfn.XLOOKUP(PROYECTOS[[#This Row],[MUNICIPIO]],'4.CAP_ENDMNT'!B:B,'4.CAP_ENDMNT'!F:F,0,0,1)</f>
        <v>5879515473.8605003</v>
      </c>
      <c r="X157" s="140">
        <f>+_xlfn.XLOOKUP(PROYECTOS[[#This Row],[MUNICIPIO]],'4.CAP_ENDMNT'!B:B,'4.CAP_ENDMNT'!G:G,0,0,1)</f>
        <v>1026722956</v>
      </c>
      <c r="Y157" s="140">
        <f>+_xlfn.XLOOKUP(PROYECTOS[[#This Row],[MUNICIPIO]],'4.CAP_ENDMNT'!B:B,'4.CAP_ENDMNT'!H:H,0,0,1)</f>
        <v>190000000</v>
      </c>
      <c r="Z157" s="140">
        <f>+_xlfn.XLOOKUP(PROYECTOS[[#This Row],[MUNICIPIO]],'4.CAP_ENDMNT'!B:B,'4.CAP_ENDMNT'!I:I,0,0,1)</f>
        <v>1216722956</v>
      </c>
      <c r="AA157" s="134">
        <f>+_xlfn.XLOOKUP(PROYECTOS[[#This Row],[MUNICIPIO]],'4.CAP_ENDMNT'!B:B,'4.CAP_ENDMNT'!J:J,0,0,1)</f>
        <v>0.13369147662477152</v>
      </c>
      <c r="AB157" s="140">
        <f>+_xlfn.XLOOKUP(PROYECTOS[[#This Row],[MUNICIPIO]],'4.CAP_ENDMNT'!B:B,'4.CAP_ENDMNT'!K:K,0,0,1)</f>
        <v>7884253312.0305004</v>
      </c>
      <c r="AC157" s="140">
        <f>+_xlfn.XLOOKUP(PROYECTOS[[#This Row],[MUNICIPIO]],'4.CAP_ENDMNT'!B:B,'4.CAP_ENDMNT'!L:L,0,0,1)</f>
        <v>6307402649.6244011</v>
      </c>
      <c r="AD157" s="140">
        <f>+_xlfn.XLOOKUP(PROYECTOS[[#This Row],[MUNICIPIO]],'4.CAP_ENDMNT'!B:B,'4.CAP_ENDMNT'!M:M,0,0,1)</f>
        <v>4730551987.2182999</v>
      </c>
      <c r="AE157" s="134">
        <f>+_xlfn.XLOOKUP(PROYECTOS[[#This Row],[MUNICIPIO]],'4.CAP_ENDMNT'!B:B,'4.CAP_ENDMNT'!N:N,0,0,1)</f>
        <v>0.84384284108140062</v>
      </c>
      <c r="AF157" s="134">
        <f>+_xlfn.XLOOKUP(PROYECTOS[[#This Row],[MUNICIPIO]],'4.CAP_ENDMNT'!B:B,'4.CAP_ENDMNT'!O:O,0,0,1)</f>
        <v>0.65864601932480682</v>
      </c>
      <c r="AG157" s="134">
        <f>+_xlfn.XLOOKUP(PROYECTOS[[#This Row],[MUNICIPIO]],'4.CAP_ENDMNT'!B:B,'4.CAP_ENDMNT'!P:P,0,0,1)</f>
        <v>0.8</v>
      </c>
      <c r="AH157" s="44" t="str">
        <f>+_xlfn.XLOOKUP(PROYECTOS[[#This Row],[MUNICIPIO]],'4.CAP_ENDMNT'!B:B,'4.CAP_ENDMNT'!Q:Q,0,0,1)</f>
        <v>Cumple</v>
      </c>
      <c r="AI157" s="139">
        <f>+_xlfn.XLOOKUP(PROYECTOS[[#This Row],[MUNICIPIO]],'4.CAP_ENDMNT'!B:B,'4.CAP_ENDMNT'!V:V,0,0,1)</f>
        <v>946110397.44366002</v>
      </c>
      <c r="AJ157" s="139">
        <f>+_xlfn.XLOOKUP(PROYECTOS[[#This Row],[MUNICIPIO]],'4.CAP_ENDMNT'!B:B,'4.CAP_ENDMNT'!Y:Y,0,0,1)</f>
        <v>-37054965217.338043</v>
      </c>
      <c r="AK157"/>
      <c r="AL157"/>
      <c r="AM157"/>
    </row>
    <row r="158" spans="1:39">
      <c r="A158" s="44">
        <v>170</v>
      </c>
      <c r="B158" s="37" t="s">
        <v>304</v>
      </c>
      <c r="C158" s="118">
        <f>+_xlfn.XLOOKUP(PROYECTOS[[#This Row],[ID_NECESIDAD]],'1.RADICADOS'!G:G,'1.RADICADOS'!C:C,0,0,1)*1</f>
        <v>45693</v>
      </c>
      <c r="D158" s="46" t="s">
        <v>227</v>
      </c>
      <c r="E158" s="47" t="str">
        <f>+_xlfn.XLOOKUP(PROYECTOS[[#This Row],[MUNICIPIO]],MUNICIPIOS!A:A,MUNICIPIOS!E:E,0,0,1)</f>
        <v>Oriente</v>
      </c>
      <c r="F158" s="44">
        <f>+_xlfn.XLOOKUP(PROYECTOS[[#This Row],[MUNICIPIO]],MUNICIPIOS!A:A,MUNICIPIOS!F:F,0,0,1)</f>
        <v>-75.184445999999994</v>
      </c>
      <c r="G158" s="44" t="str">
        <f>+_xlfn.XLOOKUP(PROYECTOS[[#This Row],[MUNICIPIO]],MUNICIPIOS!A:A,MUNICIPIOS!G:G,0,0,1)</f>
        <v>6,142892</v>
      </c>
      <c r="H158" s="44">
        <f>+_xlfn.XLOOKUP(PROYECTOS[[#This Row],[MUNICIPIO]],MUNICIPIOS!A:A,MUNICIPIOS!B:B,0,0,1)</f>
        <v>0</v>
      </c>
      <c r="I158" s="44">
        <f>+_xlfn.XLOOKUP(PROYECTOS[[#This Row],[MUNICIPIO]],MUNICIPIOS!A:A,MUNICIPIOS!C:C,0,0,1)</f>
        <v>1</v>
      </c>
      <c r="J158" s="3" t="str" cm="1">
        <f t="array" ref="J158">_xlfn.TEXTJOIN(" ", TRUE, IF(radicados[ID PROYECTOS]=A158, radicados[RADICADO], ""))</f>
        <v>2025010053660</v>
      </c>
      <c r="K158" s="45">
        <v>1</v>
      </c>
      <c r="L158" s="48"/>
      <c r="M158" s="34" t="s">
        <v>288</v>
      </c>
      <c r="N158" s="34" t="s">
        <v>398</v>
      </c>
      <c r="O158" s="34" t="s">
        <v>25</v>
      </c>
      <c r="P158" s="37" t="s">
        <v>971</v>
      </c>
      <c r="Q158" s="45"/>
      <c r="R158" s="43"/>
      <c r="S158" s="43"/>
      <c r="T158" s="44">
        <f>+_xlfn.XLOOKUP(PROYECTOS[[#This Row],[MUNICIPIO]],'4.CAP_ENDMNT'!B:B,'4.CAP_ENDMNT'!C:C,0,0,1)</f>
        <v>6</v>
      </c>
      <c r="U158" s="139">
        <f>+_xlfn.XLOOKUP(PROYECTOS[[#This Row],[MUNICIPIO]],'4.CAP_ENDMNT'!B:B,'4.CAP_ENDMNT'!D:D,0,0,1)</f>
        <v>9100976268.0305004</v>
      </c>
      <c r="V158" s="140">
        <f>+_xlfn.XLOOKUP(PROYECTOS[[#This Row],[MUNICIPIO]],'4.CAP_ENDMNT'!B:B,'4.CAP_ENDMNT'!E:E,0,0,1)</f>
        <v>3221460794.1700001</v>
      </c>
      <c r="W158" s="140">
        <f>+_xlfn.XLOOKUP(PROYECTOS[[#This Row],[MUNICIPIO]],'4.CAP_ENDMNT'!B:B,'4.CAP_ENDMNT'!F:F,0,0,1)</f>
        <v>5879515473.8605003</v>
      </c>
      <c r="X158" s="140">
        <f>+_xlfn.XLOOKUP(PROYECTOS[[#This Row],[MUNICIPIO]],'4.CAP_ENDMNT'!B:B,'4.CAP_ENDMNT'!G:G,0,0,1)</f>
        <v>1026722956</v>
      </c>
      <c r="Y158" s="140">
        <f>+_xlfn.XLOOKUP(PROYECTOS[[#This Row],[MUNICIPIO]],'4.CAP_ENDMNT'!B:B,'4.CAP_ENDMNT'!H:H,0,0,1)</f>
        <v>190000000</v>
      </c>
      <c r="Z158" s="140">
        <f>+_xlfn.XLOOKUP(PROYECTOS[[#This Row],[MUNICIPIO]],'4.CAP_ENDMNT'!B:B,'4.CAP_ENDMNT'!I:I,0,0,1)</f>
        <v>1216722956</v>
      </c>
      <c r="AA158" s="134">
        <f>+_xlfn.XLOOKUP(PROYECTOS[[#This Row],[MUNICIPIO]],'4.CAP_ENDMNT'!B:B,'4.CAP_ENDMNT'!J:J,0,0,1)</f>
        <v>0.13369147662477152</v>
      </c>
      <c r="AB158" s="140">
        <f>+_xlfn.XLOOKUP(PROYECTOS[[#This Row],[MUNICIPIO]],'4.CAP_ENDMNT'!B:B,'4.CAP_ENDMNT'!K:K,0,0,1)</f>
        <v>7884253312.0305004</v>
      </c>
      <c r="AC158" s="140">
        <f>+_xlfn.XLOOKUP(PROYECTOS[[#This Row],[MUNICIPIO]],'4.CAP_ENDMNT'!B:B,'4.CAP_ENDMNT'!L:L,0,0,1)</f>
        <v>6307402649.6244011</v>
      </c>
      <c r="AD158" s="140">
        <f>+_xlfn.XLOOKUP(PROYECTOS[[#This Row],[MUNICIPIO]],'4.CAP_ENDMNT'!B:B,'4.CAP_ENDMNT'!M:M,0,0,1)</f>
        <v>4730551987.2182999</v>
      </c>
      <c r="AE158" s="134">
        <f>+_xlfn.XLOOKUP(PROYECTOS[[#This Row],[MUNICIPIO]],'4.CAP_ENDMNT'!B:B,'4.CAP_ENDMNT'!N:N,0,0,1)</f>
        <v>0.84384284108140062</v>
      </c>
      <c r="AF158" s="134">
        <f>+_xlfn.XLOOKUP(PROYECTOS[[#This Row],[MUNICIPIO]],'4.CAP_ENDMNT'!B:B,'4.CAP_ENDMNT'!O:O,0,0,1)</f>
        <v>0.65864601932480682</v>
      </c>
      <c r="AG158" s="134">
        <f>+_xlfn.XLOOKUP(PROYECTOS[[#This Row],[MUNICIPIO]],'4.CAP_ENDMNT'!B:B,'4.CAP_ENDMNT'!P:P,0,0,1)</f>
        <v>0.8</v>
      </c>
      <c r="AH158" s="44" t="str">
        <f>+_xlfn.XLOOKUP(PROYECTOS[[#This Row],[MUNICIPIO]],'4.CAP_ENDMNT'!B:B,'4.CAP_ENDMNT'!Q:Q,0,0,1)</f>
        <v>Cumple</v>
      </c>
      <c r="AI158" s="139">
        <f>+_xlfn.XLOOKUP(PROYECTOS[[#This Row],[MUNICIPIO]],'4.CAP_ENDMNT'!B:B,'4.CAP_ENDMNT'!V:V,0,0,1)</f>
        <v>946110397.44366002</v>
      </c>
      <c r="AJ158" s="139">
        <f>+_xlfn.XLOOKUP(PROYECTOS[[#This Row],[MUNICIPIO]],'4.CAP_ENDMNT'!B:B,'4.CAP_ENDMNT'!Y:Y,0,0,1)</f>
        <v>-37054965217.338043</v>
      </c>
      <c r="AK158"/>
      <c r="AL158"/>
      <c r="AM158"/>
    </row>
    <row r="159" spans="1:39">
      <c r="A159" s="44">
        <v>171</v>
      </c>
      <c r="B159" s="37" t="s">
        <v>305</v>
      </c>
      <c r="C159" s="118">
        <f>+_xlfn.XLOOKUP(PROYECTOS[[#This Row],[ID_NECESIDAD]],'1.RADICADOS'!G:G,'1.RADICADOS'!C:C,0,0,1)*1</f>
        <v>45692</v>
      </c>
      <c r="D159" s="46" t="s">
        <v>61</v>
      </c>
      <c r="E159" s="47" t="str">
        <f>+_xlfn.XLOOKUP(PROYECTOS[[#This Row],[MUNICIPIO]],MUNICIPIOS!A:A,MUNICIPIOS!E:E,0,0,1)</f>
        <v>Suroeste</v>
      </c>
      <c r="F159" s="44">
        <f>+_xlfn.XLOOKUP(PROYECTOS[[#This Row],[MUNICIPIO]],MUNICIPIOS!A:A,MUNICIPIOS!F:F,0,0,1)</f>
        <v>-75.675072</v>
      </c>
      <c r="G159" s="44" t="str">
        <f>+_xlfn.XLOOKUP(PROYECTOS[[#This Row],[MUNICIPIO]],MUNICIPIOS!A:A,MUNICIPIOS!G:G,0,0,1)</f>
        <v>5,928039</v>
      </c>
      <c r="H159" s="44">
        <f>+_xlfn.XLOOKUP(PROYECTOS[[#This Row],[MUNICIPIO]],MUNICIPIOS!A:A,MUNICIPIOS!B:B,0,0,1)</f>
        <v>0</v>
      </c>
      <c r="I159" s="44">
        <f>+_xlfn.XLOOKUP(PROYECTOS[[#This Row],[MUNICIPIO]],MUNICIPIOS!A:A,MUNICIPIOS!C:C,0,0,1)</f>
        <v>0</v>
      </c>
      <c r="J159" s="3" t="str" cm="1">
        <f t="array" ref="J159">_xlfn.TEXTJOIN(" ", TRUE, IF(radicados[ID PROYECTOS]=A159, radicados[RADICADO], ""))</f>
        <v>2025010050686 2025050284676 2025050284677</v>
      </c>
      <c r="K159" s="45">
        <v>2</v>
      </c>
      <c r="L159" s="185">
        <v>3250495705</v>
      </c>
      <c r="M159" s="34" t="s">
        <v>407</v>
      </c>
      <c r="N159" s="40" t="s">
        <v>397</v>
      </c>
      <c r="O159" s="40" t="s">
        <v>56</v>
      </c>
      <c r="P159" s="37"/>
      <c r="Q159" s="45"/>
      <c r="R159" s="43"/>
      <c r="S159" s="43"/>
      <c r="T159" s="44">
        <f>+_xlfn.XLOOKUP(PROYECTOS[[#This Row],[MUNICIPIO]],'4.CAP_ENDMNT'!B:B,'4.CAP_ENDMNT'!C:C,0,0,1)</f>
        <v>6</v>
      </c>
      <c r="U159" s="139">
        <f>+_xlfn.XLOOKUP(PROYECTOS[[#This Row],[MUNICIPIO]],'4.CAP_ENDMNT'!B:B,'4.CAP_ENDMNT'!D:D,0,0,1)</f>
        <v>17515986067.273998</v>
      </c>
      <c r="V159" s="140">
        <f>+_xlfn.XLOOKUP(PROYECTOS[[#This Row],[MUNICIPIO]],'4.CAP_ENDMNT'!B:B,'4.CAP_ENDMNT'!E:E,0,0,1)</f>
        <v>8346764868.3600006</v>
      </c>
      <c r="W159" s="140">
        <f>+_xlfn.XLOOKUP(PROYECTOS[[#This Row],[MUNICIPIO]],'4.CAP_ENDMNT'!B:B,'4.CAP_ENDMNT'!F:F,0,0,1)</f>
        <v>9169221198.9139977</v>
      </c>
      <c r="X159" s="140">
        <f>+_xlfn.XLOOKUP(PROYECTOS[[#This Row],[MUNICIPIO]],'4.CAP_ENDMNT'!B:B,'4.CAP_ENDMNT'!G:G,0,0,1)</f>
        <v>0</v>
      </c>
      <c r="Y159" s="140">
        <f>+_xlfn.XLOOKUP(PROYECTOS[[#This Row],[MUNICIPIO]],'4.CAP_ENDMNT'!B:B,'4.CAP_ENDMNT'!H:H,0,0,1)</f>
        <v>6328650461</v>
      </c>
      <c r="Z159" s="140">
        <f>+_xlfn.XLOOKUP(PROYECTOS[[#This Row],[MUNICIPIO]],'4.CAP_ENDMNT'!B:B,'4.CAP_ENDMNT'!I:I,0,0,1)</f>
        <v>6328650461</v>
      </c>
      <c r="AA159" s="134">
        <f>+_xlfn.XLOOKUP(PROYECTOS[[#This Row],[MUNICIPIO]],'4.CAP_ENDMNT'!B:B,'4.CAP_ENDMNT'!J:J,0,0,1)</f>
        <v>0.36130711891945022</v>
      </c>
      <c r="AB159" s="140">
        <f>+_xlfn.XLOOKUP(PROYECTOS[[#This Row],[MUNICIPIO]],'4.CAP_ENDMNT'!B:B,'4.CAP_ENDMNT'!K:K,0,0,1)</f>
        <v>11187335606.273998</v>
      </c>
      <c r="AC159" s="140">
        <f>+_xlfn.XLOOKUP(PROYECTOS[[#This Row],[MUNICIPIO]],'4.CAP_ENDMNT'!B:B,'4.CAP_ENDMNT'!L:L,0,0,1)</f>
        <v>8949868485.0191994</v>
      </c>
      <c r="AD159" s="140">
        <f>+_xlfn.XLOOKUP(PROYECTOS[[#This Row],[MUNICIPIO]],'4.CAP_ENDMNT'!B:B,'4.CAP_ENDMNT'!M:M,0,0,1)</f>
        <v>6712401363.7643986</v>
      </c>
      <c r="AE159" s="134">
        <f>+_xlfn.XLOOKUP(PROYECTOS[[#This Row],[MUNICIPIO]],'4.CAP_ENDMNT'!B:B,'4.CAP_ENDMNT'!N:N,0,0,1)</f>
        <v>0</v>
      </c>
      <c r="AF159" s="134">
        <f>+_xlfn.XLOOKUP(PROYECTOS[[#This Row],[MUNICIPIO]],'4.CAP_ENDMNT'!B:B,'4.CAP_ENDMNT'!O:O,0,0,1)</f>
        <v>0.67376313277740918</v>
      </c>
      <c r="AG159" s="134">
        <f>+_xlfn.XLOOKUP(PROYECTOS[[#This Row],[MUNICIPIO]],'4.CAP_ENDMNT'!B:B,'4.CAP_ENDMNT'!P:P,0,0,1)</f>
        <v>0.8</v>
      </c>
      <c r="AH159" s="44" t="str">
        <f>+_xlfn.XLOOKUP(PROYECTOS[[#This Row],[MUNICIPIO]],'4.CAP_ENDMNT'!B:B,'4.CAP_ENDMNT'!Q:Q,0,0,1)</f>
        <v>Cumple</v>
      </c>
      <c r="AI159" s="139">
        <f>+_xlfn.XLOOKUP(PROYECTOS[[#This Row],[MUNICIPIO]],'4.CAP_ENDMNT'!B:B,'4.CAP_ENDMNT'!V:V,0,0,1)</f>
        <v>1342480272.7528799</v>
      </c>
      <c r="AJ159" s="139">
        <f>+_xlfn.XLOOKUP(PROYECTOS[[#This Row],[MUNICIPIO]],'4.CAP_ENDMNT'!B:B,'4.CAP_ENDMNT'!Y:Y,0,0,1)</f>
        <v>3280962216.5172787</v>
      </c>
      <c r="AK159"/>
      <c r="AL159"/>
      <c r="AM159"/>
    </row>
    <row r="160" spans="1:39">
      <c r="A160" s="44">
        <v>172</v>
      </c>
      <c r="B160" s="37" t="s">
        <v>306</v>
      </c>
      <c r="C160" s="118">
        <f>+_xlfn.XLOOKUP(PROYECTOS[[#This Row],[ID_NECESIDAD]],'1.RADICADOS'!G:G,'1.RADICADOS'!C:C,0,0,1)*1</f>
        <v>45610</v>
      </c>
      <c r="D160" s="46" t="s">
        <v>227</v>
      </c>
      <c r="E160" s="47" t="str">
        <f>+_xlfn.XLOOKUP(PROYECTOS[[#This Row],[MUNICIPIO]],MUNICIPIOS!A:A,MUNICIPIOS!E:E,0,0,1)</f>
        <v>Oriente</v>
      </c>
      <c r="F160" s="44">
        <f>+_xlfn.XLOOKUP(PROYECTOS[[#This Row],[MUNICIPIO]],MUNICIPIOS!A:A,MUNICIPIOS!F:F,0,0,1)</f>
        <v>-75.184445999999994</v>
      </c>
      <c r="G160" s="44" t="str">
        <f>+_xlfn.XLOOKUP(PROYECTOS[[#This Row],[MUNICIPIO]],MUNICIPIOS!A:A,MUNICIPIOS!G:G,0,0,1)</f>
        <v>6,142892</v>
      </c>
      <c r="H160" s="44">
        <f>+_xlfn.XLOOKUP(PROYECTOS[[#This Row],[MUNICIPIO]],MUNICIPIOS!A:A,MUNICIPIOS!B:B,0,0,1)</f>
        <v>0</v>
      </c>
      <c r="I160" s="44">
        <f>+_xlfn.XLOOKUP(PROYECTOS[[#This Row],[MUNICIPIO]],MUNICIPIOS!A:A,MUNICIPIOS!C:C,0,0,1)</f>
        <v>1</v>
      </c>
      <c r="J160" s="3" t="str" cm="1">
        <f t="array" ref="J160">_xlfn.TEXTJOIN(" ", TRUE, IF(radicados[ID PROYECTOS]=A160, radicados[RADICADO], ""))</f>
        <v>2024010520939 2025050103225</v>
      </c>
      <c r="K160" s="45">
        <v>3</v>
      </c>
      <c r="L160" s="48">
        <v>13671056484</v>
      </c>
      <c r="M160" s="34" t="s">
        <v>288</v>
      </c>
      <c r="N160" s="40" t="s">
        <v>398</v>
      </c>
      <c r="O160" s="40" t="s">
        <v>25</v>
      </c>
      <c r="P160" s="37" t="s">
        <v>972</v>
      </c>
      <c r="Q160" s="45"/>
      <c r="R160" s="43"/>
      <c r="S160" s="43"/>
      <c r="T160" s="44">
        <f>+_xlfn.XLOOKUP(PROYECTOS[[#This Row],[MUNICIPIO]],'4.CAP_ENDMNT'!B:B,'4.CAP_ENDMNT'!C:C,0,0,1)</f>
        <v>6</v>
      </c>
      <c r="U160" s="139">
        <f>+_xlfn.XLOOKUP(PROYECTOS[[#This Row],[MUNICIPIO]],'4.CAP_ENDMNT'!B:B,'4.CAP_ENDMNT'!D:D,0,0,1)</f>
        <v>9100976268.0305004</v>
      </c>
      <c r="V160" s="140">
        <f>+_xlfn.XLOOKUP(PROYECTOS[[#This Row],[MUNICIPIO]],'4.CAP_ENDMNT'!B:B,'4.CAP_ENDMNT'!E:E,0,0,1)</f>
        <v>3221460794.1700001</v>
      </c>
      <c r="W160" s="140">
        <f>+_xlfn.XLOOKUP(PROYECTOS[[#This Row],[MUNICIPIO]],'4.CAP_ENDMNT'!B:B,'4.CAP_ENDMNT'!F:F,0,0,1)</f>
        <v>5879515473.8605003</v>
      </c>
      <c r="X160" s="140">
        <f>+_xlfn.XLOOKUP(PROYECTOS[[#This Row],[MUNICIPIO]],'4.CAP_ENDMNT'!B:B,'4.CAP_ENDMNT'!G:G,0,0,1)</f>
        <v>1026722956</v>
      </c>
      <c r="Y160" s="140">
        <f>+_xlfn.XLOOKUP(PROYECTOS[[#This Row],[MUNICIPIO]],'4.CAP_ENDMNT'!B:B,'4.CAP_ENDMNT'!H:H,0,0,1)</f>
        <v>190000000</v>
      </c>
      <c r="Z160" s="140">
        <f>+_xlfn.XLOOKUP(PROYECTOS[[#This Row],[MUNICIPIO]],'4.CAP_ENDMNT'!B:B,'4.CAP_ENDMNT'!I:I,0,0,1)</f>
        <v>1216722956</v>
      </c>
      <c r="AA160" s="134">
        <f>+_xlfn.XLOOKUP(PROYECTOS[[#This Row],[MUNICIPIO]],'4.CAP_ENDMNT'!B:B,'4.CAP_ENDMNT'!J:J,0,0,1)</f>
        <v>0.13369147662477152</v>
      </c>
      <c r="AB160" s="140">
        <f>+_xlfn.XLOOKUP(PROYECTOS[[#This Row],[MUNICIPIO]],'4.CAP_ENDMNT'!B:B,'4.CAP_ENDMNT'!K:K,0,0,1)</f>
        <v>7884253312.0305004</v>
      </c>
      <c r="AC160" s="140">
        <f>+_xlfn.XLOOKUP(PROYECTOS[[#This Row],[MUNICIPIO]],'4.CAP_ENDMNT'!B:B,'4.CAP_ENDMNT'!L:L,0,0,1)</f>
        <v>6307402649.6244011</v>
      </c>
      <c r="AD160" s="140">
        <f>+_xlfn.XLOOKUP(PROYECTOS[[#This Row],[MUNICIPIO]],'4.CAP_ENDMNT'!B:B,'4.CAP_ENDMNT'!M:M,0,0,1)</f>
        <v>4730551987.2182999</v>
      </c>
      <c r="AE160" s="134">
        <f>+_xlfn.XLOOKUP(PROYECTOS[[#This Row],[MUNICIPIO]],'4.CAP_ENDMNT'!B:B,'4.CAP_ENDMNT'!N:N,0,0,1)</f>
        <v>0.84384284108140062</v>
      </c>
      <c r="AF160" s="134">
        <f>+_xlfn.XLOOKUP(PROYECTOS[[#This Row],[MUNICIPIO]],'4.CAP_ENDMNT'!B:B,'4.CAP_ENDMNT'!O:O,0,0,1)</f>
        <v>0.65864601932480682</v>
      </c>
      <c r="AG160" s="134">
        <f>+_xlfn.XLOOKUP(PROYECTOS[[#This Row],[MUNICIPIO]],'4.CAP_ENDMNT'!B:B,'4.CAP_ENDMNT'!P:P,0,0,1)</f>
        <v>0.8</v>
      </c>
      <c r="AH160" s="44" t="str">
        <f>+_xlfn.XLOOKUP(PROYECTOS[[#This Row],[MUNICIPIO]],'4.CAP_ENDMNT'!B:B,'4.CAP_ENDMNT'!Q:Q,0,0,1)</f>
        <v>Cumple</v>
      </c>
      <c r="AI160" s="139">
        <f>+_xlfn.XLOOKUP(PROYECTOS[[#This Row],[MUNICIPIO]],'4.CAP_ENDMNT'!B:B,'4.CAP_ENDMNT'!V:V,0,0,1)</f>
        <v>946110397.44366002</v>
      </c>
      <c r="AJ160" s="139">
        <f>+_xlfn.XLOOKUP(PROYECTOS[[#This Row],[MUNICIPIO]],'4.CAP_ENDMNT'!B:B,'4.CAP_ENDMNT'!Y:Y,0,0,1)</f>
        <v>-37054965217.338043</v>
      </c>
      <c r="AK160"/>
      <c r="AL160"/>
      <c r="AM160"/>
    </row>
    <row r="161" spans="1:39">
      <c r="A161" s="44">
        <v>173</v>
      </c>
      <c r="B161" s="37" t="s">
        <v>1406</v>
      </c>
      <c r="C161" s="118">
        <f>+_xlfn.XLOOKUP(PROYECTOS[[#This Row],[ID_NECESIDAD]],'1.RADICADOS'!G:G,'1.RADICADOS'!C:C,0,0,1)*1</f>
        <v>45656</v>
      </c>
      <c r="D161" s="34" t="s">
        <v>127</v>
      </c>
      <c r="E161" s="47" t="str">
        <f>+_xlfn.XLOOKUP(PROYECTOS[[#This Row],[MUNICIPIO]],MUNICIPIOS!A:A,MUNICIPIOS!E:E,0,0,1)</f>
        <v>Suroeste</v>
      </c>
      <c r="F161" s="44">
        <f>+_xlfn.XLOOKUP(PROYECTOS[[#This Row],[MUNICIPIO]],MUNICIPIOS!A:A,MUNICIPIOS!F:F,0,0,1)</f>
        <v>-75.976789999999994</v>
      </c>
      <c r="G161" s="44" t="str">
        <f>+_xlfn.XLOOKUP(PROYECTOS[[#This Row],[MUNICIPIO]],MUNICIPIOS!A:A,MUNICIPIOS!G:G,0,0,1)</f>
        <v>5,74615</v>
      </c>
      <c r="H161" s="44">
        <f>+_xlfn.XLOOKUP(PROYECTOS[[#This Row],[MUNICIPIO]],MUNICIPIOS!A:A,MUNICIPIOS!B:B,0,0,1)</f>
        <v>0</v>
      </c>
      <c r="I161" s="44">
        <f>+_xlfn.XLOOKUP(PROYECTOS[[#This Row],[MUNICIPIO]],MUNICIPIOS!A:A,MUNICIPIOS!C:C,0,0,1)</f>
        <v>0</v>
      </c>
      <c r="J161" s="3" t="str" cm="1">
        <f t="array" ref="J161">_xlfn.TEXTJOIN(" ", TRUE, IF(radicados[ID PROYECTOS]=A161, radicados[RADICADO], ""))</f>
        <v>2024010584314 2025010068041</v>
      </c>
      <c r="K161" s="45">
        <v>3</v>
      </c>
      <c r="L161" s="48">
        <v>1232731292</v>
      </c>
      <c r="M161" s="34" t="s">
        <v>435</v>
      </c>
      <c r="N161" s="40" t="s">
        <v>398</v>
      </c>
      <c r="O161" s="40" t="s">
        <v>25</v>
      </c>
      <c r="P161" s="37" t="s">
        <v>1407</v>
      </c>
      <c r="Q161" s="45"/>
      <c r="R161" s="43"/>
      <c r="S161" s="43"/>
      <c r="T161" s="44">
        <f>+_xlfn.XLOOKUP(PROYECTOS[[#This Row],[MUNICIPIO]],'4.CAP_ENDMNT'!B:B,'4.CAP_ENDMNT'!C:C,0,0,1)</f>
        <v>6</v>
      </c>
      <c r="U161" s="139">
        <f>+_xlfn.XLOOKUP(PROYECTOS[[#This Row],[MUNICIPIO]],'4.CAP_ENDMNT'!B:B,'4.CAP_ENDMNT'!D:D,0,0,1)</f>
        <v>9197355968.8835011</v>
      </c>
      <c r="V161" s="140">
        <f>+_xlfn.XLOOKUP(PROYECTOS[[#This Row],[MUNICIPIO]],'4.CAP_ENDMNT'!B:B,'4.CAP_ENDMNT'!E:E,0,0,1)</f>
        <v>3350398615.7000003</v>
      </c>
      <c r="W161" s="140">
        <f>+_xlfn.XLOOKUP(PROYECTOS[[#This Row],[MUNICIPIO]],'4.CAP_ENDMNT'!B:B,'4.CAP_ENDMNT'!F:F,0,0,1)</f>
        <v>5846957353.1835003</v>
      </c>
      <c r="X161" s="140">
        <f>+_xlfn.XLOOKUP(PROYECTOS[[#This Row],[MUNICIPIO]],'4.CAP_ENDMNT'!B:B,'4.CAP_ENDMNT'!G:G,0,0,1)</f>
        <v>958841544</v>
      </c>
      <c r="Y161" s="140">
        <f>+_xlfn.XLOOKUP(PROYECTOS[[#This Row],[MUNICIPIO]],'4.CAP_ENDMNT'!B:B,'4.CAP_ENDMNT'!H:H,0,0,1)</f>
        <v>680000000</v>
      </c>
      <c r="Z161" s="140">
        <f>+_xlfn.XLOOKUP(PROYECTOS[[#This Row],[MUNICIPIO]],'4.CAP_ENDMNT'!B:B,'4.CAP_ENDMNT'!I:I,0,0,1)</f>
        <v>1638841544</v>
      </c>
      <c r="AA161" s="134">
        <f>+_xlfn.XLOOKUP(PROYECTOS[[#This Row],[MUNICIPIO]],'4.CAP_ENDMNT'!B:B,'4.CAP_ENDMNT'!J:J,0,0,1)</f>
        <v>0.17818616019044273</v>
      </c>
      <c r="AB161" s="140">
        <f>+_xlfn.XLOOKUP(PROYECTOS[[#This Row],[MUNICIPIO]],'4.CAP_ENDMNT'!B:B,'4.CAP_ENDMNT'!K:K,0,0,1)</f>
        <v>7558514424.8835011</v>
      </c>
      <c r="AC161" s="140">
        <f>+_xlfn.XLOOKUP(PROYECTOS[[#This Row],[MUNICIPIO]],'4.CAP_ENDMNT'!B:B,'4.CAP_ENDMNT'!L:L,0,0,1)</f>
        <v>6046811539.9068012</v>
      </c>
      <c r="AD161" s="140">
        <f>+_xlfn.XLOOKUP(PROYECTOS[[#This Row],[MUNICIPIO]],'4.CAP_ENDMNT'!B:B,'4.CAP_ENDMNT'!M:M,0,0,1)</f>
        <v>4535108654.9301004</v>
      </c>
      <c r="AE161" s="134">
        <f>+_xlfn.XLOOKUP(PROYECTOS[[#This Row],[MUNICIPIO]],'4.CAP_ENDMNT'!B:B,'4.CAP_ENDMNT'!N:N,0,0,1)</f>
        <v>0.58507275917579493</v>
      </c>
      <c r="AF161" s="134">
        <f>+_xlfn.XLOOKUP(PROYECTOS[[#This Row],[MUNICIPIO]],'4.CAP_ENDMNT'!B:B,'4.CAP_ENDMNT'!O:O,0,0,1)</f>
        <v>0.53687312631507866</v>
      </c>
      <c r="AG161" s="134">
        <f>+_xlfn.XLOOKUP(PROYECTOS[[#This Row],[MUNICIPIO]],'4.CAP_ENDMNT'!B:B,'4.CAP_ENDMNT'!P:P,0,0,1)</f>
        <v>0.8</v>
      </c>
      <c r="AH161" s="44" t="str">
        <f>+_xlfn.XLOOKUP(PROYECTOS[[#This Row],[MUNICIPIO]],'4.CAP_ENDMNT'!B:B,'4.CAP_ENDMNT'!Q:Q,0,0,1)</f>
        <v>Cumple</v>
      </c>
      <c r="AI161" s="139">
        <f>+_xlfn.XLOOKUP(PROYECTOS[[#This Row],[MUNICIPIO]],'4.CAP_ENDMNT'!B:B,'4.CAP_ENDMNT'!V:V,0,0,1)</f>
        <v>907021730.98602009</v>
      </c>
      <c r="AJ161" s="139">
        <f>+_xlfn.XLOOKUP(PROYECTOS[[#This Row],[MUNICIPIO]],'4.CAP_ENDMNT'!B:B,'4.CAP_ENDMNT'!Y:Y,0,0,1)</f>
        <v>-2964573994.0838795</v>
      </c>
      <c r="AK161"/>
      <c r="AL161"/>
      <c r="AM161"/>
    </row>
    <row r="162" spans="1:39">
      <c r="A162" s="44">
        <v>174</v>
      </c>
      <c r="B162" s="37" t="s">
        <v>309</v>
      </c>
      <c r="C162" s="118">
        <f>+_xlfn.XLOOKUP(PROYECTOS[[#This Row],[ID_NECESIDAD]],'1.RADICADOS'!G:G,'1.RADICADOS'!C:C,0,0,1)*1</f>
        <v>45681</v>
      </c>
      <c r="D162" s="46" t="s">
        <v>113</v>
      </c>
      <c r="E162" s="47" t="str">
        <f>+_xlfn.XLOOKUP(PROYECTOS[[#This Row],[MUNICIPIO]],MUNICIPIOS!A:A,MUNICIPIOS!E:E,0,0,1)</f>
        <v>Oriente</v>
      </c>
      <c r="F162" s="44">
        <f>+_xlfn.XLOOKUP(PROYECTOS[[#This Row],[MUNICIPIO]],MUNICIPIOS!A:A,MUNICIPIOS!F:F,0,0,1)</f>
        <v>-75.101562000000001</v>
      </c>
      <c r="G162" s="44" t="str">
        <f>+_xlfn.XLOOKUP(PROYECTOS[[#This Row],[MUNICIPIO]],MUNICIPIOS!A:A,MUNICIPIOS!G:G,0,0,1)</f>
        <v>5,963476</v>
      </c>
      <c r="H162" s="44">
        <f>+_xlfn.XLOOKUP(PROYECTOS[[#This Row],[MUNICIPIO]],MUNICIPIOS!A:A,MUNICIPIOS!B:B,0,0,1)</f>
        <v>0</v>
      </c>
      <c r="I162" s="44">
        <f>+_xlfn.XLOOKUP(PROYECTOS[[#This Row],[MUNICIPIO]],MUNICIPIOS!A:A,MUNICIPIOS!C:C,0,0,1)</f>
        <v>1</v>
      </c>
      <c r="J162" s="3" t="str" cm="1">
        <f t="array" ref="J162">_xlfn.TEXTJOIN(" ", TRUE, IF(radicados[ID PROYECTOS]=A162, radicados[RADICADO], ""))</f>
        <v>2025010069361</v>
      </c>
      <c r="K162" s="45">
        <v>3</v>
      </c>
      <c r="L162" s="48">
        <v>663195355</v>
      </c>
      <c r="M162" s="34" t="s">
        <v>441</v>
      </c>
      <c r="N162" s="40" t="s">
        <v>398</v>
      </c>
      <c r="O162" s="40" t="s">
        <v>25</v>
      </c>
      <c r="P162" s="37"/>
      <c r="Q162" s="45"/>
      <c r="R162" s="43"/>
      <c r="S162" s="43"/>
      <c r="T162" s="44">
        <f>+_xlfn.XLOOKUP(PROYECTOS[[#This Row],[MUNICIPIO]],'4.CAP_ENDMNT'!B:B,'4.CAP_ENDMNT'!C:C,0,0,1)</f>
        <v>6</v>
      </c>
      <c r="U162" s="139">
        <f>+_xlfn.XLOOKUP(PROYECTOS[[#This Row],[MUNICIPIO]],'4.CAP_ENDMNT'!B:B,'4.CAP_ENDMNT'!D:D,0,0,1)</f>
        <v>7763487077.335</v>
      </c>
      <c r="V162" s="140">
        <f>+_xlfn.XLOOKUP(PROYECTOS[[#This Row],[MUNICIPIO]],'4.CAP_ENDMNT'!B:B,'4.CAP_ENDMNT'!E:E,0,0,1)</f>
        <v>2329929022.3600001</v>
      </c>
      <c r="W162" s="140">
        <f>+_xlfn.XLOOKUP(PROYECTOS[[#This Row],[MUNICIPIO]],'4.CAP_ENDMNT'!B:B,'4.CAP_ENDMNT'!F:F,0,0,1)</f>
        <v>5433558054.9750004</v>
      </c>
      <c r="X162" s="140">
        <f>+_xlfn.XLOOKUP(PROYECTOS[[#This Row],[MUNICIPIO]],'4.CAP_ENDMNT'!B:B,'4.CAP_ENDMNT'!G:G,0,0,1)</f>
        <v>1217107364.4400001</v>
      </c>
      <c r="Y162" s="140">
        <f>+_xlfn.XLOOKUP(PROYECTOS[[#This Row],[MUNICIPIO]],'4.CAP_ENDMNT'!B:B,'4.CAP_ENDMNT'!H:H,0,0,1)</f>
        <v>0</v>
      </c>
      <c r="Z162" s="140">
        <f>+_xlfn.XLOOKUP(PROYECTOS[[#This Row],[MUNICIPIO]],'4.CAP_ENDMNT'!B:B,'4.CAP_ENDMNT'!I:I,0,0,1)</f>
        <v>1217107364.4400001</v>
      </c>
      <c r="AA162" s="134">
        <f>+_xlfn.XLOOKUP(PROYECTOS[[#This Row],[MUNICIPIO]],'4.CAP_ENDMNT'!B:B,'4.CAP_ENDMNT'!J:J,0,0,1)</f>
        <v>0.15677328400446064</v>
      </c>
      <c r="AB162" s="140">
        <f>+_xlfn.XLOOKUP(PROYECTOS[[#This Row],[MUNICIPIO]],'4.CAP_ENDMNT'!B:B,'4.CAP_ENDMNT'!K:K,0,0,1)</f>
        <v>6546379712.8950005</v>
      </c>
      <c r="AC162" s="140">
        <f>+_xlfn.XLOOKUP(PROYECTOS[[#This Row],[MUNICIPIO]],'4.CAP_ENDMNT'!B:B,'4.CAP_ENDMNT'!L:L,0,0,1)</f>
        <v>5237103770.3160009</v>
      </c>
      <c r="AD162" s="140">
        <f>+_xlfn.XLOOKUP(PROYECTOS[[#This Row],[MUNICIPIO]],'4.CAP_ENDMNT'!B:B,'4.CAP_ENDMNT'!M:M,0,0,1)</f>
        <v>3927827827.737</v>
      </c>
      <c r="AE162" s="134">
        <f>+_xlfn.XLOOKUP(PROYECTOS[[#This Row],[MUNICIPIO]],'4.CAP_ENDMNT'!B:B,'4.CAP_ENDMNT'!N:N,0,0,1)</f>
        <v>1</v>
      </c>
      <c r="AF162" s="134">
        <f>+_xlfn.XLOOKUP(PROYECTOS[[#This Row],[MUNICIPIO]],'4.CAP_ENDMNT'!B:B,'4.CAP_ENDMNT'!O:O,0,0,1)</f>
        <v>0.68141761997590633</v>
      </c>
      <c r="AG162" s="134">
        <f>+_xlfn.XLOOKUP(PROYECTOS[[#This Row],[MUNICIPIO]],'4.CAP_ENDMNT'!B:B,'4.CAP_ENDMNT'!P:P,0,0,1)</f>
        <v>0.8</v>
      </c>
      <c r="AH162" s="44" t="str">
        <f>+_xlfn.XLOOKUP(PROYECTOS[[#This Row],[MUNICIPIO]],'4.CAP_ENDMNT'!B:B,'4.CAP_ENDMNT'!Q:Q,0,0,1)</f>
        <v>Cumple</v>
      </c>
      <c r="AI162" s="139">
        <f>+_xlfn.XLOOKUP(PROYECTOS[[#This Row],[MUNICIPIO]],'4.CAP_ENDMNT'!B:B,'4.CAP_ENDMNT'!V:V,0,0,1)</f>
        <v>785565565.5474</v>
      </c>
      <c r="AJ162" s="139">
        <f>+_xlfn.XLOOKUP(PROYECTOS[[#This Row],[MUNICIPIO]],'4.CAP_ENDMNT'!B:B,'4.CAP_ENDMNT'!Y:Y,0,0,1)</f>
        <v>-10352204929.605598</v>
      </c>
      <c r="AK162"/>
      <c r="AL162"/>
      <c r="AM162"/>
    </row>
    <row r="163" spans="1:39">
      <c r="A163" s="44">
        <v>175</v>
      </c>
      <c r="B163" s="37" t="s">
        <v>442</v>
      </c>
      <c r="C163" s="118">
        <f>+_xlfn.XLOOKUP(PROYECTOS[[#This Row],[ID_NECESIDAD]],'1.RADICADOS'!G:G,'1.RADICADOS'!C:C,0,0,1)*1</f>
        <v>45680</v>
      </c>
      <c r="D163" s="46" t="s">
        <v>258</v>
      </c>
      <c r="E163" s="47" t="str">
        <f>+_xlfn.XLOOKUP(PROYECTOS[[#This Row],[MUNICIPIO]],MUNICIPIOS!A:A,MUNICIPIOS!E:E,0,0,1)</f>
        <v>Urabá</v>
      </c>
      <c r="F163" s="44">
        <f>+_xlfn.XLOOKUP(PROYECTOS[[#This Row],[MUNICIPIO]],MUNICIPIOS!A:A,MUNICIPIOS!F:F,0,0,1)</f>
        <v>-76.817485000000005</v>
      </c>
      <c r="G163" s="44" t="str">
        <f>+_xlfn.XLOOKUP(PROYECTOS[[#This Row],[MUNICIPIO]],MUNICIPIOS!A:A,MUNICIPIOS!G:G,0,0,1)</f>
        <v>6,97771</v>
      </c>
      <c r="H163" s="44">
        <f>+_xlfn.XLOOKUP(PROYECTOS[[#This Row],[MUNICIPIO]],MUNICIPIOS!A:A,MUNICIPIOS!B:B,0,0,1)</f>
        <v>1</v>
      </c>
      <c r="I163" s="44">
        <f>+_xlfn.XLOOKUP(PROYECTOS[[#This Row],[MUNICIPIO]],MUNICIPIOS!A:A,MUNICIPIOS!C:C,0,0,1)</f>
        <v>1</v>
      </c>
      <c r="J163" s="3" t="str" cm="1">
        <f t="array" ref="J163">_xlfn.TEXTJOIN(" ", TRUE, IF(radicados[ID PROYECTOS]=A163, radicados[RADICADO], ""))</f>
        <v>2025010030301</v>
      </c>
      <c r="K163" s="45">
        <v>3</v>
      </c>
      <c r="L163" s="48">
        <v>10307716743</v>
      </c>
      <c r="M163" s="34" t="s">
        <v>401</v>
      </c>
      <c r="N163" s="34" t="s">
        <v>394</v>
      </c>
      <c r="O163" s="34" t="s">
        <v>18</v>
      </c>
      <c r="P163" s="37"/>
      <c r="Q163" s="45"/>
      <c r="R163" s="43"/>
      <c r="S163" s="43"/>
      <c r="T163" s="44">
        <f>+_xlfn.XLOOKUP(PROYECTOS[[#This Row],[MUNICIPIO]],'4.CAP_ENDMNT'!B:B,'4.CAP_ENDMNT'!C:C,0,0,1)</f>
        <v>6</v>
      </c>
      <c r="U163" s="139">
        <f>+_xlfn.XLOOKUP(PROYECTOS[[#This Row],[MUNICIPIO]],'4.CAP_ENDMNT'!B:B,'4.CAP_ENDMNT'!D:D,0,0,1)</f>
        <v>17114409570.042</v>
      </c>
      <c r="V163" s="140">
        <f>+_xlfn.XLOOKUP(PROYECTOS[[#This Row],[MUNICIPIO]],'4.CAP_ENDMNT'!B:B,'4.CAP_ENDMNT'!E:E,0,0,1)</f>
        <v>5233556503.5699997</v>
      </c>
      <c r="W163" s="140">
        <f>+_xlfn.XLOOKUP(PROYECTOS[[#This Row],[MUNICIPIO]],'4.CAP_ENDMNT'!B:B,'4.CAP_ENDMNT'!F:F,0,0,1)</f>
        <v>11880853066.472</v>
      </c>
      <c r="X163" s="140">
        <f>+_xlfn.XLOOKUP(PROYECTOS[[#This Row],[MUNICIPIO]],'4.CAP_ENDMNT'!B:B,'4.CAP_ENDMNT'!G:G,0,0,1)</f>
        <v>690572471</v>
      </c>
      <c r="Y163" s="140">
        <f>+_xlfn.XLOOKUP(PROYECTOS[[#This Row],[MUNICIPIO]],'4.CAP_ENDMNT'!B:B,'4.CAP_ENDMNT'!H:H,0,0,1)</f>
        <v>0</v>
      </c>
      <c r="Z163" s="140">
        <f>+_xlfn.XLOOKUP(PROYECTOS[[#This Row],[MUNICIPIO]],'4.CAP_ENDMNT'!B:B,'4.CAP_ENDMNT'!I:I,0,0,1)</f>
        <v>690572471</v>
      </c>
      <c r="AA163" s="134">
        <f>+_xlfn.XLOOKUP(PROYECTOS[[#This Row],[MUNICIPIO]],'4.CAP_ENDMNT'!B:B,'4.CAP_ENDMNT'!J:J,0,0,1)</f>
        <v>4.0350353202298947E-2</v>
      </c>
      <c r="AB163" s="140">
        <f>+_xlfn.XLOOKUP(PROYECTOS[[#This Row],[MUNICIPIO]],'4.CAP_ENDMNT'!B:B,'4.CAP_ENDMNT'!K:K,0,0,1)</f>
        <v>16423837099.042</v>
      </c>
      <c r="AC163" s="140">
        <f>+_xlfn.XLOOKUP(PROYECTOS[[#This Row],[MUNICIPIO]],'4.CAP_ENDMNT'!B:B,'4.CAP_ENDMNT'!L:L,0,0,1)</f>
        <v>13139069679.233601</v>
      </c>
      <c r="AD163" s="140">
        <f>+_xlfn.XLOOKUP(PROYECTOS[[#This Row],[MUNICIPIO]],'4.CAP_ENDMNT'!B:B,'4.CAP_ENDMNT'!M:M,0,0,1)</f>
        <v>9854302259.4251995</v>
      </c>
      <c r="AE163" s="134">
        <f>+_xlfn.XLOOKUP(PROYECTOS[[#This Row],[MUNICIPIO]],'4.CAP_ENDMNT'!B:B,'4.CAP_ENDMNT'!N:N,0,0,1)</f>
        <v>1</v>
      </c>
      <c r="AF163" s="134">
        <f>+_xlfn.XLOOKUP(PROYECTOS[[#This Row],[MUNICIPIO]],'4.CAP_ENDMNT'!B:B,'4.CAP_ENDMNT'!O:O,0,0,1)</f>
        <v>0.61563469645402102</v>
      </c>
      <c r="AG163" s="134">
        <f>+_xlfn.XLOOKUP(PROYECTOS[[#This Row],[MUNICIPIO]],'4.CAP_ENDMNT'!B:B,'4.CAP_ENDMNT'!P:P,0,0,1)</f>
        <v>0.8</v>
      </c>
      <c r="AH163" s="44" t="str">
        <f>+_xlfn.XLOOKUP(PROYECTOS[[#This Row],[MUNICIPIO]],'4.CAP_ENDMNT'!B:B,'4.CAP_ENDMNT'!Q:Q,0,0,1)</f>
        <v>Cumple</v>
      </c>
      <c r="AI163" s="139">
        <f>+_xlfn.XLOOKUP(PROYECTOS[[#This Row],[MUNICIPIO]],'4.CAP_ENDMNT'!B:B,'4.CAP_ENDMNT'!V:V,0,0,1)</f>
        <v>1970860451.88504</v>
      </c>
      <c r="AJ163" s="139">
        <f>+_xlfn.XLOOKUP(PROYECTOS[[#This Row],[MUNICIPIO]],'4.CAP_ENDMNT'!B:B,'4.CAP_ENDMNT'!Y:Y,0,0,1)</f>
        <v>1517445968.3102398</v>
      </c>
      <c r="AK163"/>
      <c r="AL163"/>
      <c r="AM163"/>
    </row>
    <row r="164" spans="1:39">
      <c r="A164" s="44">
        <v>176</v>
      </c>
      <c r="B164" s="37" t="s">
        <v>1568</v>
      </c>
      <c r="C164" s="118">
        <f>+_xlfn.XLOOKUP(PROYECTOS[[#This Row],[ID_NECESIDAD]],'1.RADICADOS'!G:G,'1.RADICADOS'!C:C,0,0,1)*1</f>
        <v>45705</v>
      </c>
      <c r="D164" s="46" t="s">
        <v>311</v>
      </c>
      <c r="E164" s="47" t="str">
        <f>+_xlfn.XLOOKUP(PROYECTOS[[#This Row],[MUNICIPIO]],MUNICIPIOS!A:A,MUNICIPIOS!E:E,0,0,1)</f>
        <v>Magdalena Medio</v>
      </c>
      <c r="F164" s="44">
        <f>+_xlfn.XLOOKUP(PROYECTOS[[#This Row],[MUNICIPIO]],MUNICIPIOS!A:A,MUNICIPIOS!F:F,0,0,1)</f>
        <v>-74.78716</v>
      </c>
      <c r="G164" s="44" t="str">
        <f>+_xlfn.XLOOKUP(PROYECTOS[[#This Row],[MUNICIPIO]],MUNICIPIOS!A:A,MUNICIPIOS!G:G,0,0,1)</f>
        <v>6,552116</v>
      </c>
      <c r="H164" s="44">
        <f>+_xlfn.XLOOKUP(PROYECTOS[[#This Row],[MUNICIPIO]],MUNICIPIOS!A:A,MUNICIPIOS!B:B,0,0,1)</f>
        <v>0</v>
      </c>
      <c r="I164" s="44">
        <f>+_xlfn.XLOOKUP(PROYECTOS[[#This Row],[MUNICIPIO]],MUNICIPIOS!A:A,MUNICIPIOS!C:C,0,0,1)</f>
        <v>0</v>
      </c>
      <c r="J164" s="3" t="str" cm="1">
        <f t="array" ref="J164">_xlfn.TEXTJOIN(" ", TRUE, IF(radicados[ID PROYECTOS]=A164, radicados[RADICADO], ""))</f>
        <v>2025010073393</v>
      </c>
      <c r="K164" s="45">
        <v>3</v>
      </c>
      <c r="L164" s="48">
        <v>13427488873</v>
      </c>
      <c r="M164" s="34" t="s">
        <v>288</v>
      </c>
      <c r="N164" s="34" t="s">
        <v>398</v>
      </c>
      <c r="O164" s="34" t="s">
        <v>25</v>
      </c>
      <c r="P164" s="37"/>
      <c r="Q164" s="45"/>
      <c r="R164" s="43"/>
      <c r="S164" s="43"/>
      <c r="T164" s="44">
        <f>+_xlfn.XLOOKUP(PROYECTOS[[#This Row],[MUNICIPIO]],'4.CAP_ENDMNT'!B:B,'4.CAP_ENDMNT'!C:C,0,0,1)</f>
        <v>6</v>
      </c>
      <c r="U164" s="139">
        <f>+_xlfn.XLOOKUP(PROYECTOS[[#This Row],[MUNICIPIO]],'4.CAP_ENDMNT'!B:B,'4.CAP_ENDMNT'!D:D,0,0,1)</f>
        <v>12443958135.744499</v>
      </c>
      <c r="V164" s="140">
        <f>+_xlfn.XLOOKUP(PROYECTOS[[#This Row],[MUNICIPIO]],'4.CAP_ENDMNT'!B:B,'4.CAP_ENDMNT'!E:E,0,0,1)</f>
        <v>4756407219.6099997</v>
      </c>
      <c r="W164" s="140">
        <f>+_xlfn.XLOOKUP(PROYECTOS[[#This Row],[MUNICIPIO]],'4.CAP_ENDMNT'!B:B,'4.CAP_ENDMNT'!F:F,0,0,1)</f>
        <v>7687550916.1344995</v>
      </c>
      <c r="X164" s="140">
        <f>+_xlfn.XLOOKUP(PROYECTOS[[#This Row],[MUNICIPIO]],'4.CAP_ENDMNT'!B:B,'4.CAP_ENDMNT'!G:G,0,0,1)</f>
        <v>8000000000</v>
      </c>
      <c r="Y164" s="140">
        <f>+_xlfn.XLOOKUP(PROYECTOS[[#This Row],[MUNICIPIO]],'4.CAP_ENDMNT'!B:B,'4.CAP_ENDMNT'!H:H,0,0,1)</f>
        <v>0</v>
      </c>
      <c r="Z164" s="140">
        <f>+_xlfn.XLOOKUP(PROYECTOS[[#This Row],[MUNICIPIO]],'4.CAP_ENDMNT'!B:B,'4.CAP_ENDMNT'!I:I,0,0,1)</f>
        <v>8000000000</v>
      </c>
      <c r="AA164" s="134">
        <f>+_xlfn.XLOOKUP(PROYECTOS[[#This Row],[MUNICIPIO]],'4.CAP_ENDMNT'!B:B,'4.CAP_ENDMNT'!J:J,0,0,1)</f>
        <v>0.64288226565312012</v>
      </c>
      <c r="AB164" s="140">
        <f>+_xlfn.XLOOKUP(PROYECTOS[[#This Row],[MUNICIPIO]],'4.CAP_ENDMNT'!B:B,'4.CAP_ENDMNT'!K:K,0,0,1)</f>
        <v>4443958135.7444992</v>
      </c>
      <c r="AC164" s="140">
        <f>+_xlfn.XLOOKUP(PROYECTOS[[#This Row],[MUNICIPIO]],'4.CAP_ENDMNT'!B:B,'4.CAP_ENDMNT'!L:L,0,0,1)</f>
        <v>3555166508.5955997</v>
      </c>
      <c r="AD164" s="140">
        <f>+_xlfn.XLOOKUP(PROYECTOS[[#This Row],[MUNICIPIO]],'4.CAP_ENDMNT'!B:B,'4.CAP_ENDMNT'!M:M,0,0,1)</f>
        <v>2666374881.4466996</v>
      </c>
      <c r="AE164" s="134">
        <f>+_xlfn.XLOOKUP(PROYECTOS[[#This Row],[MUNICIPIO]],'4.CAP_ENDMNT'!B:B,'4.CAP_ENDMNT'!N:N,0,0,1)</f>
        <v>1</v>
      </c>
      <c r="AF164" s="134">
        <f>+_xlfn.XLOOKUP(PROYECTOS[[#This Row],[MUNICIPIO]],'4.CAP_ENDMNT'!B:B,'4.CAP_ENDMNT'!O:O,0,0,1)</f>
        <v>0.49448054880206244</v>
      </c>
      <c r="AG164" s="134">
        <f>+_xlfn.XLOOKUP(PROYECTOS[[#This Row],[MUNICIPIO]],'4.CAP_ENDMNT'!B:B,'4.CAP_ENDMNT'!P:P,0,0,1)</f>
        <v>0.8</v>
      </c>
      <c r="AH164" s="44" t="str">
        <f>+_xlfn.XLOOKUP(PROYECTOS[[#This Row],[MUNICIPIO]],'4.CAP_ENDMNT'!B:B,'4.CAP_ENDMNT'!Q:Q,0,0,1)</f>
        <v>Cumple</v>
      </c>
      <c r="AI164" s="139">
        <f>+_xlfn.XLOOKUP(PROYECTOS[[#This Row],[MUNICIPIO]],'4.CAP_ENDMNT'!B:B,'4.CAP_ENDMNT'!V:V,0,0,1)</f>
        <v>533274976.28933996</v>
      </c>
      <c r="AJ164" s="139">
        <f>+_xlfn.XLOOKUP(PROYECTOS[[#This Row],[MUNICIPIO]],'4.CAP_ENDMNT'!B:B,'4.CAP_ENDMNT'!Y:Y,0,0,1)</f>
        <v>-10227839015.26396</v>
      </c>
      <c r="AK164"/>
      <c r="AL164"/>
      <c r="AM164"/>
    </row>
    <row r="165" spans="1:39">
      <c r="A165" s="44">
        <v>177</v>
      </c>
      <c r="B165" s="37" t="s">
        <v>173</v>
      </c>
      <c r="C165" s="118">
        <f>+_xlfn.XLOOKUP(PROYECTOS[[#This Row],[ID_NECESIDAD]],'1.RADICADOS'!G:G,'1.RADICADOS'!C:C,0,0,1)*1</f>
        <v>45391</v>
      </c>
      <c r="D165" s="46" t="s">
        <v>52</v>
      </c>
      <c r="E165" s="47" t="str">
        <f>+_xlfn.XLOOKUP(PROYECTOS[[#This Row],[MUNICIPIO]],MUNICIPIOS!A:A,MUNICIPIOS!E:E,0,0,1)</f>
        <v>Suroeste</v>
      </c>
      <c r="F165" s="44">
        <f>+_xlfn.XLOOKUP(PROYECTOS[[#This Row],[MUNICIPIO]],MUNICIPIOS!A:A,MUNICIPIOS!F:F,0,0,1)</f>
        <v>-75.714428999999996</v>
      </c>
      <c r="G165" s="44">
        <f>+_xlfn.XLOOKUP(PROYECTOS[[#This Row],[MUNICIPIO]],MUNICIPIOS!A:A,MUNICIPIOS!G:G,0,0,1)</f>
        <v>5.6646450000000002</v>
      </c>
      <c r="H165" s="44">
        <f>+_xlfn.XLOOKUP(PROYECTOS[[#This Row],[MUNICIPIO]],MUNICIPIOS!A:A,MUNICIPIOS!B:B,0,0,1)</f>
        <v>0</v>
      </c>
      <c r="I165" s="44">
        <f>+_xlfn.XLOOKUP(PROYECTOS[[#This Row],[MUNICIPIO]],MUNICIPIOS!A:A,MUNICIPIOS!C:C,0,0,1)</f>
        <v>0</v>
      </c>
      <c r="J165" s="3" t="str" cm="1">
        <f t="array" ref="J165">_xlfn.TEXTJOIN(" ", TRUE, IF(radicados[ID PROYECTOS]=A165, radicados[RADICADO], ""))</f>
        <v>2024010402559</v>
      </c>
      <c r="K165" s="45">
        <v>3</v>
      </c>
      <c r="L165" s="48">
        <v>3301000000</v>
      </c>
      <c r="M165" s="34" t="s">
        <v>288</v>
      </c>
      <c r="N165" s="34" t="s">
        <v>398</v>
      </c>
      <c r="O165" s="34" t="s">
        <v>25</v>
      </c>
      <c r="P165" s="37"/>
      <c r="Q165" s="45"/>
      <c r="R165" s="43"/>
      <c r="S165" s="43"/>
      <c r="T165" s="44">
        <f>+_xlfn.XLOOKUP(PROYECTOS[[#This Row],[MUNICIPIO]],'4.CAP_ENDMNT'!B:B,'4.CAP_ENDMNT'!C:C,0,0,1)</f>
        <v>6</v>
      </c>
      <c r="U165" s="139">
        <f>+_xlfn.XLOOKUP(PROYECTOS[[#This Row],[MUNICIPIO]],'4.CAP_ENDMNT'!B:B,'4.CAP_ENDMNT'!D:D,0,0,1)</f>
        <v>13939577899.640499</v>
      </c>
      <c r="V165" s="140">
        <f>+_xlfn.XLOOKUP(PROYECTOS[[#This Row],[MUNICIPIO]],'4.CAP_ENDMNT'!B:B,'4.CAP_ENDMNT'!E:E,0,0,1)</f>
        <v>5408645166.3600006</v>
      </c>
      <c r="W165" s="140">
        <f>+_xlfn.XLOOKUP(PROYECTOS[[#This Row],[MUNICIPIO]],'4.CAP_ENDMNT'!B:B,'4.CAP_ENDMNT'!F:F,0,0,1)</f>
        <v>8530932733.2804985</v>
      </c>
      <c r="X165" s="140">
        <f>+_xlfn.XLOOKUP(PROYECTOS[[#This Row],[MUNICIPIO]],'4.CAP_ENDMNT'!B:B,'4.CAP_ENDMNT'!G:G,0,0,1)</f>
        <v>2408239973</v>
      </c>
      <c r="Y165" s="140">
        <f>+_xlfn.XLOOKUP(PROYECTOS[[#This Row],[MUNICIPIO]],'4.CAP_ENDMNT'!B:B,'4.CAP_ENDMNT'!H:H,0,0,1)</f>
        <v>812109375</v>
      </c>
      <c r="Z165" s="140">
        <f>+_xlfn.XLOOKUP(PROYECTOS[[#This Row],[MUNICIPIO]],'4.CAP_ENDMNT'!B:B,'4.CAP_ENDMNT'!I:I,0,0,1)</f>
        <v>3220349348</v>
      </c>
      <c r="AA165" s="134">
        <f>+_xlfn.XLOOKUP(PROYECTOS[[#This Row],[MUNICIPIO]],'4.CAP_ENDMNT'!B:B,'4.CAP_ENDMNT'!J:J,0,0,1)</f>
        <v>0.23102201309001277</v>
      </c>
      <c r="AB165" s="140">
        <f>+_xlfn.XLOOKUP(PROYECTOS[[#This Row],[MUNICIPIO]],'4.CAP_ENDMNT'!B:B,'4.CAP_ENDMNT'!K:K,0,0,1)</f>
        <v>10719228551.640499</v>
      </c>
      <c r="AC165" s="140">
        <f>+_xlfn.XLOOKUP(PROYECTOS[[#This Row],[MUNICIPIO]],'4.CAP_ENDMNT'!B:B,'4.CAP_ENDMNT'!L:L,0,0,1)</f>
        <v>8575382841.3123999</v>
      </c>
      <c r="AD165" s="140">
        <f>+_xlfn.XLOOKUP(PROYECTOS[[#This Row],[MUNICIPIO]],'4.CAP_ENDMNT'!B:B,'4.CAP_ENDMNT'!M:M,0,0,1)</f>
        <v>6431537130.9842997</v>
      </c>
      <c r="AE165" s="134">
        <f>+_xlfn.XLOOKUP(PROYECTOS[[#This Row],[MUNICIPIO]],'4.CAP_ENDMNT'!B:B,'4.CAP_ENDMNT'!N:N,0,0,1)</f>
        <v>0.74781947942872684</v>
      </c>
      <c r="AF165" s="134">
        <f>+_xlfn.XLOOKUP(PROYECTOS[[#This Row],[MUNICIPIO]],'4.CAP_ENDMNT'!B:B,'4.CAP_ENDMNT'!O:O,0,0,1)</f>
        <v>0.48148969869574604</v>
      </c>
      <c r="AG165" s="134">
        <f>+_xlfn.XLOOKUP(PROYECTOS[[#This Row],[MUNICIPIO]],'4.CAP_ENDMNT'!B:B,'4.CAP_ENDMNT'!P:P,0,0,1)</f>
        <v>0.8</v>
      </c>
      <c r="AH165" s="44" t="str">
        <f>+_xlfn.XLOOKUP(PROYECTOS[[#This Row],[MUNICIPIO]],'4.CAP_ENDMNT'!B:B,'4.CAP_ENDMNT'!Q:Q,0,0,1)</f>
        <v>Cumple</v>
      </c>
      <c r="AI165" s="139">
        <f>+_xlfn.XLOOKUP(PROYECTOS[[#This Row],[MUNICIPIO]],'4.CAP_ENDMNT'!B:B,'4.CAP_ENDMNT'!V:V,0,0,1)</f>
        <v>1286307426.1968601</v>
      </c>
      <c r="AJ165" s="139">
        <f>+_xlfn.XLOOKUP(PROYECTOS[[#This Row],[MUNICIPIO]],'4.CAP_ENDMNT'!B:B,'4.CAP_ENDMNT'!Y:Y,0,0,1)</f>
        <v>-10772171787.81884</v>
      </c>
      <c r="AK165"/>
      <c r="AL165"/>
      <c r="AM165"/>
    </row>
    <row r="166" spans="1:39">
      <c r="A166" s="44">
        <v>178</v>
      </c>
      <c r="B166" s="37" t="s">
        <v>172</v>
      </c>
      <c r="C166" s="118">
        <f>+_xlfn.XLOOKUP(PROYECTOS[[#This Row],[ID_NECESIDAD]],'1.RADICADOS'!G:G,'1.RADICADOS'!C:C,0,0,1)*1</f>
        <v>45391</v>
      </c>
      <c r="D166" s="46" t="s">
        <v>52</v>
      </c>
      <c r="E166" s="47" t="str">
        <f>+_xlfn.XLOOKUP(PROYECTOS[[#This Row],[MUNICIPIO]],MUNICIPIOS!A:A,MUNICIPIOS!E:E,0,0,1)</f>
        <v>Suroeste</v>
      </c>
      <c r="F166" s="44">
        <f>+_xlfn.XLOOKUP(PROYECTOS[[#This Row],[MUNICIPIO]],MUNICIPIOS!A:A,MUNICIPIOS!F:F,0,0,1)</f>
        <v>-75.714428999999996</v>
      </c>
      <c r="G166" s="44">
        <f>+_xlfn.XLOOKUP(PROYECTOS[[#This Row],[MUNICIPIO]],MUNICIPIOS!A:A,MUNICIPIOS!G:G,0,0,1)</f>
        <v>5.6646450000000002</v>
      </c>
      <c r="H166" s="44">
        <f>+_xlfn.XLOOKUP(PROYECTOS[[#This Row],[MUNICIPIO]],MUNICIPIOS!A:A,MUNICIPIOS!B:B,0,0,1)</f>
        <v>0</v>
      </c>
      <c r="I166" s="44">
        <f>+_xlfn.XLOOKUP(PROYECTOS[[#This Row],[MUNICIPIO]],MUNICIPIOS!A:A,MUNICIPIOS!C:C,0,0,1)</f>
        <v>0</v>
      </c>
      <c r="J166" s="3" t="str" cm="1">
        <f t="array" ref="J166">_xlfn.TEXTJOIN(" ", TRUE, IF(radicados[ID PROYECTOS]=A166, radicados[RADICADO], ""))</f>
        <v>2024010402559</v>
      </c>
      <c r="K166" s="45">
        <v>3</v>
      </c>
      <c r="L166" s="48">
        <v>2656411701</v>
      </c>
      <c r="M166" s="34" t="s">
        <v>288</v>
      </c>
      <c r="N166" s="40" t="s">
        <v>398</v>
      </c>
      <c r="O166" s="34" t="s">
        <v>25</v>
      </c>
      <c r="P166" s="37"/>
      <c r="Q166" s="45"/>
      <c r="R166" s="43"/>
      <c r="S166" s="43"/>
      <c r="T166" s="44">
        <f>+_xlfn.XLOOKUP(PROYECTOS[[#This Row],[MUNICIPIO]],'4.CAP_ENDMNT'!B:B,'4.CAP_ENDMNT'!C:C,0,0,1)</f>
        <v>6</v>
      </c>
      <c r="U166" s="139">
        <f>+_xlfn.XLOOKUP(PROYECTOS[[#This Row],[MUNICIPIO]],'4.CAP_ENDMNT'!B:B,'4.CAP_ENDMNT'!D:D,0,0,1)</f>
        <v>13939577899.640499</v>
      </c>
      <c r="V166" s="140">
        <f>+_xlfn.XLOOKUP(PROYECTOS[[#This Row],[MUNICIPIO]],'4.CAP_ENDMNT'!B:B,'4.CAP_ENDMNT'!E:E,0,0,1)</f>
        <v>5408645166.3600006</v>
      </c>
      <c r="W166" s="140">
        <f>+_xlfn.XLOOKUP(PROYECTOS[[#This Row],[MUNICIPIO]],'4.CAP_ENDMNT'!B:B,'4.CAP_ENDMNT'!F:F,0,0,1)</f>
        <v>8530932733.2804985</v>
      </c>
      <c r="X166" s="140">
        <f>+_xlfn.XLOOKUP(PROYECTOS[[#This Row],[MUNICIPIO]],'4.CAP_ENDMNT'!B:B,'4.CAP_ENDMNT'!G:G,0,0,1)</f>
        <v>2408239973</v>
      </c>
      <c r="Y166" s="140">
        <f>+_xlfn.XLOOKUP(PROYECTOS[[#This Row],[MUNICIPIO]],'4.CAP_ENDMNT'!B:B,'4.CAP_ENDMNT'!H:H,0,0,1)</f>
        <v>812109375</v>
      </c>
      <c r="Z166" s="140">
        <f>+_xlfn.XLOOKUP(PROYECTOS[[#This Row],[MUNICIPIO]],'4.CAP_ENDMNT'!B:B,'4.CAP_ENDMNT'!I:I,0,0,1)</f>
        <v>3220349348</v>
      </c>
      <c r="AA166" s="134">
        <f>+_xlfn.XLOOKUP(PROYECTOS[[#This Row],[MUNICIPIO]],'4.CAP_ENDMNT'!B:B,'4.CAP_ENDMNT'!J:J,0,0,1)</f>
        <v>0.23102201309001277</v>
      </c>
      <c r="AB166" s="140">
        <f>+_xlfn.XLOOKUP(PROYECTOS[[#This Row],[MUNICIPIO]],'4.CAP_ENDMNT'!B:B,'4.CAP_ENDMNT'!K:K,0,0,1)</f>
        <v>10719228551.640499</v>
      </c>
      <c r="AC166" s="140">
        <f>+_xlfn.XLOOKUP(PROYECTOS[[#This Row],[MUNICIPIO]],'4.CAP_ENDMNT'!B:B,'4.CAP_ENDMNT'!L:L,0,0,1)</f>
        <v>8575382841.3123999</v>
      </c>
      <c r="AD166" s="140">
        <f>+_xlfn.XLOOKUP(PROYECTOS[[#This Row],[MUNICIPIO]],'4.CAP_ENDMNT'!B:B,'4.CAP_ENDMNT'!M:M,0,0,1)</f>
        <v>6431537130.9842997</v>
      </c>
      <c r="AE166" s="134">
        <f>+_xlfn.XLOOKUP(PROYECTOS[[#This Row],[MUNICIPIO]],'4.CAP_ENDMNT'!B:B,'4.CAP_ENDMNT'!N:N,0,0,1)</f>
        <v>0.74781947942872684</v>
      </c>
      <c r="AF166" s="134">
        <f>+_xlfn.XLOOKUP(PROYECTOS[[#This Row],[MUNICIPIO]],'4.CAP_ENDMNT'!B:B,'4.CAP_ENDMNT'!O:O,0,0,1)</f>
        <v>0.48148969869574604</v>
      </c>
      <c r="AG166" s="134">
        <f>+_xlfn.XLOOKUP(PROYECTOS[[#This Row],[MUNICIPIO]],'4.CAP_ENDMNT'!B:B,'4.CAP_ENDMNT'!P:P,0,0,1)</f>
        <v>0.8</v>
      </c>
      <c r="AH166" s="44" t="str">
        <f>+_xlfn.XLOOKUP(PROYECTOS[[#This Row],[MUNICIPIO]],'4.CAP_ENDMNT'!B:B,'4.CAP_ENDMNT'!Q:Q,0,0,1)</f>
        <v>Cumple</v>
      </c>
      <c r="AI166" s="139">
        <f>+_xlfn.XLOOKUP(PROYECTOS[[#This Row],[MUNICIPIO]],'4.CAP_ENDMNT'!B:B,'4.CAP_ENDMNT'!V:V,0,0,1)</f>
        <v>1286307426.1968601</v>
      </c>
      <c r="AJ166" s="139">
        <f>+_xlfn.XLOOKUP(PROYECTOS[[#This Row],[MUNICIPIO]],'4.CAP_ENDMNT'!B:B,'4.CAP_ENDMNT'!Y:Y,0,0,1)</f>
        <v>-10772171787.81884</v>
      </c>
      <c r="AK166"/>
      <c r="AL166"/>
      <c r="AM166"/>
    </row>
    <row r="167" spans="1:39">
      <c r="A167" s="44">
        <v>179</v>
      </c>
      <c r="B167" s="37" t="s">
        <v>1408</v>
      </c>
      <c r="C167" s="118">
        <v>45747</v>
      </c>
      <c r="D167" s="46" t="s">
        <v>444</v>
      </c>
      <c r="E167" s="47" t="str">
        <f>+_xlfn.XLOOKUP(PROYECTOS[[#This Row],[MUNICIPIO]],MUNICIPIOS!A:A,MUNICIPIOS!E:E,0,0,1)</f>
        <v>Suroeste</v>
      </c>
      <c r="F167" s="44">
        <f>+_xlfn.XLOOKUP(PROYECTOS[[#This Row],[MUNICIPIO]],MUNICIPIOS!A:A,MUNICIPIOS!F:F,0,0,1)</f>
        <v>-75.908448000000007</v>
      </c>
      <c r="G167" s="44" t="str">
        <f>+_xlfn.XLOOKUP(PROYECTOS[[#This Row],[MUNICIPIO]],MUNICIPIOS!A:A,MUNICIPIOS!G:G,0,0,1)</f>
        <v>6,045738</v>
      </c>
      <c r="H167" s="44">
        <f>+_xlfn.XLOOKUP(PROYECTOS[[#This Row],[MUNICIPIO]],MUNICIPIOS!A:A,MUNICIPIOS!B:B,0,0,1)</f>
        <v>0</v>
      </c>
      <c r="I167" s="44">
        <f>+_xlfn.XLOOKUP(PROYECTOS[[#This Row],[MUNICIPIO]],MUNICIPIOS!A:A,MUNICIPIOS!C:C,0,0,1)</f>
        <v>0</v>
      </c>
      <c r="J167" s="3" t="str" cm="1">
        <f t="array" ref="J167">_xlfn.TEXTJOIN(" ", TRUE, IF(radicados[ID PROYECTOS]=A167, radicados[RADICADO], ""))</f>
        <v/>
      </c>
      <c r="K167" s="45">
        <v>3</v>
      </c>
      <c r="L167" s="48">
        <v>2381561537</v>
      </c>
      <c r="M167" s="34" t="s">
        <v>288</v>
      </c>
      <c r="N167" s="40" t="s">
        <v>398</v>
      </c>
      <c r="O167" s="34" t="s">
        <v>25</v>
      </c>
      <c r="P167" s="37"/>
      <c r="Q167" s="45"/>
      <c r="R167" s="43"/>
      <c r="S167" s="43"/>
      <c r="T167" s="44">
        <f>+_xlfn.XLOOKUP(PROYECTOS[[#This Row],[MUNICIPIO]],'4.CAP_ENDMNT'!B:B,'4.CAP_ENDMNT'!C:C,0,0,1)</f>
        <v>6</v>
      </c>
      <c r="U167" s="139">
        <f>+_xlfn.XLOOKUP(PROYECTOS[[#This Row],[MUNICIPIO]],'4.CAP_ENDMNT'!B:B,'4.CAP_ENDMNT'!D:D,0,0,1)</f>
        <v>15768761995.465</v>
      </c>
      <c r="V167" s="140">
        <f>+_xlfn.XLOOKUP(PROYECTOS[[#This Row],[MUNICIPIO]],'4.CAP_ENDMNT'!B:B,'4.CAP_ENDMNT'!E:E,0,0,1)</f>
        <v>6120714378.3199997</v>
      </c>
      <c r="W167" s="140">
        <f>+_xlfn.XLOOKUP(PROYECTOS[[#This Row],[MUNICIPIO]],'4.CAP_ENDMNT'!B:B,'4.CAP_ENDMNT'!F:F,0,0,1)</f>
        <v>9648047617.1450005</v>
      </c>
      <c r="X167" s="140">
        <f>+_xlfn.XLOOKUP(PROYECTOS[[#This Row],[MUNICIPIO]],'4.CAP_ENDMNT'!B:B,'4.CAP_ENDMNT'!G:G,0,0,1)</f>
        <v>0</v>
      </c>
      <c r="Y167" s="140">
        <f>+_xlfn.XLOOKUP(PROYECTOS[[#This Row],[MUNICIPIO]],'4.CAP_ENDMNT'!B:B,'4.CAP_ENDMNT'!H:H,0,0,1)</f>
        <v>1826140917</v>
      </c>
      <c r="Z167" s="140">
        <f>+_xlfn.XLOOKUP(PROYECTOS[[#This Row],[MUNICIPIO]],'4.CAP_ENDMNT'!B:B,'4.CAP_ENDMNT'!I:I,0,0,1)</f>
        <v>1826140917</v>
      </c>
      <c r="AA167" s="134">
        <f>+_xlfn.XLOOKUP(PROYECTOS[[#This Row],[MUNICIPIO]],'4.CAP_ENDMNT'!B:B,'4.CAP_ENDMNT'!J:J,0,0,1)</f>
        <v>0.11580750077432755</v>
      </c>
      <c r="AB167" s="140">
        <f>+_xlfn.XLOOKUP(PROYECTOS[[#This Row],[MUNICIPIO]],'4.CAP_ENDMNT'!B:B,'4.CAP_ENDMNT'!K:K,0,0,1)</f>
        <v>13942621078.465</v>
      </c>
      <c r="AC167" s="140">
        <f>+_xlfn.XLOOKUP(PROYECTOS[[#This Row],[MUNICIPIO]],'4.CAP_ENDMNT'!B:B,'4.CAP_ENDMNT'!L:L,0,0,1)</f>
        <v>11154096862.772001</v>
      </c>
      <c r="AD167" s="140">
        <f>+_xlfn.XLOOKUP(PROYECTOS[[#This Row],[MUNICIPIO]],'4.CAP_ENDMNT'!B:B,'4.CAP_ENDMNT'!M:M,0,0,1)</f>
        <v>8365572647.0789995</v>
      </c>
      <c r="AE167" s="134">
        <f>+_xlfn.XLOOKUP(PROYECTOS[[#This Row],[MUNICIPIO]],'4.CAP_ENDMNT'!B:B,'4.CAP_ENDMNT'!N:N,0,0,1)</f>
        <v>0</v>
      </c>
      <c r="AF167" s="134">
        <f>+_xlfn.XLOOKUP(PROYECTOS[[#This Row],[MUNICIPIO]],'4.CAP_ENDMNT'!B:B,'4.CAP_ENDMNT'!O:O,0,0,1)</f>
        <v>0.59742617293949363</v>
      </c>
      <c r="AG167" s="134">
        <f>+_xlfn.XLOOKUP(PROYECTOS[[#This Row],[MUNICIPIO]],'4.CAP_ENDMNT'!B:B,'4.CAP_ENDMNT'!P:P,0,0,1)</f>
        <v>0.8</v>
      </c>
      <c r="AH167" s="44" t="str">
        <f>+_xlfn.XLOOKUP(PROYECTOS[[#This Row],[MUNICIPIO]],'4.CAP_ENDMNT'!B:B,'4.CAP_ENDMNT'!Q:Q,0,0,1)</f>
        <v>Cumple</v>
      </c>
      <c r="AI167" s="139">
        <f>+_xlfn.XLOOKUP(PROYECTOS[[#This Row],[MUNICIPIO]],'4.CAP_ENDMNT'!B:B,'4.CAP_ENDMNT'!V:V,0,0,1)</f>
        <v>1673114529.4158001</v>
      </c>
      <c r="AJ167" s="139">
        <f>+_xlfn.XLOOKUP(PROYECTOS[[#This Row],[MUNICIPIO]],'4.CAP_ENDMNT'!B:B,'4.CAP_ENDMNT'!Y:Y,0,0,1)</f>
        <v>7657125639.4948006</v>
      </c>
      <c r="AK167"/>
      <c r="AL167"/>
      <c r="AM167"/>
    </row>
    <row r="168" spans="1:39">
      <c r="A168" s="44">
        <v>180</v>
      </c>
      <c r="B168" s="37" t="s">
        <v>1409</v>
      </c>
      <c r="C168" s="118">
        <v>45747</v>
      </c>
      <c r="D168" s="46" t="s">
        <v>156</v>
      </c>
      <c r="E168" s="47" t="str">
        <f>+_xlfn.XLOOKUP(PROYECTOS[[#This Row],[MUNICIPIO]],MUNICIPIOS!A:A,MUNICIPIOS!E:E,0,0,1)</f>
        <v>Suroeste</v>
      </c>
      <c r="F168" s="44">
        <f>+_xlfn.XLOOKUP(PROYECTOS[[#This Row],[MUNICIPIO]],MUNICIPIOS!A:A,MUNICIPIOS!F:F,0,0,1)</f>
        <v>-75.818982000000005</v>
      </c>
      <c r="G168" s="44" t="str">
        <f>+_xlfn.XLOOKUP(PROYECTOS[[#This Row],[MUNICIPIO]],MUNICIPIOS!A:A,MUNICIPIOS!G:G,0,0,1)</f>
        <v>5,597542</v>
      </c>
      <c r="H168" s="44">
        <f>+_xlfn.XLOOKUP(PROYECTOS[[#This Row],[MUNICIPIO]],MUNICIPIOS!A:A,MUNICIPIOS!B:B,0,0,1)</f>
        <v>0</v>
      </c>
      <c r="I168" s="44">
        <f>+_xlfn.XLOOKUP(PROYECTOS[[#This Row],[MUNICIPIO]],MUNICIPIOS!A:A,MUNICIPIOS!C:C,0,0,1)</f>
        <v>0</v>
      </c>
      <c r="J168" s="3" t="str" cm="1">
        <f t="array" ref="J168">_xlfn.TEXTJOIN(" ", TRUE, IF(radicados[ID PROYECTOS]=A168, radicados[RADICADO], ""))</f>
        <v/>
      </c>
      <c r="K168" s="45">
        <v>3</v>
      </c>
      <c r="L168" s="48">
        <v>758742624</v>
      </c>
      <c r="M168" s="34" t="s">
        <v>288</v>
      </c>
      <c r="N168" s="40" t="s">
        <v>398</v>
      </c>
      <c r="O168" s="34" t="s">
        <v>25</v>
      </c>
      <c r="P168" s="37"/>
      <c r="Q168" s="45">
        <v>1</v>
      </c>
      <c r="R168" s="43" t="s">
        <v>922</v>
      </c>
      <c r="S168" s="43" t="s">
        <v>1639</v>
      </c>
      <c r="T168" s="44">
        <f>+_xlfn.XLOOKUP(PROYECTOS[[#This Row],[MUNICIPIO]],'4.CAP_ENDMNT'!B:B,'4.CAP_ENDMNT'!C:C,0,0,1)</f>
        <v>6</v>
      </c>
      <c r="U168" s="139">
        <f>+_xlfn.XLOOKUP(PROYECTOS[[#This Row],[MUNICIPIO]],'4.CAP_ENDMNT'!B:B,'4.CAP_ENDMNT'!D:D,0,0,1)</f>
        <v>14419744847.987999</v>
      </c>
      <c r="V168" s="140">
        <f>+_xlfn.XLOOKUP(PROYECTOS[[#This Row],[MUNICIPIO]],'4.CAP_ENDMNT'!B:B,'4.CAP_ENDMNT'!E:E,0,0,1)</f>
        <v>4888479181.79</v>
      </c>
      <c r="W168" s="140">
        <f>+_xlfn.XLOOKUP(PROYECTOS[[#This Row],[MUNICIPIO]],'4.CAP_ENDMNT'!B:B,'4.CAP_ENDMNT'!F:F,0,0,1)</f>
        <v>9531265666.197998</v>
      </c>
      <c r="X168" s="140">
        <f>+_xlfn.XLOOKUP(PROYECTOS[[#This Row],[MUNICIPIO]],'4.CAP_ENDMNT'!B:B,'4.CAP_ENDMNT'!G:G,0,0,1)</f>
        <v>0</v>
      </c>
      <c r="Y168" s="140">
        <f>+_xlfn.XLOOKUP(PROYECTOS[[#This Row],[MUNICIPIO]],'4.CAP_ENDMNT'!B:B,'4.CAP_ENDMNT'!H:H,0,0,1)</f>
        <v>0</v>
      </c>
      <c r="Z168" s="140">
        <f>+_xlfn.XLOOKUP(PROYECTOS[[#This Row],[MUNICIPIO]],'4.CAP_ENDMNT'!B:B,'4.CAP_ENDMNT'!I:I,0,0,1)</f>
        <v>0</v>
      </c>
      <c r="AA168" s="134">
        <f>+_xlfn.XLOOKUP(PROYECTOS[[#This Row],[MUNICIPIO]],'4.CAP_ENDMNT'!B:B,'4.CAP_ENDMNT'!J:J,0,0,1)</f>
        <v>0</v>
      </c>
      <c r="AB168" s="140">
        <f>+_xlfn.XLOOKUP(PROYECTOS[[#This Row],[MUNICIPIO]],'4.CAP_ENDMNT'!B:B,'4.CAP_ENDMNT'!K:K,0,0,1)</f>
        <v>14419744847.987999</v>
      </c>
      <c r="AC168" s="140">
        <f>+_xlfn.XLOOKUP(PROYECTOS[[#This Row],[MUNICIPIO]],'4.CAP_ENDMNT'!B:B,'4.CAP_ENDMNT'!L:L,0,0,1)</f>
        <v>11535795878.3904</v>
      </c>
      <c r="AD168" s="140">
        <f>+_xlfn.XLOOKUP(PROYECTOS[[#This Row],[MUNICIPIO]],'4.CAP_ENDMNT'!B:B,'4.CAP_ENDMNT'!M:M,0,0,1)</f>
        <v>8651846908.792799</v>
      </c>
      <c r="AE168" s="134">
        <f>+_xlfn.XLOOKUP(PROYECTOS[[#This Row],[MUNICIPIO]],'4.CAP_ENDMNT'!B:B,'4.CAP_ENDMNT'!N:N,0,0,1)</f>
        <v>0</v>
      </c>
      <c r="AF168" s="134">
        <f>+_xlfn.XLOOKUP(PROYECTOS[[#This Row],[MUNICIPIO]],'4.CAP_ENDMNT'!B:B,'4.CAP_ENDMNT'!O:O,0,0,1)</f>
        <v>0.45738888558733654</v>
      </c>
      <c r="AG168" s="134">
        <f>+_xlfn.XLOOKUP(PROYECTOS[[#This Row],[MUNICIPIO]],'4.CAP_ENDMNT'!B:B,'4.CAP_ENDMNT'!P:P,0,0,1)</f>
        <v>0.8</v>
      </c>
      <c r="AH168" s="44" t="str">
        <f>+_xlfn.XLOOKUP(PROYECTOS[[#This Row],[MUNICIPIO]],'4.CAP_ENDMNT'!B:B,'4.CAP_ENDMNT'!Q:Q,0,0,1)</f>
        <v>Cumple</v>
      </c>
      <c r="AI168" s="139">
        <f>+_xlfn.XLOOKUP(PROYECTOS[[#This Row],[MUNICIPIO]],'4.CAP_ENDMNT'!B:B,'4.CAP_ENDMNT'!V:V,0,0,1)</f>
        <v>1730369381.7585599</v>
      </c>
      <c r="AJ168" s="139">
        <f>+_xlfn.XLOOKUP(PROYECTOS[[#This Row],[MUNICIPIO]],'4.CAP_ENDMNT'!B:B,'4.CAP_ENDMNT'!Y:Y,0,0,1)</f>
        <v>7792173252.5513592</v>
      </c>
      <c r="AK168"/>
      <c r="AL168"/>
      <c r="AM168"/>
    </row>
    <row r="169" spans="1:39">
      <c r="A169" s="44">
        <v>181</v>
      </c>
      <c r="B169" s="37" t="s">
        <v>446</v>
      </c>
      <c r="C169" s="118">
        <v>45747</v>
      </c>
      <c r="D169" s="46" t="s">
        <v>323</v>
      </c>
      <c r="E169" s="47" t="str">
        <f>+_xlfn.XLOOKUP(PROYECTOS[[#This Row],[MUNICIPIO]],MUNICIPIOS!A:A,MUNICIPIOS!E:E,0,0,1)</f>
        <v>Oriente</v>
      </c>
      <c r="F169" s="44">
        <f>+_xlfn.XLOOKUP(PROYECTOS[[#This Row],[MUNICIPIO]],MUNICIPIOS!A:A,MUNICIPIOS!F:F,0,0,1)</f>
        <v>-75.501300999999998</v>
      </c>
      <c r="G169" s="44" t="str">
        <f>+_xlfn.XLOOKUP(PROYECTOS[[#This Row],[MUNICIPIO]],MUNICIPIOS!A:A,MUNICIPIOS!G:G,0,0,1)</f>
        <v>6,062454</v>
      </c>
      <c r="H169" s="44">
        <f>+_xlfn.XLOOKUP(PROYECTOS[[#This Row],[MUNICIPIO]],MUNICIPIOS!A:A,MUNICIPIOS!B:B,0,0,1)</f>
        <v>0</v>
      </c>
      <c r="I169" s="44">
        <f>+_xlfn.XLOOKUP(PROYECTOS[[#This Row],[MUNICIPIO]],MUNICIPIOS!A:A,MUNICIPIOS!C:C,0,0,1)</f>
        <v>0</v>
      </c>
      <c r="J169" s="3" t="str" cm="1">
        <f t="array" ref="J169">_xlfn.TEXTJOIN(" ", TRUE, IF(radicados[ID PROYECTOS]=A169, radicados[RADICADO], ""))</f>
        <v/>
      </c>
      <c r="K169" s="45">
        <v>3</v>
      </c>
      <c r="L169" s="48">
        <v>5513756546</v>
      </c>
      <c r="M169" s="34" t="s">
        <v>288</v>
      </c>
      <c r="N169" s="40" t="s">
        <v>398</v>
      </c>
      <c r="O169" s="34" t="s">
        <v>25</v>
      </c>
      <c r="P169" s="37"/>
      <c r="Q169" s="45">
        <v>1</v>
      </c>
      <c r="R169" s="43" t="s">
        <v>922</v>
      </c>
      <c r="S169" s="43" t="s">
        <v>1639</v>
      </c>
      <c r="T169" s="44">
        <f>+_xlfn.XLOOKUP(PROYECTOS[[#This Row],[MUNICIPIO]],'4.CAP_ENDMNT'!B:B,'4.CAP_ENDMNT'!C:C,0,0,1)</f>
        <v>3</v>
      </c>
      <c r="U169" s="139">
        <f>+_xlfn.XLOOKUP(PROYECTOS[[#This Row],[MUNICIPIO]],'4.CAP_ENDMNT'!B:B,'4.CAP_ENDMNT'!D:D,0,0,1)</f>
        <v>69187005609.695007</v>
      </c>
      <c r="V169" s="140">
        <f>+_xlfn.XLOOKUP(PROYECTOS[[#This Row],[MUNICIPIO]],'4.CAP_ENDMNT'!B:B,'4.CAP_ENDMNT'!E:E,0,0,1)</f>
        <v>24929217109.209999</v>
      </c>
      <c r="W169" s="140">
        <f>+_xlfn.XLOOKUP(PROYECTOS[[#This Row],[MUNICIPIO]],'4.CAP_ENDMNT'!B:B,'4.CAP_ENDMNT'!F:F,0,0,1)</f>
        <v>44257788500.485008</v>
      </c>
      <c r="X169" s="140">
        <f>+_xlfn.XLOOKUP(PROYECTOS[[#This Row],[MUNICIPIO]],'4.CAP_ENDMNT'!B:B,'4.CAP_ENDMNT'!G:G,0,0,1)</f>
        <v>0</v>
      </c>
      <c r="Y169" s="140">
        <f>+_xlfn.XLOOKUP(PROYECTOS[[#This Row],[MUNICIPIO]],'4.CAP_ENDMNT'!B:B,'4.CAP_ENDMNT'!H:H,0,0,1)</f>
        <v>0</v>
      </c>
      <c r="Z169" s="140">
        <f>+_xlfn.XLOOKUP(PROYECTOS[[#This Row],[MUNICIPIO]],'4.CAP_ENDMNT'!B:B,'4.CAP_ENDMNT'!I:I,0,0,1)</f>
        <v>0</v>
      </c>
      <c r="AA169" s="134">
        <f>+_xlfn.XLOOKUP(PROYECTOS[[#This Row],[MUNICIPIO]],'4.CAP_ENDMNT'!B:B,'4.CAP_ENDMNT'!J:J,0,0,1)</f>
        <v>0</v>
      </c>
      <c r="AB169" s="140">
        <f>+_xlfn.XLOOKUP(PROYECTOS[[#This Row],[MUNICIPIO]],'4.CAP_ENDMNT'!B:B,'4.CAP_ENDMNT'!K:K,0,0,1)</f>
        <v>69187005609.695007</v>
      </c>
      <c r="AC169" s="140">
        <f>+_xlfn.XLOOKUP(PROYECTOS[[#This Row],[MUNICIPIO]],'4.CAP_ENDMNT'!B:B,'4.CAP_ENDMNT'!L:L,0,0,1)</f>
        <v>55349604487.756012</v>
      </c>
      <c r="AD169" s="140">
        <f>+_xlfn.XLOOKUP(PROYECTOS[[#This Row],[MUNICIPIO]],'4.CAP_ENDMNT'!B:B,'4.CAP_ENDMNT'!M:M,0,0,1)</f>
        <v>41512203365.817001</v>
      </c>
      <c r="AE169" s="134">
        <f>+_xlfn.XLOOKUP(PROYECTOS[[#This Row],[MUNICIPIO]],'4.CAP_ENDMNT'!B:B,'4.CAP_ENDMNT'!N:N,0,0,1)</f>
        <v>0</v>
      </c>
      <c r="AF169" s="134">
        <f>+_xlfn.XLOOKUP(PROYECTOS[[#This Row],[MUNICIPIO]],'4.CAP_ENDMNT'!B:B,'4.CAP_ENDMNT'!O:O,0,0,1)</f>
        <v>0.36680132048521774</v>
      </c>
      <c r="AG169" s="134">
        <f>+_xlfn.XLOOKUP(PROYECTOS[[#This Row],[MUNICIPIO]],'4.CAP_ENDMNT'!B:B,'4.CAP_ENDMNT'!P:P,0,0,1)</f>
        <v>0.7</v>
      </c>
      <c r="AH169" s="44" t="str">
        <f>+_xlfn.XLOOKUP(PROYECTOS[[#This Row],[MUNICIPIO]],'4.CAP_ENDMNT'!B:B,'4.CAP_ENDMNT'!Q:Q,0,0,1)</f>
        <v>Cumple</v>
      </c>
      <c r="AI169" s="139">
        <f>+_xlfn.XLOOKUP(PROYECTOS[[#This Row],[MUNICIPIO]],'4.CAP_ENDMNT'!B:B,'4.CAP_ENDMNT'!V:V,0,0,1)</f>
        <v>8302440673.1634007</v>
      </c>
      <c r="AJ169" s="139">
        <f>+_xlfn.XLOOKUP(PROYECTOS[[#This Row],[MUNICIPIO]],'4.CAP_ENDMNT'!B:B,'4.CAP_ENDMNT'!Y:Y,0,0,1)</f>
        <v>9066808020.9804001</v>
      </c>
      <c r="AK169"/>
      <c r="AL169"/>
      <c r="AM169"/>
    </row>
    <row r="170" spans="1:39">
      <c r="A170" s="44">
        <v>182</v>
      </c>
      <c r="B170" s="37" t="s">
        <v>1410</v>
      </c>
      <c r="C170" s="118">
        <v>45747</v>
      </c>
      <c r="D170" s="46" t="s">
        <v>448</v>
      </c>
      <c r="E170" s="47" t="str">
        <f>+_xlfn.XLOOKUP(PROYECTOS[[#This Row],[MUNICIPIO]],MUNICIPIOS!A:A,MUNICIPIOS!E:E,0,0,1)</f>
        <v>Occidente</v>
      </c>
      <c r="F170" s="44">
        <f>+_xlfn.XLOOKUP(PROYECTOS[[#This Row],[MUNICIPIO]],MUNICIPIOS!A:A,MUNICIPIOS!F:F,0,0,1)</f>
        <v>-75.982929999999996</v>
      </c>
      <c r="G170" s="44" t="str">
        <f>+_xlfn.XLOOKUP(PROYECTOS[[#This Row],[MUNICIPIO]],MUNICIPIOS!A:A,MUNICIPIOS!G:G,0,0,1)</f>
        <v>6,405607</v>
      </c>
      <c r="H170" s="44">
        <f>+_xlfn.XLOOKUP(PROYECTOS[[#This Row],[MUNICIPIO]],MUNICIPIOS!A:A,MUNICIPIOS!B:B,0,0,1)</f>
        <v>0</v>
      </c>
      <c r="I170" s="44">
        <f>+_xlfn.XLOOKUP(PROYECTOS[[#This Row],[MUNICIPIO]],MUNICIPIOS!A:A,MUNICIPIOS!C:C,0,0,1)</f>
        <v>1</v>
      </c>
      <c r="J170" s="3" t="str" cm="1">
        <f t="array" ref="J170">_xlfn.TEXTJOIN(" ", TRUE, IF(radicados[ID PROYECTOS]=A170, radicados[RADICADO], ""))</f>
        <v/>
      </c>
      <c r="K170" s="45">
        <v>3</v>
      </c>
      <c r="L170" s="48">
        <v>6507553565</v>
      </c>
      <c r="M170" s="34" t="s">
        <v>288</v>
      </c>
      <c r="N170" s="40" t="s">
        <v>398</v>
      </c>
      <c r="O170" s="34" t="s">
        <v>25</v>
      </c>
      <c r="P170" s="37"/>
      <c r="Q170" s="45"/>
      <c r="R170" s="43"/>
      <c r="S170" s="43"/>
      <c r="T170" s="44">
        <f>+_xlfn.XLOOKUP(PROYECTOS[[#This Row],[MUNICIPIO]],'4.CAP_ENDMNT'!B:B,'4.CAP_ENDMNT'!C:C,0,0,1)</f>
        <v>6</v>
      </c>
      <c r="U170" s="139">
        <f>+_xlfn.XLOOKUP(PROYECTOS[[#This Row],[MUNICIPIO]],'4.CAP_ENDMNT'!B:B,'4.CAP_ENDMNT'!D:D,0,0,1)</f>
        <v>8536446221.1044998</v>
      </c>
      <c r="V170" s="140">
        <f>+_xlfn.XLOOKUP(PROYECTOS[[#This Row],[MUNICIPIO]],'4.CAP_ENDMNT'!B:B,'4.CAP_ENDMNT'!E:E,0,0,1)</f>
        <v>2840287960.8099999</v>
      </c>
      <c r="W170" s="140">
        <f>+_xlfn.XLOOKUP(PROYECTOS[[#This Row],[MUNICIPIO]],'4.CAP_ENDMNT'!B:B,'4.CAP_ENDMNT'!F:F,0,0,1)</f>
        <v>5696158260.2945004</v>
      </c>
      <c r="X170" s="140">
        <f>+_xlfn.XLOOKUP(PROYECTOS[[#This Row],[MUNICIPIO]],'4.CAP_ENDMNT'!B:B,'4.CAP_ENDMNT'!G:G,0,0,1)</f>
        <v>1059912604</v>
      </c>
      <c r="Y170" s="140">
        <f>+_xlfn.XLOOKUP(PROYECTOS[[#This Row],[MUNICIPIO]],'4.CAP_ENDMNT'!B:B,'4.CAP_ENDMNT'!H:H,0,0,1)</f>
        <v>559890374</v>
      </c>
      <c r="Z170" s="140">
        <f>+_xlfn.XLOOKUP(PROYECTOS[[#This Row],[MUNICIPIO]],'4.CAP_ENDMNT'!B:B,'4.CAP_ENDMNT'!I:I,0,0,1)</f>
        <v>1619802978</v>
      </c>
      <c r="AA170" s="134">
        <f>+_xlfn.XLOOKUP(PROYECTOS[[#This Row],[MUNICIPIO]],'4.CAP_ENDMNT'!B:B,'4.CAP_ENDMNT'!J:J,0,0,1)</f>
        <v>0.18975144176453554</v>
      </c>
      <c r="AB170" s="140">
        <f>+_xlfn.XLOOKUP(PROYECTOS[[#This Row],[MUNICIPIO]],'4.CAP_ENDMNT'!B:B,'4.CAP_ENDMNT'!K:K,0,0,1)</f>
        <v>6916643243.1044998</v>
      </c>
      <c r="AC170" s="140">
        <f>+_xlfn.XLOOKUP(PROYECTOS[[#This Row],[MUNICIPIO]],'4.CAP_ENDMNT'!B:B,'4.CAP_ENDMNT'!L:L,0,0,1)</f>
        <v>5533314594.4836006</v>
      </c>
      <c r="AD170" s="140">
        <f>+_xlfn.XLOOKUP(PROYECTOS[[#This Row],[MUNICIPIO]],'4.CAP_ENDMNT'!B:B,'4.CAP_ENDMNT'!M:M,0,0,1)</f>
        <v>4149985945.8626995</v>
      </c>
      <c r="AE170" s="134">
        <f>+_xlfn.XLOOKUP(PROYECTOS[[#This Row],[MUNICIPIO]],'4.CAP_ENDMNT'!B:B,'4.CAP_ENDMNT'!N:N,0,0,1)</f>
        <v>0.65434662017271583</v>
      </c>
      <c r="AF170" s="134">
        <f>+_xlfn.XLOOKUP(PROYECTOS[[#This Row],[MUNICIPIO]],'4.CAP_ENDMNT'!B:B,'4.CAP_ENDMNT'!O:O,0,0,1)</f>
        <v>0.62730744736284794</v>
      </c>
      <c r="AG170" s="134">
        <f>+_xlfn.XLOOKUP(PROYECTOS[[#This Row],[MUNICIPIO]],'4.CAP_ENDMNT'!B:B,'4.CAP_ENDMNT'!P:P,0,0,1)</f>
        <v>0.8</v>
      </c>
      <c r="AH170" s="44" t="str">
        <f>+_xlfn.XLOOKUP(PROYECTOS[[#This Row],[MUNICIPIO]],'4.CAP_ENDMNT'!B:B,'4.CAP_ENDMNT'!Q:Q,0,0,1)</f>
        <v>Cumple</v>
      </c>
      <c r="AI170" s="139">
        <f>+_xlfn.XLOOKUP(PROYECTOS[[#This Row],[MUNICIPIO]],'4.CAP_ENDMNT'!B:B,'4.CAP_ENDMNT'!V:V,0,0,1)</f>
        <v>829997189.17253995</v>
      </c>
      <c r="AJ170" s="139">
        <f>+_xlfn.XLOOKUP(PROYECTOS[[#This Row],[MUNICIPIO]],'4.CAP_ENDMNT'!B:B,'4.CAP_ENDMNT'!Y:Y,0,0,1)</f>
        <v>-7956520095.9647608</v>
      </c>
      <c r="AK170"/>
      <c r="AL170"/>
      <c r="AM170"/>
    </row>
    <row r="171" spans="1:39">
      <c r="A171" s="44">
        <v>183</v>
      </c>
      <c r="B171" s="37" t="s">
        <v>1573</v>
      </c>
      <c r="C171" s="118">
        <v>45747</v>
      </c>
      <c r="D171" s="46" t="s">
        <v>166</v>
      </c>
      <c r="E171" s="47" t="str">
        <f>+_xlfn.XLOOKUP(PROYECTOS[[#This Row],[MUNICIPIO]],MUNICIPIOS!A:A,MUNICIPIOS!E:E,0,0,1)</f>
        <v>Occidente</v>
      </c>
      <c r="F171" s="44">
        <f>+_xlfn.XLOOKUP(PROYECTOS[[#This Row],[MUNICIPIO]],MUNICIPIOS!A:A,MUNICIPIOS!F:F,0,0,1)</f>
        <v>-75.826648000000006</v>
      </c>
      <c r="G171" s="44" t="str">
        <f>+_xlfn.XLOOKUP(PROYECTOS[[#This Row],[MUNICIPIO]],MUNICIPIOS!A:A,MUNICIPIOS!G:G,0,0,1)</f>
        <v>6,556484</v>
      </c>
      <c r="H171" s="44">
        <f>+_xlfn.XLOOKUP(PROYECTOS[[#This Row],[MUNICIPIO]],MUNICIPIOS!A:A,MUNICIPIOS!B:B,0,0,1)</f>
        <v>0</v>
      </c>
      <c r="I171" s="44">
        <f>+_xlfn.XLOOKUP(PROYECTOS[[#This Row],[MUNICIPIO]],MUNICIPIOS!A:A,MUNICIPIOS!C:C,0,0,1)</f>
        <v>1</v>
      </c>
      <c r="J171" s="3" t="str" cm="1">
        <f t="array" ref="J171">_xlfn.TEXTJOIN(" ", TRUE, IF(radicados[ID PROYECTOS]=A171, radicados[RADICADO], ""))</f>
        <v>2024010402813</v>
      </c>
      <c r="K171" s="45">
        <v>3</v>
      </c>
      <c r="L171" s="48">
        <v>12369426728</v>
      </c>
      <c r="M171" s="34" t="s">
        <v>288</v>
      </c>
      <c r="N171" s="40" t="s">
        <v>398</v>
      </c>
      <c r="O171" s="34" t="s">
        <v>25</v>
      </c>
      <c r="P171" s="37"/>
      <c r="Q171" s="45"/>
      <c r="R171" s="43"/>
      <c r="S171" s="43"/>
      <c r="T171" s="44">
        <f>+_xlfn.XLOOKUP(PROYECTOS[[#This Row],[MUNICIPIO]],'4.CAP_ENDMNT'!B:B,'4.CAP_ENDMNT'!C:C,0,0,1)</f>
        <v>5</v>
      </c>
      <c r="U171" s="139">
        <f>+_xlfn.XLOOKUP(PROYECTOS[[#This Row],[MUNICIPIO]],'4.CAP_ENDMNT'!B:B,'4.CAP_ENDMNT'!D:D,0,0,1)</f>
        <v>40656193467.687004</v>
      </c>
      <c r="V171" s="140">
        <f>+_xlfn.XLOOKUP(PROYECTOS[[#This Row],[MUNICIPIO]],'4.CAP_ENDMNT'!B:B,'4.CAP_ENDMNT'!E:E,0,0,1)</f>
        <v>18778286398.540001</v>
      </c>
      <c r="W171" s="140">
        <f>+_xlfn.XLOOKUP(PROYECTOS[[#This Row],[MUNICIPIO]],'4.CAP_ENDMNT'!B:B,'4.CAP_ENDMNT'!F:F,0,0,1)</f>
        <v>21877907069.147003</v>
      </c>
      <c r="X171" s="140">
        <f>+_xlfn.XLOOKUP(PROYECTOS[[#This Row],[MUNICIPIO]],'4.CAP_ENDMNT'!B:B,'4.CAP_ENDMNT'!G:G,0,0,1)</f>
        <v>5492975516</v>
      </c>
      <c r="Y171" s="140">
        <f>+_xlfn.XLOOKUP(PROYECTOS[[#This Row],[MUNICIPIO]],'4.CAP_ENDMNT'!B:B,'4.CAP_ENDMNT'!H:H,0,0,1)</f>
        <v>2014055909</v>
      </c>
      <c r="Z171" s="140">
        <f>+_xlfn.XLOOKUP(PROYECTOS[[#This Row],[MUNICIPIO]],'4.CAP_ENDMNT'!B:B,'4.CAP_ENDMNT'!I:I,0,0,1)</f>
        <v>7507031425</v>
      </c>
      <c r="AA171" s="134">
        <f>+_xlfn.XLOOKUP(PROYECTOS[[#This Row],[MUNICIPIO]],'4.CAP_ENDMNT'!B:B,'4.CAP_ENDMNT'!J:J,0,0,1)</f>
        <v>0.18464668688096655</v>
      </c>
      <c r="AB171" s="140">
        <f>+_xlfn.XLOOKUP(PROYECTOS[[#This Row],[MUNICIPIO]],'4.CAP_ENDMNT'!B:B,'4.CAP_ENDMNT'!K:K,0,0,1)</f>
        <v>33149162042.687004</v>
      </c>
      <c r="AC171" s="140">
        <f>+_xlfn.XLOOKUP(PROYECTOS[[#This Row],[MUNICIPIO]],'4.CAP_ENDMNT'!B:B,'4.CAP_ENDMNT'!L:L,0,0,1)</f>
        <v>26519329634.149605</v>
      </c>
      <c r="AD171" s="140">
        <f>+_xlfn.XLOOKUP(PROYECTOS[[#This Row],[MUNICIPIO]],'4.CAP_ENDMNT'!B:B,'4.CAP_ENDMNT'!M:M,0,0,1)</f>
        <v>19889497225.612202</v>
      </c>
      <c r="AE171" s="134">
        <f>+_xlfn.XLOOKUP(PROYECTOS[[#This Row],[MUNICIPIO]],'4.CAP_ENDMNT'!B:B,'4.CAP_ENDMNT'!N:N,0,0,1)</f>
        <v>0.73171073957506449</v>
      </c>
      <c r="AF171" s="134">
        <f>+_xlfn.XLOOKUP(PROYECTOS[[#This Row],[MUNICIPIO]],'4.CAP_ENDMNT'!B:B,'4.CAP_ENDMNT'!O:O,0,0,1)</f>
        <v>0.53391906125286837</v>
      </c>
      <c r="AG171" s="134">
        <f>+_xlfn.XLOOKUP(PROYECTOS[[#This Row],[MUNICIPIO]],'4.CAP_ENDMNT'!B:B,'4.CAP_ENDMNT'!P:P,0,0,1)</f>
        <v>0.8</v>
      </c>
      <c r="AH171" s="44" t="str">
        <f>+_xlfn.XLOOKUP(PROYECTOS[[#This Row],[MUNICIPIO]],'4.CAP_ENDMNT'!B:B,'4.CAP_ENDMNT'!Q:Q,0,0,1)</f>
        <v>Cumple</v>
      </c>
      <c r="AI171" s="139">
        <f>+_xlfn.XLOOKUP(PROYECTOS[[#This Row],[MUNICIPIO]],'4.CAP_ENDMNT'!B:B,'4.CAP_ENDMNT'!V:V,0,0,1)</f>
        <v>3977899445.1224403</v>
      </c>
      <c r="AJ171" s="139">
        <f>+_xlfn.XLOOKUP(PROYECTOS[[#This Row],[MUNICIPIO]],'4.CAP_ENDMNT'!B:B,'4.CAP_ENDMNT'!Y:Y,0,0,1)</f>
        <v>-34393689178.265358</v>
      </c>
      <c r="AK171"/>
      <c r="AL171"/>
      <c r="AM171"/>
    </row>
    <row r="172" spans="1:39">
      <c r="A172" s="44">
        <v>184</v>
      </c>
      <c r="B172" s="37" t="s">
        <v>1574</v>
      </c>
      <c r="C172" s="118">
        <v>45747</v>
      </c>
      <c r="D172" s="46" t="s">
        <v>166</v>
      </c>
      <c r="E172" s="47" t="str">
        <f>+_xlfn.XLOOKUP(PROYECTOS[[#This Row],[MUNICIPIO]],MUNICIPIOS!A:A,MUNICIPIOS!E:E,0,0,1)</f>
        <v>Occidente</v>
      </c>
      <c r="F172" s="44">
        <f>+_xlfn.XLOOKUP(PROYECTOS[[#This Row],[MUNICIPIO]],MUNICIPIOS!A:A,MUNICIPIOS!F:F,0,0,1)</f>
        <v>-75.826648000000006</v>
      </c>
      <c r="G172" s="44" t="str">
        <f>+_xlfn.XLOOKUP(PROYECTOS[[#This Row],[MUNICIPIO]],MUNICIPIOS!A:A,MUNICIPIOS!G:G,0,0,1)</f>
        <v>6,556484</v>
      </c>
      <c r="H172" s="44">
        <f>+_xlfn.XLOOKUP(PROYECTOS[[#This Row],[MUNICIPIO]],MUNICIPIOS!A:A,MUNICIPIOS!B:B,0,0,1)</f>
        <v>0</v>
      </c>
      <c r="I172" s="44">
        <f>+_xlfn.XLOOKUP(PROYECTOS[[#This Row],[MUNICIPIO]],MUNICIPIOS!A:A,MUNICIPIOS!C:C,0,0,1)</f>
        <v>1</v>
      </c>
      <c r="J172" s="3" t="str" cm="1">
        <f t="array" ref="J172">_xlfn.TEXTJOIN(" ", TRUE, IF(radicados[ID PROYECTOS]=A172, radicados[RADICADO], ""))</f>
        <v>2025010316151</v>
      </c>
      <c r="K172" s="45">
        <v>3</v>
      </c>
      <c r="L172" s="48">
        <v>8312102802</v>
      </c>
      <c r="M172" s="34" t="s">
        <v>288</v>
      </c>
      <c r="N172" s="40" t="s">
        <v>398</v>
      </c>
      <c r="O172" s="34" t="s">
        <v>25</v>
      </c>
      <c r="P172" s="37" t="s">
        <v>1668</v>
      </c>
      <c r="Q172" s="45"/>
      <c r="R172" s="43"/>
      <c r="S172" s="43"/>
      <c r="T172" s="44">
        <f>+_xlfn.XLOOKUP(PROYECTOS[[#This Row],[MUNICIPIO]],'4.CAP_ENDMNT'!B:B,'4.CAP_ENDMNT'!C:C,0,0,1)</f>
        <v>5</v>
      </c>
      <c r="U172" s="139">
        <f>+_xlfn.XLOOKUP(PROYECTOS[[#This Row],[MUNICIPIO]],'4.CAP_ENDMNT'!B:B,'4.CAP_ENDMNT'!D:D,0,0,1)</f>
        <v>40656193467.687004</v>
      </c>
      <c r="V172" s="140">
        <f>+_xlfn.XLOOKUP(PROYECTOS[[#This Row],[MUNICIPIO]],'4.CAP_ENDMNT'!B:B,'4.CAP_ENDMNT'!E:E,0,0,1)</f>
        <v>18778286398.540001</v>
      </c>
      <c r="W172" s="140">
        <f>+_xlfn.XLOOKUP(PROYECTOS[[#This Row],[MUNICIPIO]],'4.CAP_ENDMNT'!B:B,'4.CAP_ENDMNT'!F:F,0,0,1)</f>
        <v>21877907069.147003</v>
      </c>
      <c r="X172" s="140">
        <f>+_xlfn.XLOOKUP(PROYECTOS[[#This Row],[MUNICIPIO]],'4.CAP_ENDMNT'!B:B,'4.CAP_ENDMNT'!G:G,0,0,1)</f>
        <v>5492975516</v>
      </c>
      <c r="Y172" s="140">
        <f>+_xlfn.XLOOKUP(PROYECTOS[[#This Row],[MUNICIPIO]],'4.CAP_ENDMNT'!B:B,'4.CAP_ENDMNT'!H:H,0,0,1)</f>
        <v>2014055909</v>
      </c>
      <c r="Z172" s="140">
        <f>+_xlfn.XLOOKUP(PROYECTOS[[#This Row],[MUNICIPIO]],'4.CAP_ENDMNT'!B:B,'4.CAP_ENDMNT'!I:I,0,0,1)</f>
        <v>7507031425</v>
      </c>
      <c r="AA172" s="134">
        <f>+_xlfn.XLOOKUP(PROYECTOS[[#This Row],[MUNICIPIO]],'4.CAP_ENDMNT'!B:B,'4.CAP_ENDMNT'!J:J,0,0,1)</f>
        <v>0.18464668688096655</v>
      </c>
      <c r="AB172" s="140">
        <f>+_xlfn.XLOOKUP(PROYECTOS[[#This Row],[MUNICIPIO]],'4.CAP_ENDMNT'!B:B,'4.CAP_ENDMNT'!K:K,0,0,1)</f>
        <v>33149162042.687004</v>
      </c>
      <c r="AC172" s="140">
        <f>+_xlfn.XLOOKUP(PROYECTOS[[#This Row],[MUNICIPIO]],'4.CAP_ENDMNT'!B:B,'4.CAP_ENDMNT'!L:L,0,0,1)</f>
        <v>26519329634.149605</v>
      </c>
      <c r="AD172" s="140">
        <f>+_xlfn.XLOOKUP(PROYECTOS[[#This Row],[MUNICIPIO]],'4.CAP_ENDMNT'!B:B,'4.CAP_ENDMNT'!M:M,0,0,1)</f>
        <v>19889497225.612202</v>
      </c>
      <c r="AE172" s="134">
        <f>+_xlfn.XLOOKUP(PROYECTOS[[#This Row],[MUNICIPIO]],'4.CAP_ENDMNT'!B:B,'4.CAP_ENDMNT'!N:N,0,0,1)</f>
        <v>0.73171073957506449</v>
      </c>
      <c r="AF172" s="134">
        <f>+_xlfn.XLOOKUP(PROYECTOS[[#This Row],[MUNICIPIO]],'4.CAP_ENDMNT'!B:B,'4.CAP_ENDMNT'!O:O,0,0,1)</f>
        <v>0.53391906125286837</v>
      </c>
      <c r="AG172" s="134">
        <f>+_xlfn.XLOOKUP(PROYECTOS[[#This Row],[MUNICIPIO]],'4.CAP_ENDMNT'!B:B,'4.CAP_ENDMNT'!P:P,0,0,1)</f>
        <v>0.8</v>
      </c>
      <c r="AH172" s="44" t="str">
        <f>+_xlfn.XLOOKUP(PROYECTOS[[#This Row],[MUNICIPIO]],'4.CAP_ENDMNT'!B:B,'4.CAP_ENDMNT'!Q:Q,0,0,1)</f>
        <v>Cumple</v>
      </c>
      <c r="AI172" s="139">
        <f>+_xlfn.XLOOKUP(PROYECTOS[[#This Row],[MUNICIPIO]],'4.CAP_ENDMNT'!B:B,'4.CAP_ENDMNT'!V:V,0,0,1)</f>
        <v>3977899445.1224403</v>
      </c>
      <c r="AJ172" s="139">
        <f>+_xlfn.XLOOKUP(PROYECTOS[[#This Row],[MUNICIPIO]],'4.CAP_ENDMNT'!B:B,'4.CAP_ENDMNT'!Y:Y,0,0,1)</f>
        <v>-34393689178.265358</v>
      </c>
      <c r="AK172"/>
      <c r="AL172"/>
      <c r="AM172"/>
    </row>
    <row r="173" spans="1:39">
      <c r="A173" s="44">
        <v>185</v>
      </c>
      <c r="B173" s="37" t="s">
        <v>451</v>
      </c>
      <c r="C173" s="118">
        <v>45747</v>
      </c>
      <c r="D173" s="46" t="s">
        <v>452</v>
      </c>
      <c r="E173" s="47" t="str">
        <f>+_xlfn.XLOOKUP(PROYECTOS[[#This Row],[MUNICIPIO]],MUNICIPIOS!A:A,MUNICIPIOS!E:E,0,0,1)</f>
        <v>Occidente</v>
      </c>
      <c r="F173" s="44">
        <f>+_xlfn.XLOOKUP(PROYECTOS[[#This Row],[MUNICIPIO]],MUNICIPIOS!A:A,MUNICIPIOS!F:F,0,0,1)</f>
        <v>-75.910357000000005</v>
      </c>
      <c r="G173" s="44" t="str">
        <f>+_xlfn.XLOOKUP(PROYECTOS[[#This Row],[MUNICIPIO]],MUNICIPIOS!A:A,MUNICIPIOS!G:G,0,0,1)</f>
        <v>7,021029</v>
      </c>
      <c r="H173" s="44">
        <f>+_xlfn.XLOOKUP(PROYECTOS[[#This Row],[MUNICIPIO]],MUNICIPIOS!A:A,MUNICIPIOS!B:B,0,0,1)</f>
        <v>0</v>
      </c>
      <c r="I173" s="44">
        <f>+_xlfn.XLOOKUP(PROYECTOS[[#This Row],[MUNICIPIO]],MUNICIPIOS!A:A,MUNICIPIOS!C:C,0,0,1)</f>
        <v>0</v>
      </c>
      <c r="J173" s="3" t="str" cm="1">
        <f t="array" ref="J173">_xlfn.TEXTJOIN(" ", TRUE, IF(radicados[ID PROYECTOS]=A173, radicados[RADICADO], ""))</f>
        <v>2025010343303</v>
      </c>
      <c r="K173" s="45">
        <v>3</v>
      </c>
      <c r="L173" s="48">
        <v>5520217450</v>
      </c>
      <c r="M173" s="34" t="s">
        <v>288</v>
      </c>
      <c r="N173" s="40" t="s">
        <v>398</v>
      </c>
      <c r="O173" s="34" t="s">
        <v>25</v>
      </c>
      <c r="P173" s="37"/>
      <c r="Q173" s="45"/>
      <c r="R173" s="43"/>
      <c r="S173" s="43"/>
      <c r="T173" s="44">
        <f>+_xlfn.XLOOKUP(PROYECTOS[[#This Row],[MUNICIPIO]],'4.CAP_ENDMNT'!B:B,'4.CAP_ENDMNT'!C:C,0,0,1)</f>
        <v>6</v>
      </c>
      <c r="U173" s="139">
        <f>+_xlfn.XLOOKUP(PROYECTOS[[#This Row],[MUNICIPIO]],'4.CAP_ENDMNT'!B:B,'4.CAP_ENDMNT'!D:D,0,0,1)</f>
        <v>13002660545.618999</v>
      </c>
      <c r="V173" s="140">
        <f>+_xlfn.XLOOKUP(PROYECTOS[[#This Row],[MUNICIPIO]],'4.CAP_ENDMNT'!B:B,'4.CAP_ENDMNT'!E:E,0,0,1)</f>
        <v>2851909764.96</v>
      </c>
      <c r="W173" s="140">
        <f>+_xlfn.XLOOKUP(PROYECTOS[[#This Row],[MUNICIPIO]],'4.CAP_ENDMNT'!B:B,'4.CAP_ENDMNT'!F:F,0,0,1)</f>
        <v>10150750780.659</v>
      </c>
      <c r="X173" s="140">
        <f>+_xlfn.XLOOKUP(PROYECTOS[[#This Row],[MUNICIPIO]],'4.CAP_ENDMNT'!B:B,'4.CAP_ENDMNT'!G:G,0,0,1)</f>
        <v>3580400217</v>
      </c>
      <c r="Y173" s="140">
        <f>+_xlfn.XLOOKUP(PROYECTOS[[#This Row],[MUNICIPIO]],'4.CAP_ENDMNT'!B:B,'4.CAP_ENDMNT'!H:H,0,0,1)</f>
        <v>0</v>
      </c>
      <c r="Z173" s="140">
        <f>+_xlfn.XLOOKUP(PROYECTOS[[#This Row],[MUNICIPIO]],'4.CAP_ENDMNT'!B:B,'4.CAP_ENDMNT'!I:I,0,0,1)</f>
        <v>3580400217</v>
      </c>
      <c r="AA173" s="134">
        <f>+_xlfn.XLOOKUP(PROYECTOS[[#This Row],[MUNICIPIO]],'4.CAP_ENDMNT'!B:B,'4.CAP_ENDMNT'!J:J,0,0,1)</f>
        <v>0.27535904705336234</v>
      </c>
      <c r="AB173" s="140">
        <f>+_xlfn.XLOOKUP(PROYECTOS[[#This Row],[MUNICIPIO]],'4.CAP_ENDMNT'!B:B,'4.CAP_ENDMNT'!K:K,0,0,1)</f>
        <v>9422260328.6189995</v>
      </c>
      <c r="AC173" s="140">
        <f>+_xlfn.XLOOKUP(PROYECTOS[[#This Row],[MUNICIPIO]],'4.CAP_ENDMNT'!B:B,'4.CAP_ENDMNT'!L:L,0,0,1)</f>
        <v>7537808262.8951998</v>
      </c>
      <c r="AD173" s="140">
        <f>+_xlfn.XLOOKUP(PROYECTOS[[#This Row],[MUNICIPIO]],'4.CAP_ENDMNT'!B:B,'4.CAP_ENDMNT'!M:M,0,0,1)</f>
        <v>5653356197.1713991</v>
      </c>
      <c r="AE173" s="134">
        <f>+_xlfn.XLOOKUP(PROYECTOS[[#This Row],[MUNICIPIO]],'4.CAP_ENDMNT'!B:B,'4.CAP_ENDMNT'!N:N,0,0,1)</f>
        <v>1</v>
      </c>
      <c r="AF173" s="134">
        <f>+_xlfn.XLOOKUP(PROYECTOS[[#This Row],[MUNICIPIO]],'4.CAP_ENDMNT'!B:B,'4.CAP_ENDMNT'!O:O,0,0,1)</f>
        <v>0.60546314083774588</v>
      </c>
      <c r="AG173" s="134">
        <f>+_xlfn.XLOOKUP(PROYECTOS[[#This Row],[MUNICIPIO]],'4.CAP_ENDMNT'!B:B,'4.CAP_ENDMNT'!P:P,0,0,1)</f>
        <v>0.8</v>
      </c>
      <c r="AH173" s="44" t="str">
        <f>+_xlfn.XLOOKUP(PROYECTOS[[#This Row],[MUNICIPIO]],'4.CAP_ENDMNT'!B:B,'4.CAP_ENDMNT'!Q:Q,0,0,1)</f>
        <v>Cumple</v>
      </c>
      <c r="AI173" s="139">
        <f>+_xlfn.XLOOKUP(PROYECTOS[[#This Row],[MUNICIPIO]],'4.CAP_ENDMNT'!B:B,'4.CAP_ENDMNT'!V:V,0,0,1)</f>
        <v>1130671239.4342799</v>
      </c>
      <c r="AJ173" s="139">
        <f>+_xlfn.XLOOKUP(PROYECTOS[[#This Row],[MUNICIPIO]],'4.CAP_ENDMNT'!B:B,'4.CAP_ENDMNT'!Y:Y,0,0,1)</f>
        <v>-65295013.394321442</v>
      </c>
      <c r="AK173"/>
      <c r="AL173"/>
      <c r="AM173"/>
    </row>
    <row r="174" spans="1:39">
      <c r="A174" s="44">
        <v>186</v>
      </c>
      <c r="B174" s="37" t="s">
        <v>1411</v>
      </c>
      <c r="C174" s="118">
        <v>45747</v>
      </c>
      <c r="D174" s="46" t="s">
        <v>341</v>
      </c>
      <c r="E174" s="47" t="str">
        <f>+_xlfn.XLOOKUP(PROYECTOS[[#This Row],[MUNICIPIO]],MUNICIPIOS!A:A,MUNICIPIOS!E:E,0,0,1)</f>
        <v>Norte</v>
      </c>
      <c r="F174" s="44">
        <f>+_xlfn.XLOOKUP(PROYECTOS[[#This Row],[MUNICIPIO]],MUNICIPIOS!A:A,MUNICIPIOS!F:F,0,0,1)</f>
        <v>-75.667778999999996</v>
      </c>
      <c r="G174" s="44" t="str">
        <f>+_xlfn.XLOOKUP(PROYECTOS[[#This Row],[MUNICIPIO]],MUNICIPIOS!A:A,MUNICIPIOS!G:G,0,0,1)</f>
        <v>6,606319</v>
      </c>
      <c r="H174" s="44">
        <f>+_xlfn.XLOOKUP(PROYECTOS[[#This Row],[MUNICIPIO]],MUNICIPIOS!A:A,MUNICIPIOS!B:B,0,0,1)</f>
        <v>0</v>
      </c>
      <c r="I174" s="44">
        <f>+_xlfn.XLOOKUP(PROYECTOS[[#This Row],[MUNICIPIO]],MUNICIPIOS!A:A,MUNICIPIOS!C:C,0,0,1)</f>
        <v>0</v>
      </c>
      <c r="J174" s="3" t="str" cm="1">
        <f t="array" ref="J174">_xlfn.TEXTJOIN(" ", TRUE, IF(radicados[ID PROYECTOS]=A174, radicados[RADICADO], ""))</f>
        <v/>
      </c>
      <c r="K174" s="45">
        <v>3</v>
      </c>
      <c r="L174" s="48">
        <v>2041038177</v>
      </c>
      <c r="M174" s="34" t="s">
        <v>288</v>
      </c>
      <c r="N174" s="40" t="s">
        <v>398</v>
      </c>
      <c r="O174" s="34" t="s">
        <v>25</v>
      </c>
      <c r="P174" s="37"/>
      <c r="Q174" s="45"/>
      <c r="R174" s="43"/>
      <c r="S174" s="43"/>
      <c r="T174" s="44">
        <f>+_xlfn.XLOOKUP(PROYECTOS[[#This Row],[MUNICIPIO]],'4.CAP_ENDMNT'!B:B,'4.CAP_ENDMNT'!C:C,0,0,1)</f>
        <v>6</v>
      </c>
      <c r="U174" s="139">
        <f>+_xlfn.XLOOKUP(PROYECTOS[[#This Row],[MUNICIPIO]],'4.CAP_ENDMNT'!B:B,'4.CAP_ENDMNT'!D:D,0,0,1)</f>
        <v>10160021082.964001</v>
      </c>
      <c r="V174" s="140">
        <f>+_xlfn.XLOOKUP(PROYECTOS[[#This Row],[MUNICIPIO]],'4.CAP_ENDMNT'!B:B,'4.CAP_ENDMNT'!E:E,0,0,1)</f>
        <v>3265249234.6399999</v>
      </c>
      <c r="W174" s="140">
        <f>+_xlfn.XLOOKUP(PROYECTOS[[#This Row],[MUNICIPIO]],'4.CAP_ENDMNT'!B:B,'4.CAP_ENDMNT'!F:F,0,0,1)</f>
        <v>6894771848.3240013</v>
      </c>
      <c r="X174" s="140">
        <f>+_xlfn.XLOOKUP(PROYECTOS[[#This Row],[MUNICIPIO]],'4.CAP_ENDMNT'!B:B,'4.CAP_ENDMNT'!G:G,0,0,1)</f>
        <v>3316718973.96</v>
      </c>
      <c r="Y174" s="140">
        <f>+_xlfn.XLOOKUP(PROYECTOS[[#This Row],[MUNICIPIO]],'4.CAP_ENDMNT'!B:B,'4.CAP_ENDMNT'!H:H,0,0,1)</f>
        <v>0</v>
      </c>
      <c r="Z174" s="140">
        <f>+_xlfn.XLOOKUP(PROYECTOS[[#This Row],[MUNICIPIO]],'4.CAP_ENDMNT'!B:B,'4.CAP_ENDMNT'!I:I,0,0,1)</f>
        <v>3316718973.96</v>
      </c>
      <c r="AA174" s="134">
        <f>+_xlfn.XLOOKUP(PROYECTOS[[#This Row],[MUNICIPIO]],'4.CAP_ENDMNT'!B:B,'4.CAP_ENDMNT'!J:J,0,0,1)</f>
        <v>0.32644804049879078</v>
      </c>
      <c r="AB174" s="140">
        <f>+_xlfn.XLOOKUP(PROYECTOS[[#This Row],[MUNICIPIO]],'4.CAP_ENDMNT'!B:B,'4.CAP_ENDMNT'!K:K,0,0,1)</f>
        <v>6843302109.0040007</v>
      </c>
      <c r="AC174" s="140">
        <f>+_xlfn.XLOOKUP(PROYECTOS[[#This Row],[MUNICIPIO]],'4.CAP_ENDMNT'!B:B,'4.CAP_ENDMNT'!L:L,0,0,1)</f>
        <v>5474641687.2032013</v>
      </c>
      <c r="AD174" s="140">
        <f>+_xlfn.XLOOKUP(PROYECTOS[[#This Row],[MUNICIPIO]],'4.CAP_ENDMNT'!B:B,'4.CAP_ENDMNT'!M:M,0,0,1)</f>
        <v>4105981265.4024</v>
      </c>
      <c r="AE174" s="134">
        <f>+_xlfn.XLOOKUP(PROYECTOS[[#This Row],[MUNICIPIO]],'4.CAP_ENDMNT'!B:B,'4.CAP_ENDMNT'!N:N,0,0,1)</f>
        <v>1</v>
      </c>
      <c r="AF174" s="134">
        <f>+_xlfn.XLOOKUP(PROYECTOS[[#This Row],[MUNICIPIO]],'4.CAP_ENDMNT'!B:B,'4.CAP_ENDMNT'!O:O,0,0,1)</f>
        <v>0.59534208417675272</v>
      </c>
      <c r="AG174" s="134">
        <f>+_xlfn.XLOOKUP(PROYECTOS[[#This Row],[MUNICIPIO]],'4.CAP_ENDMNT'!B:B,'4.CAP_ENDMNT'!P:P,0,0,1)</f>
        <v>0.8</v>
      </c>
      <c r="AH174" s="44" t="str">
        <f>+_xlfn.XLOOKUP(PROYECTOS[[#This Row],[MUNICIPIO]],'4.CAP_ENDMNT'!B:B,'4.CAP_ENDMNT'!Q:Q,0,0,1)</f>
        <v>Cumple</v>
      </c>
      <c r="AI174" s="139">
        <f>+_xlfn.XLOOKUP(PROYECTOS[[#This Row],[MUNICIPIO]],'4.CAP_ENDMNT'!B:B,'4.CAP_ENDMNT'!V:V,0,0,1)</f>
        <v>821196253.0804801</v>
      </c>
      <c r="AJ174" s="139">
        <f>+_xlfn.XLOOKUP(PROYECTOS[[#This Row],[MUNICIPIO]],'4.CAP_ENDMNT'!B:B,'4.CAP_ENDMNT'!Y:Y,0,0,1)</f>
        <v>-1916076050.5171204</v>
      </c>
      <c r="AK174"/>
      <c r="AL174"/>
      <c r="AM174"/>
    </row>
    <row r="175" spans="1:39">
      <c r="A175" s="44">
        <v>187</v>
      </c>
      <c r="B175" s="37" t="s">
        <v>1412</v>
      </c>
      <c r="C175" s="118">
        <v>45747</v>
      </c>
      <c r="D175" s="46" t="s">
        <v>341</v>
      </c>
      <c r="E175" s="47" t="str">
        <f>+_xlfn.XLOOKUP(PROYECTOS[[#This Row],[MUNICIPIO]],MUNICIPIOS!A:A,MUNICIPIOS!E:E,0,0,1)</f>
        <v>Norte</v>
      </c>
      <c r="F175" s="44">
        <f>+_xlfn.XLOOKUP(PROYECTOS[[#This Row],[MUNICIPIO]],MUNICIPIOS!A:A,MUNICIPIOS!F:F,0,0,1)</f>
        <v>-75.667778999999996</v>
      </c>
      <c r="G175" s="44" t="str">
        <f>+_xlfn.XLOOKUP(PROYECTOS[[#This Row],[MUNICIPIO]],MUNICIPIOS!A:A,MUNICIPIOS!G:G,0,0,1)</f>
        <v>6,606319</v>
      </c>
      <c r="H175" s="44">
        <f>+_xlfn.XLOOKUP(PROYECTOS[[#This Row],[MUNICIPIO]],MUNICIPIOS!A:A,MUNICIPIOS!B:B,0,0,1)</f>
        <v>0</v>
      </c>
      <c r="I175" s="44">
        <f>+_xlfn.XLOOKUP(PROYECTOS[[#This Row],[MUNICIPIO]],MUNICIPIOS!A:A,MUNICIPIOS!C:C,0,0,1)</f>
        <v>0</v>
      </c>
      <c r="J175" s="3" t="str" cm="1">
        <f t="array" ref="J175">_xlfn.TEXTJOIN(" ", TRUE, IF(radicados[ID PROYECTOS]=A175, radicados[RADICADO], ""))</f>
        <v/>
      </c>
      <c r="K175" s="45">
        <v>3</v>
      </c>
      <c r="L175" s="48">
        <v>981613173</v>
      </c>
      <c r="M175" s="34" t="s">
        <v>288</v>
      </c>
      <c r="N175" s="40" t="s">
        <v>398</v>
      </c>
      <c r="O175" s="34" t="s">
        <v>25</v>
      </c>
      <c r="P175" s="37"/>
      <c r="Q175" s="45"/>
      <c r="R175" s="43"/>
      <c r="S175" s="43"/>
      <c r="T175" s="44">
        <f>+_xlfn.XLOOKUP(PROYECTOS[[#This Row],[MUNICIPIO]],'4.CAP_ENDMNT'!B:B,'4.CAP_ENDMNT'!C:C,0,0,1)</f>
        <v>6</v>
      </c>
      <c r="U175" s="139">
        <f>+_xlfn.XLOOKUP(PROYECTOS[[#This Row],[MUNICIPIO]],'4.CAP_ENDMNT'!B:B,'4.CAP_ENDMNT'!D:D,0,0,1)</f>
        <v>10160021082.964001</v>
      </c>
      <c r="V175" s="140">
        <f>+_xlfn.XLOOKUP(PROYECTOS[[#This Row],[MUNICIPIO]],'4.CAP_ENDMNT'!B:B,'4.CAP_ENDMNT'!E:E,0,0,1)</f>
        <v>3265249234.6399999</v>
      </c>
      <c r="W175" s="140">
        <f>+_xlfn.XLOOKUP(PROYECTOS[[#This Row],[MUNICIPIO]],'4.CAP_ENDMNT'!B:B,'4.CAP_ENDMNT'!F:F,0,0,1)</f>
        <v>6894771848.3240013</v>
      </c>
      <c r="X175" s="140">
        <f>+_xlfn.XLOOKUP(PROYECTOS[[#This Row],[MUNICIPIO]],'4.CAP_ENDMNT'!B:B,'4.CAP_ENDMNT'!G:G,0,0,1)</f>
        <v>3316718973.96</v>
      </c>
      <c r="Y175" s="140">
        <f>+_xlfn.XLOOKUP(PROYECTOS[[#This Row],[MUNICIPIO]],'4.CAP_ENDMNT'!B:B,'4.CAP_ENDMNT'!H:H,0,0,1)</f>
        <v>0</v>
      </c>
      <c r="Z175" s="140">
        <f>+_xlfn.XLOOKUP(PROYECTOS[[#This Row],[MUNICIPIO]],'4.CAP_ENDMNT'!B:B,'4.CAP_ENDMNT'!I:I,0,0,1)</f>
        <v>3316718973.96</v>
      </c>
      <c r="AA175" s="134">
        <f>+_xlfn.XLOOKUP(PROYECTOS[[#This Row],[MUNICIPIO]],'4.CAP_ENDMNT'!B:B,'4.CAP_ENDMNT'!J:J,0,0,1)</f>
        <v>0.32644804049879078</v>
      </c>
      <c r="AB175" s="140">
        <f>+_xlfn.XLOOKUP(PROYECTOS[[#This Row],[MUNICIPIO]],'4.CAP_ENDMNT'!B:B,'4.CAP_ENDMNT'!K:K,0,0,1)</f>
        <v>6843302109.0040007</v>
      </c>
      <c r="AC175" s="140">
        <f>+_xlfn.XLOOKUP(PROYECTOS[[#This Row],[MUNICIPIO]],'4.CAP_ENDMNT'!B:B,'4.CAP_ENDMNT'!L:L,0,0,1)</f>
        <v>5474641687.2032013</v>
      </c>
      <c r="AD175" s="140">
        <f>+_xlfn.XLOOKUP(PROYECTOS[[#This Row],[MUNICIPIO]],'4.CAP_ENDMNT'!B:B,'4.CAP_ENDMNT'!M:M,0,0,1)</f>
        <v>4105981265.4024</v>
      </c>
      <c r="AE175" s="134">
        <f>+_xlfn.XLOOKUP(PROYECTOS[[#This Row],[MUNICIPIO]],'4.CAP_ENDMNT'!B:B,'4.CAP_ENDMNT'!N:N,0,0,1)</f>
        <v>1</v>
      </c>
      <c r="AF175" s="134">
        <f>+_xlfn.XLOOKUP(PROYECTOS[[#This Row],[MUNICIPIO]],'4.CAP_ENDMNT'!B:B,'4.CAP_ENDMNT'!O:O,0,0,1)</f>
        <v>0.59534208417675272</v>
      </c>
      <c r="AG175" s="134">
        <f>+_xlfn.XLOOKUP(PROYECTOS[[#This Row],[MUNICIPIO]],'4.CAP_ENDMNT'!B:B,'4.CAP_ENDMNT'!P:P,0,0,1)</f>
        <v>0.8</v>
      </c>
      <c r="AH175" s="44" t="str">
        <f>+_xlfn.XLOOKUP(PROYECTOS[[#This Row],[MUNICIPIO]],'4.CAP_ENDMNT'!B:B,'4.CAP_ENDMNT'!Q:Q,0,0,1)</f>
        <v>Cumple</v>
      </c>
      <c r="AI175" s="139">
        <f>+_xlfn.XLOOKUP(PROYECTOS[[#This Row],[MUNICIPIO]],'4.CAP_ENDMNT'!B:B,'4.CAP_ENDMNT'!V:V,0,0,1)</f>
        <v>821196253.0804801</v>
      </c>
      <c r="AJ175" s="139">
        <f>+_xlfn.XLOOKUP(PROYECTOS[[#This Row],[MUNICIPIO]],'4.CAP_ENDMNT'!B:B,'4.CAP_ENDMNT'!Y:Y,0,0,1)</f>
        <v>-1916076050.5171204</v>
      </c>
      <c r="AK175"/>
      <c r="AL175"/>
      <c r="AM175"/>
    </row>
    <row r="176" spans="1:39">
      <c r="A176" s="44">
        <v>188</v>
      </c>
      <c r="B176" s="37" t="s">
        <v>1413</v>
      </c>
      <c r="C176" s="118">
        <v>45747</v>
      </c>
      <c r="D176" s="46" t="s">
        <v>341</v>
      </c>
      <c r="E176" s="47" t="str">
        <f>+_xlfn.XLOOKUP(PROYECTOS[[#This Row],[MUNICIPIO]],MUNICIPIOS!A:A,MUNICIPIOS!E:E,0,0,1)</f>
        <v>Norte</v>
      </c>
      <c r="F176" s="44">
        <f>+_xlfn.XLOOKUP(PROYECTOS[[#This Row],[MUNICIPIO]],MUNICIPIOS!A:A,MUNICIPIOS!F:F,0,0,1)</f>
        <v>-75.667778999999996</v>
      </c>
      <c r="G176" s="44" t="str">
        <f>+_xlfn.XLOOKUP(PROYECTOS[[#This Row],[MUNICIPIO]],MUNICIPIOS!A:A,MUNICIPIOS!G:G,0,0,1)</f>
        <v>6,606319</v>
      </c>
      <c r="H176" s="44">
        <f>+_xlfn.XLOOKUP(PROYECTOS[[#This Row],[MUNICIPIO]],MUNICIPIOS!A:A,MUNICIPIOS!B:B,0,0,1)</f>
        <v>0</v>
      </c>
      <c r="I176" s="44">
        <f>+_xlfn.XLOOKUP(PROYECTOS[[#This Row],[MUNICIPIO]],MUNICIPIOS!A:A,MUNICIPIOS!C:C,0,0,1)</f>
        <v>0</v>
      </c>
      <c r="J176" s="3" t="str" cm="1">
        <f t="array" ref="J176">_xlfn.TEXTJOIN(" ", TRUE, IF(radicados[ID PROYECTOS]=A176, radicados[RADICADO], ""))</f>
        <v/>
      </c>
      <c r="K176" s="45">
        <v>3</v>
      </c>
      <c r="L176" s="217">
        <v>1500000000</v>
      </c>
      <c r="M176" s="34" t="s">
        <v>288</v>
      </c>
      <c r="N176" s="40" t="s">
        <v>398</v>
      </c>
      <c r="O176" s="34" t="s">
        <v>25</v>
      </c>
      <c r="P176" s="37"/>
      <c r="Q176" s="45"/>
      <c r="R176" s="43"/>
      <c r="S176" s="43"/>
      <c r="T176" s="44">
        <f>+_xlfn.XLOOKUP(PROYECTOS[[#This Row],[MUNICIPIO]],'4.CAP_ENDMNT'!B:B,'4.CAP_ENDMNT'!C:C,0,0,1)</f>
        <v>6</v>
      </c>
      <c r="U176" s="139">
        <f>+_xlfn.XLOOKUP(PROYECTOS[[#This Row],[MUNICIPIO]],'4.CAP_ENDMNT'!B:B,'4.CAP_ENDMNT'!D:D,0,0,1)</f>
        <v>10160021082.964001</v>
      </c>
      <c r="V176" s="140">
        <f>+_xlfn.XLOOKUP(PROYECTOS[[#This Row],[MUNICIPIO]],'4.CAP_ENDMNT'!B:B,'4.CAP_ENDMNT'!E:E,0,0,1)</f>
        <v>3265249234.6399999</v>
      </c>
      <c r="W176" s="140">
        <f>+_xlfn.XLOOKUP(PROYECTOS[[#This Row],[MUNICIPIO]],'4.CAP_ENDMNT'!B:B,'4.CAP_ENDMNT'!F:F,0,0,1)</f>
        <v>6894771848.3240013</v>
      </c>
      <c r="X176" s="140">
        <f>+_xlfn.XLOOKUP(PROYECTOS[[#This Row],[MUNICIPIO]],'4.CAP_ENDMNT'!B:B,'4.CAP_ENDMNT'!G:G,0,0,1)</f>
        <v>3316718973.96</v>
      </c>
      <c r="Y176" s="140">
        <f>+_xlfn.XLOOKUP(PROYECTOS[[#This Row],[MUNICIPIO]],'4.CAP_ENDMNT'!B:B,'4.CAP_ENDMNT'!H:H,0,0,1)</f>
        <v>0</v>
      </c>
      <c r="Z176" s="140">
        <f>+_xlfn.XLOOKUP(PROYECTOS[[#This Row],[MUNICIPIO]],'4.CAP_ENDMNT'!B:B,'4.CAP_ENDMNT'!I:I,0,0,1)</f>
        <v>3316718973.96</v>
      </c>
      <c r="AA176" s="134">
        <f>+_xlfn.XLOOKUP(PROYECTOS[[#This Row],[MUNICIPIO]],'4.CAP_ENDMNT'!B:B,'4.CAP_ENDMNT'!J:J,0,0,1)</f>
        <v>0.32644804049879078</v>
      </c>
      <c r="AB176" s="140">
        <f>+_xlfn.XLOOKUP(PROYECTOS[[#This Row],[MUNICIPIO]],'4.CAP_ENDMNT'!B:B,'4.CAP_ENDMNT'!K:K,0,0,1)</f>
        <v>6843302109.0040007</v>
      </c>
      <c r="AC176" s="140">
        <f>+_xlfn.XLOOKUP(PROYECTOS[[#This Row],[MUNICIPIO]],'4.CAP_ENDMNT'!B:B,'4.CAP_ENDMNT'!L:L,0,0,1)</f>
        <v>5474641687.2032013</v>
      </c>
      <c r="AD176" s="140">
        <f>+_xlfn.XLOOKUP(PROYECTOS[[#This Row],[MUNICIPIO]],'4.CAP_ENDMNT'!B:B,'4.CAP_ENDMNT'!M:M,0,0,1)</f>
        <v>4105981265.4024</v>
      </c>
      <c r="AE176" s="134">
        <f>+_xlfn.XLOOKUP(PROYECTOS[[#This Row],[MUNICIPIO]],'4.CAP_ENDMNT'!B:B,'4.CAP_ENDMNT'!N:N,0,0,1)</f>
        <v>1</v>
      </c>
      <c r="AF176" s="134">
        <f>+_xlfn.XLOOKUP(PROYECTOS[[#This Row],[MUNICIPIO]],'4.CAP_ENDMNT'!B:B,'4.CAP_ENDMNT'!O:O,0,0,1)</f>
        <v>0.59534208417675272</v>
      </c>
      <c r="AG176" s="134">
        <f>+_xlfn.XLOOKUP(PROYECTOS[[#This Row],[MUNICIPIO]],'4.CAP_ENDMNT'!B:B,'4.CAP_ENDMNT'!P:P,0,0,1)</f>
        <v>0.8</v>
      </c>
      <c r="AH176" s="44" t="str">
        <f>+_xlfn.XLOOKUP(PROYECTOS[[#This Row],[MUNICIPIO]],'4.CAP_ENDMNT'!B:B,'4.CAP_ENDMNT'!Q:Q,0,0,1)</f>
        <v>Cumple</v>
      </c>
      <c r="AI176" s="139">
        <f>+_xlfn.XLOOKUP(PROYECTOS[[#This Row],[MUNICIPIO]],'4.CAP_ENDMNT'!B:B,'4.CAP_ENDMNT'!V:V,0,0,1)</f>
        <v>821196253.0804801</v>
      </c>
      <c r="AJ176" s="139">
        <f>+_xlfn.XLOOKUP(PROYECTOS[[#This Row],[MUNICIPIO]],'4.CAP_ENDMNT'!B:B,'4.CAP_ENDMNT'!Y:Y,0,0,1)</f>
        <v>-1916076050.5171204</v>
      </c>
      <c r="AK176"/>
      <c r="AL176"/>
      <c r="AM176"/>
    </row>
    <row r="177" spans="1:39">
      <c r="A177" s="44">
        <v>189</v>
      </c>
      <c r="B177" s="37" t="s">
        <v>456</v>
      </c>
      <c r="C177" s="118">
        <v>45747</v>
      </c>
      <c r="D177" s="46" t="s">
        <v>134</v>
      </c>
      <c r="E177" s="47" t="str">
        <f>+_xlfn.XLOOKUP(PROYECTOS[[#This Row],[MUNICIPIO]],MUNICIPIOS!A:A,MUNICIPIOS!E:E,0,0,1)</f>
        <v>Magdalena Medio</v>
      </c>
      <c r="F177" s="44">
        <f>+_xlfn.XLOOKUP(PROYECTOS[[#This Row],[MUNICIPIO]],MUNICIPIOS!A:A,MUNICIPIOS!F:F,0,0,1)</f>
        <v>-74.583011999999997</v>
      </c>
      <c r="G177" s="44" t="str">
        <f>+_xlfn.XLOOKUP(PROYECTOS[[#This Row],[MUNICIPIO]],MUNICIPIOS!A:A,MUNICIPIOS!G:G,0,0,1)</f>
        <v>6,186025</v>
      </c>
      <c r="H177" s="44">
        <f>+_xlfn.XLOOKUP(PROYECTOS[[#This Row],[MUNICIPIO]],MUNICIPIOS!A:A,MUNICIPIOS!B:B,0,0,1)</f>
        <v>0</v>
      </c>
      <c r="I177" s="44">
        <f>+_xlfn.XLOOKUP(PROYECTOS[[#This Row],[MUNICIPIO]],MUNICIPIOS!A:A,MUNICIPIOS!C:C,0,0,1)</f>
        <v>0</v>
      </c>
      <c r="J177" s="3" t="str" cm="1">
        <f t="array" ref="J177">_xlfn.TEXTJOIN(" ", TRUE, IF(radicados[ID PROYECTOS]=A177, radicados[RADICADO], ""))</f>
        <v/>
      </c>
      <c r="K177" s="45">
        <v>1</v>
      </c>
      <c r="L177" s="48"/>
      <c r="M177" s="34" t="s">
        <v>402</v>
      </c>
      <c r="N177" s="40" t="s">
        <v>1079</v>
      </c>
      <c r="O177" s="40" t="s">
        <v>29</v>
      </c>
      <c r="P177" s="37"/>
      <c r="Q177" s="45"/>
      <c r="R177" s="43"/>
      <c r="S177" s="43"/>
      <c r="T177" s="44">
        <f>+_xlfn.XLOOKUP(PROYECTOS[[#This Row],[MUNICIPIO]],'4.CAP_ENDMNT'!B:B,'4.CAP_ENDMNT'!C:C,0,0,1)</f>
        <v>6</v>
      </c>
      <c r="U177" s="139">
        <f>+_xlfn.XLOOKUP(PROYECTOS[[#This Row],[MUNICIPIO]],'4.CAP_ENDMNT'!B:B,'4.CAP_ENDMNT'!D:D,0,0,1)</f>
        <v>17406090503.82</v>
      </c>
      <c r="V177" s="140">
        <f>+_xlfn.XLOOKUP(PROYECTOS[[#This Row],[MUNICIPIO]],'4.CAP_ENDMNT'!B:B,'4.CAP_ENDMNT'!E:E,0,0,1)</f>
        <v>8490973725.3299999</v>
      </c>
      <c r="W177" s="140">
        <f>+_xlfn.XLOOKUP(PROYECTOS[[#This Row],[MUNICIPIO]],'4.CAP_ENDMNT'!B:B,'4.CAP_ENDMNT'!F:F,0,0,1)</f>
        <v>8915116778.4899998</v>
      </c>
      <c r="X177" s="140">
        <f>+_xlfn.XLOOKUP(PROYECTOS[[#This Row],[MUNICIPIO]],'4.CAP_ENDMNT'!B:B,'4.CAP_ENDMNT'!G:G,0,0,1)</f>
        <v>6695063584</v>
      </c>
      <c r="Y177" s="140">
        <f>+_xlfn.XLOOKUP(PROYECTOS[[#This Row],[MUNICIPIO]],'4.CAP_ENDMNT'!B:B,'4.CAP_ENDMNT'!H:H,0,0,1)</f>
        <v>0</v>
      </c>
      <c r="Z177" s="140">
        <f>+_xlfn.XLOOKUP(PROYECTOS[[#This Row],[MUNICIPIO]],'4.CAP_ENDMNT'!B:B,'4.CAP_ENDMNT'!I:I,0,0,1)</f>
        <v>6695063584</v>
      </c>
      <c r="AA177" s="134">
        <f>+_xlfn.XLOOKUP(PROYECTOS[[#This Row],[MUNICIPIO]],'4.CAP_ENDMNT'!B:B,'4.CAP_ENDMNT'!J:J,0,0,1)</f>
        <v>0.38463913436108349</v>
      </c>
      <c r="AB177" s="140">
        <f>+_xlfn.XLOOKUP(PROYECTOS[[#This Row],[MUNICIPIO]],'4.CAP_ENDMNT'!B:B,'4.CAP_ENDMNT'!K:K,0,0,1)</f>
        <v>10711026919.82</v>
      </c>
      <c r="AC177" s="140">
        <f>+_xlfn.XLOOKUP(PROYECTOS[[#This Row],[MUNICIPIO]],'4.CAP_ENDMNT'!B:B,'4.CAP_ENDMNT'!L:L,0,0,1)</f>
        <v>8568821535.8559999</v>
      </c>
      <c r="AD177" s="140">
        <f>+_xlfn.XLOOKUP(PROYECTOS[[#This Row],[MUNICIPIO]],'4.CAP_ENDMNT'!B:B,'4.CAP_ENDMNT'!M:M,0,0,1)</f>
        <v>6426616151.8919992</v>
      </c>
      <c r="AE177" s="134">
        <f>+_xlfn.XLOOKUP(PROYECTOS[[#This Row],[MUNICIPIO]],'4.CAP_ENDMNT'!B:B,'4.CAP_ENDMNT'!N:N,0,0,1)</f>
        <v>1</v>
      </c>
      <c r="AF177" s="134">
        <f>+_xlfn.XLOOKUP(PROYECTOS[[#This Row],[MUNICIPIO]],'4.CAP_ENDMNT'!B:B,'4.CAP_ENDMNT'!O:O,0,0,1)</f>
        <v>0.75913384232200265</v>
      </c>
      <c r="AG177" s="134">
        <f>+_xlfn.XLOOKUP(PROYECTOS[[#This Row],[MUNICIPIO]],'4.CAP_ENDMNT'!B:B,'4.CAP_ENDMNT'!P:P,0,0,1)</f>
        <v>0.8</v>
      </c>
      <c r="AH177" s="44" t="str">
        <f>+_xlfn.XLOOKUP(PROYECTOS[[#This Row],[MUNICIPIO]],'4.CAP_ENDMNT'!B:B,'4.CAP_ENDMNT'!Q:Q,0,0,1)</f>
        <v>Riesgo</v>
      </c>
      <c r="AI177" s="139">
        <f>+_xlfn.XLOOKUP(PROYECTOS[[#This Row],[MUNICIPIO]],'4.CAP_ENDMNT'!B:B,'4.CAP_ENDMNT'!V:V,0,0,1)</f>
        <v>1285323230.3783998</v>
      </c>
      <c r="AJ177" s="139">
        <f>+_xlfn.XLOOKUP(PROYECTOS[[#This Row],[MUNICIPIO]],'4.CAP_ENDMNT'!B:B,'4.CAP_ENDMNT'!Y:Y,0,0,1)</f>
        <v>4683293036.2703991</v>
      </c>
      <c r="AK177"/>
      <c r="AL177"/>
      <c r="AM177"/>
    </row>
    <row r="178" spans="1:39">
      <c r="A178" s="44">
        <v>192</v>
      </c>
      <c r="B178" s="37" t="s">
        <v>457</v>
      </c>
      <c r="C178" s="118">
        <v>45747</v>
      </c>
      <c r="D178" s="46" t="s">
        <v>146</v>
      </c>
      <c r="E178" s="47" t="str">
        <f>+_xlfn.XLOOKUP(PROYECTOS[[#This Row],[MUNICIPIO]],MUNICIPIOS!A:A,MUNICIPIOS!E:E,0,0,1)</f>
        <v>Suroeste</v>
      </c>
      <c r="F178" s="44">
        <f>+_xlfn.XLOOKUP(PROYECTOS[[#This Row],[MUNICIPIO]],MUNICIPIOS!A:A,MUNICIPIOS!F:F,0,0,1)</f>
        <v>-75.791887000000003</v>
      </c>
      <c r="G178" s="44">
        <f>+_xlfn.XLOOKUP(PROYECTOS[[#This Row],[MUNICIPIO]],MUNICIPIOS!A:A,MUNICIPIOS!G:G,0,0,1)</f>
        <v>6.0623909999999999</v>
      </c>
      <c r="H178" s="44">
        <f>+_xlfn.XLOOKUP(PROYECTOS[[#This Row],[MUNICIPIO]],MUNICIPIOS!A:A,MUNICIPIOS!B:B,0,0,1)</f>
        <v>0</v>
      </c>
      <c r="I178" s="44">
        <f>+_xlfn.XLOOKUP(PROYECTOS[[#This Row],[MUNICIPIO]],MUNICIPIOS!A:A,MUNICIPIOS!C:C,0,0,1)</f>
        <v>0</v>
      </c>
      <c r="J178" s="3" t="str" cm="1">
        <f t="array" ref="J178">_xlfn.TEXTJOIN(" ", TRUE, IF(radicados[ID PROYECTOS]=A178, radicados[RADICADO], ""))</f>
        <v/>
      </c>
      <c r="K178" s="45">
        <v>3</v>
      </c>
      <c r="L178" s="48">
        <v>7674272152</v>
      </c>
      <c r="M178" s="34" t="s">
        <v>288</v>
      </c>
      <c r="N178" s="40" t="s">
        <v>398</v>
      </c>
      <c r="O178" s="34" t="s">
        <v>25</v>
      </c>
      <c r="P178" s="37" t="s">
        <v>1622</v>
      </c>
      <c r="Q178" s="45">
        <v>1</v>
      </c>
      <c r="R178" s="43" t="s">
        <v>922</v>
      </c>
      <c r="S178" s="43" t="s">
        <v>1618</v>
      </c>
      <c r="T178" s="44">
        <f>+_xlfn.XLOOKUP(PROYECTOS[[#This Row],[MUNICIPIO]],'4.CAP_ENDMNT'!B:B,'4.CAP_ENDMNT'!C:C,0,0,1)</f>
        <v>6</v>
      </c>
      <c r="U178" s="139">
        <f>+_xlfn.XLOOKUP(PROYECTOS[[#This Row],[MUNICIPIO]],'4.CAP_ENDMNT'!B:B,'4.CAP_ENDMNT'!D:D,0,0,1)</f>
        <v>11592686445.107998</v>
      </c>
      <c r="V178" s="140">
        <f>+_xlfn.XLOOKUP(PROYECTOS[[#This Row],[MUNICIPIO]],'4.CAP_ENDMNT'!B:B,'4.CAP_ENDMNT'!E:E,0,0,1)</f>
        <v>5670743725.9899998</v>
      </c>
      <c r="W178" s="140">
        <f>+_xlfn.XLOOKUP(PROYECTOS[[#This Row],[MUNICIPIO]],'4.CAP_ENDMNT'!B:B,'4.CAP_ENDMNT'!F:F,0,0,1)</f>
        <v>5921942719.1179981</v>
      </c>
      <c r="X178" s="140">
        <f>+_xlfn.XLOOKUP(PROYECTOS[[#This Row],[MUNICIPIO]],'4.CAP_ENDMNT'!B:B,'4.CAP_ENDMNT'!G:G,0,0,1)</f>
        <v>1149558272.3800001</v>
      </c>
      <c r="Y178" s="140">
        <f>+_xlfn.XLOOKUP(PROYECTOS[[#This Row],[MUNICIPIO]],'4.CAP_ENDMNT'!B:B,'4.CAP_ENDMNT'!H:H,0,0,1)</f>
        <v>1133660976</v>
      </c>
      <c r="Z178" s="140">
        <f>+_xlfn.XLOOKUP(PROYECTOS[[#This Row],[MUNICIPIO]],'4.CAP_ENDMNT'!B:B,'4.CAP_ENDMNT'!I:I,0,0,1)</f>
        <v>2283219248.3800001</v>
      </c>
      <c r="AA178" s="134">
        <f>+_xlfn.XLOOKUP(PROYECTOS[[#This Row],[MUNICIPIO]],'4.CAP_ENDMNT'!B:B,'4.CAP_ENDMNT'!J:J,0,0,1)</f>
        <v>0.19695342052001213</v>
      </c>
      <c r="AB178" s="140">
        <f>+_xlfn.XLOOKUP(PROYECTOS[[#This Row],[MUNICIPIO]],'4.CAP_ENDMNT'!B:B,'4.CAP_ENDMNT'!K:K,0,0,1)</f>
        <v>9309467196.7279968</v>
      </c>
      <c r="AC178" s="140">
        <f>+_xlfn.XLOOKUP(PROYECTOS[[#This Row],[MUNICIPIO]],'4.CAP_ENDMNT'!B:B,'4.CAP_ENDMNT'!L:L,0,0,1)</f>
        <v>7447573757.3823977</v>
      </c>
      <c r="AD178" s="140">
        <f>+_xlfn.XLOOKUP(PROYECTOS[[#This Row],[MUNICIPIO]],'4.CAP_ENDMNT'!B:B,'4.CAP_ENDMNT'!M:M,0,0,1)</f>
        <v>5585680318.0367975</v>
      </c>
      <c r="AE178" s="134">
        <f>+_xlfn.XLOOKUP(PROYECTOS[[#This Row],[MUNICIPIO]],'4.CAP_ENDMNT'!B:B,'4.CAP_ENDMNT'!N:N,0,0,1)</f>
        <v>0.50348133373334159</v>
      </c>
      <c r="AF178" s="134">
        <f>+_xlfn.XLOOKUP(PROYECTOS[[#This Row],[MUNICIPIO]],'4.CAP_ENDMNT'!B:B,'4.CAP_ENDMNT'!O:O,0,0,1)</f>
        <v>0.69203788539600963</v>
      </c>
      <c r="AG178" s="134">
        <f>+_xlfn.XLOOKUP(PROYECTOS[[#This Row],[MUNICIPIO]],'4.CAP_ENDMNT'!B:B,'4.CAP_ENDMNT'!P:P,0,0,1)</f>
        <v>0.8</v>
      </c>
      <c r="AH178" s="44" t="str">
        <f>+_xlfn.XLOOKUP(PROYECTOS[[#This Row],[MUNICIPIO]],'4.CAP_ENDMNT'!B:B,'4.CAP_ENDMNT'!Q:Q,0,0,1)</f>
        <v>Cumple</v>
      </c>
      <c r="AI178" s="139">
        <f>+_xlfn.XLOOKUP(PROYECTOS[[#This Row],[MUNICIPIO]],'4.CAP_ENDMNT'!B:B,'4.CAP_ENDMNT'!V:V,0,0,1)</f>
        <v>1117136063.6073596</v>
      </c>
      <c r="AJ178" s="139">
        <f>+_xlfn.XLOOKUP(PROYECTOS[[#This Row],[MUNICIPIO]],'4.CAP_ENDMNT'!B:B,'4.CAP_ENDMNT'!Y:Y,0,0,1)</f>
        <v>-9756872913.3558426</v>
      </c>
      <c r="AK178"/>
      <c r="AL178"/>
      <c r="AM178"/>
    </row>
    <row r="179" spans="1:39">
      <c r="A179" s="44">
        <v>193</v>
      </c>
      <c r="B179" s="37" t="s">
        <v>458</v>
      </c>
      <c r="C179" s="118">
        <v>45747</v>
      </c>
      <c r="D179" s="46" t="s">
        <v>113</v>
      </c>
      <c r="E179" s="47" t="str">
        <f>+_xlfn.XLOOKUP(PROYECTOS[[#This Row],[MUNICIPIO]],MUNICIPIOS!A:A,MUNICIPIOS!E:E,0,0,1)</f>
        <v>Oriente</v>
      </c>
      <c r="F179" s="44">
        <f>+_xlfn.XLOOKUP(PROYECTOS[[#This Row],[MUNICIPIO]],MUNICIPIOS!A:A,MUNICIPIOS!F:F,0,0,1)</f>
        <v>-75.101562000000001</v>
      </c>
      <c r="G179" s="44" t="str">
        <f>+_xlfn.XLOOKUP(PROYECTOS[[#This Row],[MUNICIPIO]],MUNICIPIOS!A:A,MUNICIPIOS!G:G,0,0,1)</f>
        <v>5,963476</v>
      </c>
      <c r="H179" s="44">
        <f>+_xlfn.XLOOKUP(PROYECTOS[[#This Row],[MUNICIPIO]],MUNICIPIOS!A:A,MUNICIPIOS!B:B,0,0,1)</f>
        <v>0</v>
      </c>
      <c r="I179" s="44">
        <f>+_xlfn.XLOOKUP(PROYECTOS[[#This Row],[MUNICIPIO]],MUNICIPIOS!A:A,MUNICIPIOS!C:C,0,0,1)</f>
        <v>1</v>
      </c>
      <c r="J179" s="3" t="str" cm="1">
        <f t="array" ref="J179">_xlfn.TEXTJOIN(" ", TRUE, IF(radicados[ID PROYECTOS]=A179, radicados[RADICADO], ""))</f>
        <v/>
      </c>
      <c r="K179" s="45">
        <v>3</v>
      </c>
      <c r="L179" s="48"/>
      <c r="M179" s="34" t="s">
        <v>288</v>
      </c>
      <c r="N179" s="40" t="s">
        <v>398</v>
      </c>
      <c r="O179" s="34" t="s">
        <v>25</v>
      </c>
      <c r="P179" s="37" t="s">
        <v>990</v>
      </c>
      <c r="Q179" s="45"/>
      <c r="R179" s="43"/>
      <c r="S179" s="43"/>
      <c r="T179" s="44">
        <f>+_xlfn.XLOOKUP(PROYECTOS[[#This Row],[MUNICIPIO]],'4.CAP_ENDMNT'!B:B,'4.CAP_ENDMNT'!C:C,0,0,1)</f>
        <v>6</v>
      </c>
      <c r="U179" s="139">
        <f>+_xlfn.XLOOKUP(PROYECTOS[[#This Row],[MUNICIPIO]],'4.CAP_ENDMNT'!B:B,'4.CAP_ENDMNT'!D:D,0,0,1)</f>
        <v>7763487077.335</v>
      </c>
      <c r="V179" s="140">
        <f>+_xlfn.XLOOKUP(PROYECTOS[[#This Row],[MUNICIPIO]],'4.CAP_ENDMNT'!B:B,'4.CAP_ENDMNT'!E:E,0,0,1)</f>
        <v>2329929022.3600001</v>
      </c>
      <c r="W179" s="140">
        <f>+_xlfn.XLOOKUP(PROYECTOS[[#This Row],[MUNICIPIO]],'4.CAP_ENDMNT'!B:B,'4.CAP_ENDMNT'!F:F,0,0,1)</f>
        <v>5433558054.9750004</v>
      </c>
      <c r="X179" s="140">
        <f>+_xlfn.XLOOKUP(PROYECTOS[[#This Row],[MUNICIPIO]],'4.CAP_ENDMNT'!B:B,'4.CAP_ENDMNT'!G:G,0,0,1)</f>
        <v>1217107364.4400001</v>
      </c>
      <c r="Y179" s="140">
        <f>+_xlfn.XLOOKUP(PROYECTOS[[#This Row],[MUNICIPIO]],'4.CAP_ENDMNT'!B:B,'4.CAP_ENDMNT'!H:H,0,0,1)</f>
        <v>0</v>
      </c>
      <c r="Z179" s="140">
        <f>+_xlfn.XLOOKUP(PROYECTOS[[#This Row],[MUNICIPIO]],'4.CAP_ENDMNT'!B:B,'4.CAP_ENDMNT'!I:I,0,0,1)</f>
        <v>1217107364.4400001</v>
      </c>
      <c r="AA179" s="134">
        <f>+_xlfn.XLOOKUP(PROYECTOS[[#This Row],[MUNICIPIO]],'4.CAP_ENDMNT'!B:B,'4.CAP_ENDMNT'!J:J,0,0,1)</f>
        <v>0.15677328400446064</v>
      </c>
      <c r="AB179" s="140">
        <f>+_xlfn.XLOOKUP(PROYECTOS[[#This Row],[MUNICIPIO]],'4.CAP_ENDMNT'!B:B,'4.CAP_ENDMNT'!K:K,0,0,1)</f>
        <v>6546379712.8950005</v>
      </c>
      <c r="AC179" s="140">
        <f>+_xlfn.XLOOKUP(PROYECTOS[[#This Row],[MUNICIPIO]],'4.CAP_ENDMNT'!B:B,'4.CAP_ENDMNT'!L:L,0,0,1)</f>
        <v>5237103770.3160009</v>
      </c>
      <c r="AD179" s="140">
        <f>+_xlfn.XLOOKUP(PROYECTOS[[#This Row],[MUNICIPIO]],'4.CAP_ENDMNT'!B:B,'4.CAP_ENDMNT'!M:M,0,0,1)</f>
        <v>3927827827.737</v>
      </c>
      <c r="AE179" s="134">
        <f>+_xlfn.XLOOKUP(PROYECTOS[[#This Row],[MUNICIPIO]],'4.CAP_ENDMNT'!B:B,'4.CAP_ENDMNT'!N:N,0,0,1)</f>
        <v>1</v>
      </c>
      <c r="AF179" s="134">
        <f>+_xlfn.XLOOKUP(PROYECTOS[[#This Row],[MUNICIPIO]],'4.CAP_ENDMNT'!B:B,'4.CAP_ENDMNT'!O:O,0,0,1)</f>
        <v>0.68141761997590633</v>
      </c>
      <c r="AG179" s="134">
        <f>+_xlfn.XLOOKUP(PROYECTOS[[#This Row],[MUNICIPIO]],'4.CAP_ENDMNT'!B:B,'4.CAP_ENDMNT'!P:P,0,0,1)</f>
        <v>0.8</v>
      </c>
      <c r="AH179" s="44" t="str">
        <f>+_xlfn.XLOOKUP(PROYECTOS[[#This Row],[MUNICIPIO]],'4.CAP_ENDMNT'!B:B,'4.CAP_ENDMNT'!Q:Q,0,0,1)</f>
        <v>Cumple</v>
      </c>
      <c r="AI179" s="139">
        <f>+_xlfn.XLOOKUP(PROYECTOS[[#This Row],[MUNICIPIO]],'4.CAP_ENDMNT'!B:B,'4.CAP_ENDMNT'!V:V,0,0,1)</f>
        <v>785565565.5474</v>
      </c>
      <c r="AJ179" s="139">
        <f>+_xlfn.XLOOKUP(PROYECTOS[[#This Row],[MUNICIPIO]],'4.CAP_ENDMNT'!B:B,'4.CAP_ENDMNT'!Y:Y,0,0,1)</f>
        <v>-10352204929.605598</v>
      </c>
      <c r="AK179"/>
      <c r="AL179"/>
      <c r="AM179"/>
    </row>
    <row r="180" spans="1:39">
      <c r="A180" s="44">
        <v>194</v>
      </c>
      <c r="B180" s="37" t="s">
        <v>1414</v>
      </c>
      <c r="C180" s="118">
        <v>45747</v>
      </c>
      <c r="D180" s="46" t="s">
        <v>113</v>
      </c>
      <c r="E180" s="47" t="str">
        <f>+_xlfn.XLOOKUP(PROYECTOS[[#This Row],[MUNICIPIO]],MUNICIPIOS!A:A,MUNICIPIOS!E:E,0,0,1)</f>
        <v>Oriente</v>
      </c>
      <c r="F180" s="44">
        <f>+_xlfn.XLOOKUP(PROYECTOS[[#This Row],[MUNICIPIO]],MUNICIPIOS!A:A,MUNICIPIOS!F:F,0,0,1)</f>
        <v>-75.101562000000001</v>
      </c>
      <c r="G180" s="44" t="str">
        <f>+_xlfn.XLOOKUP(PROYECTOS[[#This Row],[MUNICIPIO]],MUNICIPIOS!A:A,MUNICIPIOS!G:G,0,0,1)</f>
        <v>5,963476</v>
      </c>
      <c r="H180" s="44">
        <f>+_xlfn.XLOOKUP(PROYECTOS[[#This Row],[MUNICIPIO]],MUNICIPIOS!A:A,MUNICIPIOS!B:B,0,0,1)</f>
        <v>0</v>
      </c>
      <c r="I180" s="44">
        <f>+_xlfn.XLOOKUP(PROYECTOS[[#This Row],[MUNICIPIO]],MUNICIPIOS!A:A,MUNICIPIOS!C:C,0,0,1)</f>
        <v>1</v>
      </c>
      <c r="J180" s="3" t="str" cm="1">
        <f t="array" ref="J180">_xlfn.TEXTJOIN(" ", TRUE, IF(radicados[ID PROYECTOS]=A180, radicados[RADICADO], ""))</f>
        <v/>
      </c>
      <c r="K180" s="45">
        <v>3</v>
      </c>
      <c r="L180" s="48">
        <v>2451241672</v>
      </c>
      <c r="M180" s="34" t="s">
        <v>288</v>
      </c>
      <c r="N180" s="40" t="s">
        <v>398</v>
      </c>
      <c r="O180" s="34" t="s">
        <v>25</v>
      </c>
      <c r="P180" s="37"/>
      <c r="Q180" s="45"/>
      <c r="R180" s="43"/>
      <c r="S180" s="43"/>
      <c r="T180" s="44">
        <f>+_xlfn.XLOOKUP(PROYECTOS[[#This Row],[MUNICIPIO]],'4.CAP_ENDMNT'!B:B,'4.CAP_ENDMNT'!C:C,0,0,1)</f>
        <v>6</v>
      </c>
      <c r="U180" s="139">
        <f>+_xlfn.XLOOKUP(PROYECTOS[[#This Row],[MUNICIPIO]],'4.CAP_ENDMNT'!B:B,'4.CAP_ENDMNT'!D:D,0,0,1)</f>
        <v>7763487077.335</v>
      </c>
      <c r="V180" s="140">
        <f>+_xlfn.XLOOKUP(PROYECTOS[[#This Row],[MUNICIPIO]],'4.CAP_ENDMNT'!B:B,'4.CAP_ENDMNT'!E:E,0,0,1)</f>
        <v>2329929022.3600001</v>
      </c>
      <c r="W180" s="140">
        <f>+_xlfn.XLOOKUP(PROYECTOS[[#This Row],[MUNICIPIO]],'4.CAP_ENDMNT'!B:B,'4.CAP_ENDMNT'!F:F,0,0,1)</f>
        <v>5433558054.9750004</v>
      </c>
      <c r="X180" s="140">
        <f>+_xlfn.XLOOKUP(PROYECTOS[[#This Row],[MUNICIPIO]],'4.CAP_ENDMNT'!B:B,'4.CAP_ENDMNT'!G:G,0,0,1)</f>
        <v>1217107364.4400001</v>
      </c>
      <c r="Y180" s="140">
        <f>+_xlfn.XLOOKUP(PROYECTOS[[#This Row],[MUNICIPIO]],'4.CAP_ENDMNT'!B:B,'4.CAP_ENDMNT'!H:H,0,0,1)</f>
        <v>0</v>
      </c>
      <c r="Z180" s="140">
        <f>+_xlfn.XLOOKUP(PROYECTOS[[#This Row],[MUNICIPIO]],'4.CAP_ENDMNT'!B:B,'4.CAP_ENDMNT'!I:I,0,0,1)</f>
        <v>1217107364.4400001</v>
      </c>
      <c r="AA180" s="134">
        <f>+_xlfn.XLOOKUP(PROYECTOS[[#This Row],[MUNICIPIO]],'4.CAP_ENDMNT'!B:B,'4.CAP_ENDMNT'!J:J,0,0,1)</f>
        <v>0.15677328400446064</v>
      </c>
      <c r="AB180" s="140">
        <f>+_xlfn.XLOOKUP(PROYECTOS[[#This Row],[MUNICIPIO]],'4.CAP_ENDMNT'!B:B,'4.CAP_ENDMNT'!K:K,0,0,1)</f>
        <v>6546379712.8950005</v>
      </c>
      <c r="AC180" s="140">
        <f>+_xlfn.XLOOKUP(PROYECTOS[[#This Row],[MUNICIPIO]],'4.CAP_ENDMNT'!B:B,'4.CAP_ENDMNT'!L:L,0,0,1)</f>
        <v>5237103770.3160009</v>
      </c>
      <c r="AD180" s="140">
        <f>+_xlfn.XLOOKUP(PROYECTOS[[#This Row],[MUNICIPIO]],'4.CAP_ENDMNT'!B:B,'4.CAP_ENDMNT'!M:M,0,0,1)</f>
        <v>3927827827.737</v>
      </c>
      <c r="AE180" s="134">
        <f>+_xlfn.XLOOKUP(PROYECTOS[[#This Row],[MUNICIPIO]],'4.CAP_ENDMNT'!B:B,'4.CAP_ENDMNT'!N:N,0,0,1)</f>
        <v>1</v>
      </c>
      <c r="AF180" s="134">
        <f>+_xlfn.XLOOKUP(PROYECTOS[[#This Row],[MUNICIPIO]],'4.CAP_ENDMNT'!B:B,'4.CAP_ENDMNT'!O:O,0,0,1)</f>
        <v>0.68141761997590633</v>
      </c>
      <c r="AG180" s="134">
        <f>+_xlfn.XLOOKUP(PROYECTOS[[#This Row],[MUNICIPIO]],'4.CAP_ENDMNT'!B:B,'4.CAP_ENDMNT'!P:P,0,0,1)</f>
        <v>0.8</v>
      </c>
      <c r="AH180" s="44" t="str">
        <f>+_xlfn.XLOOKUP(PROYECTOS[[#This Row],[MUNICIPIO]],'4.CAP_ENDMNT'!B:B,'4.CAP_ENDMNT'!Q:Q,0,0,1)</f>
        <v>Cumple</v>
      </c>
      <c r="AI180" s="139">
        <f>+_xlfn.XLOOKUP(PROYECTOS[[#This Row],[MUNICIPIO]],'4.CAP_ENDMNT'!B:B,'4.CAP_ENDMNT'!V:V,0,0,1)</f>
        <v>785565565.5474</v>
      </c>
      <c r="AJ180" s="139">
        <f>+_xlfn.XLOOKUP(PROYECTOS[[#This Row],[MUNICIPIO]],'4.CAP_ENDMNT'!B:B,'4.CAP_ENDMNT'!Y:Y,0,0,1)</f>
        <v>-10352204929.605598</v>
      </c>
      <c r="AK180"/>
      <c r="AL180"/>
      <c r="AM180"/>
    </row>
    <row r="181" spans="1:39">
      <c r="A181" s="44">
        <v>195</v>
      </c>
      <c r="B181" s="37" t="s">
        <v>460</v>
      </c>
      <c r="C181" s="118">
        <v>45747</v>
      </c>
      <c r="D181" s="46" t="s">
        <v>67</v>
      </c>
      <c r="E181" s="47" t="str">
        <f>+_xlfn.XLOOKUP(PROYECTOS[[#This Row],[MUNICIPIO]],MUNICIPIOS!A:A,MUNICIPIOS!E:E,0,0,1)</f>
        <v>Nordeste</v>
      </c>
      <c r="F181" s="44">
        <f>+_xlfn.XLOOKUP(PROYECTOS[[#This Row],[MUNICIPIO]],MUNICIPIOS!A:A,MUNICIPIOS!F:F,0,0,1)</f>
        <v>-75.013385</v>
      </c>
      <c r="G181" s="44">
        <f>+_xlfn.XLOOKUP(PROYECTOS[[#This Row],[MUNICIPIO]],MUNICIPIOS!A:A,MUNICIPIOS!G:G,0,0,1)</f>
        <v>6.5945109999999998</v>
      </c>
      <c r="H181" s="44">
        <f>+_xlfn.XLOOKUP(PROYECTOS[[#This Row],[MUNICIPIO]],MUNICIPIOS!A:A,MUNICIPIOS!B:B,0,0,1)</f>
        <v>0</v>
      </c>
      <c r="I181" s="44">
        <f>+_xlfn.XLOOKUP(PROYECTOS[[#This Row],[MUNICIPIO]],MUNICIPIOS!A:A,MUNICIPIOS!C:C,0,0,1)</f>
        <v>1</v>
      </c>
      <c r="J181" s="3" t="str" cm="1">
        <f t="array" ref="J181">_xlfn.TEXTJOIN(" ", TRUE, IF(radicados[ID PROYECTOS]=A181, radicados[RADICADO], ""))</f>
        <v/>
      </c>
      <c r="K181" s="45">
        <v>3</v>
      </c>
      <c r="L181" s="48">
        <v>6562907695</v>
      </c>
      <c r="M181" s="34" t="s">
        <v>288</v>
      </c>
      <c r="N181" s="40" t="s">
        <v>398</v>
      </c>
      <c r="O181" s="34" t="s">
        <v>25</v>
      </c>
      <c r="P181" s="37"/>
      <c r="Q181" s="45">
        <v>1</v>
      </c>
      <c r="R181" s="43" t="s">
        <v>922</v>
      </c>
      <c r="S181" s="43" t="s">
        <v>1639</v>
      </c>
      <c r="T181" s="44">
        <f>+_xlfn.XLOOKUP(PROYECTOS[[#This Row],[MUNICIPIO]],'4.CAP_ENDMNT'!B:B,'4.CAP_ENDMNT'!C:C,0,0,1)</f>
        <v>6</v>
      </c>
      <c r="U181" s="139">
        <f>+_xlfn.XLOOKUP(PROYECTOS[[#This Row],[MUNICIPIO]],'4.CAP_ENDMNT'!B:B,'4.CAP_ENDMNT'!D:D,0,0,1)</f>
        <v>18632663202.9925</v>
      </c>
      <c r="V181" s="140">
        <f>+_xlfn.XLOOKUP(PROYECTOS[[#This Row],[MUNICIPIO]],'4.CAP_ENDMNT'!B:B,'4.CAP_ENDMNT'!E:E,0,0,1)</f>
        <v>4332293517.3299999</v>
      </c>
      <c r="W181" s="140">
        <f>+_xlfn.XLOOKUP(PROYECTOS[[#This Row],[MUNICIPIO]],'4.CAP_ENDMNT'!B:B,'4.CAP_ENDMNT'!F:F,0,0,1)</f>
        <v>14300369685.6625</v>
      </c>
      <c r="X181" s="140">
        <f>+_xlfn.XLOOKUP(PROYECTOS[[#This Row],[MUNICIPIO]],'4.CAP_ENDMNT'!B:B,'4.CAP_ENDMNT'!G:G,0,0,1)</f>
        <v>3970281006</v>
      </c>
      <c r="Y181" s="140">
        <f>+_xlfn.XLOOKUP(PROYECTOS[[#This Row],[MUNICIPIO]],'4.CAP_ENDMNT'!B:B,'4.CAP_ENDMNT'!H:H,0,0,1)</f>
        <v>1500000000</v>
      </c>
      <c r="Z181" s="140">
        <f>+_xlfn.XLOOKUP(PROYECTOS[[#This Row],[MUNICIPIO]],'4.CAP_ENDMNT'!B:B,'4.CAP_ENDMNT'!I:I,0,0,1)</f>
        <v>5470281006</v>
      </c>
      <c r="AA181" s="134">
        <f>+_xlfn.XLOOKUP(PROYECTOS[[#This Row],[MUNICIPIO]],'4.CAP_ENDMNT'!B:B,'4.CAP_ENDMNT'!J:J,0,0,1)</f>
        <v>0.29358556779588252</v>
      </c>
      <c r="AB181" s="140">
        <f>+_xlfn.XLOOKUP(PROYECTOS[[#This Row],[MUNICIPIO]],'4.CAP_ENDMNT'!B:B,'4.CAP_ENDMNT'!K:K,0,0,1)</f>
        <v>13162382196.9925</v>
      </c>
      <c r="AC181" s="140">
        <f>+_xlfn.XLOOKUP(PROYECTOS[[#This Row],[MUNICIPIO]],'4.CAP_ENDMNT'!B:B,'4.CAP_ENDMNT'!L:L,0,0,1)</f>
        <v>10529905757.594002</v>
      </c>
      <c r="AD181" s="140">
        <f>+_xlfn.XLOOKUP(PROYECTOS[[#This Row],[MUNICIPIO]],'4.CAP_ENDMNT'!B:B,'4.CAP_ENDMNT'!M:M,0,0,1)</f>
        <v>7897429318.1954994</v>
      </c>
      <c r="AE181" s="134">
        <f>+_xlfn.XLOOKUP(PROYECTOS[[#This Row],[MUNICIPIO]],'4.CAP_ENDMNT'!B:B,'4.CAP_ENDMNT'!N:N,0,0,1)</f>
        <v>0.72579105198531002</v>
      </c>
      <c r="AF181" s="134">
        <f>+_xlfn.XLOOKUP(PROYECTOS[[#This Row],[MUNICIPIO]],'4.CAP_ENDMNT'!B:B,'4.CAP_ENDMNT'!O:O,0,0,1)</f>
        <v>0.44683077557401057</v>
      </c>
      <c r="AG181" s="134">
        <f>+_xlfn.XLOOKUP(PROYECTOS[[#This Row],[MUNICIPIO]],'4.CAP_ENDMNT'!B:B,'4.CAP_ENDMNT'!P:P,0,0,1)</f>
        <v>0.8</v>
      </c>
      <c r="AH181" s="44" t="str">
        <f>+_xlfn.XLOOKUP(PROYECTOS[[#This Row],[MUNICIPIO]],'4.CAP_ENDMNT'!B:B,'4.CAP_ENDMNT'!Q:Q,0,0,1)</f>
        <v>Cumple</v>
      </c>
      <c r="AI181" s="139">
        <f>+_xlfn.XLOOKUP(PROYECTOS[[#This Row],[MUNICIPIO]],'4.CAP_ENDMNT'!B:B,'4.CAP_ENDMNT'!V:V,0,0,1)</f>
        <v>1579485863.6391001</v>
      </c>
      <c r="AJ181" s="139">
        <f>+_xlfn.XLOOKUP(PROYECTOS[[#This Row],[MUNICIPIO]],'4.CAP_ENDMNT'!B:B,'4.CAP_ENDMNT'!Y:Y,0,0,1)</f>
        <v>2111158837.8345985</v>
      </c>
      <c r="AK181"/>
      <c r="AL181"/>
      <c r="AM181"/>
    </row>
    <row r="182" spans="1:39">
      <c r="A182" s="44">
        <v>196</v>
      </c>
      <c r="B182" s="37" t="s">
        <v>1415</v>
      </c>
      <c r="C182" s="118">
        <v>45747</v>
      </c>
      <c r="D182" s="46" t="s">
        <v>329</v>
      </c>
      <c r="E182" s="47" t="str">
        <f>+_xlfn.XLOOKUP(PROYECTOS[[#This Row],[MUNICIPIO]],MUNICIPIOS!A:A,MUNICIPIOS!E:E,0,0,1)</f>
        <v>Bajo Cauca</v>
      </c>
      <c r="F182" s="44">
        <f>+_xlfn.XLOOKUP(PROYECTOS[[#This Row],[MUNICIPIO]],MUNICIPIOS!A:A,MUNICIPIOS!F:F,0,0,1)</f>
        <v>-74.776470000000003</v>
      </c>
      <c r="G182" s="44" t="str">
        <f>+_xlfn.XLOOKUP(PROYECTOS[[#This Row],[MUNICIPIO]],MUNICIPIOS!A:A,MUNICIPIOS!G:G,0,0,1)</f>
        <v>8,094129</v>
      </c>
      <c r="H182" s="44">
        <f>+_xlfn.XLOOKUP(PROYECTOS[[#This Row],[MUNICIPIO]],MUNICIPIOS!A:A,MUNICIPIOS!B:B,0,0,1)</f>
        <v>1</v>
      </c>
      <c r="I182" s="44">
        <f>+_xlfn.XLOOKUP(PROYECTOS[[#This Row],[MUNICIPIO]],MUNICIPIOS!A:A,MUNICIPIOS!C:C,0,0,1)</f>
        <v>1</v>
      </c>
      <c r="J182" s="3" t="str" cm="1">
        <f t="array" ref="J182">_xlfn.TEXTJOIN(" ", TRUE, IF(radicados[ID PROYECTOS]=A182, radicados[RADICADO], ""))</f>
        <v/>
      </c>
      <c r="K182" s="45">
        <v>3</v>
      </c>
      <c r="L182" s="217">
        <v>3336095639</v>
      </c>
      <c r="M182" s="34" t="s">
        <v>288</v>
      </c>
      <c r="N182" s="40" t="s">
        <v>398</v>
      </c>
      <c r="O182" s="34" t="s">
        <v>25</v>
      </c>
      <c r="P182" s="37" t="s">
        <v>462</v>
      </c>
      <c r="Q182" s="45"/>
      <c r="R182" s="43"/>
      <c r="S182" s="43"/>
      <c r="T182" s="44">
        <f>+_xlfn.XLOOKUP(PROYECTOS[[#This Row],[MUNICIPIO]],'4.CAP_ENDMNT'!B:B,'4.CAP_ENDMNT'!C:C,0,0,1)</f>
        <v>6</v>
      </c>
      <c r="U182" s="139">
        <f>+_xlfn.XLOOKUP(PROYECTOS[[#This Row],[MUNICIPIO]],'4.CAP_ENDMNT'!B:B,'4.CAP_ENDMNT'!D:D,0,0,1)</f>
        <v>17207529181.433002</v>
      </c>
      <c r="V182" s="140">
        <f>+_xlfn.XLOOKUP(PROYECTOS[[#This Row],[MUNICIPIO]],'4.CAP_ENDMNT'!B:B,'4.CAP_ENDMNT'!E:E,0,0,1)</f>
        <v>3556882387.1300001</v>
      </c>
      <c r="W182" s="140">
        <f>+_xlfn.XLOOKUP(PROYECTOS[[#This Row],[MUNICIPIO]],'4.CAP_ENDMNT'!B:B,'4.CAP_ENDMNT'!F:F,0,0,1)</f>
        <v>13650646794.303001</v>
      </c>
      <c r="X182" s="140">
        <f>+_xlfn.XLOOKUP(PROYECTOS[[#This Row],[MUNICIPIO]],'4.CAP_ENDMNT'!B:B,'4.CAP_ENDMNT'!G:G,0,0,1)</f>
        <v>2981910160</v>
      </c>
      <c r="Y182" s="140">
        <f>+_xlfn.XLOOKUP(PROYECTOS[[#This Row],[MUNICIPIO]],'4.CAP_ENDMNT'!B:B,'4.CAP_ENDMNT'!H:H,0,0,1)</f>
        <v>5898924731</v>
      </c>
      <c r="Z182" s="140">
        <f>+_xlfn.XLOOKUP(PROYECTOS[[#This Row],[MUNICIPIO]],'4.CAP_ENDMNT'!B:B,'4.CAP_ENDMNT'!I:I,0,0,1)</f>
        <v>8880834891</v>
      </c>
      <c r="AA182" s="134">
        <f>+_xlfn.XLOOKUP(PROYECTOS[[#This Row],[MUNICIPIO]],'4.CAP_ENDMNT'!B:B,'4.CAP_ENDMNT'!J:J,0,0,1)</f>
        <v>0.51610168998478057</v>
      </c>
      <c r="AB182" s="140">
        <f>+_xlfn.XLOOKUP(PROYECTOS[[#This Row],[MUNICIPIO]],'4.CAP_ENDMNT'!B:B,'4.CAP_ENDMNT'!K:K,0,0,1)</f>
        <v>8326694290.4330025</v>
      </c>
      <c r="AC182" s="140">
        <f>+_xlfn.XLOOKUP(PROYECTOS[[#This Row],[MUNICIPIO]],'4.CAP_ENDMNT'!B:B,'4.CAP_ENDMNT'!L:L,0,0,1)</f>
        <v>6661355432.3464022</v>
      </c>
      <c r="AD182" s="140">
        <f>+_xlfn.XLOOKUP(PROYECTOS[[#This Row],[MUNICIPIO]],'4.CAP_ENDMNT'!B:B,'4.CAP_ENDMNT'!M:M,0,0,1)</f>
        <v>4996016574.2598009</v>
      </c>
      <c r="AE182" s="134">
        <f>+_xlfn.XLOOKUP(PROYECTOS[[#This Row],[MUNICIPIO]],'4.CAP_ENDMNT'!B:B,'4.CAP_ENDMNT'!N:N,0,0,1)</f>
        <v>0.3357691249301259</v>
      </c>
      <c r="AF182" s="134">
        <f>+_xlfn.XLOOKUP(PROYECTOS[[#This Row],[MUNICIPIO]],'4.CAP_ENDMNT'!B:B,'4.CAP_ENDMNT'!O:O,0,0,1)</f>
        <v>0.46603493316730282</v>
      </c>
      <c r="AG182" s="134">
        <f>+_xlfn.XLOOKUP(PROYECTOS[[#This Row],[MUNICIPIO]],'4.CAP_ENDMNT'!B:B,'4.CAP_ENDMNT'!P:P,0,0,1)</f>
        <v>0.8</v>
      </c>
      <c r="AH182" s="44" t="str">
        <f>+_xlfn.XLOOKUP(PROYECTOS[[#This Row],[MUNICIPIO]],'4.CAP_ENDMNT'!B:B,'4.CAP_ENDMNT'!Q:Q,0,0,1)</f>
        <v>Cumple</v>
      </c>
      <c r="AI182" s="139">
        <f>+_xlfn.XLOOKUP(PROYECTOS[[#This Row],[MUNICIPIO]],'4.CAP_ENDMNT'!B:B,'4.CAP_ENDMNT'!V:V,0,0,1)</f>
        <v>999203314.85196018</v>
      </c>
      <c r="AJ182" s="139">
        <f>+_xlfn.XLOOKUP(PROYECTOS[[#This Row],[MUNICIPIO]],'4.CAP_ENDMNT'!B:B,'4.CAP_ENDMNT'!Y:Y,0,0,1)</f>
        <v>-4219206551.8882389</v>
      </c>
      <c r="AK182"/>
      <c r="AL182"/>
      <c r="AM182"/>
    </row>
    <row r="183" spans="1:39">
      <c r="A183" s="44">
        <v>197</v>
      </c>
      <c r="B183" s="37" t="s">
        <v>1416</v>
      </c>
      <c r="C183" s="118">
        <v>45747</v>
      </c>
      <c r="D183" s="46" t="s">
        <v>329</v>
      </c>
      <c r="E183" s="47" t="str">
        <f>+_xlfn.XLOOKUP(PROYECTOS[[#This Row],[MUNICIPIO]],MUNICIPIOS!A:A,MUNICIPIOS!E:E,0,0,1)</f>
        <v>Bajo Cauca</v>
      </c>
      <c r="F183" s="44">
        <f>+_xlfn.XLOOKUP(PROYECTOS[[#This Row],[MUNICIPIO]],MUNICIPIOS!A:A,MUNICIPIOS!F:F,0,0,1)</f>
        <v>-74.776470000000003</v>
      </c>
      <c r="G183" s="44" t="str">
        <f>+_xlfn.XLOOKUP(PROYECTOS[[#This Row],[MUNICIPIO]],MUNICIPIOS!A:A,MUNICIPIOS!G:G,0,0,1)</f>
        <v>8,094129</v>
      </c>
      <c r="H183" s="44">
        <f>+_xlfn.XLOOKUP(PROYECTOS[[#This Row],[MUNICIPIO]],MUNICIPIOS!A:A,MUNICIPIOS!B:B,0,0,1)</f>
        <v>1</v>
      </c>
      <c r="I183" s="44">
        <f>+_xlfn.XLOOKUP(PROYECTOS[[#This Row],[MUNICIPIO]],MUNICIPIOS!A:A,MUNICIPIOS!C:C,0,0,1)</f>
        <v>1</v>
      </c>
      <c r="J183" s="3" t="str" cm="1">
        <f t="array" ref="J183">_xlfn.TEXTJOIN(" ", TRUE, IF(radicados[ID PROYECTOS]=A183, radicados[RADICADO], ""))</f>
        <v/>
      </c>
      <c r="K183" s="45">
        <v>3</v>
      </c>
      <c r="L183" s="48">
        <v>3723342463</v>
      </c>
      <c r="M183" s="34" t="s">
        <v>288</v>
      </c>
      <c r="N183" s="40" t="s">
        <v>398</v>
      </c>
      <c r="O183" s="34" t="s">
        <v>25</v>
      </c>
      <c r="P183" s="37" t="s">
        <v>462</v>
      </c>
      <c r="Q183" s="45"/>
      <c r="R183" s="43"/>
      <c r="S183" s="43"/>
      <c r="T183" s="44">
        <f>+_xlfn.XLOOKUP(PROYECTOS[[#This Row],[MUNICIPIO]],'4.CAP_ENDMNT'!B:B,'4.CAP_ENDMNT'!C:C,0,0,1)</f>
        <v>6</v>
      </c>
      <c r="U183" s="139">
        <f>+_xlfn.XLOOKUP(PROYECTOS[[#This Row],[MUNICIPIO]],'4.CAP_ENDMNT'!B:B,'4.CAP_ENDMNT'!D:D,0,0,1)</f>
        <v>17207529181.433002</v>
      </c>
      <c r="V183" s="140">
        <f>+_xlfn.XLOOKUP(PROYECTOS[[#This Row],[MUNICIPIO]],'4.CAP_ENDMNT'!B:B,'4.CAP_ENDMNT'!E:E,0,0,1)</f>
        <v>3556882387.1300001</v>
      </c>
      <c r="W183" s="140">
        <f>+_xlfn.XLOOKUP(PROYECTOS[[#This Row],[MUNICIPIO]],'4.CAP_ENDMNT'!B:B,'4.CAP_ENDMNT'!F:F,0,0,1)</f>
        <v>13650646794.303001</v>
      </c>
      <c r="X183" s="140">
        <f>+_xlfn.XLOOKUP(PROYECTOS[[#This Row],[MUNICIPIO]],'4.CAP_ENDMNT'!B:B,'4.CAP_ENDMNT'!G:G,0,0,1)</f>
        <v>2981910160</v>
      </c>
      <c r="Y183" s="140">
        <f>+_xlfn.XLOOKUP(PROYECTOS[[#This Row],[MUNICIPIO]],'4.CAP_ENDMNT'!B:B,'4.CAP_ENDMNT'!H:H,0,0,1)</f>
        <v>5898924731</v>
      </c>
      <c r="Z183" s="140">
        <f>+_xlfn.XLOOKUP(PROYECTOS[[#This Row],[MUNICIPIO]],'4.CAP_ENDMNT'!B:B,'4.CAP_ENDMNT'!I:I,0,0,1)</f>
        <v>8880834891</v>
      </c>
      <c r="AA183" s="134">
        <f>+_xlfn.XLOOKUP(PROYECTOS[[#This Row],[MUNICIPIO]],'4.CAP_ENDMNT'!B:B,'4.CAP_ENDMNT'!J:J,0,0,1)</f>
        <v>0.51610168998478057</v>
      </c>
      <c r="AB183" s="140">
        <f>+_xlfn.XLOOKUP(PROYECTOS[[#This Row],[MUNICIPIO]],'4.CAP_ENDMNT'!B:B,'4.CAP_ENDMNT'!K:K,0,0,1)</f>
        <v>8326694290.4330025</v>
      </c>
      <c r="AC183" s="140">
        <f>+_xlfn.XLOOKUP(PROYECTOS[[#This Row],[MUNICIPIO]],'4.CAP_ENDMNT'!B:B,'4.CAP_ENDMNT'!L:L,0,0,1)</f>
        <v>6661355432.3464022</v>
      </c>
      <c r="AD183" s="140">
        <f>+_xlfn.XLOOKUP(PROYECTOS[[#This Row],[MUNICIPIO]],'4.CAP_ENDMNT'!B:B,'4.CAP_ENDMNT'!M:M,0,0,1)</f>
        <v>4996016574.2598009</v>
      </c>
      <c r="AE183" s="134">
        <f>+_xlfn.XLOOKUP(PROYECTOS[[#This Row],[MUNICIPIO]],'4.CAP_ENDMNT'!B:B,'4.CAP_ENDMNT'!N:N,0,0,1)</f>
        <v>0.3357691249301259</v>
      </c>
      <c r="AF183" s="134">
        <f>+_xlfn.XLOOKUP(PROYECTOS[[#This Row],[MUNICIPIO]],'4.CAP_ENDMNT'!B:B,'4.CAP_ENDMNT'!O:O,0,0,1)</f>
        <v>0.46603493316730282</v>
      </c>
      <c r="AG183" s="134">
        <f>+_xlfn.XLOOKUP(PROYECTOS[[#This Row],[MUNICIPIO]],'4.CAP_ENDMNT'!B:B,'4.CAP_ENDMNT'!P:P,0,0,1)</f>
        <v>0.8</v>
      </c>
      <c r="AH183" s="44" t="str">
        <f>+_xlfn.XLOOKUP(PROYECTOS[[#This Row],[MUNICIPIO]],'4.CAP_ENDMNT'!B:B,'4.CAP_ENDMNT'!Q:Q,0,0,1)</f>
        <v>Cumple</v>
      </c>
      <c r="AI183" s="139">
        <f>+_xlfn.XLOOKUP(PROYECTOS[[#This Row],[MUNICIPIO]],'4.CAP_ENDMNT'!B:B,'4.CAP_ENDMNT'!V:V,0,0,1)</f>
        <v>999203314.85196018</v>
      </c>
      <c r="AJ183" s="139">
        <f>+_xlfn.XLOOKUP(PROYECTOS[[#This Row],[MUNICIPIO]],'4.CAP_ENDMNT'!B:B,'4.CAP_ENDMNT'!Y:Y,0,0,1)</f>
        <v>-4219206551.8882389</v>
      </c>
      <c r="AK183"/>
      <c r="AL183"/>
      <c r="AM183"/>
    </row>
    <row r="184" spans="1:39">
      <c r="A184" s="44">
        <v>198</v>
      </c>
      <c r="B184" s="37" t="s">
        <v>464</v>
      </c>
      <c r="C184" s="118">
        <v>45747</v>
      </c>
      <c r="D184" s="46" t="s">
        <v>465</v>
      </c>
      <c r="E184" s="47" t="str">
        <f>+_xlfn.XLOOKUP(PROYECTOS[[#This Row],[MUNICIPIO]],MUNICIPIOS!A:A,MUNICIPIOS!E:E,0,0,1)</f>
        <v>Suroeste</v>
      </c>
      <c r="F184" s="44">
        <f>+_xlfn.XLOOKUP(PROYECTOS[[#This Row],[MUNICIPIO]],MUNICIPIOS!A:A,MUNICIPIOS!F:F,0,0,1)</f>
        <v>-75.711388999999997</v>
      </c>
      <c r="G184" s="44" t="str">
        <f>+_xlfn.XLOOKUP(PROYECTOS[[#This Row],[MUNICIPIO]],MUNICIPIOS!A:A,MUNICIPIOS!G:G,0,0,1)</f>
        <v>6,109719</v>
      </c>
      <c r="H184" s="44">
        <f>+_xlfn.XLOOKUP(PROYECTOS[[#This Row],[MUNICIPIO]],MUNICIPIOS!A:A,MUNICIPIOS!B:B,0,0,1)</f>
        <v>0</v>
      </c>
      <c r="I184" s="44">
        <f>+_xlfn.XLOOKUP(PROYECTOS[[#This Row],[MUNICIPIO]],MUNICIPIOS!A:A,MUNICIPIOS!C:C,0,0,1)</f>
        <v>0</v>
      </c>
      <c r="J184" s="3" t="str" cm="1">
        <f t="array" ref="J184">_xlfn.TEXTJOIN(" ", TRUE, IF(radicados[ID PROYECTOS]=A184, radicados[RADICADO], ""))</f>
        <v/>
      </c>
      <c r="K184" s="45">
        <v>3</v>
      </c>
      <c r="L184" s="48">
        <v>5358281136</v>
      </c>
      <c r="M184" s="34" t="s">
        <v>288</v>
      </c>
      <c r="N184" s="40" t="s">
        <v>398</v>
      </c>
      <c r="O184" s="34" t="s">
        <v>25</v>
      </c>
      <c r="P184" s="37"/>
      <c r="Q184" s="45"/>
      <c r="R184" s="43"/>
      <c r="S184" s="43"/>
      <c r="T184" s="44">
        <f>+_xlfn.XLOOKUP(PROYECTOS[[#This Row],[MUNICIPIO]],'4.CAP_ENDMNT'!B:B,'4.CAP_ENDMNT'!C:C,0,0,1)</f>
        <v>5</v>
      </c>
      <c r="U184" s="139">
        <f>+_xlfn.XLOOKUP(PROYECTOS[[#This Row],[MUNICIPIO]],'4.CAP_ENDMNT'!B:B,'4.CAP_ENDMNT'!D:D,0,0,1)</f>
        <v>7630980393.4579992</v>
      </c>
      <c r="V184" s="140">
        <f>+_xlfn.XLOOKUP(PROYECTOS[[#This Row],[MUNICIPIO]],'4.CAP_ENDMNT'!B:B,'4.CAP_ENDMNT'!E:E,0,0,1)</f>
        <v>2836641555.8400002</v>
      </c>
      <c r="W184" s="140">
        <f>+_xlfn.XLOOKUP(PROYECTOS[[#This Row],[MUNICIPIO]],'4.CAP_ENDMNT'!B:B,'4.CAP_ENDMNT'!F:F,0,0,1)</f>
        <v>4794338837.6179991</v>
      </c>
      <c r="X184" s="140">
        <f>+_xlfn.XLOOKUP(PROYECTOS[[#This Row],[MUNICIPIO]],'4.CAP_ENDMNT'!B:B,'4.CAP_ENDMNT'!G:G,0,0,1)</f>
        <v>46770446.019999996</v>
      </c>
      <c r="Y184" s="140">
        <f>+_xlfn.XLOOKUP(PROYECTOS[[#This Row],[MUNICIPIO]],'4.CAP_ENDMNT'!B:B,'4.CAP_ENDMNT'!H:H,0,0,1)</f>
        <v>1700000000</v>
      </c>
      <c r="Z184" s="140">
        <f>+_xlfn.XLOOKUP(PROYECTOS[[#This Row],[MUNICIPIO]],'4.CAP_ENDMNT'!B:B,'4.CAP_ENDMNT'!I:I,0,0,1)</f>
        <v>1746770446.02</v>
      </c>
      <c r="AA184" s="134">
        <f>+_xlfn.XLOOKUP(PROYECTOS[[#This Row],[MUNICIPIO]],'4.CAP_ENDMNT'!B:B,'4.CAP_ENDMNT'!J:J,0,0,1)</f>
        <v>0.22890511519561726</v>
      </c>
      <c r="AB184" s="140">
        <f>+_xlfn.XLOOKUP(PROYECTOS[[#This Row],[MUNICIPIO]],'4.CAP_ENDMNT'!B:B,'4.CAP_ENDMNT'!K:K,0,0,1)</f>
        <v>5884209947.4379997</v>
      </c>
      <c r="AC184" s="140">
        <f>+_xlfn.XLOOKUP(PROYECTOS[[#This Row],[MUNICIPIO]],'4.CAP_ENDMNT'!B:B,'4.CAP_ENDMNT'!L:L,0,0,1)</f>
        <v>4707367957.9504004</v>
      </c>
      <c r="AD184" s="140">
        <f>+_xlfn.XLOOKUP(PROYECTOS[[#This Row],[MUNICIPIO]],'4.CAP_ENDMNT'!B:B,'4.CAP_ENDMNT'!M:M,0,0,1)</f>
        <v>3530525968.4627995</v>
      </c>
      <c r="AE184" s="134">
        <f>+_xlfn.XLOOKUP(PROYECTOS[[#This Row],[MUNICIPIO]],'4.CAP_ENDMNT'!B:B,'4.CAP_ENDMNT'!N:N,0,0,1)</f>
        <v>2.6775382035210189E-2</v>
      </c>
      <c r="AF184" s="134">
        <f>+_xlfn.XLOOKUP(PROYECTOS[[#This Row],[MUNICIPIO]],'4.CAP_ENDMNT'!B:B,'4.CAP_ENDMNT'!O:O,0,0,1)</f>
        <v>0.7580768893854527</v>
      </c>
      <c r="AG184" s="134">
        <f>+_xlfn.XLOOKUP(PROYECTOS[[#This Row],[MUNICIPIO]],'4.CAP_ENDMNT'!B:B,'4.CAP_ENDMNT'!P:P,0,0,1)</f>
        <v>0.8</v>
      </c>
      <c r="AH184" s="44" t="str">
        <f>+_xlfn.XLOOKUP(PROYECTOS[[#This Row],[MUNICIPIO]],'4.CAP_ENDMNT'!B:B,'4.CAP_ENDMNT'!Q:Q,0,0,1)</f>
        <v>Riesgo</v>
      </c>
      <c r="AI184" s="139">
        <f>+_xlfn.XLOOKUP(PROYECTOS[[#This Row],[MUNICIPIO]],'4.CAP_ENDMNT'!B:B,'4.CAP_ENDMNT'!V:V,0,0,1)</f>
        <v>706105193.69255996</v>
      </c>
      <c r="AJ184" s="139">
        <f>+_xlfn.XLOOKUP(PROYECTOS[[#This Row],[MUNICIPIO]],'4.CAP_ENDMNT'!B:B,'4.CAP_ENDMNT'!Y:Y,0,0,1)</f>
        <v>-8074382003.8446407</v>
      </c>
      <c r="AK184"/>
      <c r="AL184"/>
      <c r="AM184"/>
    </row>
    <row r="185" spans="1:39">
      <c r="A185" s="44">
        <v>199</v>
      </c>
      <c r="B185" s="37" t="s">
        <v>1417</v>
      </c>
      <c r="C185" s="118">
        <v>45747</v>
      </c>
      <c r="D185" s="46" t="s">
        <v>232</v>
      </c>
      <c r="E185" s="47" t="str">
        <f>+_xlfn.XLOOKUP(PROYECTOS[[#This Row],[MUNICIPIO]],MUNICIPIOS!A:A,MUNICIPIOS!E:E,0,0,1)</f>
        <v>Suroeste</v>
      </c>
      <c r="F185" s="44">
        <f>+_xlfn.XLOOKUP(PROYECTOS[[#This Row],[MUNICIPIO]],MUNICIPIOS!A:A,MUNICIPIOS!F:F,0,0,1)</f>
        <v>-75.523454999999998</v>
      </c>
      <c r="G185" s="44" t="str">
        <f>+_xlfn.XLOOKUP(PROYECTOS[[#This Row],[MUNICIPIO]],MUNICIPIOS!A:A,MUNICIPIOS!G:G,0,0,1)</f>
        <v>5,946313</v>
      </c>
      <c r="H185" s="44">
        <f>+_xlfn.XLOOKUP(PROYECTOS[[#This Row],[MUNICIPIO]],MUNICIPIOS!A:A,MUNICIPIOS!B:B,0,0,1)</f>
        <v>0</v>
      </c>
      <c r="I185" s="44">
        <f>+_xlfn.XLOOKUP(PROYECTOS[[#This Row],[MUNICIPIO]],MUNICIPIOS!A:A,MUNICIPIOS!C:C,0,0,1)</f>
        <v>1</v>
      </c>
      <c r="J185" s="3" t="str" cm="1">
        <f t="array" ref="J185">_xlfn.TEXTJOIN(" ", TRUE, IF(radicados[ID PROYECTOS]=A185, radicados[RADICADO], ""))</f>
        <v/>
      </c>
      <c r="K185" s="45">
        <v>3</v>
      </c>
      <c r="L185" s="48"/>
      <c r="M185" s="34" t="s">
        <v>288</v>
      </c>
      <c r="N185" s="40" t="s">
        <v>398</v>
      </c>
      <c r="O185" s="34" t="s">
        <v>25</v>
      </c>
      <c r="P185" s="37" t="s">
        <v>1098</v>
      </c>
      <c r="Q185" s="45">
        <v>1</v>
      </c>
      <c r="R185" s="43" t="s">
        <v>922</v>
      </c>
      <c r="S185" s="43" t="s">
        <v>1639</v>
      </c>
      <c r="T185" s="44">
        <f>+_xlfn.XLOOKUP(PROYECTOS[[#This Row],[MUNICIPIO]],'4.CAP_ENDMNT'!B:B,'4.CAP_ENDMNT'!C:C,0,0,1)</f>
        <v>6</v>
      </c>
      <c r="U185" s="139">
        <f>+_xlfn.XLOOKUP(PROYECTOS[[#This Row],[MUNICIPIO]],'4.CAP_ENDMNT'!B:B,'4.CAP_ENDMNT'!D:D,0,0,1)</f>
        <v>6527267076.0299997</v>
      </c>
      <c r="V185" s="140">
        <f>+_xlfn.XLOOKUP(PROYECTOS[[#This Row],[MUNICIPIO]],'4.CAP_ENDMNT'!B:B,'4.CAP_ENDMNT'!E:E,0,0,1)</f>
        <v>2852468155.77</v>
      </c>
      <c r="W185" s="140">
        <f>+_xlfn.XLOOKUP(PROYECTOS[[#This Row],[MUNICIPIO]],'4.CAP_ENDMNT'!B:B,'4.CAP_ENDMNT'!F:F,0,0,1)</f>
        <v>3674798920.2599998</v>
      </c>
      <c r="X185" s="140">
        <f>+_xlfn.XLOOKUP(PROYECTOS[[#This Row],[MUNICIPIO]],'4.CAP_ENDMNT'!B:B,'4.CAP_ENDMNT'!G:G,0,0,1)</f>
        <v>1320825426</v>
      </c>
      <c r="Y185" s="140">
        <f>+_xlfn.XLOOKUP(PROYECTOS[[#This Row],[MUNICIPIO]],'4.CAP_ENDMNT'!B:B,'4.CAP_ENDMNT'!H:H,0,0,1)</f>
        <v>0</v>
      </c>
      <c r="Z185" s="140">
        <f>+_xlfn.XLOOKUP(PROYECTOS[[#This Row],[MUNICIPIO]],'4.CAP_ENDMNT'!B:B,'4.CAP_ENDMNT'!I:I,0,0,1)</f>
        <v>1320825426</v>
      </c>
      <c r="AA185" s="134">
        <f>+_xlfn.XLOOKUP(PROYECTOS[[#This Row],[MUNICIPIO]],'4.CAP_ENDMNT'!B:B,'4.CAP_ENDMNT'!J:J,0,0,1)</f>
        <v>0.2023550454753798</v>
      </c>
      <c r="AB185" s="140">
        <f>+_xlfn.XLOOKUP(PROYECTOS[[#This Row],[MUNICIPIO]],'4.CAP_ENDMNT'!B:B,'4.CAP_ENDMNT'!K:K,0,0,1)</f>
        <v>5206441650.0299997</v>
      </c>
      <c r="AC185" s="140">
        <f>+_xlfn.XLOOKUP(PROYECTOS[[#This Row],[MUNICIPIO]],'4.CAP_ENDMNT'!B:B,'4.CAP_ENDMNT'!L:L,0,0,1)</f>
        <v>4165153320.0240002</v>
      </c>
      <c r="AD185" s="140">
        <f>+_xlfn.XLOOKUP(PROYECTOS[[#This Row],[MUNICIPIO]],'4.CAP_ENDMNT'!B:B,'4.CAP_ENDMNT'!M:M,0,0,1)</f>
        <v>3123864990.0179996</v>
      </c>
      <c r="AE185" s="134">
        <f>+_xlfn.XLOOKUP(PROYECTOS[[#This Row],[MUNICIPIO]],'4.CAP_ENDMNT'!B:B,'4.CAP_ENDMNT'!N:N,0,0,1)</f>
        <v>1</v>
      </c>
      <c r="AF185" s="134">
        <f>+_xlfn.XLOOKUP(PROYECTOS[[#This Row],[MUNICIPIO]],'4.CAP_ENDMNT'!B:B,'4.CAP_ENDMNT'!O:O,0,0,1)</f>
        <v>0.63926485007667311</v>
      </c>
      <c r="AG185" s="134">
        <f>+_xlfn.XLOOKUP(PROYECTOS[[#This Row],[MUNICIPIO]],'4.CAP_ENDMNT'!B:B,'4.CAP_ENDMNT'!P:P,0,0,1)</f>
        <v>0.8</v>
      </c>
      <c r="AH185" s="44" t="str">
        <f>+_xlfn.XLOOKUP(PROYECTOS[[#This Row],[MUNICIPIO]],'4.CAP_ENDMNT'!B:B,'4.CAP_ENDMNT'!Q:Q,0,0,1)</f>
        <v>Cumple</v>
      </c>
      <c r="AI185" s="139">
        <f>+_xlfn.XLOOKUP(PROYECTOS[[#This Row],[MUNICIPIO]],'4.CAP_ENDMNT'!B:B,'4.CAP_ENDMNT'!V:V,0,0,1)</f>
        <v>624772998.0036</v>
      </c>
      <c r="AJ185" s="139">
        <f>+_xlfn.XLOOKUP(PROYECTOS[[#This Row],[MUNICIPIO]],'4.CAP_ENDMNT'!B:B,'4.CAP_ENDMNT'!Y:Y,0,0,1)</f>
        <v>3748637988.0215998</v>
      </c>
      <c r="AK185"/>
      <c r="AL185"/>
      <c r="AM185"/>
    </row>
    <row r="186" spans="1:39">
      <c r="A186" s="44">
        <v>200</v>
      </c>
      <c r="B186" s="37" t="s">
        <v>467</v>
      </c>
      <c r="C186" s="118">
        <v>45747</v>
      </c>
      <c r="D186" s="46" t="s">
        <v>160</v>
      </c>
      <c r="E186" s="47" t="str">
        <f>+_xlfn.XLOOKUP(PROYECTOS[[#This Row],[MUNICIPIO]],MUNICIPIOS!A:A,MUNICIPIOS!E:E,0,0,1)</f>
        <v>Occidente</v>
      </c>
      <c r="F186" s="44">
        <f>+_xlfn.XLOOKUP(PROYECTOS[[#This Row],[MUNICIPIO]],MUNICIPIOS!A:A,MUNICIPIOS!F:F,0,0,1)</f>
        <v>-75.952157999999997</v>
      </c>
      <c r="G186" s="44" t="str">
        <f>+_xlfn.XLOOKUP(PROYECTOS[[#This Row],[MUNICIPIO]],MUNICIPIOS!A:A,MUNICIPIOS!G:G,0,0,1)</f>
        <v>6,680808</v>
      </c>
      <c r="H186" s="44">
        <f>+_xlfn.XLOOKUP(PROYECTOS[[#This Row],[MUNICIPIO]],MUNICIPIOS!A:A,MUNICIPIOS!B:B,0,0,1)</f>
        <v>0</v>
      </c>
      <c r="I186" s="44">
        <f>+_xlfn.XLOOKUP(PROYECTOS[[#This Row],[MUNICIPIO]],MUNICIPIOS!A:A,MUNICIPIOS!C:C,0,0,1)</f>
        <v>0</v>
      </c>
      <c r="J186" s="3" t="str" cm="1">
        <f t="array" ref="J186">_xlfn.TEXTJOIN(" ", TRUE, IF(radicados[ID PROYECTOS]=A186, radicados[RADICADO], ""))</f>
        <v/>
      </c>
      <c r="K186" s="45">
        <v>3</v>
      </c>
      <c r="L186" s="48">
        <v>1299729169532</v>
      </c>
      <c r="M186" s="34" t="s">
        <v>288</v>
      </c>
      <c r="N186" s="40" t="s">
        <v>398</v>
      </c>
      <c r="O186" s="34" t="s">
        <v>25</v>
      </c>
      <c r="P186" s="37"/>
      <c r="Q186" s="45"/>
      <c r="R186" s="43"/>
      <c r="S186" s="43"/>
      <c r="T186" s="44">
        <f>+_xlfn.XLOOKUP(PROYECTOS[[#This Row],[MUNICIPIO]],'4.CAP_ENDMNT'!B:B,'4.CAP_ENDMNT'!C:C,0,0,1)</f>
        <v>6</v>
      </c>
      <c r="U186" s="139">
        <f>+_xlfn.XLOOKUP(PROYECTOS[[#This Row],[MUNICIPIO]],'4.CAP_ENDMNT'!B:B,'4.CAP_ENDMNT'!D:D,0,0,1)</f>
        <v>10996307821.845001</v>
      </c>
      <c r="V186" s="140">
        <f>+_xlfn.XLOOKUP(PROYECTOS[[#This Row],[MUNICIPIO]],'4.CAP_ENDMNT'!B:B,'4.CAP_ENDMNT'!E:E,0,0,1)</f>
        <v>3830082733.7800002</v>
      </c>
      <c r="W186" s="140">
        <f>+_xlfn.XLOOKUP(PROYECTOS[[#This Row],[MUNICIPIO]],'4.CAP_ENDMNT'!B:B,'4.CAP_ENDMNT'!F:F,0,0,1)</f>
        <v>7166225088.0650005</v>
      </c>
      <c r="X186" s="140">
        <f>+_xlfn.XLOOKUP(PROYECTOS[[#This Row],[MUNICIPIO]],'4.CAP_ENDMNT'!B:B,'4.CAP_ENDMNT'!G:G,0,0,1)</f>
        <v>1182597765.4299998</v>
      </c>
      <c r="Y186" s="140">
        <f>+_xlfn.XLOOKUP(PROYECTOS[[#This Row],[MUNICIPIO]],'4.CAP_ENDMNT'!B:B,'4.CAP_ENDMNT'!H:H,0,0,1)</f>
        <v>0</v>
      </c>
      <c r="Z186" s="140">
        <f>+_xlfn.XLOOKUP(PROYECTOS[[#This Row],[MUNICIPIO]],'4.CAP_ENDMNT'!B:B,'4.CAP_ENDMNT'!I:I,0,0,1)</f>
        <v>1182597765.4299998</v>
      </c>
      <c r="AA186" s="134">
        <f>+_xlfn.XLOOKUP(PROYECTOS[[#This Row],[MUNICIPIO]],'4.CAP_ENDMNT'!B:B,'4.CAP_ENDMNT'!J:J,0,0,1)</f>
        <v>0.10754498551601833</v>
      </c>
      <c r="AB186" s="140">
        <f>+_xlfn.XLOOKUP(PROYECTOS[[#This Row],[MUNICIPIO]],'4.CAP_ENDMNT'!B:B,'4.CAP_ENDMNT'!K:K,0,0,1)</f>
        <v>9813710056.4150009</v>
      </c>
      <c r="AC186" s="140">
        <f>+_xlfn.XLOOKUP(PROYECTOS[[#This Row],[MUNICIPIO]],'4.CAP_ENDMNT'!B:B,'4.CAP_ENDMNT'!L:L,0,0,1)</f>
        <v>7850968045.1320009</v>
      </c>
      <c r="AD186" s="140">
        <f>+_xlfn.XLOOKUP(PROYECTOS[[#This Row],[MUNICIPIO]],'4.CAP_ENDMNT'!B:B,'4.CAP_ENDMNT'!M:M,0,0,1)</f>
        <v>5888226033.849</v>
      </c>
      <c r="AE186" s="134">
        <f>+_xlfn.XLOOKUP(PROYECTOS[[#This Row],[MUNICIPIO]],'4.CAP_ENDMNT'!B:B,'4.CAP_ENDMNT'!N:N,0,0,1)</f>
        <v>1</v>
      </c>
      <c r="AF186" s="134">
        <f>+_xlfn.XLOOKUP(PROYECTOS[[#This Row],[MUNICIPIO]],'4.CAP_ENDMNT'!B:B,'4.CAP_ENDMNT'!O:O,0,0,1)</f>
        <v>0.53885751046750907</v>
      </c>
      <c r="AG186" s="134">
        <f>+_xlfn.XLOOKUP(PROYECTOS[[#This Row],[MUNICIPIO]],'4.CAP_ENDMNT'!B:B,'4.CAP_ENDMNT'!P:P,0,0,1)</f>
        <v>0.8</v>
      </c>
      <c r="AH186" s="44" t="str">
        <f>+_xlfn.XLOOKUP(PROYECTOS[[#This Row],[MUNICIPIO]],'4.CAP_ENDMNT'!B:B,'4.CAP_ENDMNT'!Q:Q,0,0,1)</f>
        <v>Cumple</v>
      </c>
      <c r="AI186" s="139">
        <f>+_xlfn.XLOOKUP(PROYECTOS[[#This Row],[MUNICIPIO]],'4.CAP_ENDMNT'!B:B,'4.CAP_ENDMNT'!V:V,0,0,1)</f>
        <v>1177645206.7697999</v>
      </c>
      <c r="AJ186" s="139">
        <f>+_xlfn.XLOOKUP(PROYECTOS[[#This Row],[MUNICIPIO]],'4.CAP_ENDMNT'!B:B,'4.CAP_ENDMNT'!Y:Y,0,0,1)</f>
        <v>-1314426917695.3811</v>
      </c>
      <c r="AK186"/>
      <c r="AL186"/>
      <c r="AM186"/>
    </row>
    <row r="187" spans="1:39">
      <c r="A187" s="44">
        <v>201</v>
      </c>
      <c r="B187" s="37" t="s">
        <v>1232</v>
      </c>
      <c r="C187" s="118">
        <v>45747</v>
      </c>
      <c r="D187" s="46" t="s">
        <v>92</v>
      </c>
      <c r="E187" s="47" t="str">
        <f>+_xlfn.XLOOKUP(PROYECTOS[[#This Row],[MUNICIPIO]],MUNICIPIOS!A:A,MUNICIPIOS!E:E,0,0,1)</f>
        <v>Suroeste</v>
      </c>
      <c r="F187" s="44">
        <f>+_xlfn.XLOOKUP(PROYECTOS[[#This Row],[MUNICIPIO]],MUNICIPIOS!A:A,MUNICIPIOS!F:F,0,0,1)</f>
        <v>-75.702188000000007</v>
      </c>
      <c r="G187" s="44" t="str">
        <f>+_xlfn.XLOOKUP(PROYECTOS[[#This Row],[MUNICIPIO]],MUNICIPIOS!A:A,MUNICIPIOS!G:G,0,0,1)</f>
        <v>6,038708</v>
      </c>
      <c r="H187" s="44">
        <f>+_xlfn.XLOOKUP(PROYECTOS[[#This Row],[MUNICIPIO]],MUNICIPIOS!A:A,MUNICIPIOS!B:B,0,0,1)</f>
        <v>0</v>
      </c>
      <c r="I187" s="44">
        <f>+_xlfn.XLOOKUP(PROYECTOS[[#This Row],[MUNICIPIO]],MUNICIPIOS!A:A,MUNICIPIOS!C:C,0,0,1)</f>
        <v>0</v>
      </c>
      <c r="J187" s="34" t="str" cm="1">
        <f t="array" ref="J187">_xlfn.TEXTJOIN(" ", TRUE, IF(radicados[ID PROYECTOS]=A187, radicados[RADICADO], ""))</f>
        <v/>
      </c>
      <c r="K187" s="45">
        <v>3</v>
      </c>
      <c r="L187" s="48">
        <v>5581655075</v>
      </c>
      <c r="M187" s="34" t="s">
        <v>288</v>
      </c>
      <c r="N187" s="40" t="s">
        <v>398</v>
      </c>
      <c r="O187" s="40" t="s">
        <v>25</v>
      </c>
      <c r="P187" s="37"/>
      <c r="Q187" s="45">
        <v>1</v>
      </c>
      <c r="R187" s="43" t="s">
        <v>922</v>
      </c>
      <c r="S187" s="43" t="s">
        <v>1618</v>
      </c>
      <c r="T187" s="44">
        <f>+_xlfn.XLOOKUP(PROYECTOS[[#This Row],[MUNICIPIO]],'4.CAP_ENDMNT'!B:B,'4.CAP_ENDMNT'!C:C,0,0,1)</f>
        <v>6</v>
      </c>
      <c r="U187" s="167">
        <f>+_xlfn.XLOOKUP(PROYECTOS[[#This Row],[MUNICIPIO]],'4.CAP_ENDMNT'!B:B,'4.CAP_ENDMNT'!D:D,0,0,1)</f>
        <v>25390387392.328503</v>
      </c>
      <c r="V187" s="44">
        <f>+_xlfn.XLOOKUP(PROYECTOS[[#This Row],[MUNICIPIO]],'4.CAP_ENDMNT'!B:B,'4.CAP_ENDMNT'!E:E,0,0,1)</f>
        <v>8357833556.3299999</v>
      </c>
      <c r="W187" s="44">
        <f>+_xlfn.XLOOKUP(PROYECTOS[[#This Row],[MUNICIPIO]],'4.CAP_ENDMNT'!B:B,'4.CAP_ENDMNT'!F:F,0,0,1)</f>
        <v>17032553835.998503</v>
      </c>
      <c r="X187" s="44">
        <f>+_xlfn.XLOOKUP(PROYECTOS[[#This Row],[MUNICIPIO]],'4.CAP_ENDMNT'!B:B,'4.CAP_ENDMNT'!G:G,0,0,1)</f>
        <v>4689987006</v>
      </c>
      <c r="Y187" s="44">
        <f>+_xlfn.XLOOKUP(PROYECTOS[[#This Row],[MUNICIPIO]],'4.CAP_ENDMNT'!B:B,'4.CAP_ENDMNT'!H:H,0,0,1)</f>
        <v>6272045606</v>
      </c>
      <c r="Z187" s="44">
        <f>+_xlfn.XLOOKUP(PROYECTOS[[#This Row],[MUNICIPIO]],'4.CAP_ENDMNT'!B:B,'4.CAP_ENDMNT'!I:I,0,0,1)</f>
        <v>10962032612</v>
      </c>
      <c r="AA187" s="134">
        <f>+_xlfn.XLOOKUP(PROYECTOS[[#This Row],[MUNICIPIO]],'4.CAP_ENDMNT'!B:B,'4.CAP_ENDMNT'!J:J,0,0,1)</f>
        <v>0.43173947851272598</v>
      </c>
      <c r="AB187" s="44">
        <f>+_xlfn.XLOOKUP(PROYECTOS[[#This Row],[MUNICIPIO]],'4.CAP_ENDMNT'!B:B,'4.CAP_ENDMNT'!K:K,0,0,1)</f>
        <v>14428354780.328503</v>
      </c>
      <c r="AC187" s="44">
        <f>+_xlfn.XLOOKUP(PROYECTOS[[#This Row],[MUNICIPIO]],'4.CAP_ENDMNT'!B:B,'4.CAP_ENDMNT'!L:L,0,0,1)</f>
        <v>11542683824.262802</v>
      </c>
      <c r="AD187" s="44">
        <f>+_xlfn.XLOOKUP(PROYECTOS[[#This Row],[MUNICIPIO]],'4.CAP_ENDMNT'!B:B,'4.CAP_ENDMNT'!M:M,0,0,1)</f>
        <v>8657012868.1971016</v>
      </c>
      <c r="AE187" s="134">
        <f>+_xlfn.XLOOKUP(PROYECTOS[[#This Row],[MUNICIPIO]],'4.CAP_ENDMNT'!B:B,'4.CAP_ENDMNT'!N:N,0,0,1)</f>
        <v>0.42783917654705111</v>
      </c>
      <c r="AF187" s="134">
        <f>+_xlfn.XLOOKUP(PROYECTOS[[#This Row],[MUNICIPIO]],'4.CAP_ENDMNT'!B:B,'4.CAP_ENDMNT'!O:O,0,0,1)</f>
        <v>0.46347626739589709</v>
      </c>
      <c r="AG187" s="134">
        <f>+_xlfn.XLOOKUP(PROYECTOS[[#This Row],[MUNICIPIO]],'4.CAP_ENDMNT'!B:B,'4.CAP_ENDMNT'!P:P,0,0,1)</f>
        <v>0.8</v>
      </c>
      <c r="AH187" s="44" t="str">
        <f>+_xlfn.XLOOKUP(PROYECTOS[[#This Row],[MUNICIPIO]],'4.CAP_ENDMNT'!B:B,'4.CAP_ENDMNT'!Q:Q,0,0,1)</f>
        <v>Cumple</v>
      </c>
      <c r="AI187" s="139">
        <f>+_xlfn.XLOOKUP(PROYECTOS[[#This Row],[MUNICIPIO]],'4.CAP_ENDMNT'!B:B,'4.CAP_ENDMNT'!V:V,0,0,1)</f>
        <v>1731402573.6394205</v>
      </c>
      <c r="AJ187" s="139">
        <f>+_xlfn.XLOOKUP(PROYECTOS[[#This Row],[MUNICIPIO]],'4.CAP_ENDMNT'!B:B,'4.CAP_ENDMNT'!Y:Y,0,0,1)</f>
        <v>4806760366.8365211</v>
      </c>
      <c r="AK187"/>
      <c r="AL187"/>
      <c r="AM187"/>
    </row>
    <row r="188" spans="1:39">
      <c r="A188" s="44">
        <v>202</v>
      </c>
      <c r="B188" s="37" t="s">
        <v>1233</v>
      </c>
      <c r="C188" s="118">
        <v>45747</v>
      </c>
      <c r="D188" s="46" t="s">
        <v>468</v>
      </c>
      <c r="E188" s="47" t="str">
        <f>+_xlfn.XLOOKUP(PROYECTOS[[#This Row],[MUNICIPIO]],MUNICIPIOS!A:A,MUNICIPIOS!E:E,0,0,1)</f>
        <v>Nordeste</v>
      </c>
      <c r="F188" s="44">
        <f>+_xlfn.XLOOKUP(PROYECTOS[[#This Row],[MUNICIPIO]],MUNICIPIOS!A:A,MUNICIPIOS!F:F,0,0,1)</f>
        <v>-75.148354999999995</v>
      </c>
      <c r="G188" s="44" t="str">
        <f>+_xlfn.XLOOKUP(PROYECTOS[[#This Row],[MUNICIPIO]],MUNICIPIOS!A:A,MUNICIPIOS!G:G,0,0,1)</f>
        <v>7,074703</v>
      </c>
      <c r="H188" s="44">
        <f>+_xlfn.XLOOKUP(PROYECTOS[[#This Row],[MUNICIPIO]],MUNICIPIOS!A:A,MUNICIPIOS!B:B,0,0,1)</f>
        <v>1</v>
      </c>
      <c r="I188" s="44">
        <f>+_xlfn.XLOOKUP(PROYECTOS[[#This Row],[MUNICIPIO]],MUNICIPIOS!A:A,MUNICIPIOS!C:C,0,0,1)</f>
        <v>1</v>
      </c>
      <c r="J188" s="34" t="str" cm="1">
        <f t="array" ref="J188">_xlfn.TEXTJOIN(" ", TRUE, IF(radicados[ID PROYECTOS]=A188, radicados[RADICADO], ""))</f>
        <v/>
      </c>
      <c r="K188" s="45">
        <v>3</v>
      </c>
      <c r="L188" s="48">
        <v>4225553380</v>
      </c>
      <c r="M188" s="34" t="s">
        <v>288</v>
      </c>
      <c r="N188" s="40" t="s">
        <v>398</v>
      </c>
      <c r="O188" s="40" t="s">
        <v>25</v>
      </c>
      <c r="P188" s="37"/>
      <c r="Q188" s="45">
        <v>1</v>
      </c>
      <c r="R188" s="43" t="s">
        <v>922</v>
      </c>
      <c r="S188" s="43" t="s">
        <v>1618</v>
      </c>
      <c r="T188" s="44">
        <f>+_xlfn.XLOOKUP(PROYECTOS[[#This Row],[MUNICIPIO]],'4.CAP_ENDMNT'!B:B,'4.CAP_ENDMNT'!C:C,0,0,1)</f>
        <v>6</v>
      </c>
      <c r="U188" s="167">
        <f>+_xlfn.XLOOKUP(PROYECTOS[[#This Row],[MUNICIPIO]],'4.CAP_ENDMNT'!B:B,'4.CAP_ENDMNT'!D:D,0,0,1)</f>
        <v>16148449667.859503</v>
      </c>
      <c r="V188" s="44">
        <f>+_xlfn.XLOOKUP(PROYECTOS[[#This Row],[MUNICIPIO]],'4.CAP_ENDMNT'!B:B,'4.CAP_ENDMNT'!E:E,0,0,1)</f>
        <v>5168319228.7700005</v>
      </c>
      <c r="W188" s="44">
        <f>+_xlfn.XLOOKUP(PROYECTOS[[#This Row],[MUNICIPIO]],'4.CAP_ENDMNT'!B:B,'4.CAP_ENDMNT'!F:F,0,0,1)</f>
        <v>10980130439.089502</v>
      </c>
      <c r="X188" s="44">
        <f>+_xlfn.XLOOKUP(PROYECTOS[[#This Row],[MUNICIPIO]],'4.CAP_ENDMNT'!B:B,'4.CAP_ENDMNT'!G:G,0,0,1)</f>
        <v>943947740</v>
      </c>
      <c r="Y188" s="44">
        <f>+_xlfn.XLOOKUP(PROYECTOS[[#This Row],[MUNICIPIO]],'4.CAP_ENDMNT'!B:B,'4.CAP_ENDMNT'!H:H,0,0,1)</f>
        <v>680000000</v>
      </c>
      <c r="Z188" s="44">
        <f>+_xlfn.XLOOKUP(PROYECTOS[[#This Row],[MUNICIPIO]],'4.CAP_ENDMNT'!B:B,'4.CAP_ENDMNT'!I:I,0,0,1)</f>
        <v>1623947740</v>
      </c>
      <c r="AA188" s="134">
        <f>+_xlfn.XLOOKUP(PROYECTOS[[#This Row],[MUNICIPIO]],'4.CAP_ENDMNT'!B:B,'4.CAP_ENDMNT'!J:J,0,0,1)</f>
        <v>0.10056369332049052</v>
      </c>
      <c r="AB188" s="44">
        <f>+_xlfn.XLOOKUP(PROYECTOS[[#This Row],[MUNICIPIO]],'4.CAP_ENDMNT'!B:B,'4.CAP_ENDMNT'!K:K,0,0,1)</f>
        <v>14524501927.859503</v>
      </c>
      <c r="AC188" s="44">
        <f>+_xlfn.XLOOKUP(PROYECTOS[[#This Row],[MUNICIPIO]],'4.CAP_ENDMNT'!B:B,'4.CAP_ENDMNT'!L:L,0,0,1)</f>
        <v>11619601542.287603</v>
      </c>
      <c r="AD188" s="44">
        <f>+_xlfn.XLOOKUP(PROYECTOS[[#This Row],[MUNICIPIO]],'4.CAP_ENDMNT'!B:B,'4.CAP_ENDMNT'!M:M,0,0,1)</f>
        <v>8714701156.7157021</v>
      </c>
      <c r="AE188" s="134">
        <f>+_xlfn.XLOOKUP(PROYECTOS[[#This Row],[MUNICIPIO]],'4.CAP_ENDMNT'!B:B,'4.CAP_ENDMNT'!N:N,0,0,1)</f>
        <v>0.58126731344199534</v>
      </c>
      <c r="AF188" s="134">
        <f>+_xlfn.XLOOKUP(PROYECTOS[[#This Row],[MUNICIPIO]],'4.CAP_ENDMNT'!B:B,'4.CAP_ENDMNT'!O:O,0,0,1)</f>
        <v>0.64090582782582184</v>
      </c>
      <c r="AG188" s="134">
        <f>+_xlfn.XLOOKUP(PROYECTOS[[#This Row],[MUNICIPIO]],'4.CAP_ENDMNT'!B:B,'4.CAP_ENDMNT'!P:P,0,0,1)</f>
        <v>0.8</v>
      </c>
      <c r="AH188" s="44" t="str">
        <f>+_xlfn.XLOOKUP(PROYECTOS[[#This Row],[MUNICIPIO]],'4.CAP_ENDMNT'!B:B,'4.CAP_ENDMNT'!Q:Q,0,0,1)</f>
        <v>Cumple</v>
      </c>
      <c r="AI188" s="139">
        <f>+_xlfn.XLOOKUP(PROYECTOS[[#This Row],[MUNICIPIO]],'4.CAP_ENDMNT'!B:B,'4.CAP_ENDMNT'!V:V,0,0,1)</f>
        <v>1742940231.3431406</v>
      </c>
      <c r="AJ188" s="139">
        <f>+_xlfn.XLOOKUP(PROYECTOS[[#This Row],[MUNICIPIO]],'4.CAP_ENDMNT'!B:B,'4.CAP_ENDMNT'!Y:Y,0,0,1)</f>
        <v>6232088008.0588417</v>
      </c>
      <c r="AK188"/>
      <c r="AL188"/>
      <c r="AM188"/>
    </row>
    <row r="189" spans="1:39">
      <c r="A189" s="44">
        <v>205</v>
      </c>
      <c r="B189" s="37" t="s">
        <v>1234</v>
      </c>
      <c r="C189" s="118">
        <v>45747</v>
      </c>
      <c r="D189" s="46" t="s">
        <v>57</v>
      </c>
      <c r="E189" s="47" t="str">
        <f>+_xlfn.XLOOKUP(PROYECTOS[[#This Row],[MUNICIPIO]],MUNICIPIOS!A:A,MUNICIPIOS!E:E,0,0,1)</f>
        <v>Norte</v>
      </c>
      <c r="F189" s="44">
        <f>+_xlfn.XLOOKUP(PROYECTOS[[#This Row],[MUNICIPIO]],MUNICIPIOS!A:A,MUNICIPIOS!F:F,0,0,1)</f>
        <v>-75.683351999999999</v>
      </c>
      <c r="G189" s="44" t="str">
        <f>+_xlfn.XLOOKUP(PROYECTOS[[#This Row],[MUNICIPIO]],MUNICIPIOS!A:A,MUNICIPIOS!G:G,0,0,1)</f>
        <v>6,85009</v>
      </c>
      <c r="H189" s="44">
        <f>+_xlfn.XLOOKUP(PROYECTOS[[#This Row],[MUNICIPIO]],MUNICIPIOS!A:A,MUNICIPIOS!B:B,0,0,1)</f>
        <v>0</v>
      </c>
      <c r="I189" s="44">
        <f>+_xlfn.XLOOKUP(PROYECTOS[[#This Row],[MUNICIPIO]],MUNICIPIOS!A:A,MUNICIPIOS!C:C,0,0,1)</f>
        <v>0</v>
      </c>
      <c r="J189" s="34" t="str" cm="1">
        <f t="array" ref="J189">_xlfn.TEXTJOIN(" ", TRUE, IF(radicados[ID PROYECTOS]=A189, radicados[RADICADO], ""))</f>
        <v/>
      </c>
      <c r="K189" s="45">
        <v>3</v>
      </c>
      <c r="L189" s="48">
        <v>1628415828</v>
      </c>
      <c r="M189" s="34" t="s">
        <v>288</v>
      </c>
      <c r="N189" s="40" t="s">
        <v>398</v>
      </c>
      <c r="O189" s="40" t="s">
        <v>25</v>
      </c>
      <c r="P189" s="37"/>
      <c r="Q189" s="45">
        <v>1</v>
      </c>
      <c r="R189" s="43" t="s">
        <v>922</v>
      </c>
      <c r="S189" s="43" t="s">
        <v>1618</v>
      </c>
      <c r="T189" s="44">
        <f>+_xlfn.XLOOKUP(PROYECTOS[[#This Row],[MUNICIPIO]],'4.CAP_ENDMNT'!B:B,'4.CAP_ENDMNT'!C:C,0,0,1)</f>
        <v>6</v>
      </c>
      <c r="U189" s="167">
        <f>+_xlfn.XLOOKUP(PROYECTOS[[#This Row],[MUNICIPIO]],'4.CAP_ENDMNT'!B:B,'4.CAP_ENDMNT'!D:D,0,0,1)</f>
        <v>5437802568.3275003</v>
      </c>
      <c r="V189" s="44">
        <f>+_xlfn.XLOOKUP(PROYECTOS[[#This Row],[MUNICIPIO]],'4.CAP_ENDMNT'!B:B,'4.CAP_ENDMNT'!E:E,0,0,1)</f>
        <v>2195257843.8499999</v>
      </c>
      <c r="W189" s="44">
        <f>+_xlfn.XLOOKUP(PROYECTOS[[#This Row],[MUNICIPIO]],'4.CAP_ENDMNT'!B:B,'4.CAP_ENDMNT'!F:F,0,0,1)</f>
        <v>3242544724.4775004</v>
      </c>
      <c r="X189" s="44">
        <f>+_xlfn.XLOOKUP(PROYECTOS[[#This Row],[MUNICIPIO]],'4.CAP_ENDMNT'!B:B,'4.CAP_ENDMNT'!G:G,0,0,1)</f>
        <v>1389038990</v>
      </c>
      <c r="Y189" s="44">
        <f>+_xlfn.XLOOKUP(PROYECTOS[[#This Row],[MUNICIPIO]],'4.CAP_ENDMNT'!B:B,'4.CAP_ENDMNT'!H:H,0,0,1)</f>
        <v>0</v>
      </c>
      <c r="Z189" s="44">
        <f>+_xlfn.XLOOKUP(PROYECTOS[[#This Row],[MUNICIPIO]],'4.CAP_ENDMNT'!B:B,'4.CAP_ENDMNT'!I:I,0,0,1)</f>
        <v>1389038990</v>
      </c>
      <c r="AA189" s="134">
        <f>+_xlfn.XLOOKUP(PROYECTOS[[#This Row],[MUNICIPIO]],'4.CAP_ENDMNT'!B:B,'4.CAP_ENDMNT'!J:J,0,0,1)</f>
        <v>0.25544123247329026</v>
      </c>
      <c r="AB189" s="44">
        <f>+_xlfn.XLOOKUP(PROYECTOS[[#This Row],[MUNICIPIO]],'4.CAP_ENDMNT'!B:B,'4.CAP_ENDMNT'!K:K,0,0,1)</f>
        <v>4048763578.3275003</v>
      </c>
      <c r="AC189" s="44">
        <f>+_xlfn.XLOOKUP(PROYECTOS[[#This Row],[MUNICIPIO]],'4.CAP_ENDMNT'!B:B,'4.CAP_ENDMNT'!L:L,0,0,1)</f>
        <v>3239010862.6620007</v>
      </c>
      <c r="AD189" s="44">
        <f>+_xlfn.XLOOKUP(PROYECTOS[[#This Row],[MUNICIPIO]],'4.CAP_ENDMNT'!B:B,'4.CAP_ENDMNT'!M:M,0,0,1)</f>
        <v>2429258146.9965</v>
      </c>
      <c r="AE189" s="134">
        <f>+_xlfn.XLOOKUP(PROYECTOS[[#This Row],[MUNICIPIO]],'4.CAP_ENDMNT'!B:B,'4.CAP_ENDMNT'!N:N,0,0,1)</f>
        <v>1</v>
      </c>
      <c r="AF189" s="134">
        <f>+_xlfn.XLOOKUP(PROYECTOS[[#This Row],[MUNICIPIO]],'4.CAP_ENDMNT'!B:B,'4.CAP_ENDMNT'!O:O,0,0,1)</f>
        <v>0.74230580339650343</v>
      </c>
      <c r="AG189" s="134">
        <f>+_xlfn.XLOOKUP(PROYECTOS[[#This Row],[MUNICIPIO]],'4.CAP_ENDMNT'!B:B,'4.CAP_ENDMNT'!P:P,0,0,1)</f>
        <v>0.8</v>
      </c>
      <c r="AH189" s="44" t="str">
        <f>+_xlfn.XLOOKUP(PROYECTOS[[#This Row],[MUNICIPIO]],'4.CAP_ENDMNT'!B:B,'4.CAP_ENDMNT'!Q:Q,0,0,1)</f>
        <v>Cumple</v>
      </c>
      <c r="AI189" s="139">
        <f>+_xlfn.XLOOKUP(PROYECTOS[[#This Row],[MUNICIPIO]],'4.CAP_ENDMNT'!B:B,'4.CAP_ENDMNT'!V:V,0,0,1)</f>
        <v>485851629.39930004</v>
      </c>
      <c r="AJ189" s="139">
        <f>+_xlfn.XLOOKUP(PROYECTOS[[#This Row],[MUNICIPIO]],'4.CAP_ENDMNT'!B:B,'4.CAP_ENDMNT'!Y:Y,0,0,1)</f>
        <v>-14155936706.6042</v>
      </c>
      <c r="AK189"/>
      <c r="AL189"/>
      <c r="AM189"/>
    </row>
    <row r="190" spans="1:39">
      <c r="A190" s="44">
        <v>206</v>
      </c>
      <c r="B190" s="37" t="s">
        <v>469</v>
      </c>
      <c r="C190" s="118">
        <v>45747</v>
      </c>
      <c r="D190" s="46" t="s">
        <v>470</v>
      </c>
      <c r="E190" s="47" t="str">
        <f>+_xlfn.XLOOKUP(PROYECTOS[[#This Row],[MUNICIPIO]],MUNICIPIOS!A:A,MUNICIPIOS!E:E,0,0,1)</f>
        <v>Oriente</v>
      </c>
      <c r="F190" s="44">
        <f>+_xlfn.XLOOKUP(PROYECTOS[[#This Row],[MUNICIPIO]],MUNICIPIOS!A:A,MUNICIPIOS!F:F,0,0,1)</f>
        <v>-75.028490000000005</v>
      </c>
      <c r="G190" s="44" t="str">
        <f>+_xlfn.XLOOKUP(PROYECTOS[[#This Row],[MUNICIPIO]],MUNICIPIOS!A:A,MUNICIPIOS!G:G,0,0,1)</f>
        <v>6,293759</v>
      </c>
      <c r="H190" s="44">
        <f>+_xlfn.XLOOKUP(PROYECTOS[[#This Row],[MUNICIPIO]],MUNICIPIOS!A:A,MUNICIPIOS!B:B,0,0,1)</f>
        <v>0</v>
      </c>
      <c r="I190" s="44">
        <f>+_xlfn.XLOOKUP(PROYECTOS[[#This Row],[MUNICIPIO]],MUNICIPIOS!A:A,MUNICIPIOS!C:C,0,0,1)</f>
        <v>1</v>
      </c>
      <c r="J190" s="3" t="str" cm="1">
        <f t="array" ref="J190">_xlfn.TEXTJOIN(" ", TRUE, IF(radicados[ID PROYECTOS]=A190, radicados[RADICADO], ""))</f>
        <v/>
      </c>
      <c r="K190" s="45">
        <v>3</v>
      </c>
      <c r="L190" s="48">
        <v>4847192489</v>
      </c>
      <c r="M190" s="34" t="s">
        <v>288</v>
      </c>
      <c r="N190" s="40" t="s">
        <v>398</v>
      </c>
      <c r="O190" s="34" t="s">
        <v>25</v>
      </c>
      <c r="P190" s="37"/>
      <c r="Q190" s="45">
        <v>1</v>
      </c>
      <c r="R190" s="43" t="s">
        <v>922</v>
      </c>
      <c r="S190" s="43" t="s">
        <v>1618</v>
      </c>
      <c r="T190" s="44">
        <f>+_xlfn.XLOOKUP(PROYECTOS[[#This Row],[MUNICIPIO]],'4.CAP_ENDMNT'!B:B,'4.CAP_ENDMNT'!C:C,0,0,1)</f>
        <v>6</v>
      </c>
      <c r="U190" s="139">
        <f>+_xlfn.XLOOKUP(PROYECTOS[[#This Row],[MUNICIPIO]],'4.CAP_ENDMNT'!B:B,'4.CAP_ENDMNT'!D:D,0,0,1)</f>
        <v>17565923370.843998</v>
      </c>
      <c r="V190" s="140">
        <f>+_xlfn.XLOOKUP(PROYECTOS[[#This Row],[MUNICIPIO]],'4.CAP_ENDMNT'!B:B,'4.CAP_ENDMNT'!E:E,0,0,1)</f>
        <v>4463335582.5100002</v>
      </c>
      <c r="W190" s="140">
        <f>+_xlfn.XLOOKUP(PROYECTOS[[#This Row],[MUNICIPIO]],'4.CAP_ENDMNT'!B:B,'4.CAP_ENDMNT'!F:F,0,0,1)</f>
        <v>13102587788.333998</v>
      </c>
      <c r="X190" s="140">
        <f>+_xlfn.XLOOKUP(PROYECTOS[[#This Row],[MUNICIPIO]],'4.CAP_ENDMNT'!B:B,'4.CAP_ENDMNT'!G:G,0,0,1)</f>
        <v>2561424191</v>
      </c>
      <c r="Y190" s="140">
        <f>+_xlfn.XLOOKUP(PROYECTOS[[#This Row],[MUNICIPIO]],'4.CAP_ENDMNT'!B:B,'4.CAP_ENDMNT'!H:H,0,0,1)</f>
        <v>0</v>
      </c>
      <c r="Z190" s="140">
        <f>+_xlfn.XLOOKUP(PROYECTOS[[#This Row],[MUNICIPIO]],'4.CAP_ENDMNT'!B:B,'4.CAP_ENDMNT'!I:I,0,0,1)</f>
        <v>2561424191</v>
      </c>
      <c r="AA190" s="134">
        <f>+_xlfn.XLOOKUP(PROYECTOS[[#This Row],[MUNICIPIO]],'4.CAP_ENDMNT'!B:B,'4.CAP_ENDMNT'!J:J,0,0,1)</f>
        <v>0.14581779374328047</v>
      </c>
      <c r="AB190" s="140">
        <f>+_xlfn.XLOOKUP(PROYECTOS[[#This Row],[MUNICIPIO]],'4.CAP_ENDMNT'!B:B,'4.CAP_ENDMNT'!K:K,0,0,1)</f>
        <v>15004499179.843998</v>
      </c>
      <c r="AC190" s="140">
        <f>+_xlfn.XLOOKUP(PROYECTOS[[#This Row],[MUNICIPIO]],'4.CAP_ENDMNT'!B:B,'4.CAP_ENDMNT'!L:L,0,0,1)</f>
        <v>12003599343.875198</v>
      </c>
      <c r="AD190" s="140">
        <f>+_xlfn.XLOOKUP(PROYECTOS[[#This Row],[MUNICIPIO]],'4.CAP_ENDMNT'!B:B,'4.CAP_ENDMNT'!M:M,0,0,1)</f>
        <v>9002699507.9063988</v>
      </c>
      <c r="AE190" s="134">
        <f>+_xlfn.XLOOKUP(PROYECTOS[[#This Row],[MUNICIPIO]],'4.CAP_ENDMNT'!B:B,'4.CAP_ENDMNT'!N:N,0,0,1)</f>
        <v>1</v>
      </c>
      <c r="AF190" s="134">
        <f>+_xlfn.XLOOKUP(PROYECTOS[[#This Row],[MUNICIPIO]],'4.CAP_ENDMNT'!B:B,'4.CAP_ENDMNT'!O:O,0,0,1)</f>
        <v>0.64471709259563048</v>
      </c>
      <c r="AG190" s="134">
        <f>+_xlfn.XLOOKUP(PROYECTOS[[#This Row],[MUNICIPIO]],'4.CAP_ENDMNT'!B:B,'4.CAP_ENDMNT'!P:P,0,0,1)</f>
        <v>0.8</v>
      </c>
      <c r="AH190" s="44" t="str">
        <f>+_xlfn.XLOOKUP(PROYECTOS[[#This Row],[MUNICIPIO]],'4.CAP_ENDMNT'!B:B,'4.CAP_ENDMNT'!Q:Q,0,0,1)</f>
        <v>Cumple</v>
      </c>
      <c r="AI190" s="139">
        <f>+_xlfn.XLOOKUP(PROYECTOS[[#This Row],[MUNICIPIO]],'4.CAP_ENDMNT'!B:B,'4.CAP_ENDMNT'!V:V,0,0,1)</f>
        <v>1800539901.5812798</v>
      </c>
      <c r="AJ190" s="139">
        <f>+_xlfn.XLOOKUP(PROYECTOS[[#This Row],[MUNICIPIO]],'4.CAP_ENDMNT'!B:B,'4.CAP_ENDMNT'!Y:Y,0,0,1)</f>
        <v>3805966446.4876785</v>
      </c>
      <c r="AK190"/>
      <c r="AL190"/>
      <c r="AM190"/>
    </row>
    <row r="191" spans="1:39" ht="30">
      <c r="A191" s="44">
        <v>207</v>
      </c>
      <c r="B191" s="36" t="s">
        <v>471</v>
      </c>
      <c r="C191" s="118">
        <v>45747</v>
      </c>
      <c r="D191" s="46" t="s">
        <v>141</v>
      </c>
      <c r="E191" s="47" t="str">
        <f>+_xlfn.XLOOKUP(PROYECTOS[[#This Row],[MUNICIPIO]],MUNICIPIOS!A:A,MUNICIPIOS!E:E,0,0,1)</f>
        <v>Oriente</v>
      </c>
      <c r="F191" s="44">
        <f>+_xlfn.XLOOKUP(PROYECTOS[[#This Row],[MUNICIPIO]],MUNICIPIOS!A:A,MUNICIPIOS!F:F,0,0,1)</f>
        <v>-75.141069999999999</v>
      </c>
      <c r="G191" s="44" t="str">
        <f>+_xlfn.XLOOKUP(PROYECTOS[[#This Row],[MUNICIPIO]],MUNICIPIOS!A:A,MUNICIPIOS!G:G,0,0,1)</f>
        <v>5,731474</v>
      </c>
      <c r="H191" s="44">
        <f>+_xlfn.XLOOKUP(PROYECTOS[[#This Row],[MUNICIPIO]],MUNICIPIOS!A:A,MUNICIPIOS!B:B,0,0,1)</f>
        <v>0</v>
      </c>
      <c r="I191" s="44">
        <f>+_xlfn.XLOOKUP(PROYECTOS[[#This Row],[MUNICIPIO]],MUNICIPIOS!A:A,MUNICIPIOS!C:C,0,0,1)</f>
        <v>1</v>
      </c>
      <c r="J191" s="3" t="str" cm="1">
        <f t="array" ref="J191">_xlfn.TEXTJOIN(" ", TRUE, IF(radicados[ID PROYECTOS]=A191, radicados[RADICADO], ""))</f>
        <v/>
      </c>
      <c r="K191" s="45">
        <v>3</v>
      </c>
      <c r="L191" s="48">
        <v>10645295128</v>
      </c>
      <c r="M191" s="34" t="s">
        <v>288</v>
      </c>
      <c r="N191" s="40" t="s">
        <v>398</v>
      </c>
      <c r="O191" s="34" t="s">
        <v>25</v>
      </c>
      <c r="P191" s="37" t="s">
        <v>967</v>
      </c>
      <c r="Q191" s="45"/>
      <c r="R191" s="43"/>
      <c r="S191" s="43"/>
      <c r="T191" s="44">
        <f>+_xlfn.XLOOKUP(PROYECTOS[[#This Row],[MUNICIPIO]],'4.CAP_ENDMNT'!B:B,'4.CAP_ENDMNT'!C:C,0,0,1)</f>
        <v>6</v>
      </c>
      <c r="U191" s="139">
        <f>+_xlfn.XLOOKUP(PROYECTOS[[#This Row],[MUNICIPIO]],'4.CAP_ENDMNT'!B:B,'4.CAP_ENDMNT'!D:D,0,0,1)</f>
        <v>7397887197.3409996</v>
      </c>
      <c r="V191" s="140">
        <f>+_xlfn.XLOOKUP(PROYECTOS[[#This Row],[MUNICIPIO]],'4.CAP_ENDMNT'!B:B,'4.CAP_ENDMNT'!E:E,0,0,1)</f>
        <v>2145550795.75</v>
      </c>
      <c r="W191" s="140">
        <f>+_xlfn.XLOOKUP(PROYECTOS[[#This Row],[MUNICIPIO]],'4.CAP_ENDMNT'!B:B,'4.CAP_ENDMNT'!F:F,0,0,1)</f>
        <v>5252336401.5909996</v>
      </c>
      <c r="X191" s="140">
        <f>+_xlfn.XLOOKUP(PROYECTOS[[#This Row],[MUNICIPIO]],'4.CAP_ENDMNT'!B:B,'4.CAP_ENDMNT'!G:G,0,0,1)</f>
        <v>913988424</v>
      </c>
      <c r="Y191" s="140">
        <f>+_xlfn.XLOOKUP(PROYECTOS[[#This Row],[MUNICIPIO]],'4.CAP_ENDMNT'!B:B,'4.CAP_ENDMNT'!H:H,0,0,1)</f>
        <v>0</v>
      </c>
      <c r="Z191" s="140">
        <f>+_xlfn.XLOOKUP(PROYECTOS[[#This Row],[MUNICIPIO]],'4.CAP_ENDMNT'!B:B,'4.CAP_ENDMNT'!I:I,0,0,1)</f>
        <v>913988424</v>
      </c>
      <c r="AA191" s="134">
        <f>+_xlfn.XLOOKUP(PROYECTOS[[#This Row],[MUNICIPIO]],'4.CAP_ENDMNT'!B:B,'4.CAP_ENDMNT'!J:J,0,0,1)</f>
        <v>0.12354722363548773</v>
      </c>
      <c r="AB191" s="140">
        <f>+_xlfn.XLOOKUP(PROYECTOS[[#This Row],[MUNICIPIO]],'4.CAP_ENDMNT'!B:B,'4.CAP_ENDMNT'!K:K,0,0,1)</f>
        <v>6483898773.3409996</v>
      </c>
      <c r="AC191" s="140">
        <f>+_xlfn.XLOOKUP(PROYECTOS[[#This Row],[MUNICIPIO]],'4.CAP_ENDMNT'!B:B,'4.CAP_ENDMNT'!L:L,0,0,1)</f>
        <v>5187119018.6728001</v>
      </c>
      <c r="AD191" s="140">
        <f>+_xlfn.XLOOKUP(PROYECTOS[[#This Row],[MUNICIPIO]],'4.CAP_ENDMNT'!B:B,'4.CAP_ENDMNT'!M:M,0,0,1)</f>
        <v>3890339264.0045996</v>
      </c>
      <c r="AE191" s="134">
        <f>+_xlfn.XLOOKUP(PROYECTOS[[#This Row],[MUNICIPIO]],'4.CAP_ENDMNT'!B:B,'4.CAP_ENDMNT'!N:N,0,0,1)</f>
        <v>1</v>
      </c>
      <c r="AF191" s="134">
        <f>+_xlfn.XLOOKUP(PROYECTOS[[#This Row],[MUNICIPIO]],'4.CAP_ENDMNT'!B:B,'4.CAP_ENDMNT'!O:O,0,0,1)</f>
        <v>0.55936476249157852</v>
      </c>
      <c r="AG191" s="134">
        <f>+_xlfn.XLOOKUP(PROYECTOS[[#This Row],[MUNICIPIO]],'4.CAP_ENDMNT'!B:B,'4.CAP_ENDMNT'!P:P,0,0,1)</f>
        <v>0.8</v>
      </c>
      <c r="AH191" s="44" t="str">
        <f>+_xlfn.XLOOKUP(PROYECTOS[[#This Row],[MUNICIPIO]],'4.CAP_ENDMNT'!B:B,'4.CAP_ENDMNT'!Q:Q,0,0,1)</f>
        <v>Cumple</v>
      </c>
      <c r="AI191" s="139">
        <f>+_xlfn.XLOOKUP(PROYECTOS[[#This Row],[MUNICIPIO]],'4.CAP_ENDMNT'!B:B,'4.CAP_ENDMNT'!V:V,0,0,1)</f>
        <v>778067852.80092001</v>
      </c>
      <c r="AJ191" s="139">
        <f>+_xlfn.XLOOKUP(PROYECTOS[[#This Row],[MUNICIPIO]],'4.CAP_ENDMNT'!B:B,'4.CAP_ENDMNT'!Y:Y,0,0,1)</f>
        <v>-57612554588.194481</v>
      </c>
      <c r="AK191"/>
      <c r="AL191"/>
      <c r="AM191"/>
    </row>
    <row r="192" spans="1:39">
      <c r="A192" s="44">
        <v>208</v>
      </c>
      <c r="B192" s="37" t="s">
        <v>472</v>
      </c>
      <c r="C192" s="118">
        <v>45747</v>
      </c>
      <c r="D192" s="46" t="s">
        <v>473</v>
      </c>
      <c r="E192" s="47" t="str">
        <f>+_xlfn.XLOOKUP(PROYECTOS[[#This Row],[MUNICIPIO]],MUNICIPIOS!A:A,MUNICIPIOS!E:E,0,0,1)</f>
        <v>Magdalena Medio</v>
      </c>
      <c r="F192" s="44">
        <f>+_xlfn.XLOOKUP(PROYECTOS[[#This Row],[MUNICIPIO]],MUNICIPIOS!A:A,MUNICIPIOS!F:F,0,0,1)</f>
        <v>-74.757420999999994</v>
      </c>
      <c r="G192" s="44" t="str">
        <f>+_xlfn.XLOOKUP(PROYECTOS[[#This Row],[MUNICIPIO]],MUNICIPIOS!A:A,MUNICIPIOS!G:G,0,0,1)</f>
        <v>6,409829</v>
      </c>
      <c r="H192" s="44">
        <f>+_xlfn.XLOOKUP(PROYECTOS[[#This Row],[MUNICIPIO]],MUNICIPIOS!A:A,MUNICIPIOS!B:B,0,0,1)</f>
        <v>0</v>
      </c>
      <c r="I192" s="44">
        <f>+_xlfn.XLOOKUP(PROYECTOS[[#This Row],[MUNICIPIO]],MUNICIPIOS!A:A,MUNICIPIOS!C:C,0,0,1)</f>
        <v>0</v>
      </c>
      <c r="J192" s="3" t="str" cm="1">
        <f t="array" ref="J192">_xlfn.TEXTJOIN(" ", TRUE, IF(radicados[ID PROYECTOS]=A192, radicados[RADICADO], ""))</f>
        <v/>
      </c>
      <c r="K192" s="128">
        <v>2</v>
      </c>
      <c r="L192" s="48"/>
      <c r="M192" s="34" t="s">
        <v>288</v>
      </c>
      <c r="N192" s="40" t="s">
        <v>398</v>
      </c>
      <c r="O192" s="34" t="s">
        <v>25</v>
      </c>
      <c r="P192" s="37" t="s">
        <v>939</v>
      </c>
      <c r="Q192" s="45"/>
      <c r="R192" s="43"/>
      <c r="S192" s="43"/>
      <c r="T192" s="44">
        <f>+_xlfn.XLOOKUP(PROYECTOS[[#This Row],[MUNICIPIO]],'4.CAP_ENDMNT'!B:B,'4.CAP_ENDMNT'!C:C,0,0,1)</f>
        <v>6</v>
      </c>
      <c r="U192" s="139">
        <f>+_xlfn.XLOOKUP(PROYECTOS[[#This Row],[MUNICIPIO]],'4.CAP_ENDMNT'!B:B,'4.CAP_ENDMNT'!D:D,0,0,1)</f>
        <v>6287173903.2990007</v>
      </c>
      <c r="V192" s="140">
        <f>+_xlfn.XLOOKUP(PROYECTOS[[#This Row],[MUNICIPIO]],'4.CAP_ENDMNT'!B:B,'4.CAP_ENDMNT'!E:E,0,0,1)</f>
        <v>2101889048.3700001</v>
      </c>
      <c r="W192" s="140">
        <f>+_xlfn.XLOOKUP(PROYECTOS[[#This Row],[MUNICIPIO]],'4.CAP_ENDMNT'!B:B,'4.CAP_ENDMNT'!F:F,0,0,1)</f>
        <v>4185284854.9290009</v>
      </c>
      <c r="X192" s="140">
        <f>+_xlfn.XLOOKUP(PROYECTOS[[#This Row],[MUNICIPIO]],'4.CAP_ENDMNT'!B:B,'4.CAP_ENDMNT'!G:G,0,0,1)</f>
        <v>1389004859</v>
      </c>
      <c r="Y192" s="140">
        <f>+_xlfn.XLOOKUP(PROYECTOS[[#This Row],[MUNICIPIO]],'4.CAP_ENDMNT'!B:B,'4.CAP_ENDMNT'!H:H,0,0,1)</f>
        <v>1150000000</v>
      </c>
      <c r="Z192" s="140">
        <f>+_xlfn.XLOOKUP(PROYECTOS[[#This Row],[MUNICIPIO]],'4.CAP_ENDMNT'!B:B,'4.CAP_ENDMNT'!I:I,0,0,1)</f>
        <v>2539004859</v>
      </c>
      <c r="AA192" s="134">
        <f>+_xlfn.XLOOKUP(PROYECTOS[[#This Row],[MUNICIPIO]],'4.CAP_ENDMNT'!B:B,'4.CAP_ENDMNT'!J:J,0,0,1)</f>
        <v>0.40383881503066671</v>
      </c>
      <c r="AB192" s="140">
        <f>+_xlfn.XLOOKUP(PROYECTOS[[#This Row],[MUNICIPIO]],'4.CAP_ENDMNT'!B:B,'4.CAP_ENDMNT'!K:K,0,0,1)</f>
        <v>3748169044.2990007</v>
      </c>
      <c r="AC192" s="140">
        <f>+_xlfn.XLOOKUP(PROYECTOS[[#This Row],[MUNICIPIO]],'4.CAP_ENDMNT'!B:B,'4.CAP_ENDMNT'!L:L,0,0,1)</f>
        <v>2998535235.4392009</v>
      </c>
      <c r="AD192" s="140">
        <f>+_xlfn.XLOOKUP(PROYECTOS[[#This Row],[MUNICIPIO]],'4.CAP_ENDMNT'!B:B,'4.CAP_ENDMNT'!M:M,0,0,1)</f>
        <v>2248901426.5794005</v>
      </c>
      <c r="AE192" s="134">
        <f>+_xlfn.XLOOKUP(PROYECTOS[[#This Row],[MUNICIPIO]],'4.CAP_ENDMNT'!B:B,'4.CAP_ENDMNT'!N:N,0,0,1)</f>
        <v>0.54706664072595224</v>
      </c>
      <c r="AF192" s="134">
        <f>+_xlfn.XLOOKUP(PROYECTOS[[#This Row],[MUNICIPIO]],'4.CAP_ENDMNT'!B:B,'4.CAP_ENDMNT'!O:O,0,0,1)</f>
        <v>0.5833393396108878</v>
      </c>
      <c r="AG192" s="134">
        <f>+_xlfn.XLOOKUP(PROYECTOS[[#This Row],[MUNICIPIO]],'4.CAP_ENDMNT'!B:B,'4.CAP_ENDMNT'!P:P,0,0,1)</f>
        <v>0.8</v>
      </c>
      <c r="AH192" s="44" t="str">
        <f>+_xlfn.XLOOKUP(PROYECTOS[[#This Row],[MUNICIPIO]],'4.CAP_ENDMNT'!B:B,'4.CAP_ENDMNT'!Q:Q,0,0,1)</f>
        <v>Cumple</v>
      </c>
      <c r="AI192" s="139">
        <f>+_xlfn.XLOOKUP(PROYECTOS[[#This Row],[MUNICIPIO]],'4.CAP_ENDMNT'!B:B,'4.CAP_ENDMNT'!V:V,0,0,1)</f>
        <v>449780285.31588012</v>
      </c>
      <c r="AJ192" s="139">
        <f>+_xlfn.XLOOKUP(PROYECTOS[[#This Row],[MUNICIPIO]],'4.CAP_ENDMNT'!B:B,'4.CAP_ENDMNT'!Y:Y,0,0,1)</f>
        <v>-1221148754.1047192</v>
      </c>
      <c r="AK192"/>
      <c r="AL192"/>
      <c r="AM192"/>
    </row>
    <row r="193" spans="1:39">
      <c r="A193" s="44">
        <v>209</v>
      </c>
      <c r="B193" s="37" t="s">
        <v>1418</v>
      </c>
      <c r="C193" s="118">
        <v>45747</v>
      </c>
      <c r="D193" s="46" t="s">
        <v>327</v>
      </c>
      <c r="E193" s="47" t="str">
        <f>+_xlfn.XLOOKUP(PROYECTOS[[#This Row],[MUNICIPIO]],MUNICIPIOS!A:A,MUNICIPIOS!E:E,0,0,1)</f>
        <v>Nordeste</v>
      </c>
      <c r="F193" s="44">
        <f>+_xlfn.XLOOKUP(PROYECTOS[[#This Row],[MUNICIPIO]],MUNICIPIOS!A:A,MUNICIPIOS!F:F,0,0,1)</f>
        <v>-75.019109</v>
      </c>
      <c r="G193" s="44" t="str">
        <f>+_xlfn.XLOOKUP(PROYECTOS[[#This Row],[MUNICIPIO]],MUNICIPIOS!A:A,MUNICIPIOS!G:G,0,0,1)</f>
        <v>6,485939</v>
      </c>
      <c r="H193" s="44">
        <f>+_xlfn.XLOOKUP(PROYECTOS[[#This Row],[MUNICIPIO]],MUNICIPIOS!A:A,MUNICIPIOS!B:B,0,0,1)</f>
        <v>0</v>
      </c>
      <c r="I193" s="44">
        <f>+_xlfn.XLOOKUP(PROYECTOS[[#This Row],[MUNICIPIO]],MUNICIPIOS!A:A,MUNICIPIOS!C:C,0,0,1)</f>
        <v>0</v>
      </c>
      <c r="J193" s="3" t="str" cm="1">
        <f t="array" ref="J193">_xlfn.TEXTJOIN(" ", TRUE, IF(radicados[ID PROYECTOS]=A193, radicados[RADICADO], ""))</f>
        <v/>
      </c>
      <c r="K193" s="45">
        <v>3</v>
      </c>
      <c r="L193" s="48">
        <v>5451448010</v>
      </c>
      <c r="M193" s="34" t="s">
        <v>288</v>
      </c>
      <c r="N193" s="40" t="s">
        <v>398</v>
      </c>
      <c r="O193" s="34" t="s">
        <v>25</v>
      </c>
      <c r="P193" s="37"/>
      <c r="Q193" s="45">
        <v>1</v>
      </c>
      <c r="R193" s="43" t="s">
        <v>922</v>
      </c>
      <c r="S193" s="43" t="s">
        <v>1639</v>
      </c>
      <c r="T193" s="44">
        <f>+_xlfn.XLOOKUP(PROYECTOS[[#This Row],[MUNICIPIO]],'4.CAP_ENDMNT'!B:B,'4.CAP_ENDMNT'!C:C,0,0,1)</f>
        <v>6</v>
      </c>
      <c r="U193" s="139">
        <f>+_xlfn.XLOOKUP(PROYECTOS[[#This Row],[MUNICIPIO]],'4.CAP_ENDMNT'!B:B,'4.CAP_ENDMNT'!D:D,0,0,1)</f>
        <v>13645854382.4415</v>
      </c>
      <c r="V193" s="140">
        <f>+_xlfn.XLOOKUP(PROYECTOS[[#This Row],[MUNICIPIO]],'4.CAP_ENDMNT'!B:B,'4.CAP_ENDMNT'!E:E,0,0,1)</f>
        <v>5036095672.2200003</v>
      </c>
      <c r="W193" s="140">
        <f>+_xlfn.XLOOKUP(PROYECTOS[[#This Row],[MUNICIPIO]],'4.CAP_ENDMNT'!B:B,'4.CAP_ENDMNT'!F:F,0,0,1)</f>
        <v>8609758710.2215004</v>
      </c>
      <c r="X193" s="140">
        <f>+_xlfn.XLOOKUP(PROYECTOS[[#This Row],[MUNICIPIO]],'4.CAP_ENDMNT'!B:B,'4.CAP_ENDMNT'!G:G,0,0,1)</f>
        <v>2357809963</v>
      </c>
      <c r="Y193" s="140">
        <f>+_xlfn.XLOOKUP(PROYECTOS[[#This Row],[MUNICIPIO]],'4.CAP_ENDMNT'!B:B,'4.CAP_ENDMNT'!H:H,0,0,1)</f>
        <v>1093248488</v>
      </c>
      <c r="Z193" s="140">
        <f>+_xlfn.XLOOKUP(PROYECTOS[[#This Row],[MUNICIPIO]],'4.CAP_ENDMNT'!B:B,'4.CAP_ENDMNT'!I:I,0,0,1)</f>
        <v>3451058451</v>
      </c>
      <c r="AA193" s="134">
        <f>+_xlfn.XLOOKUP(PROYECTOS[[#This Row],[MUNICIPIO]],'4.CAP_ENDMNT'!B:B,'4.CAP_ENDMNT'!J:J,0,0,1)</f>
        <v>0.25290160324739891</v>
      </c>
      <c r="AB193" s="140">
        <f>+_xlfn.XLOOKUP(PROYECTOS[[#This Row],[MUNICIPIO]],'4.CAP_ENDMNT'!B:B,'4.CAP_ENDMNT'!K:K,0,0,1)</f>
        <v>10194795931.4415</v>
      </c>
      <c r="AC193" s="140">
        <f>+_xlfn.XLOOKUP(PROYECTOS[[#This Row],[MUNICIPIO]],'4.CAP_ENDMNT'!B:B,'4.CAP_ENDMNT'!L:L,0,0,1)</f>
        <v>8155836745.1532001</v>
      </c>
      <c r="AD193" s="140">
        <f>+_xlfn.XLOOKUP(PROYECTOS[[#This Row],[MUNICIPIO]],'4.CAP_ENDMNT'!B:B,'4.CAP_ENDMNT'!M:M,0,0,1)</f>
        <v>6116877558.8648996</v>
      </c>
      <c r="AE193" s="134">
        <f>+_xlfn.XLOOKUP(PROYECTOS[[#This Row],[MUNICIPIO]],'4.CAP_ENDMNT'!B:B,'4.CAP_ENDMNT'!N:N,0,0,1)</f>
        <v>0.68321356954032075</v>
      </c>
      <c r="AF193" s="134">
        <f>+_xlfn.XLOOKUP(PROYECTOS[[#This Row],[MUNICIPIO]],'4.CAP_ENDMNT'!B:B,'4.CAP_ENDMNT'!O:O,0,0,1)</f>
        <v>0.58815143933117542</v>
      </c>
      <c r="AG193" s="134">
        <f>+_xlfn.XLOOKUP(PROYECTOS[[#This Row],[MUNICIPIO]],'4.CAP_ENDMNT'!B:B,'4.CAP_ENDMNT'!P:P,0,0,1)</f>
        <v>0.8</v>
      </c>
      <c r="AH193" s="44" t="str">
        <f>+_xlfn.XLOOKUP(PROYECTOS[[#This Row],[MUNICIPIO]],'4.CAP_ENDMNT'!B:B,'4.CAP_ENDMNT'!Q:Q,0,0,1)</f>
        <v>Cumple</v>
      </c>
      <c r="AI193" s="139">
        <f>+_xlfn.XLOOKUP(PROYECTOS[[#This Row],[MUNICIPIO]],'4.CAP_ENDMNT'!B:B,'4.CAP_ENDMNT'!V:V,0,0,1)</f>
        <v>1223375511.77298</v>
      </c>
      <c r="AJ193" s="139">
        <f>+_xlfn.XLOOKUP(PROYECTOS[[#This Row],[MUNICIPIO]],'4.CAP_ENDMNT'!B:B,'4.CAP_ENDMNT'!Y:Y,0,0,1)</f>
        <v>-3684666242.3621206</v>
      </c>
      <c r="AK193"/>
      <c r="AL193"/>
      <c r="AM193"/>
    </row>
    <row r="194" spans="1:39">
      <c r="A194" s="44">
        <v>210</v>
      </c>
      <c r="B194" s="192" t="s">
        <v>475</v>
      </c>
      <c r="C194" s="118">
        <v>45747</v>
      </c>
      <c r="D194" s="46" t="s">
        <v>74</v>
      </c>
      <c r="E194" s="47" t="str">
        <f>+_xlfn.XLOOKUP(PROYECTOS[[#This Row],[MUNICIPIO]],MUNICIPIOS!A:A,MUNICIPIOS!E:E,0,0,1)</f>
        <v>Urabá</v>
      </c>
      <c r="F194" s="44">
        <f>+_xlfn.XLOOKUP(PROYECTOS[[#This Row],[MUNICIPIO]],MUNICIPIOS!A:A,MUNICIPIOS!F:F,0,0,1)</f>
        <v>-76.728858000000002</v>
      </c>
      <c r="G194" s="44">
        <f>+_xlfn.XLOOKUP(PROYECTOS[[#This Row],[MUNICIPIO]],MUNICIPIOS!A:A,MUNICIPIOS!G:G,0,0,1)</f>
        <v>8.0899289999999997</v>
      </c>
      <c r="H194" s="44">
        <f>+_xlfn.XLOOKUP(PROYECTOS[[#This Row],[MUNICIPIO]],MUNICIPIOS!A:A,MUNICIPIOS!B:B,0,0,1)</f>
        <v>1</v>
      </c>
      <c r="I194" s="44">
        <f>+_xlfn.XLOOKUP(PROYECTOS[[#This Row],[MUNICIPIO]],MUNICIPIOS!A:A,MUNICIPIOS!C:C,0,0,1)</f>
        <v>1</v>
      </c>
      <c r="J194" s="34" t="s">
        <v>1111</v>
      </c>
      <c r="K194" s="45">
        <v>3</v>
      </c>
      <c r="L194" s="48">
        <v>4983208998</v>
      </c>
      <c r="M194" s="34" t="s">
        <v>288</v>
      </c>
      <c r="N194" s="40" t="s">
        <v>398</v>
      </c>
      <c r="O194" s="34" t="s">
        <v>25</v>
      </c>
      <c r="P194" s="34" t="s">
        <v>1111</v>
      </c>
      <c r="Q194" s="45"/>
      <c r="R194" s="43"/>
      <c r="S194" s="43"/>
      <c r="T194" s="44">
        <f>+_xlfn.XLOOKUP(PROYECTOS[[#This Row],[MUNICIPIO]],'4.CAP_ENDMNT'!B:B,'4.CAP_ENDMNT'!C:C,0,0,1)</f>
        <v>5</v>
      </c>
      <c r="U194" s="139">
        <f>+_xlfn.XLOOKUP(PROYECTOS[[#This Row],[MUNICIPIO]],'4.CAP_ENDMNT'!B:B,'4.CAP_ENDMNT'!D:D,0,0,1)</f>
        <v>57277943756.629501</v>
      </c>
      <c r="V194" s="140">
        <f>+_xlfn.XLOOKUP(PROYECTOS[[#This Row],[MUNICIPIO]],'4.CAP_ENDMNT'!B:B,'4.CAP_ENDMNT'!E:E,0,0,1)</f>
        <v>34159399600.959999</v>
      </c>
      <c r="W194" s="140">
        <f>+_xlfn.XLOOKUP(PROYECTOS[[#This Row],[MUNICIPIO]],'4.CAP_ENDMNT'!B:B,'4.CAP_ENDMNT'!F:F,0,0,1)</f>
        <v>23118544155.669502</v>
      </c>
      <c r="X194" s="140">
        <f>+_xlfn.XLOOKUP(PROYECTOS[[#This Row],[MUNICIPIO]],'4.CAP_ENDMNT'!B:B,'4.CAP_ENDMNT'!G:G,0,0,1)</f>
        <v>3450000000</v>
      </c>
      <c r="Y194" s="140">
        <f>+_xlfn.XLOOKUP(PROYECTOS[[#This Row],[MUNICIPIO]],'4.CAP_ENDMNT'!B:B,'4.CAP_ENDMNT'!H:H,0,0,1)</f>
        <v>21452083665</v>
      </c>
      <c r="Z194" s="140">
        <f>+_xlfn.XLOOKUP(PROYECTOS[[#This Row],[MUNICIPIO]],'4.CAP_ENDMNT'!B:B,'4.CAP_ENDMNT'!I:I,0,0,1)</f>
        <v>24902083665</v>
      </c>
      <c r="AA194" s="134">
        <f>+_xlfn.XLOOKUP(PROYECTOS[[#This Row],[MUNICIPIO]],'4.CAP_ENDMNT'!B:B,'4.CAP_ENDMNT'!J:J,0,0,1)</f>
        <v>0.43475868775610099</v>
      </c>
      <c r="AB194" s="140">
        <f>+_xlfn.XLOOKUP(PROYECTOS[[#This Row],[MUNICIPIO]],'4.CAP_ENDMNT'!B:B,'4.CAP_ENDMNT'!K:K,0,0,1)</f>
        <v>32375860091.629501</v>
      </c>
      <c r="AC194" s="140">
        <f>+_xlfn.XLOOKUP(PROYECTOS[[#This Row],[MUNICIPIO]],'4.CAP_ENDMNT'!B:B,'4.CAP_ENDMNT'!L:L,0,0,1)</f>
        <v>25900688073.303604</v>
      </c>
      <c r="AD194" s="140">
        <f>+_xlfn.XLOOKUP(PROYECTOS[[#This Row],[MUNICIPIO]],'4.CAP_ENDMNT'!B:B,'4.CAP_ENDMNT'!M:M,0,0,1)</f>
        <v>19425516054.977699</v>
      </c>
      <c r="AE194" s="134">
        <f>+_xlfn.XLOOKUP(PROYECTOS[[#This Row],[MUNICIPIO]],'4.CAP_ENDMNT'!B:B,'4.CAP_ENDMNT'!N:N,0,0,1)</f>
        <v>0.13854262343712995</v>
      </c>
      <c r="AF194" s="134">
        <f>+_xlfn.XLOOKUP(PROYECTOS[[#This Row],[MUNICIPIO]],'4.CAP_ENDMNT'!B:B,'4.CAP_ENDMNT'!O:O,0,0,1)</f>
        <v>0.87015152665365447</v>
      </c>
      <c r="AG194" s="134">
        <f>+_xlfn.XLOOKUP(PROYECTOS[[#This Row],[MUNICIPIO]],'4.CAP_ENDMNT'!B:B,'4.CAP_ENDMNT'!P:P,0,0,1)</f>
        <v>0.8</v>
      </c>
      <c r="AH194" s="44" t="str">
        <f>+_xlfn.XLOOKUP(PROYECTOS[[#This Row],[MUNICIPIO]],'4.CAP_ENDMNT'!B:B,'4.CAP_ENDMNT'!Q:Q,0,0,1)</f>
        <v>Incumple</v>
      </c>
      <c r="AI194" s="139">
        <f>+_xlfn.XLOOKUP(PROYECTOS[[#This Row],[MUNICIPIO]],'4.CAP_ENDMNT'!B:B,'4.CAP_ENDMNT'!V:V,0,0,1)</f>
        <v>3885103210.9955401</v>
      </c>
      <c r="AJ194" s="139">
        <f>+_xlfn.XLOOKUP(PROYECTOS[[#This Row],[MUNICIPIO]],'4.CAP_ENDMNT'!B:B,'4.CAP_ENDMNT'!Y:Y,0,0,1)</f>
        <v>-114052861009.72676</v>
      </c>
      <c r="AK194"/>
      <c r="AL194"/>
      <c r="AM194"/>
    </row>
    <row r="195" spans="1:39">
      <c r="A195" s="44">
        <v>212</v>
      </c>
      <c r="B195" s="37" t="s">
        <v>1419</v>
      </c>
      <c r="C195" s="118">
        <v>45747</v>
      </c>
      <c r="D195" s="34" t="s">
        <v>138</v>
      </c>
      <c r="E195" s="47" t="str">
        <f>+_xlfn.XLOOKUP(PROYECTOS[[#This Row],[MUNICIPIO]],MUNICIPIOS!A:A,MUNICIPIOS!E:E,0,0,1)</f>
        <v>Norte</v>
      </c>
      <c r="F195" s="44">
        <f>+_xlfn.XLOOKUP(PROYECTOS[[#This Row],[MUNICIPIO]],MUNICIPIOS!A:A,MUNICIPIOS!F:F,0,0,1)</f>
        <v>-75.220017999999996</v>
      </c>
      <c r="G195" s="44" t="str">
        <f>+_xlfn.XLOOKUP(PROYECTOS[[#This Row],[MUNICIPIO]],MUNICIPIOS!A:A,MUNICIPIOS!G:G,0,0,1)</f>
        <v>6,683269</v>
      </c>
      <c r="H195" s="44">
        <f>+_xlfn.XLOOKUP(PROYECTOS[[#This Row],[MUNICIPIO]],MUNICIPIOS!A:A,MUNICIPIOS!B:B,0,0,1)</f>
        <v>0</v>
      </c>
      <c r="I195" s="44">
        <f>+_xlfn.XLOOKUP(PROYECTOS[[#This Row],[MUNICIPIO]],MUNICIPIOS!A:A,MUNICIPIOS!C:C,0,0,1)</f>
        <v>0</v>
      </c>
      <c r="J195" s="3" t="str" cm="1">
        <f t="array" ref="J195">_xlfn.TEXTJOIN(" ", TRUE, IF(radicados[ID PROYECTOS]=A195, radicados[RADICADO], ""))</f>
        <v/>
      </c>
      <c r="K195" s="128">
        <v>3</v>
      </c>
      <c r="L195" s="48">
        <v>13536000000</v>
      </c>
      <c r="M195" s="34" t="s">
        <v>435</v>
      </c>
      <c r="N195" s="40" t="s">
        <v>397</v>
      </c>
      <c r="O195" s="40" t="s">
        <v>56</v>
      </c>
      <c r="P195" s="37" t="s">
        <v>1237</v>
      </c>
      <c r="Q195" s="45">
        <v>1</v>
      </c>
      <c r="R195" s="43" t="s">
        <v>922</v>
      </c>
      <c r="S195" s="43" t="s">
        <v>1643</v>
      </c>
      <c r="T195" s="44">
        <f>+_xlfn.XLOOKUP(PROYECTOS[[#This Row],[MUNICIPIO]],'4.CAP_ENDMNT'!B:B,'4.CAP_ENDMNT'!C:C,0,0,1)</f>
        <v>6</v>
      </c>
      <c r="U195" s="139">
        <f>+_xlfn.XLOOKUP(PROYECTOS[[#This Row],[MUNICIPIO]],'4.CAP_ENDMNT'!B:B,'4.CAP_ENDMNT'!D:D,0,0,1)</f>
        <v>12229746381.692001</v>
      </c>
      <c r="V195" s="140">
        <f>+_xlfn.XLOOKUP(PROYECTOS[[#This Row],[MUNICIPIO]],'4.CAP_ENDMNT'!B:B,'4.CAP_ENDMNT'!E:E,0,0,1)</f>
        <v>3376878617.9000001</v>
      </c>
      <c r="W195" s="140">
        <f>+_xlfn.XLOOKUP(PROYECTOS[[#This Row],[MUNICIPIO]],'4.CAP_ENDMNT'!B:B,'4.CAP_ENDMNT'!F:F,0,0,1)</f>
        <v>8852867763.7920017</v>
      </c>
      <c r="X195" s="140">
        <f>+_xlfn.XLOOKUP(PROYECTOS[[#This Row],[MUNICIPIO]],'4.CAP_ENDMNT'!B:B,'4.CAP_ENDMNT'!G:G,0,0,1)</f>
        <v>1494526177.51</v>
      </c>
      <c r="Y195" s="140">
        <f>+_xlfn.XLOOKUP(PROYECTOS[[#This Row],[MUNICIPIO]],'4.CAP_ENDMNT'!B:B,'4.CAP_ENDMNT'!H:H,0,0,1)</f>
        <v>880381975</v>
      </c>
      <c r="Z195" s="140">
        <f>+_xlfn.XLOOKUP(PROYECTOS[[#This Row],[MUNICIPIO]],'4.CAP_ENDMNT'!B:B,'4.CAP_ENDMNT'!I:I,0,0,1)</f>
        <v>2374908152.5100002</v>
      </c>
      <c r="AA195" s="134">
        <f>+_xlfn.XLOOKUP(PROYECTOS[[#This Row],[MUNICIPIO]],'4.CAP_ENDMNT'!B:B,'4.CAP_ENDMNT'!J:J,0,0,1)</f>
        <v>0.19419112043609105</v>
      </c>
      <c r="AB195" s="140">
        <f>+_xlfn.XLOOKUP(PROYECTOS[[#This Row],[MUNICIPIO]],'4.CAP_ENDMNT'!B:B,'4.CAP_ENDMNT'!K:K,0,0,1)</f>
        <v>9854838229.1820011</v>
      </c>
      <c r="AC195" s="140">
        <f>+_xlfn.XLOOKUP(PROYECTOS[[#This Row],[MUNICIPIO]],'4.CAP_ENDMNT'!B:B,'4.CAP_ENDMNT'!L:L,0,0,1)</f>
        <v>7883870583.3456011</v>
      </c>
      <c r="AD195" s="140">
        <f>+_xlfn.XLOOKUP(PROYECTOS[[#This Row],[MUNICIPIO]],'4.CAP_ENDMNT'!B:B,'4.CAP_ENDMNT'!M:M,0,0,1)</f>
        <v>5912902937.5092001</v>
      </c>
      <c r="AE195" s="134">
        <f>+_xlfn.XLOOKUP(PROYECTOS[[#This Row],[MUNICIPIO]],'4.CAP_ENDMNT'!B:B,'4.CAP_ENDMNT'!N:N,0,0,1)</f>
        <v>0.6292985166312477</v>
      </c>
      <c r="AF195" s="134">
        <f>+_xlfn.XLOOKUP(PROYECTOS[[#This Row],[MUNICIPIO]],'4.CAP_ENDMNT'!B:B,'4.CAP_ENDMNT'!O:O,0,0,1)</f>
        <v>0.5600857997738885</v>
      </c>
      <c r="AG195" s="134">
        <f>+_xlfn.XLOOKUP(PROYECTOS[[#This Row],[MUNICIPIO]],'4.CAP_ENDMNT'!B:B,'4.CAP_ENDMNT'!P:P,0,0,1)</f>
        <v>0.8</v>
      </c>
      <c r="AH195" s="44" t="str">
        <f>+_xlfn.XLOOKUP(PROYECTOS[[#This Row],[MUNICIPIO]],'4.CAP_ENDMNT'!B:B,'4.CAP_ENDMNT'!Q:Q,0,0,1)</f>
        <v>Cumple</v>
      </c>
      <c r="AI195" s="139">
        <f>+_xlfn.XLOOKUP(PROYECTOS[[#This Row],[MUNICIPIO]],'4.CAP_ENDMNT'!B:B,'4.CAP_ENDMNT'!V:V,0,0,1)</f>
        <v>1182580587.5018401</v>
      </c>
      <c r="AJ195" s="139">
        <f>+_xlfn.XLOOKUP(PROYECTOS[[#This Row],[MUNICIPIO]],'4.CAP_ENDMNT'!B:B,'4.CAP_ENDMNT'!Y:Y,0,0,1)</f>
        <v>-14890911393.98896</v>
      </c>
      <c r="AK195"/>
      <c r="AL195"/>
      <c r="AM195"/>
    </row>
    <row r="196" spans="1:39">
      <c r="A196" s="44">
        <v>213</v>
      </c>
      <c r="B196" s="37" t="s">
        <v>1420</v>
      </c>
      <c r="C196" s="118">
        <v>45747</v>
      </c>
      <c r="D196" s="34" t="s">
        <v>281</v>
      </c>
      <c r="E196" s="47" t="str">
        <f>+_xlfn.XLOOKUP(PROYECTOS[[#This Row],[MUNICIPIO]],MUNICIPIOS!A:A,MUNICIPIOS!E:E,0,0,1)</f>
        <v>Suroeste</v>
      </c>
      <c r="F196" s="44">
        <f>+_xlfn.XLOOKUP(PROYECTOS[[#This Row],[MUNICIPIO]],MUNICIPIOS!A:A,MUNICIPIOS!F:F,0,0,1)</f>
        <v>-75.735544000000004</v>
      </c>
      <c r="G196" s="44">
        <f>+_xlfn.XLOOKUP(PROYECTOS[[#This Row],[MUNICIPIO]],MUNICIPIOS!A:A,MUNICIPIOS!G:G,0,0,1)</f>
        <v>5.9646929999999996</v>
      </c>
      <c r="H196" s="44">
        <f>+_xlfn.XLOOKUP(PROYECTOS[[#This Row],[MUNICIPIO]],MUNICIPIOS!A:A,MUNICIPIOS!B:B,0,0,1)</f>
        <v>0</v>
      </c>
      <c r="I196" s="44">
        <f>+_xlfn.XLOOKUP(PROYECTOS[[#This Row],[MUNICIPIO]],MUNICIPIOS!A:A,MUNICIPIOS!C:C,0,0,1)</f>
        <v>0</v>
      </c>
      <c r="J196" s="3" t="str" cm="1">
        <f t="array" ref="J196">_xlfn.TEXTJOIN(" ", TRUE, IF(radicados[ID PROYECTOS]=A196, radicados[RADICADO], ""))</f>
        <v/>
      </c>
      <c r="K196" s="142">
        <v>3</v>
      </c>
      <c r="L196" s="23">
        <v>1895000000</v>
      </c>
      <c r="M196" s="34" t="s">
        <v>435</v>
      </c>
      <c r="N196" s="40" t="s">
        <v>397</v>
      </c>
      <c r="O196" s="40" t="s">
        <v>56</v>
      </c>
      <c r="P196" s="37" t="s">
        <v>1242</v>
      </c>
      <c r="Q196" s="45">
        <v>1</v>
      </c>
      <c r="R196" s="43" t="s">
        <v>922</v>
      </c>
      <c r="S196" s="43" t="s">
        <v>1643</v>
      </c>
      <c r="T196" s="44">
        <f>+_xlfn.XLOOKUP(PROYECTOS[[#This Row],[MUNICIPIO]],'4.CAP_ENDMNT'!B:B,'4.CAP_ENDMNT'!C:C,0,0,1)</f>
        <v>6</v>
      </c>
      <c r="U196" s="139">
        <f>+_xlfn.XLOOKUP(PROYECTOS[[#This Row],[MUNICIPIO]],'4.CAP_ENDMNT'!B:B,'4.CAP_ENDMNT'!D:D,0,0,1)</f>
        <v>12522207884.799</v>
      </c>
      <c r="V196" s="140">
        <f>+_xlfn.XLOOKUP(PROYECTOS[[#This Row],[MUNICIPIO]],'4.CAP_ENDMNT'!B:B,'4.CAP_ENDMNT'!E:E,0,0,1)</f>
        <v>6810462569.46</v>
      </c>
      <c r="W196" s="140">
        <f>+_xlfn.XLOOKUP(PROYECTOS[[#This Row],[MUNICIPIO]],'4.CAP_ENDMNT'!B:B,'4.CAP_ENDMNT'!F:F,0,0,1)</f>
        <v>5711745315.3389997</v>
      </c>
      <c r="X196" s="140">
        <f>+_xlfn.XLOOKUP(PROYECTOS[[#This Row],[MUNICIPIO]],'4.CAP_ENDMNT'!B:B,'4.CAP_ENDMNT'!G:G,0,0,1)</f>
        <v>0</v>
      </c>
      <c r="Y196" s="140">
        <f>+_xlfn.XLOOKUP(PROYECTOS[[#This Row],[MUNICIPIO]],'4.CAP_ENDMNT'!B:B,'4.CAP_ENDMNT'!H:H,0,0,1)</f>
        <v>0</v>
      </c>
      <c r="Z196" s="140">
        <f>+_xlfn.XLOOKUP(PROYECTOS[[#This Row],[MUNICIPIO]],'4.CAP_ENDMNT'!B:B,'4.CAP_ENDMNT'!I:I,0,0,1)</f>
        <v>0</v>
      </c>
      <c r="AA196" s="134">
        <f>+_xlfn.XLOOKUP(PROYECTOS[[#This Row],[MUNICIPIO]],'4.CAP_ENDMNT'!B:B,'4.CAP_ENDMNT'!J:J,0,0,1)</f>
        <v>0</v>
      </c>
      <c r="AB196" s="140">
        <f>+_xlfn.XLOOKUP(PROYECTOS[[#This Row],[MUNICIPIO]],'4.CAP_ENDMNT'!B:B,'4.CAP_ENDMNT'!K:K,0,0,1)</f>
        <v>12522207884.799</v>
      </c>
      <c r="AC196" s="140">
        <f>+_xlfn.XLOOKUP(PROYECTOS[[#This Row],[MUNICIPIO]],'4.CAP_ENDMNT'!B:B,'4.CAP_ENDMNT'!L:L,0,0,1)</f>
        <v>10017766307.839201</v>
      </c>
      <c r="AD196" s="140">
        <f>+_xlfn.XLOOKUP(PROYECTOS[[#This Row],[MUNICIPIO]],'4.CAP_ENDMNT'!B:B,'4.CAP_ENDMNT'!M:M,0,0,1)</f>
        <v>7513324730.8793993</v>
      </c>
      <c r="AE196" s="134">
        <f>+_xlfn.XLOOKUP(PROYECTOS[[#This Row],[MUNICIPIO]],'4.CAP_ENDMNT'!B:B,'4.CAP_ENDMNT'!N:N,0,0,1)</f>
        <v>0</v>
      </c>
      <c r="AF196" s="134">
        <f>+_xlfn.XLOOKUP(PROYECTOS[[#This Row],[MUNICIPIO]],'4.CAP_ENDMNT'!B:B,'4.CAP_ENDMNT'!O:O,0,0,1)</f>
        <v>0.68767493145996073</v>
      </c>
      <c r="AG196" s="134">
        <f>+_xlfn.XLOOKUP(PROYECTOS[[#This Row],[MUNICIPIO]],'4.CAP_ENDMNT'!B:B,'4.CAP_ENDMNT'!P:P,0,0,1)</f>
        <v>0.8</v>
      </c>
      <c r="AH196" s="44" t="str">
        <f>+_xlfn.XLOOKUP(PROYECTOS[[#This Row],[MUNICIPIO]],'4.CAP_ENDMNT'!B:B,'4.CAP_ENDMNT'!Q:Q,0,0,1)</f>
        <v>Cumple</v>
      </c>
      <c r="AI196" s="139">
        <f>+_xlfn.XLOOKUP(PROYECTOS[[#This Row],[MUNICIPIO]],'4.CAP_ENDMNT'!B:B,'4.CAP_ENDMNT'!V:V,0,0,1)</f>
        <v>1502664946.17588</v>
      </c>
      <c r="AJ196" s="139">
        <f>+_xlfn.XLOOKUP(PROYECTOS[[#This Row],[MUNICIPIO]],'4.CAP_ENDMNT'!B:B,'4.CAP_ENDMNT'!Y:Y,0,0,1)</f>
        <v>-30486452994.944721</v>
      </c>
      <c r="AK196"/>
      <c r="AL196"/>
      <c r="AM196"/>
    </row>
    <row r="197" spans="1:39">
      <c r="A197" s="44">
        <v>214</v>
      </c>
      <c r="B197" s="37" t="s">
        <v>1421</v>
      </c>
      <c r="C197" s="118">
        <v>45747</v>
      </c>
      <c r="D197" s="34" t="s">
        <v>52</v>
      </c>
      <c r="E197" s="47" t="str">
        <f>+_xlfn.XLOOKUP(PROYECTOS[[#This Row],[MUNICIPIO]],MUNICIPIOS!A:A,MUNICIPIOS!E:E,0,0,1)</f>
        <v>Suroeste</v>
      </c>
      <c r="F197" s="44">
        <f>+_xlfn.XLOOKUP(PROYECTOS[[#This Row],[MUNICIPIO]],MUNICIPIOS!A:A,MUNICIPIOS!F:F,0,0,1)</f>
        <v>-75.714428999999996</v>
      </c>
      <c r="G197" s="44">
        <f>+_xlfn.XLOOKUP(PROYECTOS[[#This Row],[MUNICIPIO]],MUNICIPIOS!A:A,MUNICIPIOS!G:G,0,0,1)</f>
        <v>5.6646450000000002</v>
      </c>
      <c r="H197" s="44">
        <f>+_xlfn.XLOOKUP(PROYECTOS[[#This Row],[MUNICIPIO]],MUNICIPIOS!A:A,MUNICIPIOS!B:B,0,0,1)</f>
        <v>0</v>
      </c>
      <c r="I197" s="44">
        <f>+_xlfn.XLOOKUP(PROYECTOS[[#This Row],[MUNICIPIO]],MUNICIPIOS!A:A,MUNICIPIOS!C:C,0,0,1)</f>
        <v>0</v>
      </c>
      <c r="J197" s="3" t="str" cm="1">
        <f t="array" ref="J197">_xlfn.TEXTJOIN(" ", TRUE, IF(radicados[ID PROYECTOS]=A197, radicados[RADICADO], ""))</f>
        <v/>
      </c>
      <c r="K197" s="45">
        <v>3</v>
      </c>
      <c r="L197" s="48">
        <v>5280800000</v>
      </c>
      <c r="M197" s="34" t="s">
        <v>435</v>
      </c>
      <c r="N197" s="40" t="s">
        <v>397</v>
      </c>
      <c r="O197" s="40" t="s">
        <v>56</v>
      </c>
      <c r="P197" s="37" t="s">
        <v>1241</v>
      </c>
      <c r="Q197" s="45"/>
      <c r="R197" s="43"/>
      <c r="S197" s="43"/>
      <c r="T197" s="44">
        <f>+_xlfn.XLOOKUP(PROYECTOS[[#This Row],[MUNICIPIO]],'4.CAP_ENDMNT'!B:B,'4.CAP_ENDMNT'!C:C,0,0,1)</f>
        <v>6</v>
      </c>
      <c r="U197" s="139">
        <f>+_xlfn.XLOOKUP(PROYECTOS[[#This Row],[MUNICIPIO]],'4.CAP_ENDMNT'!B:B,'4.CAP_ENDMNT'!D:D,0,0,1)</f>
        <v>13939577899.640499</v>
      </c>
      <c r="V197" s="140">
        <f>+_xlfn.XLOOKUP(PROYECTOS[[#This Row],[MUNICIPIO]],'4.CAP_ENDMNT'!B:B,'4.CAP_ENDMNT'!E:E,0,0,1)</f>
        <v>5408645166.3600006</v>
      </c>
      <c r="W197" s="140">
        <f>+_xlfn.XLOOKUP(PROYECTOS[[#This Row],[MUNICIPIO]],'4.CAP_ENDMNT'!B:B,'4.CAP_ENDMNT'!F:F,0,0,1)</f>
        <v>8530932733.2804985</v>
      </c>
      <c r="X197" s="140">
        <f>+_xlfn.XLOOKUP(PROYECTOS[[#This Row],[MUNICIPIO]],'4.CAP_ENDMNT'!B:B,'4.CAP_ENDMNT'!G:G,0,0,1)</f>
        <v>2408239973</v>
      </c>
      <c r="Y197" s="140">
        <f>+_xlfn.XLOOKUP(PROYECTOS[[#This Row],[MUNICIPIO]],'4.CAP_ENDMNT'!B:B,'4.CAP_ENDMNT'!H:H,0,0,1)</f>
        <v>812109375</v>
      </c>
      <c r="Z197" s="140">
        <f>+_xlfn.XLOOKUP(PROYECTOS[[#This Row],[MUNICIPIO]],'4.CAP_ENDMNT'!B:B,'4.CAP_ENDMNT'!I:I,0,0,1)</f>
        <v>3220349348</v>
      </c>
      <c r="AA197" s="134">
        <f>+_xlfn.XLOOKUP(PROYECTOS[[#This Row],[MUNICIPIO]],'4.CAP_ENDMNT'!B:B,'4.CAP_ENDMNT'!J:J,0,0,1)</f>
        <v>0.23102201309001277</v>
      </c>
      <c r="AB197" s="140">
        <f>+_xlfn.XLOOKUP(PROYECTOS[[#This Row],[MUNICIPIO]],'4.CAP_ENDMNT'!B:B,'4.CAP_ENDMNT'!K:K,0,0,1)</f>
        <v>10719228551.640499</v>
      </c>
      <c r="AC197" s="140">
        <f>+_xlfn.XLOOKUP(PROYECTOS[[#This Row],[MUNICIPIO]],'4.CAP_ENDMNT'!B:B,'4.CAP_ENDMNT'!L:L,0,0,1)</f>
        <v>8575382841.3123999</v>
      </c>
      <c r="AD197" s="140">
        <f>+_xlfn.XLOOKUP(PROYECTOS[[#This Row],[MUNICIPIO]],'4.CAP_ENDMNT'!B:B,'4.CAP_ENDMNT'!M:M,0,0,1)</f>
        <v>6431537130.9842997</v>
      </c>
      <c r="AE197" s="134">
        <f>+_xlfn.XLOOKUP(PROYECTOS[[#This Row],[MUNICIPIO]],'4.CAP_ENDMNT'!B:B,'4.CAP_ENDMNT'!N:N,0,0,1)</f>
        <v>0.74781947942872684</v>
      </c>
      <c r="AF197" s="134">
        <f>+_xlfn.XLOOKUP(PROYECTOS[[#This Row],[MUNICIPIO]],'4.CAP_ENDMNT'!B:B,'4.CAP_ENDMNT'!O:O,0,0,1)</f>
        <v>0.48148969869574604</v>
      </c>
      <c r="AG197" s="134">
        <f>+_xlfn.XLOOKUP(PROYECTOS[[#This Row],[MUNICIPIO]],'4.CAP_ENDMNT'!B:B,'4.CAP_ENDMNT'!P:P,0,0,1)</f>
        <v>0.8</v>
      </c>
      <c r="AH197" s="44" t="str">
        <f>+_xlfn.XLOOKUP(PROYECTOS[[#This Row],[MUNICIPIO]],'4.CAP_ENDMNT'!B:B,'4.CAP_ENDMNT'!Q:Q,0,0,1)</f>
        <v>Cumple</v>
      </c>
      <c r="AI197" s="139">
        <f>+_xlfn.XLOOKUP(PROYECTOS[[#This Row],[MUNICIPIO]],'4.CAP_ENDMNT'!B:B,'4.CAP_ENDMNT'!V:V,0,0,1)</f>
        <v>1286307426.1968601</v>
      </c>
      <c r="AJ197" s="139">
        <f>+_xlfn.XLOOKUP(PROYECTOS[[#This Row],[MUNICIPIO]],'4.CAP_ENDMNT'!B:B,'4.CAP_ENDMNT'!Y:Y,0,0,1)</f>
        <v>-10772171787.81884</v>
      </c>
      <c r="AK197"/>
      <c r="AL197"/>
      <c r="AM197"/>
    </row>
    <row r="198" spans="1:39">
      <c r="A198" s="44">
        <v>215</v>
      </c>
      <c r="B198" s="37" t="s">
        <v>484</v>
      </c>
      <c r="C198" s="118">
        <v>45747</v>
      </c>
      <c r="D198" s="34" t="s">
        <v>244</v>
      </c>
      <c r="E198" s="47" t="str">
        <f>+_xlfn.XLOOKUP(PROYECTOS[[#This Row],[MUNICIPIO]],MUNICIPIOS!A:A,MUNICIPIOS!E:E,0,0,1)</f>
        <v>Nordeste</v>
      </c>
      <c r="F198" s="44">
        <f>+_xlfn.XLOOKUP(PROYECTOS[[#This Row],[MUNICIPIO]],MUNICIPIOS!A:A,MUNICIPIOS!F:F,0,0,1)</f>
        <v>-75.087046999999998</v>
      </c>
      <c r="G198" s="44" t="str">
        <f>+_xlfn.XLOOKUP(PROYECTOS[[#This Row],[MUNICIPIO]],MUNICIPIOS!A:A,MUNICIPIOS!G:G,0,0,1)</f>
        <v>6,537829</v>
      </c>
      <c r="H198" s="44">
        <f>+_xlfn.XLOOKUP(PROYECTOS[[#This Row],[MUNICIPIO]],MUNICIPIOS!A:A,MUNICIPIOS!B:B,0,0,1)</f>
        <v>0</v>
      </c>
      <c r="I198" s="44">
        <f>+_xlfn.XLOOKUP(PROYECTOS[[#This Row],[MUNICIPIO]],MUNICIPIOS!A:A,MUNICIPIOS!C:C,0,0,1)</f>
        <v>0</v>
      </c>
      <c r="J198" s="3" t="str" cm="1">
        <f t="array" ref="J198">_xlfn.TEXTJOIN(" ", TRUE, IF(radicados[ID PROYECTOS]=A198, radicados[RADICADO], ""))</f>
        <v/>
      </c>
      <c r="K198" s="128">
        <v>3</v>
      </c>
      <c r="L198" s="48">
        <v>5325421096</v>
      </c>
      <c r="M198" s="34" t="s">
        <v>435</v>
      </c>
      <c r="N198" s="40" t="s">
        <v>394</v>
      </c>
      <c r="O198" s="40" t="s">
        <v>18</v>
      </c>
      <c r="P198" s="37" t="s">
        <v>1235</v>
      </c>
      <c r="Q198" s="45">
        <v>1</v>
      </c>
      <c r="R198" s="43" t="s">
        <v>922</v>
      </c>
      <c r="S198" s="43" t="s">
        <v>1643</v>
      </c>
      <c r="T198" s="44">
        <f>+_xlfn.XLOOKUP(PROYECTOS[[#This Row],[MUNICIPIO]],'4.CAP_ENDMNT'!B:B,'4.CAP_ENDMNT'!C:C,0,0,1)</f>
        <v>6</v>
      </c>
      <c r="U198" s="139">
        <f>+_xlfn.XLOOKUP(PROYECTOS[[#This Row],[MUNICIPIO]],'4.CAP_ENDMNT'!B:B,'4.CAP_ENDMNT'!D:D,0,0,1)</f>
        <v>11769915072.3085</v>
      </c>
      <c r="V198" s="140">
        <f>+_xlfn.XLOOKUP(PROYECTOS[[#This Row],[MUNICIPIO]],'4.CAP_ENDMNT'!B:B,'4.CAP_ENDMNT'!E:E,0,0,1)</f>
        <v>4043512144.3800001</v>
      </c>
      <c r="W198" s="140">
        <f>+_xlfn.XLOOKUP(PROYECTOS[[#This Row],[MUNICIPIO]],'4.CAP_ENDMNT'!B:B,'4.CAP_ENDMNT'!F:F,0,0,1)</f>
        <v>7726402927.9285002</v>
      </c>
      <c r="X198" s="140">
        <f>+_xlfn.XLOOKUP(PROYECTOS[[#This Row],[MUNICIPIO]],'4.CAP_ENDMNT'!B:B,'4.CAP_ENDMNT'!G:G,0,0,1)</f>
        <v>3010151420</v>
      </c>
      <c r="Y198" s="140">
        <f>+_xlfn.XLOOKUP(PROYECTOS[[#This Row],[MUNICIPIO]],'4.CAP_ENDMNT'!B:B,'4.CAP_ENDMNT'!H:H,0,0,1)</f>
        <v>0</v>
      </c>
      <c r="Z198" s="140">
        <f>+_xlfn.XLOOKUP(PROYECTOS[[#This Row],[MUNICIPIO]],'4.CAP_ENDMNT'!B:B,'4.CAP_ENDMNT'!I:I,0,0,1)</f>
        <v>3010151420</v>
      </c>
      <c r="AA198" s="134">
        <f>+_xlfn.XLOOKUP(PROYECTOS[[#This Row],[MUNICIPIO]],'4.CAP_ENDMNT'!B:B,'4.CAP_ENDMNT'!J:J,0,0,1)</f>
        <v>0.255749629585866</v>
      </c>
      <c r="AB198" s="140">
        <f>+_xlfn.XLOOKUP(PROYECTOS[[#This Row],[MUNICIPIO]],'4.CAP_ENDMNT'!B:B,'4.CAP_ENDMNT'!K:K,0,0,1)</f>
        <v>8759763652.3085003</v>
      </c>
      <c r="AC198" s="140">
        <f>+_xlfn.XLOOKUP(PROYECTOS[[#This Row],[MUNICIPIO]],'4.CAP_ENDMNT'!B:B,'4.CAP_ENDMNT'!L:L,0,0,1)</f>
        <v>7007810921.8468008</v>
      </c>
      <c r="AD198" s="140">
        <f>+_xlfn.XLOOKUP(PROYECTOS[[#This Row],[MUNICIPIO]],'4.CAP_ENDMNT'!B:B,'4.CAP_ENDMNT'!M:M,0,0,1)</f>
        <v>5255858191.3851004</v>
      </c>
      <c r="AE198" s="134">
        <f>+_xlfn.XLOOKUP(PROYECTOS[[#This Row],[MUNICIPIO]],'4.CAP_ENDMNT'!B:B,'4.CAP_ENDMNT'!N:N,0,0,1)</f>
        <v>1</v>
      </c>
      <c r="AF198" s="134">
        <f>+_xlfn.XLOOKUP(PROYECTOS[[#This Row],[MUNICIPIO]],'4.CAP_ENDMNT'!B:B,'4.CAP_ENDMNT'!O:O,0,0,1)</f>
        <v>0.52320001604697897</v>
      </c>
      <c r="AG198" s="134">
        <f>+_xlfn.XLOOKUP(PROYECTOS[[#This Row],[MUNICIPIO]],'4.CAP_ENDMNT'!B:B,'4.CAP_ENDMNT'!P:P,0,0,1)</f>
        <v>0.8</v>
      </c>
      <c r="AH198" s="44" t="str">
        <f>+_xlfn.XLOOKUP(PROYECTOS[[#This Row],[MUNICIPIO]],'4.CAP_ENDMNT'!B:B,'4.CAP_ENDMNT'!Q:Q,0,0,1)</f>
        <v>Cumple</v>
      </c>
      <c r="AI198" s="139">
        <f>+_xlfn.XLOOKUP(PROYECTOS[[#This Row],[MUNICIPIO]],'4.CAP_ENDMNT'!B:B,'4.CAP_ENDMNT'!V:V,0,0,1)</f>
        <v>1051171638.2770201</v>
      </c>
      <c r="AJ198" s="139">
        <f>+_xlfn.XLOOKUP(PROYECTOS[[#This Row],[MUNICIPIO]],'4.CAP_ENDMNT'!B:B,'4.CAP_ENDMNT'!Y:Y,0,0,1)</f>
        <v>-11518386102.337879</v>
      </c>
      <c r="AK198"/>
      <c r="AL198"/>
      <c r="AM198"/>
    </row>
    <row r="199" spans="1:39">
      <c r="A199" s="44">
        <v>216</v>
      </c>
      <c r="B199" s="37" t="s">
        <v>485</v>
      </c>
      <c r="C199" s="118">
        <v>45747</v>
      </c>
      <c r="D199" s="34" t="s">
        <v>23</v>
      </c>
      <c r="E199" s="47" t="str">
        <f>+_xlfn.XLOOKUP(PROYECTOS[[#This Row],[MUNICIPIO]],MUNICIPIOS!A:A,MUNICIPIOS!E:E,0,0,1)</f>
        <v>Suroeste</v>
      </c>
      <c r="F199" s="44">
        <f>+_xlfn.XLOOKUP(PROYECTOS[[#This Row],[MUNICIPIO]],MUNICIPIOS!A:A,MUNICIPIOS!F:F,0,0,1)</f>
        <v>-76.133950999999996</v>
      </c>
      <c r="G199" s="44">
        <f>+_xlfn.XLOOKUP(PROYECTOS[[#This Row],[MUNICIPIO]],MUNICIPIOS!A:A,MUNICIPIOS!G:G,0,0,1)</f>
        <v>6.3173430000000002</v>
      </c>
      <c r="H199" s="44">
        <f>+_xlfn.XLOOKUP(PROYECTOS[[#This Row],[MUNICIPIO]],MUNICIPIOS!A:A,MUNICIPIOS!B:B,0,0,1)</f>
        <v>0</v>
      </c>
      <c r="I199" s="44">
        <f>+_xlfn.XLOOKUP(PROYECTOS[[#This Row],[MUNICIPIO]],MUNICIPIOS!A:A,MUNICIPIOS!C:C,0,0,1)</f>
        <v>1</v>
      </c>
      <c r="J199" s="3" t="str" cm="1">
        <f t="array" ref="J199">_xlfn.TEXTJOIN(" ", TRUE, IF(radicados[ID PROYECTOS]=A199, radicados[RADICADO], ""))</f>
        <v/>
      </c>
      <c r="K199" s="142">
        <v>3</v>
      </c>
      <c r="L199" s="48">
        <v>4040909571</v>
      </c>
      <c r="M199" s="34" t="s">
        <v>435</v>
      </c>
      <c r="N199" s="40" t="s">
        <v>398</v>
      </c>
      <c r="O199" s="40" t="s">
        <v>25</v>
      </c>
      <c r="P199" s="37" t="s">
        <v>1235</v>
      </c>
      <c r="Q199" s="45">
        <v>1</v>
      </c>
      <c r="R199" s="43" t="s">
        <v>922</v>
      </c>
      <c r="S199" s="43" t="s">
        <v>1643</v>
      </c>
      <c r="T199" s="44">
        <f>+_xlfn.XLOOKUP(PROYECTOS[[#This Row],[MUNICIPIO]],'4.CAP_ENDMNT'!B:B,'4.CAP_ENDMNT'!C:C,0,0,1)</f>
        <v>6</v>
      </c>
      <c r="U199" s="139">
        <f>+_xlfn.XLOOKUP(PROYECTOS[[#This Row],[MUNICIPIO]],'4.CAP_ENDMNT'!B:B,'4.CAP_ENDMNT'!D:D,0,0,1)</f>
        <v>16589184003.816</v>
      </c>
      <c r="V199" s="140">
        <f>+_xlfn.XLOOKUP(PROYECTOS[[#This Row],[MUNICIPIO]],'4.CAP_ENDMNT'!B:B,'4.CAP_ENDMNT'!E:E,0,0,1)</f>
        <v>7984390195.2300005</v>
      </c>
      <c r="W199" s="140">
        <f>+_xlfn.XLOOKUP(PROYECTOS[[#This Row],[MUNICIPIO]],'4.CAP_ENDMNT'!B:B,'4.CAP_ENDMNT'!F:F,0,0,1)</f>
        <v>8604793808.5859985</v>
      </c>
      <c r="X199" s="140">
        <f>+_xlfn.XLOOKUP(PROYECTOS[[#This Row],[MUNICIPIO]],'4.CAP_ENDMNT'!B:B,'4.CAP_ENDMNT'!G:G,0,0,1)</f>
        <v>1709535383</v>
      </c>
      <c r="Y199" s="140">
        <f>+_xlfn.XLOOKUP(PROYECTOS[[#This Row],[MUNICIPIO]],'4.CAP_ENDMNT'!B:B,'4.CAP_ENDMNT'!H:H,0,0,1)</f>
        <v>1454838487</v>
      </c>
      <c r="Z199" s="140">
        <f>+_xlfn.XLOOKUP(PROYECTOS[[#This Row],[MUNICIPIO]],'4.CAP_ENDMNT'!B:B,'4.CAP_ENDMNT'!I:I,0,0,1)</f>
        <v>3164373870</v>
      </c>
      <c r="AA199" s="134">
        <f>+_xlfn.XLOOKUP(PROYECTOS[[#This Row],[MUNICIPIO]],'4.CAP_ENDMNT'!B:B,'4.CAP_ENDMNT'!J:J,0,0,1)</f>
        <v>0.19074921763916181</v>
      </c>
      <c r="AB199" s="140">
        <f>+_xlfn.XLOOKUP(PROYECTOS[[#This Row],[MUNICIPIO]],'4.CAP_ENDMNT'!B:B,'4.CAP_ENDMNT'!K:K,0,0,1)</f>
        <v>13424810133.816</v>
      </c>
      <c r="AC199" s="140">
        <f>+_xlfn.XLOOKUP(PROYECTOS[[#This Row],[MUNICIPIO]],'4.CAP_ENDMNT'!B:B,'4.CAP_ENDMNT'!L:L,0,0,1)</f>
        <v>10739848107.052801</v>
      </c>
      <c r="AD199" s="140">
        <f>+_xlfn.XLOOKUP(PROYECTOS[[#This Row],[MUNICIPIO]],'4.CAP_ENDMNT'!B:B,'4.CAP_ENDMNT'!M:M,0,0,1)</f>
        <v>8054886080.2895994</v>
      </c>
      <c r="AE199" s="134">
        <f>+_xlfn.XLOOKUP(PROYECTOS[[#This Row],[MUNICIPIO]],'4.CAP_ENDMNT'!B:B,'4.CAP_ENDMNT'!N:N,0,0,1)</f>
        <v>0.5402444379936685</v>
      </c>
      <c r="AF199" s="134">
        <f>+_xlfn.XLOOKUP(PROYECTOS[[#This Row],[MUNICIPIO]],'4.CAP_ENDMNT'!B:B,'4.CAP_ENDMNT'!O:O,0,0,1)</f>
        <v>0.52370394920362784</v>
      </c>
      <c r="AG199" s="134">
        <f>+_xlfn.XLOOKUP(PROYECTOS[[#This Row],[MUNICIPIO]],'4.CAP_ENDMNT'!B:B,'4.CAP_ENDMNT'!P:P,0,0,1)</f>
        <v>0.8</v>
      </c>
      <c r="AH199" s="44" t="str">
        <f>+_xlfn.XLOOKUP(PROYECTOS[[#This Row],[MUNICIPIO]],'4.CAP_ENDMNT'!B:B,'4.CAP_ENDMNT'!Q:Q,0,0,1)</f>
        <v>Cumple</v>
      </c>
      <c r="AI199" s="139">
        <f>+_xlfn.XLOOKUP(PROYECTOS[[#This Row],[MUNICIPIO]],'4.CAP_ENDMNT'!B:B,'4.CAP_ENDMNT'!V:V,0,0,1)</f>
        <v>1610977216.05792</v>
      </c>
      <c r="AJ199" s="139">
        <f>+_xlfn.XLOOKUP(PROYECTOS[[#This Row],[MUNICIPIO]],'4.CAP_ENDMNT'!B:B,'4.CAP_ENDMNT'!Y:Y,0,0,1)</f>
        <v>-7388444742.6524811</v>
      </c>
      <c r="AK199"/>
      <c r="AL199"/>
      <c r="AM199"/>
    </row>
    <row r="200" spans="1:39">
      <c r="A200" s="44">
        <v>217</v>
      </c>
      <c r="B200" s="37" t="s">
        <v>1422</v>
      </c>
      <c r="C200" s="118">
        <v>45747</v>
      </c>
      <c r="D200" s="34" t="s">
        <v>227</v>
      </c>
      <c r="E200" s="47" t="str">
        <f>+_xlfn.XLOOKUP(PROYECTOS[[#This Row],[MUNICIPIO]],MUNICIPIOS!A:A,MUNICIPIOS!E:E,0,0,1)</f>
        <v>Oriente</v>
      </c>
      <c r="F200" s="44">
        <f>+_xlfn.XLOOKUP(PROYECTOS[[#This Row],[MUNICIPIO]],MUNICIPIOS!A:A,MUNICIPIOS!F:F,0,0,1)</f>
        <v>-75.184445999999994</v>
      </c>
      <c r="G200" s="44" t="str">
        <f>+_xlfn.XLOOKUP(PROYECTOS[[#This Row],[MUNICIPIO]],MUNICIPIOS!A:A,MUNICIPIOS!G:G,0,0,1)</f>
        <v>6,142892</v>
      </c>
      <c r="H200" s="44">
        <f>+_xlfn.XLOOKUP(PROYECTOS[[#This Row],[MUNICIPIO]],MUNICIPIOS!A:A,MUNICIPIOS!B:B,0,0,1)</f>
        <v>0</v>
      </c>
      <c r="I200" s="44">
        <f>+_xlfn.XLOOKUP(PROYECTOS[[#This Row],[MUNICIPIO]],MUNICIPIOS!A:A,MUNICIPIOS!C:C,0,0,1)</f>
        <v>1</v>
      </c>
      <c r="J200" s="3" t="str" cm="1">
        <f t="array" ref="J200">_xlfn.TEXTJOIN(" ", TRUE, IF(radicados[ID PROYECTOS]=A200, radicados[RADICADO], ""))</f>
        <v/>
      </c>
      <c r="K200" s="45">
        <v>3</v>
      </c>
      <c r="L200" s="48">
        <v>402500000</v>
      </c>
      <c r="M200" s="34" t="s">
        <v>435</v>
      </c>
      <c r="N200" s="40" t="s">
        <v>398</v>
      </c>
      <c r="O200" s="40" t="s">
        <v>25</v>
      </c>
      <c r="P200" s="37" t="s">
        <v>1235</v>
      </c>
      <c r="Q200" s="45">
        <v>1</v>
      </c>
      <c r="R200" s="43" t="s">
        <v>922</v>
      </c>
      <c r="S200" s="43" t="s">
        <v>1643</v>
      </c>
      <c r="T200" s="44">
        <f>+_xlfn.XLOOKUP(PROYECTOS[[#This Row],[MUNICIPIO]],'4.CAP_ENDMNT'!B:B,'4.CAP_ENDMNT'!C:C,0,0,1)</f>
        <v>6</v>
      </c>
      <c r="U200" s="139">
        <f>+_xlfn.XLOOKUP(PROYECTOS[[#This Row],[MUNICIPIO]],'4.CAP_ENDMNT'!B:B,'4.CAP_ENDMNT'!D:D,0,0,1)</f>
        <v>9100976268.0305004</v>
      </c>
      <c r="V200" s="140">
        <f>+_xlfn.XLOOKUP(PROYECTOS[[#This Row],[MUNICIPIO]],'4.CAP_ENDMNT'!B:B,'4.CAP_ENDMNT'!E:E,0,0,1)</f>
        <v>3221460794.1700001</v>
      </c>
      <c r="W200" s="140">
        <f>+_xlfn.XLOOKUP(PROYECTOS[[#This Row],[MUNICIPIO]],'4.CAP_ENDMNT'!B:B,'4.CAP_ENDMNT'!F:F,0,0,1)</f>
        <v>5879515473.8605003</v>
      </c>
      <c r="X200" s="140">
        <f>+_xlfn.XLOOKUP(PROYECTOS[[#This Row],[MUNICIPIO]],'4.CAP_ENDMNT'!B:B,'4.CAP_ENDMNT'!G:G,0,0,1)</f>
        <v>1026722956</v>
      </c>
      <c r="Y200" s="140">
        <f>+_xlfn.XLOOKUP(PROYECTOS[[#This Row],[MUNICIPIO]],'4.CAP_ENDMNT'!B:B,'4.CAP_ENDMNT'!H:H,0,0,1)</f>
        <v>190000000</v>
      </c>
      <c r="Z200" s="140">
        <f>+_xlfn.XLOOKUP(PROYECTOS[[#This Row],[MUNICIPIO]],'4.CAP_ENDMNT'!B:B,'4.CAP_ENDMNT'!I:I,0,0,1)</f>
        <v>1216722956</v>
      </c>
      <c r="AA200" s="134">
        <f>+_xlfn.XLOOKUP(PROYECTOS[[#This Row],[MUNICIPIO]],'4.CAP_ENDMNT'!B:B,'4.CAP_ENDMNT'!J:J,0,0,1)</f>
        <v>0.13369147662477152</v>
      </c>
      <c r="AB200" s="140">
        <f>+_xlfn.XLOOKUP(PROYECTOS[[#This Row],[MUNICIPIO]],'4.CAP_ENDMNT'!B:B,'4.CAP_ENDMNT'!K:K,0,0,1)</f>
        <v>7884253312.0305004</v>
      </c>
      <c r="AC200" s="140">
        <f>+_xlfn.XLOOKUP(PROYECTOS[[#This Row],[MUNICIPIO]],'4.CAP_ENDMNT'!B:B,'4.CAP_ENDMNT'!L:L,0,0,1)</f>
        <v>6307402649.6244011</v>
      </c>
      <c r="AD200" s="140">
        <f>+_xlfn.XLOOKUP(PROYECTOS[[#This Row],[MUNICIPIO]],'4.CAP_ENDMNT'!B:B,'4.CAP_ENDMNT'!M:M,0,0,1)</f>
        <v>4730551987.2182999</v>
      </c>
      <c r="AE200" s="134">
        <f>+_xlfn.XLOOKUP(PROYECTOS[[#This Row],[MUNICIPIO]],'4.CAP_ENDMNT'!B:B,'4.CAP_ENDMNT'!N:N,0,0,1)</f>
        <v>0.84384284108140062</v>
      </c>
      <c r="AF200" s="134">
        <f>+_xlfn.XLOOKUP(PROYECTOS[[#This Row],[MUNICIPIO]],'4.CAP_ENDMNT'!B:B,'4.CAP_ENDMNT'!O:O,0,0,1)</f>
        <v>0.65864601932480682</v>
      </c>
      <c r="AG200" s="134">
        <f>+_xlfn.XLOOKUP(PROYECTOS[[#This Row],[MUNICIPIO]],'4.CAP_ENDMNT'!B:B,'4.CAP_ENDMNT'!P:P,0,0,1)</f>
        <v>0.8</v>
      </c>
      <c r="AH200" s="44" t="str">
        <f>+_xlfn.XLOOKUP(PROYECTOS[[#This Row],[MUNICIPIO]],'4.CAP_ENDMNT'!B:B,'4.CAP_ENDMNT'!Q:Q,0,0,1)</f>
        <v>Cumple</v>
      </c>
      <c r="AI200" s="139">
        <f>+_xlfn.XLOOKUP(PROYECTOS[[#This Row],[MUNICIPIO]],'4.CAP_ENDMNT'!B:B,'4.CAP_ENDMNT'!V:V,0,0,1)</f>
        <v>946110397.44366002</v>
      </c>
      <c r="AJ200" s="139">
        <f>+_xlfn.XLOOKUP(PROYECTOS[[#This Row],[MUNICIPIO]],'4.CAP_ENDMNT'!B:B,'4.CAP_ENDMNT'!Y:Y,0,0,1)</f>
        <v>-37054965217.338043</v>
      </c>
      <c r="AK200"/>
      <c r="AL200"/>
      <c r="AM200"/>
    </row>
    <row r="201" spans="1:39">
      <c r="A201" s="44">
        <v>218</v>
      </c>
      <c r="B201" s="37" t="s">
        <v>487</v>
      </c>
      <c r="C201" s="118">
        <v>45747</v>
      </c>
      <c r="D201" s="34" t="s">
        <v>334</v>
      </c>
      <c r="E201" s="47" t="str">
        <f>+_xlfn.XLOOKUP(PROYECTOS[[#This Row],[MUNICIPIO]],MUNICIPIOS!A:A,MUNICIPIOS!E:E,0,0,1)</f>
        <v>Occidente</v>
      </c>
      <c r="F201" s="44">
        <f>+_xlfn.XLOOKUP(PROYECTOS[[#This Row],[MUNICIPIO]],MUNICIPIOS!A:A,MUNICIPIOS!F:F,0,0,1)</f>
        <v>-75.726974999999996</v>
      </c>
      <c r="G201" s="44" t="str">
        <f>+_xlfn.XLOOKUP(PROYECTOS[[#This Row],[MUNICIPIO]],MUNICIPIOS!A:A,MUNICIPIOS!G:G,0,0,1)</f>
        <v>6,44809</v>
      </c>
      <c r="H201" s="44">
        <f>+_xlfn.XLOOKUP(PROYECTOS[[#This Row],[MUNICIPIO]],MUNICIPIOS!A:A,MUNICIPIOS!B:B,0,0,1)</f>
        <v>0</v>
      </c>
      <c r="I201" s="44">
        <f>+_xlfn.XLOOKUP(PROYECTOS[[#This Row],[MUNICIPIO]],MUNICIPIOS!A:A,MUNICIPIOS!C:C,0,0,1)</f>
        <v>0</v>
      </c>
      <c r="J201" s="3" t="str" cm="1">
        <f t="array" ref="J201">_xlfn.TEXTJOIN(" ", TRUE, IF(radicados[ID PROYECTOS]=A201, radicados[RADICADO], ""))</f>
        <v>2025010508107</v>
      </c>
      <c r="K201" s="142">
        <v>3</v>
      </c>
      <c r="L201" s="48">
        <v>1300000000</v>
      </c>
      <c r="M201" s="34" t="s">
        <v>435</v>
      </c>
      <c r="N201" s="40" t="s">
        <v>398</v>
      </c>
      <c r="O201" s="40" t="s">
        <v>25</v>
      </c>
      <c r="P201" s="37" t="s">
        <v>1239</v>
      </c>
      <c r="Q201" s="45">
        <v>1</v>
      </c>
      <c r="R201" s="43" t="s">
        <v>922</v>
      </c>
      <c r="S201" s="43" t="s">
        <v>1643</v>
      </c>
      <c r="T201" s="44">
        <f>+_xlfn.XLOOKUP(PROYECTOS[[#This Row],[MUNICIPIO]],'4.CAP_ENDMNT'!B:B,'4.CAP_ENDMNT'!C:C,0,0,1)</f>
        <v>6</v>
      </c>
      <c r="U201" s="139">
        <f>+_xlfn.XLOOKUP(PROYECTOS[[#This Row],[MUNICIPIO]],'4.CAP_ENDMNT'!B:B,'4.CAP_ENDMNT'!D:D,0,0,1)</f>
        <v>21865753958.964001</v>
      </c>
      <c r="V201" s="140">
        <f>+_xlfn.XLOOKUP(PROYECTOS[[#This Row],[MUNICIPIO]],'4.CAP_ENDMNT'!B:B,'4.CAP_ENDMNT'!E:E,0,0,1)</f>
        <v>8371779870.6599998</v>
      </c>
      <c r="W201" s="140">
        <f>+_xlfn.XLOOKUP(PROYECTOS[[#This Row],[MUNICIPIO]],'4.CAP_ENDMNT'!B:B,'4.CAP_ENDMNT'!F:F,0,0,1)</f>
        <v>13493974088.304001</v>
      </c>
      <c r="X201" s="140">
        <f>+_xlfn.XLOOKUP(PROYECTOS[[#This Row],[MUNICIPIO]],'4.CAP_ENDMNT'!B:B,'4.CAP_ENDMNT'!G:G,0,0,1)</f>
        <v>851002641</v>
      </c>
      <c r="Y201" s="140">
        <f>+_xlfn.XLOOKUP(PROYECTOS[[#This Row],[MUNICIPIO]],'4.CAP_ENDMNT'!B:B,'4.CAP_ENDMNT'!H:H,0,0,1)</f>
        <v>4636492005</v>
      </c>
      <c r="Z201" s="140">
        <f>+_xlfn.XLOOKUP(PROYECTOS[[#This Row],[MUNICIPIO]],'4.CAP_ENDMNT'!B:B,'4.CAP_ENDMNT'!I:I,0,0,1)</f>
        <v>5487494646</v>
      </c>
      <c r="AA201" s="134">
        <f>+_xlfn.XLOOKUP(PROYECTOS[[#This Row],[MUNICIPIO]],'4.CAP_ENDMNT'!B:B,'4.CAP_ENDMNT'!J:J,0,0,1)</f>
        <v>0.25096297416949431</v>
      </c>
      <c r="AB201" s="140">
        <f>+_xlfn.XLOOKUP(PROYECTOS[[#This Row],[MUNICIPIO]],'4.CAP_ENDMNT'!B:B,'4.CAP_ENDMNT'!K:K,0,0,1)</f>
        <v>16378259312.964001</v>
      </c>
      <c r="AC201" s="140">
        <f>+_xlfn.XLOOKUP(PROYECTOS[[#This Row],[MUNICIPIO]],'4.CAP_ENDMNT'!B:B,'4.CAP_ENDMNT'!L:L,0,0,1)</f>
        <v>13102607450.371201</v>
      </c>
      <c r="AD201" s="140">
        <f>+_xlfn.XLOOKUP(PROYECTOS[[#This Row],[MUNICIPIO]],'4.CAP_ENDMNT'!B:B,'4.CAP_ENDMNT'!M:M,0,0,1)</f>
        <v>9826955587.7784004</v>
      </c>
      <c r="AE201" s="134">
        <f>+_xlfn.XLOOKUP(PROYECTOS[[#This Row],[MUNICIPIO]],'4.CAP_ENDMNT'!B:B,'4.CAP_ENDMNT'!N:N,0,0,1)</f>
        <v>0.15508035923466848</v>
      </c>
      <c r="AF201" s="134">
        <f>+_xlfn.XLOOKUP(PROYECTOS[[#This Row],[MUNICIPIO]],'4.CAP_ENDMNT'!B:B,'4.CAP_ENDMNT'!O:O,0,0,1)</f>
        <v>0.43479333121090752</v>
      </c>
      <c r="AG201" s="134">
        <f>+_xlfn.XLOOKUP(PROYECTOS[[#This Row],[MUNICIPIO]],'4.CAP_ENDMNT'!B:B,'4.CAP_ENDMNT'!P:P,0,0,1)</f>
        <v>0.8</v>
      </c>
      <c r="AH201" s="44" t="str">
        <f>+_xlfn.XLOOKUP(PROYECTOS[[#This Row],[MUNICIPIO]],'4.CAP_ENDMNT'!B:B,'4.CAP_ENDMNT'!Q:Q,0,0,1)</f>
        <v>Cumple</v>
      </c>
      <c r="AI201" s="139">
        <f>+_xlfn.XLOOKUP(PROYECTOS[[#This Row],[MUNICIPIO]],'4.CAP_ENDMNT'!B:B,'4.CAP_ENDMNT'!V:V,0,0,1)</f>
        <v>1965391117.5556803</v>
      </c>
      <c r="AJ201" s="139">
        <f>+_xlfn.XLOOKUP(PROYECTOS[[#This Row],[MUNICIPIO]],'4.CAP_ENDMNT'!B:B,'4.CAP_ENDMNT'!Y:Y,0,0,1)</f>
        <v>-4462766845.8359203</v>
      </c>
      <c r="AK201"/>
      <c r="AL201"/>
      <c r="AM201"/>
    </row>
    <row r="202" spans="1:39">
      <c r="A202" s="44">
        <v>219</v>
      </c>
      <c r="B202" s="37" t="s">
        <v>488</v>
      </c>
      <c r="C202" s="118">
        <v>45747</v>
      </c>
      <c r="D202" s="34" t="s">
        <v>95</v>
      </c>
      <c r="E202" s="47" t="str">
        <f>+_xlfn.XLOOKUP(PROYECTOS[[#This Row],[MUNICIPIO]],MUNICIPIOS!A:A,MUNICIPIOS!E:E,0,0,1)</f>
        <v>Occidente</v>
      </c>
      <c r="F202" s="44">
        <f>+_xlfn.XLOOKUP(PROYECTOS[[#This Row],[MUNICIPIO]],MUNICIPIOS!A:A,MUNICIPIOS!F:F,0,0,1)</f>
        <v>-75.747377999999998</v>
      </c>
      <c r="G202" s="44">
        <f>+_xlfn.XLOOKUP(PROYECTOS[[#This Row],[MUNICIPIO]],MUNICIPIOS!A:A,MUNICIPIOS!G:G,0,0,1)</f>
        <v>6.5007450000000002</v>
      </c>
      <c r="H202" s="44">
        <f>+_xlfn.XLOOKUP(PROYECTOS[[#This Row],[MUNICIPIO]],MUNICIPIOS!A:A,MUNICIPIOS!B:B,0,0,1)</f>
        <v>0</v>
      </c>
      <c r="I202" s="44">
        <f>+_xlfn.XLOOKUP(PROYECTOS[[#This Row],[MUNICIPIO]],MUNICIPIOS!A:A,MUNICIPIOS!C:C,0,0,1)</f>
        <v>0</v>
      </c>
      <c r="J202" s="3" t="str" cm="1">
        <f t="array" ref="J202">_xlfn.TEXTJOIN(" ", TRUE, IF(radicados[ID PROYECTOS]=A202, radicados[RADICADO], ""))</f>
        <v/>
      </c>
      <c r="K202" s="142">
        <v>2</v>
      </c>
      <c r="L202" s="48"/>
      <c r="M202" s="34" t="s">
        <v>435</v>
      </c>
      <c r="N202" s="40" t="s">
        <v>398</v>
      </c>
      <c r="O202" s="40" t="s">
        <v>25</v>
      </c>
      <c r="P202" s="37" t="s">
        <v>961</v>
      </c>
      <c r="Q202" s="45"/>
      <c r="R202" s="43"/>
      <c r="S202" s="43"/>
      <c r="T202" s="44">
        <f>+_xlfn.XLOOKUP(PROYECTOS[[#This Row],[MUNICIPIO]],'4.CAP_ENDMNT'!B:B,'4.CAP_ENDMNT'!C:C,0,0,1)</f>
        <v>6</v>
      </c>
      <c r="U202" s="139">
        <f>+_xlfn.XLOOKUP(PROYECTOS[[#This Row],[MUNICIPIO]],'4.CAP_ENDMNT'!B:B,'4.CAP_ENDMNT'!D:D,0,0,1)</f>
        <v>16347842057.745998</v>
      </c>
      <c r="V202" s="140">
        <f>+_xlfn.XLOOKUP(PROYECTOS[[#This Row],[MUNICIPIO]],'4.CAP_ENDMNT'!B:B,'4.CAP_ENDMNT'!E:E,0,0,1)</f>
        <v>7901643157.3299999</v>
      </c>
      <c r="W202" s="140">
        <f>+_xlfn.XLOOKUP(PROYECTOS[[#This Row],[MUNICIPIO]],'4.CAP_ENDMNT'!B:B,'4.CAP_ENDMNT'!F:F,0,0,1)</f>
        <v>8446198900.4159985</v>
      </c>
      <c r="X202" s="140">
        <f>+_xlfn.XLOOKUP(PROYECTOS[[#This Row],[MUNICIPIO]],'4.CAP_ENDMNT'!B:B,'4.CAP_ENDMNT'!G:G,0,0,1)</f>
        <v>1620905965.8499999</v>
      </c>
      <c r="Y202" s="140">
        <f>+_xlfn.XLOOKUP(PROYECTOS[[#This Row],[MUNICIPIO]],'4.CAP_ENDMNT'!B:B,'4.CAP_ENDMNT'!H:H,0,0,1)</f>
        <v>2416666620</v>
      </c>
      <c r="Z202" s="140">
        <f>+_xlfn.XLOOKUP(PROYECTOS[[#This Row],[MUNICIPIO]],'4.CAP_ENDMNT'!B:B,'4.CAP_ENDMNT'!I:I,0,0,1)</f>
        <v>4037572585.8499999</v>
      </c>
      <c r="AA202" s="134">
        <f>+_xlfn.XLOOKUP(PROYECTOS[[#This Row],[MUNICIPIO]],'4.CAP_ENDMNT'!B:B,'4.CAP_ENDMNT'!J:J,0,0,1)</f>
        <v>0.24697893285168493</v>
      </c>
      <c r="AB202" s="140">
        <f>+_xlfn.XLOOKUP(PROYECTOS[[#This Row],[MUNICIPIO]],'4.CAP_ENDMNT'!B:B,'4.CAP_ENDMNT'!K:K,0,0,1)</f>
        <v>12310269471.895998</v>
      </c>
      <c r="AC202" s="140">
        <f>+_xlfn.XLOOKUP(PROYECTOS[[#This Row],[MUNICIPIO]],'4.CAP_ENDMNT'!B:B,'4.CAP_ENDMNT'!L:L,0,0,1)</f>
        <v>9848215577.516798</v>
      </c>
      <c r="AD202" s="140">
        <f>+_xlfn.XLOOKUP(PROYECTOS[[#This Row],[MUNICIPIO]],'4.CAP_ENDMNT'!B:B,'4.CAP_ENDMNT'!M:M,0,0,1)</f>
        <v>7386161683.137599</v>
      </c>
      <c r="AE202" s="134">
        <f>+_xlfn.XLOOKUP(PROYECTOS[[#This Row],[MUNICIPIO]],'4.CAP_ENDMNT'!B:B,'4.CAP_ENDMNT'!N:N,0,0,1)</f>
        <v>0.40145556058375176</v>
      </c>
      <c r="AF202" s="134">
        <f>+_xlfn.XLOOKUP(PROYECTOS[[#This Row],[MUNICIPIO]],'4.CAP_ENDMNT'!B:B,'4.CAP_ENDMNT'!O:O,0,0,1)</f>
        <v>0.5852153455768756</v>
      </c>
      <c r="AG202" s="134">
        <f>+_xlfn.XLOOKUP(PROYECTOS[[#This Row],[MUNICIPIO]],'4.CAP_ENDMNT'!B:B,'4.CAP_ENDMNT'!P:P,0,0,1)</f>
        <v>0.8</v>
      </c>
      <c r="AH202" s="44" t="str">
        <f>+_xlfn.XLOOKUP(PROYECTOS[[#This Row],[MUNICIPIO]],'4.CAP_ENDMNT'!B:B,'4.CAP_ENDMNT'!Q:Q,0,0,1)</f>
        <v>Cumple</v>
      </c>
      <c r="AI202" s="139">
        <f>+_xlfn.XLOOKUP(PROYECTOS[[#This Row],[MUNICIPIO]],'4.CAP_ENDMNT'!B:B,'4.CAP_ENDMNT'!V:V,0,0,1)</f>
        <v>1477232336.6275198</v>
      </c>
      <c r="AJ202" s="139">
        <f>+_xlfn.XLOOKUP(PROYECTOS[[#This Row],[MUNICIPIO]],'4.CAP_ENDMNT'!B:B,'4.CAP_ENDMNT'!Y:Y,0,0,1)</f>
        <v>-11946219029.23488</v>
      </c>
      <c r="AK202"/>
      <c r="AL202"/>
      <c r="AM202"/>
    </row>
    <row r="203" spans="1:39">
      <c r="A203" s="44">
        <v>220</v>
      </c>
      <c r="B203" s="37" t="s">
        <v>1423</v>
      </c>
      <c r="C203" s="118">
        <v>45747</v>
      </c>
      <c r="D203" s="34" t="s">
        <v>90</v>
      </c>
      <c r="E203" s="47" t="str">
        <f>+_xlfn.XLOOKUP(PROYECTOS[[#This Row],[MUNICIPIO]],MUNICIPIOS!A:A,MUNICIPIOS!E:E,0,0,1)</f>
        <v>Suroeste</v>
      </c>
      <c r="F203" s="44">
        <f>+_xlfn.XLOOKUP(PROYECTOS[[#This Row],[MUNICIPIO]],MUNICIPIOS!A:A,MUNICIPIOS!F:F,0,0,1)</f>
        <v>-75.624452000000005</v>
      </c>
      <c r="G203" s="44">
        <f>+_xlfn.XLOOKUP(PROYECTOS[[#This Row],[MUNICIPIO]],MUNICIPIOS!A:A,MUNICIPIOS!G:G,0,0,1)</f>
        <v>5.6145550000000002</v>
      </c>
      <c r="H203" s="44">
        <f>+_xlfn.XLOOKUP(PROYECTOS[[#This Row],[MUNICIPIO]],MUNICIPIOS!A:A,MUNICIPIOS!B:B,0,0,1)</f>
        <v>0</v>
      </c>
      <c r="I203" s="44">
        <f>+_xlfn.XLOOKUP(PROYECTOS[[#This Row],[MUNICIPIO]],MUNICIPIOS!A:A,MUNICIPIOS!C:C,0,0,1)</f>
        <v>0</v>
      </c>
      <c r="J203" s="3" t="str" cm="1">
        <f t="array" ref="J203">_xlfn.TEXTJOIN(" ", TRUE, IF(radicados[ID PROYECTOS]=A203, radicados[RADICADO], ""))</f>
        <v/>
      </c>
      <c r="K203" s="45">
        <v>1</v>
      </c>
      <c r="L203" s="48"/>
      <c r="M203" s="34" t="s">
        <v>435</v>
      </c>
      <c r="N203" s="40" t="s">
        <v>397</v>
      </c>
      <c r="O203" s="40" t="s">
        <v>56</v>
      </c>
      <c r="P203" s="37" t="s">
        <v>490</v>
      </c>
      <c r="Q203" s="45"/>
      <c r="R203" s="43"/>
      <c r="S203" s="43"/>
      <c r="T203" s="44">
        <f>+_xlfn.XLOOKUP(PROYECTOS[[#This Row],[MUNICIPIO]],'4.CAP_ENDMNT'!B:B,'4.CAP_ENDMNT'!C:C,0,0,1)</f>
        <v>6</v>
      </c>
      <c r="U203" s="139">
        <f>+_xlfn.XLOOKUP(PROYECTOS[[#This Row],[MUNICIPIO]],'4.CAP_ENDMNT'!B:B,'4.CAP_ENDMNT'!D:D,0,0,1)</f>
        <v>6485715716.868001</v>
      </c>
      <c r="V203" s="140">
        <f>+_xlfn.XLOOKUP(PROYECTOS[[#This Row],[MUNICIPIO]],'4.CAP_ENDMNT'!B:B,'4.CAP_ENDMNT'!E:E,0,0,1)</f>
        <v>3717110032.7600002</v>
      </c>
      <c r="W203" s="140">
        <f>+_xlfn.XLOOKUP(PROYECTOS[[#This Row],[MUNICIPIO]],'4.CAP_ENDMNT'!B:B,'4.CAP_ENDMNT'!F:F,0,0,1)</f>
        <v>2768605684.1080008</v>
      </c>
      <c r="X203" s="140">
        <f>+_xlfn.XLOOKUP(PROYECTOS[[#This Row],[MUNICIPIO]],'4.CAP_ENDMNT'!B:B,'4.CAP_ENDMNT'!G:G,0,0,1)</f>
        <v>598561755.20000005</v>
      </c>
      <c r="Y203" s="140">
        <f>+_xlfn.XLOOKUP(PROYECTOS[[#This Row],[MUNICIPIO]],'4.CAP_ENDMNT'!B:B,'4.CAP_ENDMNT'!H:H,0,0,1)</f>
        <v>823222224</v>
      </c>
      <c r="Z203" s="140">
        <f>+_xlfn.XLOOKUP(PROYECTOS[[#This Row],[MUNICIPIO]],'4.CAP_ENDMNT'!B:B,'4.CAP_ENDMNT'!I:I,0,0,1)</f>
        <v>1421783979.2</v>
      </c>
      <c r="AA203" s="134">
        <f>+_xlfn.XLOOKUP(PROYECTOS[[#This Row],[MUNICIPIO]],'4.CAP_ENDMNT'!B:B,'4.CAP_ENDMNT'!J:J,0,0,1)</f>
        <v>0.21921774577665112</v>
      </c>
      <c r="AB203" s="140">
        <f>+_xlfn.XLOOKUP(PROYECTOS[[#This Row],[MUNICIPIO]],'4.CAP_ENDMNT'!B:B,'4.CAP_ENDMNT'!K:K,0,0,1)</f>
        <v>5063931737.6680012</v>
      </c>
      <c r="AC203" s="140">
        <f>+_xlfn.XLOOKUP(PROYECTOS[[#This Row],[MUNICIPIO]],'4.CAP_ENDMNT'!B:B,'4.CAP_ENDMNT'!L:L,0,0,1)</f>
        <v>4051145390.1344013</v>
      </c>
      <c r="AD203" s="140">
        <f>+_xlfn.XLOOKUP(PROYECTOS[[#This Row],[MUNICIPIO]],'4.CAP_ENDMNT'!B:B,'4.CAP_ENDMNT'!M:M,0,0,1)</f>
        <v>3038359042.6008005</v>
      </c>
      <c r="AE203" s="134">
        <f>+_xlfn.XLOOKUP(PROYECTOS[[#This Row],[MUNICIPIO]],'4.CAP_ENDMNT'!B:B,'4.CAP_ENDMNT'!N:N,0,0,1)</f>
        <v>0.42099345889155032</v>
      </c>
      <c r="AF203" s="134">
        <f>+_xlfn.XLOOKUP(PROYECTOS[[#This Row],[MUNICIPIO]],'4.CAP_ENDMNT'!B:B,'4.CAP_ENDMNT'!O:O,0,0,1)</f>
        <v>0.68598337343648785</v>
      </c>
      <c r="AG203" s="134">
        <f>+_xlfn.XLOOKUP(PROYECTOS[[#This Row],[MUNICIPIO]],'4.CAP_ENDMNT'!B:B,'4.CAP_ENDMNT'!P:P,0,0,1)</f>
        <v>0.8</v>
      </c>
      <c r="AH203" s="44" t="str">
        <f>+_xlfn.XLOOKUP(PROYECTOS[[#This Row],[MUNICIPIO]],'4.CAP_ENDMNT'!B:B,'4.CAP_ENDMNT'!Q:Q,0,0,1)</f>
        <v>Cumple</v>
      </c>
      <c r="AI203" s="139">
        <f>+_xlfn.XLOOKUP(PROYECTOS[[#This Row],[MUNICIPIO]],'4.CAP_ENDMNT'!B:B,'4.CAP_ENDMNT'!V:V,0,0,1)</f>
        <v>607671808.52016008</v>
      </c>
      <c r="AJ203" s="139">
        <f>+_xlfn.XLOOKUP(PROYECTOS[[#This Row],[MUNICIPIO]],'4.CAP_ENDMNT'!B:B,'4.CAP_ENDMNT'!Y:Y,0,0,1)</f>
        <v>-1701336321.8790393</v>
      </c>
      <c r="AK203"/>
      <c r="AL203"/>
      <c r="AM203"/>
    </row>
    <row r="204" spans="1:39">
      <c r="A204" s="44">
        <v>221</v>
      </c>
      <c r="B204" s="37" t="s">
        <v>1424</v>
      </c>
      <c r="C204" s="118">
        <v>45747</v>
      </c>
      <c r="D204" s="34" t="s">
        <v>492</v>
      </c>
      <c r="E204" s="47" t="str">
        <f>+_xlfn.XLOOKUP(PROYECTOS[[#This Row],[MUNICIPIO]],MUNICIPIOS!A:A,MUNICIPIOS!E:E,0,0,1)</f>
        <v>Suroeste</v>
      </c>
      <c r="F204" s="44">
        <f>+_xlfn.XLOOKUP(PROYECTOS[[#This Row],[MUNICIPIO]],MUNICIPIOS!A:A,MUNICIPIOS!F:F,0,0,1)</f>
        <v>-75.976806999999994</v>
      </c>
      <c r="G204" s="44" t="str">
        <f>+_xlfn.XLOOKUP(PROYECTOS[[#This Row],[MUNICIPIO]],MUNICIPIOS!A:A,MUNICIPIOS!G:G,0,0,1)</f>
        <v>5,964198</v>
      </c>
      <c r="H204" s="44">
        <f>+_xlfn.XLOOKUP(PROYECTOS[[#This Row],[MUNICIPIO]],MUNICIPIOS!A:A,MUNICIPIOS!B:B,0,0,1)</f>
        <v>0</v>
      </c>
      <c r="I204" s="44">
        <f>+_xlfn.XLOOKUP(PROYECTOS[[#This Row],[MUNICIPIO]],MUNICIPIOS!A:A,MUNICIPIOS!C:C,0,0,1)</f>
        <v>1</v>
      </c>
      <c r="J204" s="3" t="str" cm="1">
        <f t="array" ref="J204">_xlfn.TEXTJOIN(" ", TRUE, IF(radicados[ID PROYECTOS]=A204, radicados[RADICADO], ""))</f>
        <v/>
      </c>
      <c r="K204" s="45">
        <v>1</v>
      </c>
      <c r="L204" s="48"/>
      <c r="M204" s="34" t="s">
        <v>435</v>
      </c>
      <c r="N204" s="40" t="s">
        <v>397</v>
      </c>
      <c r="O204" s="40" t="s">
        <v>56</v>
      </c>
      <c r="P204" s="37" t="s">
        <v>493</v>
      </c>
      <c r="Q204" s="45">
        <v>1</v>
      </c>
      <c r="R204" s="43" t="s">
        <v>190</v>
      </c>
      <c r="S204" s="43" t="s">
        <v>1255</v>
      </c>
      <c r="T204" s="44">
        <f>+_xlfn.XLOOKUP(PROYECTOS[[#This Row],[MUNICIPIO]],'4.CAP_ENDMNT'!B:B,'4.CAP_ENDMNT'!C:C,0,0,1)</f>
        <v>6</v>
      </c>
      <c r="U204" s="139">
        <f>+_xlfn.XLOOKUP(PROYECTOS[[#This Row],[MUNICIPIO]],'4.CAP_ENDMNT'!B:B,'4.CAP_ENDMNT'!D:D,0,0,1)</f>
        <v>13308978307.0145</v>
      </c>
      <c r="V204" s="140">
        <f>+_xlfn.XLOOKUP(PROYECTOS[[#This Row],[MUNICIPIO]],'4.CAP_ENDMNT'!B:B,'4.CAP_ENDMNT'!E:E,0,0,1)</f>
        <v>4910718349.54</v>
      </c>
      <c r="W204" s="140">
        <f>+_xlfn.XLOOKUP(PROYECTOS[[#This Row],[MUNICIPIO]],'4.CAP_ENDMNT'!B:B,'4.CAP_ENDMNT'!F:F,0,0,1)</f>
        <v>8398259957.4744997</v>
      </c>
      <c r="X204" s="140">
        <f>+_xlfn.XLOOKUP(PROYECTOS[[#This Row],[MUNICIPIO]],'4.CAP_ENDMNT'!B:B,'4.CAP_ENDMNT'!G:G,0,0,1)</f>
        <v>0</v>
      </c>
      <c r="Y204" s="140">
        <f>+_xlfn.XLOOKUP(PROYECTOS[[#This Row],[MUNICIPIO]],'4.CAP_ENDMNT'!B:B,'4.CAP_ENDMNT'!H:H,0,0,1)</f>
        <v>3987177539</v>
      </c>
      <c r="Z204" s="140">
        <f>+_xlfn.XLOOKUP(PROYECTOS[[#This Row],[MUNICIPIO]],'4.CAP_ENDMNT'!B:B,'4.CAP_ENDMNT'!I:I,0,0,1)</f>
        <v>3987177539</v>
      </c>
      <c r="AA204" s="134">
        <f>+_xlfn.XLOOKUP(PROYECTOS[[#This Row],[MUNICIPIO]],'4.CAP_ENDMNT'!B:B,'4.CAP_ENDMNT'!J:J,0,0,1)</f>
        <v>0.29958554646516761</v>
      </c>
      <c r="AB204" s="140">
        <f>+_xlfn.XLOOKUP(PROYECTOS[[#This Row],[MUNICIPIO]],'4.CAP_ENDMNT'!B:B,'4.CAP_ENDMNT'!K:K,0,0,1)</f>
        <v>9321800768.0144997</v>
      </c>
      <c r="AC204" s="140">
        <f>+_xlfn.XLOOKUP(PROYECTOS[[#This Row],[MUNICIPIO]],'4.CAP_ENDMNT'!B:B,'4.CAP_ENDMNT'!L:L,0,0,1)</f>
        <v>7457440614.4116001</v>
      </c>
      <c r="AD204" s="140">
        <f>+_xlfn.XLOOKUP(PROYECTOS[[#This Row],[MUNICIPIO]],'4.CAP_ENDMNT'!B:B,'4.CAP_ENDMNT'!M:M,0,0,1)</f>
        <v>5593080460.8086996</v>
      </c>
      <c r="AE204" s="134">
        <f>+_xlfn.XLOOKUP(PROYECTOS[[#This Row],[MUNICIPIO]],'4.CAP_ENDMNT'!B:B,'4.CAP_ENDMNT'!N:N,0,0,1)</f>
        <v>0</v>
      </c>
      <c r="AF204" s="134">
        <f>+_xlfn.XLOOKUP(PROYECTOS[[#This Row],[MUNICIPIO]],'4.CAP_ENDMNT'!B:B,'4.CAP_ENDMNT'!O:O,0,0,1)</f>
        <v>0.65348583125551507</v>
      </c>
      <c r="AG204" s="134">
        <f>+_xlfn.XLOOKUP(PROYECTOS[[#This Row],[MUNICIPIO]],'4.CAP_ENDMNT'!B:B,'4.CAP_ENDMNT'!P:P,0,0,1)</f>
        <v>0.8</v>
      </c>
      <c r="AH204" s="44" t="str">
        <f>+_xlfn.XLOOKUP(PROYECTOS[[#This Row],[MUNICIPIO]],'4.CAP_ENDMNT'!B:B,'4.CAP_ENDMNT'!Q:Q,0,0,1)</f>
        <v>Cumple</v>
      </c>
      <c r="AI204" s="139">
        <f>+_xlfn.XLOOKUP(PROYECTOS[[#This Row],[MUNICIPIO]],'4.CAP_ENDMNT'!B:B,'4.CAP_ENDMNT'!V:V,0,0,1)</f>
        <v>1118616092.1617401</v>
      </c>
      <c r="AJ204" s="139">
        <f>+_xlfn.XLOOKUP(PROYECTOS[[#This Row],[MUNICIPIO]],'4.CAP_ENDMNT'!B:B,'4.CAP_ENDMNT'!Y:Y,0,0,1)</f>
        <v>6154776552.9704399</v>
      </c>
      <c r="AK204"/>
      <c r="AL204"/>
      <c r="AM204"/>
    </row>
    <row r="205" spans="1:39">
      <c r="A205" s="44">
        <v>222</v>
      </c>
      <c r="B205" s="37" t="s">
        <v>494</v>
      </c>
      <c r="C205" s="118">
        <v>45747</v>
      </c>
      <c r="D205" s="34" t="s">
        <v>125</v>
      </c>
      <c r="E205" s="47" t="str">
        <f>+_xlfn.XLOOKUP(PROYECTOS[[#This Row],[MUNICIPIO]],MUNICIPIOS!A:A,MUNICIPIOS!E:E,0,0,1)</f>
        <v>Oriente</v>
      </c>
      <c r="F205" s="44">
        <f>+_xlfn.XLOOKUP(PROYECTOS[[#This Row],[MUNICIPIO]],MUNICIPIOS!A:A,MUNICIPIOS!F:F,0,0,1)</f>
        <v>-75.185483000000005</v>
      </c>
      <c r="G205" s="44" t="str">
        <f>+_xlfn.XLOOKUP(PROYECTOS[[#This Row],[MUNICIPIO]],MUNICIPIOS!A:A,MUNICIPIOS!G:G,0,0,1)</f>
        <v>6,058295</v>
      </c>
      <c r="H205" s="44">
        <f>+_xlfn.XLOOKUP(PROYECTOS[[#This Row],[MUNICIPIO]],MUNICIPIOS!A:A,MUNICIPIOS!B:B,0,0,1)</f>
        <v>0</v>
      </c>
      <c r="I205" s="44">
        <f>+_xlfn.XLOOKUP(PROYECTOS[[#This Row],[MUNICIPIO]],MUNICIPIOS!A:A,MUNICIPIOS!C:C,0,0,1)</f>
        <v>1</v>
      </c>
      <c r="J205" s="3" t="str" cm="1">
        <f t="array" ref="J205">_xlfn.TEXTJOIN(" ", TRUE, IF(radicados[ID PROYECTOS]=A205, radicados[RADICADO], ""))</f>
        <v/>
      </c>
      <c r="K205" s="142">
        <v>3</v>
      </c>
      <c r="L205" s="48"/>
      <c r="M205" s="34" t="s">
        <v>435</v>
      </c>
      <c r="N205" s="40" t="s">
        <v>397</v>
      </c>
      <c r="O205" s="40" t="s">
        <v>56</v>
      </c>
      <c r="P205" s="37" t="s">
        <v>970</v>
      </c>
      <c r="Q205" s="45">
        <v>1</v>
      </c>
      <c r="R205" s="49" t="s">
        <v>190</v>
      </c>
      <c r="S205" s="43" t="s">
        <v>1255</v>
      </c>
      <c r="T205" s="44">
        <f>+_xlfn.XLOOKUP(PROYECTOS[[#This Row],[MUNICIPIO]],'4.CAP_ENDMNT'!B:B,'4.CAP_ENDMNT'!C:C,0,0,1)</f>
        <v>6</v>
      </c>
      <c r="U205" s="139">
        <f>+_xlfn.XLOOKUP(PROYECTOS[[#This Row],[MUNICIPIO]],'4.CAP_ENDMNT'!B:B,'4.CAP_ENDMNT'!D:D,0,0,1)</f>
        <v>12327690626.8465</v>
      </c>
      <c r="V205" s="140">
        <f>+_xlfn.XLOOKUP(PROYECTOS[[#This Row],[MUNICIPIO]],'4.CAP_ENDMNT'!B:B,'4.CAP_ENDMNT'!E:E,0,0,1)</f>
        <v>4723680091.2799997</v>
      </c>
      <c r="W205" s="140">
        <f>+_xlfn.XLOOKUP(PROYECTOS[[#This Row],[MUNICIPIO]],'4.CAP_ENDMNT'!B:B,'4.CAP_ENDMNT'!F:F,0,0,1)</f>
        <v>7604010535.5665007</v>
      </c>
      <c r="X205" s="140">
        <f>+_xlfn.XLOOKUP(PROYECTOS[[#This Row],[MUNICIPIO]],'4.CAP_ENDMNT'!B:B,'4.CAP_ENDMNT'!G:G,0,0,1)</f>
        <v>445297438</v>
      </c>
      <c r="Y205" s="140">
        <f>+_xlfn.XLOOKUP(PROYECTOS[[#This Row],[MUNICIPIO]],'4.CAP_ENDMNT'!B:B,'4.CAP_ENDMNT'!H:H,0,0,1)</f>
        <v>33508702</v>
      </c>
      <c r="Z205" s="140">
        <f>+_xlfn.XLOOKUP(PROYECTOS[[#This Row],[MUNICIPIO]],'4.CAP_ENDMNT'!B:B,'4.CAP_ENDMNT'!I:I,0,0,1)</f>
        <v>478806140</v>
      </c>
      <c r="AA205" s="134">
        <f>+_xlfn.XLOOKUP(PROYECTOS[[#This Row],[MUNICIPIO]],'4.CAP_ENDMNT'!B:B,'4.CAP_ENDMNT'!J:J,0,0,1)</f>
        <v>3.8839889359105498E-2</v>
      </c>
      <c r="AB205" s="140">
        <f>+_xlfn.XLOOKUP(PROYECTOS[[#This Row],[MUNICIPIO]],'4.CAP_ENDMNT'!B:B,'4.CAP_ENDMNT'!K:K,0,0,1)</f>
        <v>11848884486.8465</v>
      </c>
      <c r="AC205" s="140">
        <f>+_xlfn.XLOOKUP(PROYECTOS[[#This Row],[MUNICIPIO]],'4.CAP_ENDMNT'!B:B,'4.CAP_ENDMNT'!L:L,0,0,1)</f>
        <v>9479107589.4772015</v>
      </c>
      <c r="AD205" s="140">
        <f>+_xlfn.XLOOKUP(PROYECTOS[[#This Row],[MUNICIPIO]],'4.CAP_ENDMNT'!B:B,'4.CAP_ENDMNT'!M:M,0,0,1)</f>
        <v>7109330692.1078997</v>
      </c>
      <c r="AE205" s="134">
        <f>+_xlfn.XLOOKUP(PROYECTOS[[#This Row],[MUNICIPIO]],'4.CAP_ENDMNT'!B:B,'4.CAP_ENDMNT'!N:N,0,0,1)</f>
        <v>0.93001613972619479</v>
      </c>
      <c r="AF205" s="134">
        <f>+_xlfn.XLOOKUP(PROYECTOS[[#This Row],[MUNICIPIO]],'4.CAP_ENDMNT'!B:B,'4.CAP_ENDMNT'!O:O,0,0,1)</f>
        <v>0.63996045822337311</v>
      </c>
      <c r="AG205" s="134">
        <f>+_xlfn.XLOOKUP(PROYECTOS[[#This Row],[MUNICIPIO]],'4.CAP_ENDMNT'!B:B,'4.CAP_ENDMNT'!P:P,0,0,1)</f>
        <v>0.8</v>
      </c>
      <c r="AH205" s="44" t="str">
        <f>+_xlfn.XLOOKUP(PROYECTOS[[#This Row],[MUNICIPIO]],'4.CAP_ENDMNT'!B:B,'4.CAP_ENDMNT'!Q:Q,0,0,1)</f>
        <v>Cumple</v>
      </c>
      <c r="AI205" s="139">
        <f>+_xlfn.XLOOKUP(PROYECTOS[[#This Row],[MUNICIPIO]],'4.CAP_ENDMNT'!B:B,'4.CAP_ENDMNT'!V:V,0,0,1)</f>
        <v>1421866138.4215801</v>
      </c>
      <c r="AJ205" s="139">
        <f>+_xlfn.XLOOKUP(PROYECTOS[[#This Row],[MUNICIPIO]],'4.CAP_ENDMNT'!B:B,'4.CAP_ENDMNT'!Y:Y,0,0,1)</f>
        <v>4809429397.52948</v>
      </c>
      <c r="AK205"/>
      <c r="AL205"/>
      <c r="AM205"/>
    </row>
    <row r="206" spans="1:39" ht="30">
      <c r="A206" s="44">
        <v>223</v>
      </c>
      <c r="B206" s="36" t="s">
        <v>1505</v>
      </c>
      <c r="C206" s="118">
        <v>45747</v>
      </c>
      <c r="D206" s="34" t="s">
        <v>166</v>
      </c>
      <c r="E206" s="47" t="str">
        <f>+_xlfn.XLOOKUP(PROYECTOS[[#This Row],[MUNICIPIO]],MUNICIPIOS!A:A,MUNICIPIOS!E:E,0,0,1)</f>
        <v>Occidente</v>
      </c>
      <c r="F206" s="44">
        <f>+_xlfn.XLOOKUP(PROYECTOS[[#This Row],[MUNICIPIO]],MUNICIPIOS!A:A,MUNICIPIOS!F:F,0,0,1)</f>
        <v>-75.826648000000006</v>
      </c>
      <c r="G206" s="44" t="str">
        <f>+_xlfn.XLOOKUP(PROYECTOS[[#This Row],[MUNICIPIO]],MUNICIPIOS!A:A,MUNICIPIOS!G:G,0,0,1)</f>
        <v>6,556484</v>
      </c>
      <c r="H206" s="44">
        <f>+_xlfn.XLOOKUP(PROYECTOS[[#This Row],[MUNICIPIO]],MUNICIPIOS!A:A,MUNICIPIOS!B:B,0,0,1)</f>
        <v>0</v>
      </c>
      <c r="I206" s="44">
        <f>+_xlfn.XLOOKUP(PROYECTOS[[#This Row],[MUNICIPIO]],MUNICIPIOS!A:A,MUNICIPIOS!C:C,0,0,1)</f>
        <v>1</v>
      </c>
      <c r="J206" s="3" t="str" cm="1">
        <f t="array" ref="J206">_xlfn.TEXTJOIN(" ", TRUE, IF(radicados[ID PROYECTOS]=A206, radicados[RADICADO], ""))</f>
        <v/>
      </c>
      <c r="K206" s="45">
        <v>1</v>
      </c>
      <c r="L206" s="48"/>
      <c r="M206" s="34" t="s">
        <v>435</v>
      </c>
      <c r="N206" s="40" t="s">
        <v>397</v>
      </c>
      <c r="O206" s="40" t="s">
        <v>56</v>
      </c>
      <c r="P206" s="37" t="s">
        <v>497</v>
      </c>
      <c r="Q206" s="45">
        <v>1</v>
      </c>
      <c r="R206" s="49" t="s">
        <v>190</v>
      </c>
      <c r="S206" s="63" t="s">
        <v>1260</v>
      </c>
      <c r="T206" s="44">
        <f>+_xlfn.XLOOKUP(PROYECTOS[[#This Row],[MUNICIPIO]],'4.CAP_ENDMNT'!B:B,'4.CAP_ENDMNT'!C:C,0,0,1)</f>
        <v>5</v>
      </c>
      <c r="U206" s="139">
        <f>+_xlfn.XLOOKUP(PROYECTOS[[#This Row],[MUNICIPIO]],'4.CAP_ENDMNT'!B:B,'4.CAP_ENDMNT'!D:D,0,0,1)</f>
        <v>40656193467.687004</v>
      </c>
      <c r="V206" s="140">
        <f>+_xlfn.XLOOKUP(PROYECTOS[[#This Row],[MUNICIPIO]],'4.CAP_ENDMNT'!B:B,'4.CAP_ENDMNT'!E:E,0,0,1)</f>
        <v>18778286398.540001</v>
      </c>
      <c r="W206" s="140">
        <f>+_xlfn.XLOOKUP(PROYECTOS[[#This Row],[MUNICIPIO]],'4.CAP_ENDMNT'!B:B,'4.CAP_ENDMNT'!F:F,0,0,1)</f>
        <v>21877907069.147003</v>
      </c>
      <c r="X206" s="140">
        <f>+_xlfn.XLOOKUP(PROYECTOS[[#This Row],[MUNICIPIO]],'4.CAP_ENDMNT'!B:B,'4.CAP_ENDMNT'!G:G,0,0,1)</f>
        <v>5492975516</v>
      </c>
      <c r="Y206" s="140">
        <f>+_xlfn.XLOOKUP(PROYECTOS[[#This Row],[MUNICIPIO]],'4.CAP_ENDMNT'!B:B,'4.CAP_ENDMNT'!H:H,0,0,1)</f>
        <v>2014055909</v>
      </c>
      <c r="Z206" s="140">
        <f>+_xlfn.XLOOKUP(PROYECTOS[[#This Row],[MUNICIPIO]],'4.CAP_ENDMNT'!B:B,'4.CAP_ENDMNT'!I:I,0,0,1)</f>
        <v>7507031425</v>
      </c>
      <c r="AA206" s="134">
        <f>+_xlfn.XLOOKUP(PROYECTOS[[#This Row],[MUNICIPIO]],'4.CAP_ENDMNT'!B:B,'4.CAP_ENDMNT'!J:J,0,0,1)</f>
        <v>0.18464668688096655</v>
      </c>
      <c r="AB206" s="140">
        <f>+_xlfn.XLOOKUP(PROYECTOS[[#This Row],[MUNICIPIO]],'4.CAP_ENDMNT'!B:B,'4.CAP_ENDMNT'!K:K,0,0,1)</f>
        <v>33149162042.687004</v>
      </c>
      <c r="AC206" s="140">
        <f>+_xlfn.XLOOKUP(PROYECTOS[[#This Row],[MUNICIPIO]],'4.CAP_ENDMNT'!B:B,'4.CAP_ENDMNT'!L:L,0,0,1)</f>
        <v>26519329634.149605</v>
      </c>
      <c r="AD206" s="140">
        <f>+_xlfn.XLOOKUP(PROYECTOS[[#This Row],[MUNICIPIO]],'4.CAP_ENDMNT'!B:B,'4.CAP_ENDMNT'!M:M,0,0,1)</f>
        <v>19889497225.612202</v>
      </c>
      <c r="AE206" s="134">
        <f>+_xlfn.XLOOKUP(PROYECTOS[[#This Row],[MUNICIPIO]],'4.CAP_ENDMNT'!B:B,'4.CAP_ENDMNT'!N:N,0,0,1)</f>
        <v>0.73171073957506449</v>
      </c>
      <c r="AF206" s="134">
        <f>+_xlfn.XLOOKUP(PROYECTOS[[#This Row],[MUNICIPIO]],'4.CAP_ENDMNT'!B:B,'4.CAP_ENDMNT'!O:O,0,0,1)</f>
        <v>0.53391906125286837</v>
      </c>
      <c r="AG206" s="134">
        <f>+_xlfn.XLOOKUP(PROYECTOS[[#This Row],[MUNICIPIO]],'4.CAP_ENDMNT'!B:B,'4.CAP_ENDMNT'!P:P,0,0,1)</f>
        <v>0.8</v>
      </c>
      <c r="AH206" s="44" t="str">
        <f>+_xlfn.XLOOKUP(PROYECTOS[[#This Row],[MUNICIPIO]],'4.CAP_ENDMNT'!B:B,'4.CAP_ENDMNT'!Q:Q,0,0,1)</f>
        <v>Cumple</v>
      </c>
      <c r="AI206" s="139">
        <f>+_xlfn.XLOOKUP(PROYECTOS[[#This Row],[MUNICIPIO]],'4.CAP_ENDMNT'!B:B,'4.CAP_ENDMNT'!V:V,0,0,1)</f>
        <v>3977899445.1224403</v>
      </c>
      <c r="AJ206" s="139">
        <f>+_xlfn.XLOOKUP(PROYECTOS[[#This Row],[MUNICIPIO]],'4.CAP_ENDMNT'!B:B,'4.CAP_ENDMNT'!Y:Y,0,0,1)</f>
        <v>-34393689178.265358</v>
      </c>
      <c r="AK206"/>
      <c r="AL206"/>
      <c r="AM206"/>
    </row>
    <row r="207" spans="1:39">
      <c r="A207" s="44">
        <v>224</v>
      </c>
      <c r="B207" s="37" t="s">
        <v>1425</v>
      </c>
      <c r="C207" s="118">
        <v>45747</v>
      </c>
      <c r="D207" s="34" t="s">
        <v>359</v>
      </c>
      <c r="E207" s="47" t="str">
        <f>+_xlfn.XLOOKUP(PROYECTOS[[#This Row],[MUNICIPIO]],MUNICIPIOS!A:A,MUNICIPIOS!E:E,0,0,1)</f>
        <v>Suroeste</v>
      </c>
      <c r="F207" s="44">
        <f>+_xlfn.XLOOKUP(PROYECTOS[[#This Row],[MUNICIPIO]],MUNICIPIOS!A:A,MUNICIPIOS!F:F,0,0,1)</f>
        <v>-75.643867999999998</v>
      </c>
      <c r="G207" s="44" t="str">
        <f>+_xlfn.XLOOKUP(PROYECTOS[[#This Row],[MUNICIPIO]],MUNICIPIOS!A:A,MUNICIPIOS!G:G,0,0,1)</f>
        <v>5,54853</v>
      </c>
      <c r="H207" s="44">
        <f>+_xlfn.XLOOKUP(PROYECTOS[[#This Row],[MUNICIPIO]],MUNICIPIOS!A:A,MUNICIPIOS!B:B,0,0,1)</f>
        <v>0</v>
      </c>
      <c r="I207" s="44">
        <f>+_xlfn.XLOOKUP(PROYECTOS[[#This Row],[MUNICIPIO]],MUNICIPIOS!A:A,MUNICIPIOS!C:C,0,0,1)</f>
        <v>0</v>
      </c>
      <c r="J207" s="3" t="str" cm="1">
        <f t="array" ref="J207">_xlfn.TEXTJOIN(" ", TRUE, IF(radicados[ID PROYECTOS]=A207, radicados[RADICADO], ""))</f>
        <v/>
      </c>
      <c r="K207" s="142">
        <v>3</v>
      </c>
      <c r="L207" s="48"/>
      <c r="M207" s="34" t="s">
        <v>435</v>
      </c>
      <c r="N207" s="40" t="s">
        <v>397</v>
      </c>
      <c r="O207" s="40" t="s">
        <v>56</v>
      </c>
      <c r="P207" s="37" t="s">
        <v>499</v>
      </c>
      <c r="Q207" s="45"/>
      <c r="R207" s="43"/>
      <c r="S207" s="43"/>
      <c r="T207" s="44">
        <f>+_xlfn.XLOOKUP(PROYECTOS[[#This Row],[MUNICIPIO]],'4.CAP_ENDMNT'!B:B,'4.CAP_ENDMNT'!C:C,0,0,1)</f>
        <v>6</v>
      </c>
      <c r="U207" s="139">
        <f>+_xlfn.XLOOKUP(PROYECTOS[[#This Row],[MUNICIPIO]],'4.CAP_ENDMNT'!B:B,'4.CAP_ENDMNT'!D:D,0,0,1)</f>
        <v>4632250570.3755007</v>
      </c>
      <c r="V207" s="140">
        <f>+_xlfn.XLOOKUP(PROYECTOS[[#This Row],[MUNICIPIO]],'4.CAP_ENDMNT'!B:B,'4.CAP_ENDMNT'!E:E,0,0,1)</f>
        <v>2678094476.75</v>
      </c>
      <c r="W207" s="140">
        <f>+_xlfn.XLOOKUP(PROYECTOS[[#This Row],[MUNICIPIO]],'4.CAP_ENDMNT'!B:B,'4.CAP_ENDMNT'!F:F,0,0,1)</f>
        <v>1954156093.6255007</v>
      </c>
      <c r="X207" s="140">
        <f>+_xlfn.XLOOKUP(PROYECTOS[[#This Row],[MUNICIPIO]],'4.CAP_ENDMNT'!B:B,'4.CAP_ENDMNT'!G:G,0,0,1)</f>
        <v>1940610936.6700001</v>
      </c>
      <c r="Y207" s="140">
        <f>+_xlfn.XLOOKUP(PROYECTOS[[#This Row],[MUNICIPIO]],'4.CAP_ENDMNT'!B:B,'4.CAP_ENDMNT'!H:H,0,0,1)</f>
        <v>0</v>
      </c>
      <c r="Z207" s="140">
        <f>+_xlfn.XLOOKUP(PROYECTOS[[#This Row],[MUNICIPIO]],'4.CAP_ENDMNT'!B:B,'4.CAP_ENDMNT'!I:I,0,0,1)</f>
        <v>1940610936.6700001</v>
      </c>
      <c r="AA207" s="134">
        <f>+_xlfn.XLOOKUP(PROYECTOS[[#This Row],[MUNICIPIO]],'4.CAP_ENDMNT'!B:B,'4.CAP_ENDMNT'!J:J,0,0,1)</f>
        <v>0.41893479361430352</v>
      </c>
      <c r="AB207" s="140">
        <f>+_xlfn.XLOOKUP(PROYECTOS[[#This Row],[MUNICIPIO]],'4.CAP_ENDMNT'!B:B,'4.CAP_ENDMNT'!K:K,0,0,1)</f>
        <v>2691639633.7055006</v>
      </c>
      <c r="AC207" s="140">
        <f>+_xlfn.XLOOKUP(PROYECTOS[[#This Row],[MUNICIPIO]],'4.CAP_ENDMNT'!B:B,'4.CAP_ENDMNT'!L:L,0,0,1)</f>
        <v>2153311706.9644008</v>
      </c>
      <c r="AD207" s="140">
        <f>+_xlfn.XLOOKUP(PROYECTOS[[#This Row],[MUNICIPIO]],'4.CAP_ENDMNT'!B:B,'4.CAP_ENDMNT'!M:M,0,0,1)</f>
        <v>1614983780.2233002</v>
      </c>
      <c r="AE207" s="134">
        <f>+_xlfn.XLOOKUP(PROYECTOS[[#This Row],[MUNICIPIO]],'4.CAP_ENDMNT'!B:B,'4.CAP_ENDMNT'!N:N,0,0,1)</f>
        <v>1</v>
      </c>
      <c r="AF207" s="134">
        <f>+_xlfn.XLOOKUP(PROYECTOS[[#This Row],[MUNICIPIO]],'4.CAP_ENDMNT'!B:B,'4.CAP_ENDMNT'!O:O,0,0,1)</f>
        <v>0.76459744811231467</v>
      </c>
      <c r="AG207" s="134">
        <f>+_xlfn.XLOOKUP(PROYECTOS[[#This Row],[MUNICIPIO]],'4.CAP_ENDMNT'!B:B,'4.CAP_ENDMNT'!P:P,0,0,1)</f>
        <v>0.8</v>
      </c>
      <c r="AH207" s="44" t="str">
        <f>+_xlfn.XLOOKUP(PROYECTOS[[#This Row],[MUNICIPIO]],'4.CAP_ENDMNT'!B:B,'4.CAP_ENDMNT'!Q:Q,0,0,1)</f>
        <v>Riesgo</v>
      </c>
      <c r="AI207" s="139">
        <f>+_xlfn.XLOOKUP(PROYECTOS[[#This Row],[MUNICIPIO]],'4.CAP_ENDMNT'!B:B,'4.CAP_ENDMNT'!V:V,0,0,1)</f>
        <v>322996756.04466009</v>
      </c>
      <c r="AJ207" s="139">
        <f>+_xlfn.XLOOKUP(PROYECTOS[[#This Row],[MUNICIPIO]],'4.CAP_ENDMNT'!B:B,'4.CAP_ENDMNT'!Y:Y,0,0,1)</f>
        <v>-11822870077.73204</v>
      </c>
      <c r="AK207"/>
      <c r="AL207"/>
      <c r="AM207"/>
    </row>
    <row r="208" spans="1:39">
      <c r="A208" s="44">
        <v>225</v>
      </c>
      <c r="B208" s="37" t="s">
        <v>500</v>
      </c>
      <c r="C208" s="118">
        <v>45747</v>
      </c>
      <c r="D208" s="34" t="s">
        <v>470</v>
      </c>
      <c r="E208" s="47" t="str">
        <f>+_xlfn.XLOOKUP(PROYECTOS[[#This Row],[MUNICIPIO]],MUNICIPIOS!A:A,MUNICIPIOS!E:E,0,0,1)</f>
        <v>Oriente</v>
      </c>
      <c r="F208" s="44">
        <f>+_xlfn.XLOOKUP(PROYECTOS[[#This Row],[MUNICIPIO]],MUNICIPIOS!A:A,MUNICIPIOS!F:F,0,0,1)</f>
        <v>-75.028490000000005</v>
      </c>
      <c r="G208" s="44" t="str">
        <f>+_xlfn.XLOOKUP(PROYECTOS[[#This Row],[MUNICIPIO]],MUNICIPIOS!A:A,MUNICIPIOS!G:G,0,0,1)</f>
        <v>6,293759</v>
      </c>
      <c r="H208" s="44">
        <f>+_xlfn.XLOOKUP(PROYECTOS[[#This Row],[MUNICIPIO]],MUNICIPIOS!A:A,MUNICIPIOS!B:B,0,0,1)</f>
        <v>0</v>
      </c>
      <c r="I208" s="44">
        <f>+_xlfn.XLOOKUP(PROYECTOS[[#This Row],[MUNICIPIO]],MUNICIPIOS!A:A,MUNICIPIOS!C:C,0,0,1)</f>
        <v>1</v>
      </c>
      <c r="J208" s="3" t="str" cm="1">
        <f t="array" ref="J208">_xlfn.TEXTJOIN(" ", TRUE, IF(radicados[ID PROYECTOS]=A208, radicados[RADICADO], ""))</f>
        <v/>
      </c>
      <c r="K208" s="142">
        <v>2</v>
      </c>
      <c r="L208" s="48"/>
      <c r="M208" s="34" t="s">
        <v>435</v>
      </c>
      <c r="N208" s="40" t="s">
        <v>397</v>
      </c>
      <c r="O208" s="40" t="s">
        <v>56</v>
      </c>
      <c r="P208" s="37" t="s">
        <v>501</v>
      </c>
      <c r="Q208" s="45"/>
      <c r="R208" s="43"/>
      <c r="S208" s="43"/>
      <c r="T208" s="44">
        <f>+_xlfn.XLOOKUP(PROYECTOS[[#This Row],[MUNICIPIO]],'4.CAP_ENDMNT'!B:B,'4.CAP_ENDMNT'!C:C,0,0,1)</f>
        <v>6</v>
      </c>
      <c r="U208" s="139">
        <f>+_xlfn.XLOOKUP(PROYECTOS[[#This Row],[MUNICIPIO]],'4.CAP_ENDMNT'!B:B,'4.CAP_ENDMNT'!D:D,0,0,1)</f>
        <v>17565923370.843998</v>
      </c>
      <c r="V208" s="140">
        <f>+_xlfn.XLOOKUP(PROYECTOS[[#This Row],[MUNICIPIO]],'4.CAP_ENDMNT'!B:B,'4.CAP_ENDMNT'!E:E,0,0,1)</f>
        <v>4463335582.5100002</v>
      </c>
      <c r="W208" s="140">
        <f>+_xlfn.XLOOKUP(PROYECTOS[[#This Row],[MUNICIPIO]],'4.CAP_ENDMNT'!B:B,'4.CAP_ENDMNT'!F:F,0,0,1)</f>
        <v>13102587788.333998</v>
      </c>
      <c r="X208" s="140">
        <f>+_xlfn.XLOOKUP(PROYECTOS[[#This Row],[MUNICIPIO]],'4.CAP_ENDMNT'!B:B,'4.CAP_ENDMNT'!G:G,0,0,1)</f>
        <v>2561424191</v>
      </c>
      <c r="Y208" s="140">
        <f>+_xlfn.XLOOKUP(PROYECTOS[[#This Row],[MUNICIPIO]],'4.CAP_ENDMNT'!B:B,'4.CAP_ENDMNT'!H:H,0,0,1)</f>
        <v>0</v>
      </c>
      <c r="Z208" s="140">
        <f>+_xlfn.XLOOKUP(PROYECTOS[[#This Row],[MUNICIPIO]],'4.CAP_ENDMNT'!B:B,'4.CAP_ENDMNT'!I:I,0,0,1)</f>
        <v>2561424191</v>
      </c>
      <c r="AA208" s="134">
        <f>+_xlfn.XLOOKUP(PROYECTOS[[#This Row],[MUNICIPIO]],'4.CAP_ENDMNT'!B:B,'4.CAP_ENDMNT'!J:J,0,0,1)</f>
        <v>0.14581779374328047</v>
      </c>
      <c r="AB208" s="140">
        <f>+_xlfn.XLOOKUP(PROYECTOS[[#This Row],[MUNICIPIO]],'4.CAP_ENDMNT'!B:B,'4.CAP_ENDMNT'!K:K,0,0,1)</f>
        <v>15004499179.843998</v>
      </c>
      <c r="AC208" s="140">
        <f>+_xlfn.XLOOKUP(PROYECTOS[[#This Row],[MUNICIPIO]],'4.CAP_ENDMNT'!B:B,'4.CAP_ENDMNT'!L:L,0,0,1)</f>
        <v>12003599343.875198</v>
      </c>
      <c r="AD208" s="140">
        <f>+_xlfn.XLOOKUP(PROYECTOS[[#This Row],[MUNICIPIO]],'4.CAP_ENDMNT'!B:B,'4.CAP_ENDMNT'!M:M,0,0,1)</f>
        <v>9002699507.9063988</v>
      </c>
      <c r="AE208" s="134">
        <f>+_xlfn.XLOOKUP(PROYECTOS[[#This Row],[MUNICIPIO]],'4.CAP_ENDMNT'!B:B,'4.CAP_ENDMNT'!N:N,0,0,1)</f>
        <v>1</v>
      </c>
      <c r="AF208" s="134">
        <f>+_xlfn.XLOOKUP(PROYECTOS[[#This Row],[MUNICIPIO]],'4.CAP_ENDMNT'!B:B,'4.CAP_ENDMNT'!O:O,0,0,1)</f>
        <v>0.64471709259563048</v>
      </c>
      <c r="AG208" s="134">
        <f>+_xlfn.XLOOKUP(PROYECTOS[[#This Row],[MUNICIPIO]],'4.CAP_ENDMNT'!B:B,'4.CAP_ENDMNT'!P:P,0,0,1)</f>
        <v>0.8</v>
      </c>
      <c r="AH208" s="44" t="str">
        <f>+_xlfn.XLOOKUP(PROYECTOS[[#This Row],[MUNICIPIO]],'4.CAP_ENDMNT'!B:B,'4.CAP_ENDMNT'!Q:Q,0,0,1)</f>
        <v>Cumple</v>
      </c>
      <c r="AI208" s="139">
        <f>+_xlfn.XLOOKUP(PROYECTOS[[#This Row],[MUNICIPIO]],'4.CAP_ENDMNT'!B:B,'4.CAP_ENDMNT'!V:V,0,0,1)</f>
        <v>1800539901.5812798</v>
      </c>
      <c r="AJ208" s="139">
        <f>+_xlfn.XLOOKUP(PROYECTOS[[#This Row],[MUNICIPIO]],'4.CAP_ENDMNT'!B:B,'4.CAP_ENDMNT'!Y:Y,0,0,1)</f>
        <v>3805966446.4876785</v>
      </c>
      <c r="AK208"/>
      <c r="AL208"/>
      <c r="AM208"/>
    </row>
    <row r="209" spans="1:39">
      <c r="A209" s="44">
        <v>226</v>
      </c>
      <c r="B209" s="37" t="s">
        <v>502</v>
      </c>
      <c r="C209" s="118">
        <v>45747</v>
      </c>
      <c r="D209" s="34" t="s">
        <v>270</v>
      </c>
      <c r="E209" s="47" t="str">
        <f>+_xlfn.XLOOKUP(PROYECTOS[[#This Row],[MUNICIPIO]],MUNICIPIOS!A:A,MUNICIPIOS!E:E,0,0,1)</f>
        <v>Oriente</v>
      </c>
      <c r="F209" s="44">
        <f>+_xlfn.XLOOKUP(PROYECTOS[[#This Row],[MUNICIPIO]],MUNICIPIOS!A:A,MUNICIPIOS!F:F,0,0,1)</f>
        <v>-74.993618999999995</v>
      </c>
      <c r="G209" s="44" t="str">
        <f>+_xlfn.XLOOKUP(PROYECTOS[[#This Row],[MUNICIPIO]],MUNICIPIOS!A:A,MUNICIPIOS!G:G,0,0,1)</f>
        <v>6,043017</v>
      </c>
      <c r="H209" s="44">
        <f>+_xlfn.XLOOKUP(PROYECTOS[[#This Row],[MUNICIPIO]],MUNICIPIOS!A:A,MUNICIPIOS!B:B,0,0,1)</f>
        <v>0</v>
      </c>
      <c r="I209" s="44">
        <f>+_xlfn.XLOOKUP(PROYECTOS[[#This Row],[MUNICIPIO]],MUNICIPIOS!A:A,MUNICIPIOS!C:C,0,0,1)</f>
        <v>1</v>
      </c>
      <c r="J209" s="3" t="str" cm="1">
        <f t="array" ref="J209">_xlfn.TEXTJOIN(" ", TRUE, IF(radicados[ID PROYECTOS]=A209, radicados[RADICADO], ""))</f>
        <v/>
      </c>
      <c r="K209" s="142">
        <v>2</v>
      </c>
      <c r="L209" s="48"/>
      <c r="M209" s="34" t="s">
        <v>435</v>
      </c>
      <c r="N209" s="40" t="s">
        <v>397</v>
      </c>
      <c r="O209" s="40" t="s">
        <v>56</v>
      </c>
      <c r="P209" s="37" t="s">
        <v>1426</v>
      </c>
      <c r="Q209" s="45"/>
      <c r="R209" s="43"/>
      <c r="S209" s="43"/>
      <c r="T209" s="44">
        <f>+_xlfn.XLOOKUP(PROYECTOS[[#This Row],[MUNICIPIO]],'4.CAP_ENDMNT'!B:B,'4.CAP_ENDMNT'!C:C,0,0,1)</f>
        <v>6</v>
      </c>
      <c r="U209" s="139">
        <f>+_xlfn.XLOOKUP(PROYECTOS[[#This Row],[MUNICIPIO]],'4.CAP_ENDMNT'!B:B,'4.CAP_ENDMNT'!D:D,0,0,1)</f>
        <v>10860999220.161499</v>
      </c>
      <c r="V209" s="140">
        <f>+_xlfn.XLOOKUP(PROYECTOS[[#This Row],[MUNICIPIO]],'4.CAP_ENDMNT'!B:B,'4.CAP_ENDMNT'!E:E,0,0,1)</f>
        <v>3903981787.4000001</v>
      </c>
      <c r="W209" s="140">
        <f>+_xlfn.XLOOKUP(PROYECTOS[[#This Row],[MUNICIPIO]],'4.CAP_ENDMNT'!B:B,'4.CAP_ENDMNT'!F:F,0,0,1)</f>
        <v>6957017432.7614994</v>
      </c>
      <c r="X209" s="140">
        <f>+_xlfn.XLOOKUP(PROYECTOS[[#This Row],[MUNICIPIO]],'4.CAP_ENDMNT'!B:B,'4.CAP_ENDMNT'!G:G,0,0,1)</f>
        <v>1425530293</v>
      </c>
      <c r="Y209" s="140">
        <f>+_xlfn.XLOOKUP(PROYECTOS[[#This Row],[MUNICIPIO]],'4.CAP_ENDMNT'!B:B,'4.CAP_ENDMNT'!H:H,0,0,1)</f>
        <v>0</v>
      </c>
      <c r="Z209" s="140">
        <f>+_xlfn.XLOOKUP(PROYECTOS[[#This Row],[MUNICIPIO]],'4.CAP_ENDMNT'!B:B,'4.CAP_ENDMNT'!I:I,0,0,1)</f>
        <v>1425530293</v>
      </c>
      <c r="AA209" s="134">
        <f>+_xlfn.XLOOKUP(PROYECTOS[[#This Row],[MUNICIPIO]],'4.CAP_ENDMNT'!B:B,'4.CAP_ENDMNT'!J:J,0,0,1)</f>
        <v>0.13125222312453153</v>
      </c>
      <c r="AB209" s="140">
        <f>+_xlfn.XLOOKUP(PROYECTOS[[#This Row],[MUNICIPIO]],'4.CAP_ENDMNT'!B:B,'4.CAP_ENDMNT'!K:K,0,0,1)</f>
        <v>9435468927.161499</v>
      </c>
      <c r="AC209" s="140">
        <f>+_xlfn.XLOOKUP(PROYECTOS[[#This Row],[MUNICIPIO]],'4.CAP_ENDMNT'!B:B,'4.CAP_ENDMNT'!L:L,0,0,1)</f>
        <v>7548375141.7291994</v>
      </c>
      <c r="AD209" s="140">
        <f>+_xlfn.XLOOKUP(PROYECTOS[[#This Row],[MUNICIPIO]],'4.CAP_ENDMNT'!B:B,'4.CAP_ENDMNT'!M:M,0,0,1)</f>
        <v>5661281356.2968988</v>
      </c>
      <c r="AE209" s="134">
        <f>+_xlfn.XLOOKUP(PROYECTOS[[#This Row],[MUNICIPIO]],'4.CAP_ENDMNT'!B:B,'4.CAP_ENDMNT'!N:N,0,0,1)</f>
        <v>1</v>
      </c>
      <c r="AF209" s="134">
        <f>+_xlfn.XLOOKUP(PROYECTOS[[#This Row],[MUNICIPIO]],'4.CAP_ENDMNT'!B:B,'4.CAP_ENDMNT'!O:O,0,0,1)</f>
        <v>0.63270124114427018</v>
      </c>
      <c r="AG209" s="134">
        <f>+_xlfn.XLOOKUP(PROYECTOS[[#This Row],[MUNICIPIO]],'4.CAP_ENDMNT'!B:B,'4.CAP_ENDMNT'!P:P,0,0,1)</f>
        <v>0.8</v>
      </c>
      <c r="AH209" s="44" t="str">
        <f>+_xlfn.XLOOKUP(PROYECTOS[[#This Row],[MUNICIPIO]],'4.CAP_ENDMNT'!B:B,'4.CAP_ENDMNT'!Q:Q,0,0,1)</f>
        <v>Cumple</v>
      </c>
      <c r="AI209" s="139">
        <f>+_xlfn.XLOOKUP(PROYECTOS[[#This Row],[MUNICIPIO]],'4.CAP_ENDMNT'!B:B,'4.CAP_ENDMNT'!V:V,0,0,1)</f>
        <v>1132256271.2593799</v>
      </c>
      <c r="AJ209" s="139">
        <f>+_xlfn.XLOOKUP(PROYECTOS[[#This Row],[MUNICIPIO]],'4.CAP_ENDMNT'!B:B,'4.CAP_ENDMNT'!Y:Y,0,0,1)</f>
        <v>-72218731181.443726</v>
      </c>
      <c r="AK209"/>
      <c r="AL209"/>
      <c r="AM209"/>
    </row>
    <row r="210" spans="1:39">
      <c r="A210" s="44">
        <v>227</v>
      </c>
      <c r="B210" s="37" t="s">
        <v>503</v>
      </c>
      <c r="C210" s="118">
        <v>45747</v>
      </c>
      <c r="D210" s="34" t="s">
        <v>15</v>
      </c>
      <c r="E210" s="47" t="str">
        <f>+_xlfn.XLOOKUP(PROYECTOS[[#This Row],[MUNICIPIO]],MUNICIPIOS!A:A,MUNICIPIOS!E:E,0,0,1)</f>
        <v>Valle de Aburrá</v>
      </c>
      <c r="F210" s="44">
        <f>+_xlfn.XLOOKUP(PROYECTOS[[#This Row],[MUNICIPIO]],MUNICIPIOS!A:A,MUNICIPIOS!F:F,0,0,1)</f>
        <v>-75.331626999999997</v>
      </c>
      <c r="G210" s="44" t="str">
        <f>+_xlfn.XLOOKUP(PROYECTOS[[#This Row],[MUNICIPIO]],MUNICIPIOS!A:A,MUNICIPIOS!G:G,0,0,1)</f>
        <v>6,439195</v>
      </c>
      <c r="H210" s="44">
        <f>+_xlfn.XLOOKUP(PROYECTOS[[#This Row],[MUNICIPIO]],MUNICIPIOS!A:A,MUNICIPIOS!B:B,0,0,1)</f>
        <v>0</v>
      </c>
      <c r="I210" s="44">
        <f>+_xlfn.XLOOKUP(PROYECTOS[[#This Row],[MUNICIPIO]],MUNICIPIOS!A:A,MUNICIPIOS!C:C,0,0,1)</f>
        <v>0</v>
      </c>
      <c r="J210" s="3" t="str" cm="1">
        <f t="array" ref="J210">_xlfn.TEXTJOIN(" ", TRUE, IF(radicados[ID PROYECTOS]=A210, radicados[RADICADO], ""))</f>
        <v/>
      </c>
      <c r="K210" s="142">
        <v>2</v>
      </c>
      <c r="L210" s="48"/>
      <c r="M210" s="34" t="s">
        <v>435</v>
      </c>
      <c r="N210" s="40" t="s">
        <v>397</v>
      </c>
      <c r="O210" s="40" t="s">
        <v>56</v>
      </c>
      <c r="P210" s="37" t="s">
        <v>1252</v>
      </c>
      <c r="Q210" s="45"/>
      <c r="R210" s="43"/>
      <c r="S210" s="43"/>
      <c r="T210" s="44">
        <f>+_xlfn.XLOOKUP(PROYECTOS[[#This Row],[MUNICIPIO]],'4.CAP_ENDMNT'!B:B,'4.CAP_ENDMNT'!C:C,0,0,1)</f>
        <v>4</v>
      </c>
      <c r="U210" s="139">
        <f>+_xlfn.XLOOKUP(PROYECTOS[[#This Row],[MUNICIPIO]],'4.CAP_ENDMNT'!B:B,'4.CAP_ENDMNT'!D:D,0,0,1)</f>
        <v>56592203197.536499</v>
      </c>
      <c r="V210" s="140">
        <f>+_xlfn.XLOOKUP(PROYECTOS[[#This Row],[MUNICIPIO]],'4.CAP_ENDMNT'!B:B,'4.CAP_ENDMNT'!E:E,0,0,1)</f>
        <v>24375972647.860001</v>
      </c>
      <c r="W210" s="140">
        <f>+_xlfn.XLOOKUP(PROYECTOS[[#This Row],[MUNICIPIO]],'4.CAP_ENDMNT'!B:B,'4.CAP_ENDMNT'!F:F,0,0,1)</f>
        <v>32216230549.676498</v>
      </c>
      <c r="X210" s="140">
        <f>+_xlfn.XLOOKUP(PROYECTOS[[#This Row],[MUNICIPIO]],'4.CAP_ENDMNT'!B:B,'4.CAP_ENDMNT'!G:G,0,0,1)</f>
        <v>0</v>
      </c>
      <c r="Y210" s="140">
        <f>+_xlfn.XLOOKUP(PROYECTOS[[#This Row],[MUNICIPIO]],'4.CAP_ENDMNT'!B:B,'4.CAP_ENDMNT'!H:H,0,0,1)</f>
        <v>15044963334.42</v>
      </c>
      <c r="Z210" s="140">
        <f>+_xlfn.XLOOKUP(PROYECTOS[[#This Row],[MUNICIPIO]],'4.CAP_ENDMNT'!B:B,'4.CAP_ENDMNT'!I:I,0,0,1)</f>
        <v>15044963334.42</v>
      </c>
      <c r="AA210" s="134">
        <f>+_xlfn.XLOOKUP(PROYECTOS[[#This Row],[MUNICIPIO]],'4.CAP_ENDMNT'!B:B,'4.CAP_ENDMNT'!J:J,0,0,1)</f>
        <v>0.26584869442006315</v>
      </c>
      <c r="AB210" s="140">
        <f>+_xlfn.XLOOKUP(PROYECTOS[[#This Row],[MUNICIPIO]],'4.CAP_ENDMNT'!B:B,'4.CAP_ENDMNT'!K:K,0,0,1)</f>
        <v>41547239863.116501</v>
      </c>
      <c r="AC210" s="140">
        <f>+_xlfn.XLOOKUP(PROYECTOS[[#This Row],[MUNICIPIO]],'4.CAP_ENDMNT'!B:B,'4.CAP_ENDMNT'!L:L,0,0,1)</f>
        <v>33237791890.493202</v>
      </c>
      <c r="AD210" s="140">
        <f>+_xlfn.XLOOKUP(PROYECTOS[[#This Row],[MUNICIPIO]],'4.CAP_ENDMNT'!B:B,'4.CAP_ENDMNT'!M:M,0,0,1)</f>
        <v>24928343917.8699</v>
      </c>
      <c r="AE210" s="134">
        <f>+_xlfn.XLOOKUP(PROYECTOS[[#This Row],[MUNICIPIO]],'4.CAP_ENDMNT'!B:B,'4.CAP_ENDMNT'!N:N,0,0,1)</f>
        <v>0</v>
      </c>
      <c r="AF210" s="134">
        <f>+_xlfn.XLOOKUP(PROYECTOS[[#This Row],[MUNICIPIO]],'4.CAP_ENDMNT'!B:B,'4.CAP_ENDMNT'!O:O,0,0,1)</f>
        <v>0.60385208261970102</v>
      </c>
      <c r="AG210" s="134">
        <f>+_xlfn.XLOOKUP(PROYECTOS[[#This Row],[MUNICIPIO]],'4.CAP_ENDMNT'!B:B,'4.CAP_ENDMNT'!P:P,0,0,1)</f>
        <v>0.8</v>
      </c>
      <c r="AH210" s="44" t="str">
        <f>+_xlfn.XLOOKUP(PROYECTOS[[#This Row],[MUNICIPIO]],'4.CAP_ENDMNT'!B:B,'4.CAP_ENDMNT'!Q:Q,0,0,1)</f>
        <v>Cumple</v>
      </c>
      <c r="AI210" s="139">
        <f>+_xlfn.XLOOKUP(PROYECTOS[[#This Row],[MUNICIPIO]],'4.CAP_ENDMNT'!B:B,'4.CAP_ENDMNT'!V:V,0,0,1)</f>
        <v>4985668783.5739803</v>
      </c>
      <c r="AJ210" s="139">
        <f>+_xlfn.XLOOKUP(PROYECTOS[[#This Row],[MUNICIPIO]],'4.CAP_ENDMNT'!B:B,'4.CAP_ENDMNT'!Y:Y,0,0,1)</f>
        <v>-31357431194.556122</v>
      </c>
      <c r="AK210"/>
      <c r="AL210"/>
      <c r="AM210"/>
    </row>
    <row r="211" spans="1:39">
      <c r="A211" s="44">
        <v>228</v>
      </c>
      <c r="B211" s="37" t="s">
        <v>504</v>
      </c>
      <c r="C211" s="118">
        <v>45747</v>
      </c>
      <c r="D211" s="34" t="s">
        <v>15</v>
      </c>
      <c r="E211" s="47" t="str">
        <f>+_xlfn.XLOOKUP(PROYECTOS[[#This Row],[MUNICIPIO]],MUNICIPIOS!A:A,MUNICIPIOS!E:E,0,0,1)</f>
        <v>Valle de Aburrá</v>
      </c>
      <c r="F211" s="44">
        <f>+_xlfn.XLOOKUP(PROYECTOS[[#This Row],[MUNICIPIO]],MUNICIPIOS!A:A,MUNICIPIOS!F:F,0,0,1)</f>
        <v>-75.331626999999997</v>
      </c>
      <c r="G211" s="44" t="str">
        <f>+_xlfn.XLOOKUP(PROYECTOS[[#This Row],[MUNICIPIO]],MUNICIPIOS!A:A,MUNICIPIOS!G:G,0,0,1)</f>
        <v>6,439195</v>
      </c>
      <c r="H211" s="44">
        <f>+_xlfn.XLOOKUP(PROYECTOS[[#This Row],[MUNICIPIO]],MUNICIPIOS!A:A,MUNICIPIOS!B:B,0,0,1)</f>
        <v>0</v>
      </c>
      <c r="I211" s="44">
        <f>+_xlfn.XLOOKUP(PROYECTOS[[#This Row],[MUNICIPIO]],MUNICIPIOS!A:A,MUNICIPIOS!C:C,0,0,1)</f>
        <v>0</v>
      </c>
      <c r="J211" s="3" t="str" cm="1">
        <f t="array" ref="J211">_xlfn.TEXTJOIN(" ", TRUE, IF(radicados[ID PROYECTOS]=A211, radicados[RADICADO], ""))</f>
        <v/>
      </c>
      <c r="K211" s="142">
        <v>2</v>
      </c>
      <c r="L211" s="48"/>
      <c r="M211" s="34" t="s">
        <v>435</v>
      </c>
      <c r="N211" s="40" t="s">
        <v>397</v>
      </c>
      <c r="O211" s="40" t="s">
        <v>56</v>
      </c>
      <c r="P211" s="37" t="s">
        <v>1253</v>
      </c>
      <c r="Q211" s="45"/>
      <c r="R211" s="43"/>
      <c r="S211" s="43"/>
      <c r="T211" s="44">
        <f>+_xlfn.XLOOKUP(PROYECTOS[[#This Row],[MUNICIPIO]],'4.CAP_ENDMNT'!B:B,'4.CAP_ENDMNT'!C:C,0,0,1)</f>
        <v>4</v>
      </c>
      <c r="U211" s="139">
        <f>+_xlfn.XLOOKUP(PROYECTOS[[#This Row],[MUNICIPIO]],'4.CAP_ENDMNT'!B:B,'4.CAP_ENDMNT'!D:D,0,0,1)</f>
        <v>56592203197.536499</v>
      </c>
      <c r="V211" s="140">
        <f>+_xlfn.XLOOKUP(PROYECTOS[[#This Row],[MUNICIPIO]],'4.CAP_ENDMNT'!B:B,'4.CAP_ENDMNT'!E:E,0,0,1)</f>
        <v>24375972647.860001</v>
      </c>
      <c r="W211" s="140">
        <f>+_xlfn.XLOOKUP(PROYECTOS[[#This Row],[MUNICIPIO]],'4.CAP_ENDMNT'!B:B,'4.CAP_ENDMNT'!F:F,0,0,1)</f>
        <v>32216230549.676498</v>
      </c>
      <c r="X211" s="140">
        <f>+_xlfn.XLOOKUP(PROYECTOS[[#This Row],[MUNICIPIO]],'4.CAP_ENDMNT'!B:B,'4.CAP_ENDMNT'!G:G,0,0,1)</f>
        <v>0</v>
      </c>
      <c r="Y211" s="140">
        <f>+_xlfn.XLOOKUP(PROYECTOS[[#This Row],[MUNICIPIO]],'4.CAP_ENDMNT'!B:B,'4.CAP_ENDMNT'!H:H,0,0,1)</f>
        <v>15044963334.42</v>
      </c>
      <c r="Z211" s="140">
        <f>+_xlfn.XLOOKUP(PROYECTOS[[#This Row],[MUNICIPIO]],'4.CAP_ENDMNT'!B:B,'4.CAP_ENDMNT'!I:I,0,0,1)</f>
        <v>15044963334.42</v>
      </c>
      <c r="AA211" s="134">
        <f>+_xlfn.XLOOKUP(PROYECTOS[[#This Row],[MUNICIPIO]],'4.CAP_ENDMNT'!B:B,'4.CAP_ENDMNT'!J:J,0,0,1)</f>
        <v>0.26584869442006315</v>
      </c>
      <c r="AB211" s="140">
        <f>+_xlfn.XLOOKUP(PROYECTOS[[#This Row],[MUNICIPIO]],'4.CAP_ENDMNT'!B:B,'4.CAP_ENDMNT'!K:K,0,0,1)</f>
        <v>41547239863.116501</v>
      </c>
      <c r="AC211" s="140">
        <f>+_xlfn.XLOOKUP(PROYECTOS[[#This Row],[MUNICIPIO]],'4.CAP_ENDMNT'!B:B,'4.CAP_ENDMNT'!L:L,0,0,1)</f>
        <v>33237791890.493202</v>
      </c>
      <c r="AD211" s="140">
        <f>+_xlfn.XLOOKUP(PROYECTOS[[#This Row],[MUNICIPIO]],'4.CAP_ENDMNT'!B:B,'4.CAP_ENDMNT'!M:M,0,0,1)</f>
        <v>24928343917.8699</v>
      </c>
      <c r="AE211" s="134">
        <f>+_xlfn.XLOOKUP(PROYECTOS[[#This Row],[MUNICIPIO]],'4.CAP_ENDMNT'!B:B,'4.CAP_ENDMNT'!N:N,0,0,1)</f>
        <v>0</v>
      </c>
      <c r="AF211" s="134">
        <f>+_xlfn.XLOOKUP(PROYECTOS[[#This Row],[MUNICIPIO]],'4.CAP_ENDMNT'!B:B,'4.CAP_ENDMNT'!O:O,0,0,1)</f>
        <v>0.60385208261970102</v>
      </c>
      <c r="AG211" s="134">
        <f>+_xlfn.XLOOKUP(PROYECTOS[[#This Row],[MUNICIPIO]],'4.CAP_ENDMNT'!B:B,'4.CAP_ENDMNT'!P:P,0,0,1)</f>
        <v>0.8</v>
      </c>
      <c r="AH211" s="44" t="str">
        <f>+_xlfn.XLOOKUP(PROYECTOS[[#This Row],[MUNICIPIO]],'4.CAP_ENDMNT'!B:B,'4.CAP_ENDMNT'!Q:Q,0,0,1)</f>
        <v>Cumple</v>
      </c>
      <c r="AI211" s="139">
        <f>+_xlfn.XLOOKUP(PROYECTOS[[#This Row],[MUNICIPIO]],'4.CAP_ENDMNT'!B:B,'4.CAP_ENDMNT'!V:V,0,0,1)</f>
        <v>4985668783.5739803</v>
      </c>
      <c r="AJ211" s="139">
        <f>+_xlfn.XLOOKUP(PROYECTOS[[#This Row],[MUNICIPIO]],'4.CAP_ENDMNT'!B:B,'4.CAP_ENDMNT'!Y:Y,0,0,1)</f>
        <v>-31357431194.556122</v>
      </c>
      <c r="AK211"/>
      <c r="AL211"/>
      <c r="AM211"/>
    </row>
    <row r="212" spans="1:39">
      <c r="A212" s="44">
        <v>229</v>
      </c>
      <c r="B212" s="37" t="s">
        <v>1257</v>
      </c>
      <c r="C212" s="118">
        <v>45747</v>
      </c>
      <c r="D212" s="34" t="s">
        <v>227</v>
      </c>
      <c r="E212" s="47" t="str">
        <f>+_xlfn.XLOOKUP(PROYECTOS[[#This Row],[MUNICIPIO]],MUNICIPIOS!A:A,MUNICIPIOS!E:E,0,0,1)</f>
        <v>Oriente</v>
      </c>
      <c r="F212" s="44">
        <f>+_xlfn.XLOOKUP(PROYECTOS[[#This Row],[MUNICIPIO]],MUNICIPIOS!A:A,MUNICIPIOS!F:F,0,0,1)</f>
        <v>-75.184445999999994</v>
      </c>
      <c r="G212" s="44" t="str">
        <f>+_xlfn.XLOOKUP(PROYECTOS[[#This Row],[MUNICIPIO]],MUNICIPIOS!A:A,MUNICIPIOS!G:G,0,0,1)</f>
        <v>6,142892</v>
      </c>
      <c r="H212" s="44">
        <f>+_xlfn.XLOOKUP(PROYECTOS[[#This Row],[MUNICIPIO]],MUNICIPIOS!A:A,MUNICIPIOS!B:B,0,0,1)</f>
        <v>0</v>
      </c>
      <c r="I212" s="44">
        <f>+_xlfn.XLOOKUP(PROYECTOS[[#This Row],[MUNICIPIO]],MUNICIPIOS!A:A,MUNICIPIOS!C:C,0,0,1)</f>
        <v>1</v>
      </c>
      <c r="J212" s="3" t="str" cm="1">
        <f t="array" ref="J212">_xlfn.TEXTJOIN(" ", TRUE, IF(radicados[ID PROYECTOS]=A212, radicados[RADICADO], ""))</f>
        <v/>
      </c>
      <c r="K212" s="45">
        <v>1</v>
      </c>
      <c r="L212" s="48"/>
      <c r="M212" s="34" t="s">
        <v>435</v>
      </c>
      <c r="N212" s="40" t="s">
        <v>397</v>
      </c>
      <c r="O212" s="40" t="s">
        <v>56</v>
      </c>
      <c r="P212" s="37" t="s">
        <v>1427</v>
      </c>
      <c r="Q212" s="45"/>
      <c r="R212" s="43"/>
      <c r="S212" s="43"/>
      <c r="T212" s="44">
        <f>+_xlfn.XLOOKUP(PROYECTOS[[#This Row],[MUNICIPIO]],'4.CAP_ENDMNT'!B:B,'4.CAP_ENDMNT'!C:C,0,0,1)</f>
        <v>6</v>
      </c>
      <c r="U212" s="139">
        <f>+_xlfn.XLOOKUP(PROYECTOS[[#This Row],[MUNICIPIO]],'4.CAP_ENDMNT'!B:B,'4.CAP_ENDMNT'!D:D,0,0,1)</f>
        <v>9100976268.0305004</v>
      </c>
      <c r="V212" s="140">
        <f>+_xlfn.XLOOKUP(PROYECTOS[[#This Row],[MUNICIPIO]],'4.CAP_ENDMNT'!B:B,'4.CAP_ENDMNT'!E:E,0,0,1)</f>
        <v>3221460794.1700001</v>
      </c>
      <c r="W212" s="140">
        <f>+_xlfn.XLOOKUP(PROYECTOS[[#This Row],[MUNICIPIO]],'4.CAP_ENDMNT'!B:B,'4.CAP_ENDMNT'!F:F,0,0,1)</f>
        <v>5879515473.8605003</v>
      </c>
      <c r="X212" s="140">
        <f>+_xlfn.XLOOKUP(PROYECTOS[[#This Row],[MUNICIPIO]],'4.CAP_ENDMNT'!B:B,'4.CAP_ENDMNT'!G:G,0,0,1)</f>
        <v>1026722956</v>
      </c>
      <c r="Y212" s="140">
        <f>+_xlfn.XLOOKUP(PROYECTOS[[#This Row],[MUNICIPIO]],'4.CAP_ENDMNT'!B:B,'4.CAP_ENDMNT'!H:H,0,0,1)</f>
        <v>190000000</v>
      </c>
      <c r="Z212" s="140">
        <f>+_xlfn.XLOOKUP(PROYECTOS[[#This Row],[MUNICIPIO]],'4.CAP_ENDMNT'!B:B,'4.CAP_ENDMNT'!I:I,0,0,1)</f>
        <v>1216722956</v>
      </c>
      <c r="AA212" s="134">
        <f>+_xlfn.XLOOKUP(PROYECTOS[[#This Row],[MUNICIPIO]],'4.CAP_ENDMNT'!B:B,'4.CAP_ENDMNT'!J:J,0,0,1)</f>
        <v>0.13369147662477152</v>
      </c>
      <c r="AB212" s="140">
        <f>+_xlfn.XLOOKUP(PROYECTOS[[#This Row],[MUNICIPIO]],'4.CAP_ENDMNT'!B:B,'4.CAP_ENDMNT'!K:K,0,0,1)</f>
        <v>7884253312.0305004</v>
      </c>
      <c r="AC212" s="140">
        <f>+_xlfn.XLOOKUP(PROYECTOS[[#This Row],[MUNICIPIO]],'4.CAP_ENDMNT'!B:B,'4.CAP_ENDMNT'!L:L,0,0,1)</f>
        <v>6307402649.6244011</v>
      </c>
      <c r="AD212" s="140">
        <f>+_xlfn.XLOOKUP(PROYECTOS[[#This Row],[MUNICIPIO]],'4.CAP_ENDMNT'!B:B,'4.CAP_ENDMNT'!M:M,0,0,1)</f>
        <v>4730551987.2182999</v>
      </c>
      <c r="AE212" s="134">
        <f>+_xlfn.XLOOKUP(PROYECTOS[[#This Row],[MUNICIPIO]],'4.CAP_ENDMNT'!B:B,'4.CAP_ENDMNT'!N:N,0,0,1)</f>
        <v>0.84384284108140062</v>
      </c>
      <c r="AF212" s="134">
        <f>+_xlfn.XLOOKUP(PROYECTOS[[#This Row],[MUNICIPIO]],'4.CAP_ENDMNT'!B:B,'4.CAP_ENDMNT'!O:O,0,0,1)</f>
        <v>0.65864601932480682</v>
      </c>
      <c r="AG212" s="134">
        <f>+_xlfn.XLOOKUP(PROYECTOS[[#This Row],[MUNICIPIO]],'4.CAP_ENDMNT'!B:B,'4.CAP_ENDMNT'!P:P,0,0,1)</f>
        <v>0.8</v>
      </c>
      <c r="AH212" s="44" t="str">
        <f>+_xlfn.XLOOKUP(PROYECTOS[[#This Row],[MUNICIPIO]],'4.CAP_ENDMNT'!B:B,'4.CAP_ENDMNT'!Q:Q,0,0,1)</f>
        <v>Cumple</v>
      </c>
      <c r="AI212" s="139">
        <f>+_xlfn.XLOOKUP(PROYECTOS[[#This Row],[MUNICIPIO]],'4.CAP_ENDMNT'!B:B,'4.CAP_ENDMNT'!V:V,0,0,1)</f>
        <v>946110397.44366002</v>
      </c>
      <c r="AJ212" s="139">
        <f>+_xlfn.XLOOKUP(PROYECTOS[[#This Row],[MUNICIPIO]],'4.CAP_ENDMNT'!B:B,'4.CAP_ENDMNT'!Y:Y,0,0,1)</f>
        <v>-37054965217.338043</v>
      </c>
      <c r="AK212"/>
      <c r="AL212"/>
      <c r="AM212"/>
    </row>
    <row r="213" spans="1:39">
      <c r="A213" s="44">
        <v>230</v>
      </c>
      <c r="B213" s="37" t="s">
        <v>1258</v>
      </c>
      <c r="C213" s="118">
        <v>45747</v>
      </c>
      <c r="D213" s="34" t="s">
        <v>227</v>
      </c>
      <c r="E213" s="47" t="str">
        <f>+_xlfn.XLOOKUP(PROYECTOS[[#This Row],[MUNICIPIO]],MUNICIPIOS!A:A,MUNICIPIOS!E:E,0,0,1)</f>
        <v>Oriente</v>
      </c>
      <c r="F213" s="44">
        <f>+_xlfn.XLOOKUP(PROYECTOS[[#This Row],[MUNICIPIO]],MUNICIPIOS!A:A,MUNICIPIOS!F:F,0,0,1)</f>
        <v>-75.184445999999994</v>
      </c>
      <c r="G213" s="44" t="str">
        <f>+_xlfn.XLOOKUP(PROYECTOS[[#This Row],[MUNICIPIO]],MUNICIPIOS!A:A,MUNICIPIOS!G:G,0,0,1)</f>
        <v>6,142892</v>
      </c>
      <c r="H213" s="44">
        <f>+_xlfn.XLOOKUP(PROYECTOS[[#This Row],[MUNICIPIO]],MUNICIPIOS!A:A,MUNICIPIOS!B:B,0,0,1)</f>
        <v>0</v>
      </c>
      <c r="I213" s="44">
        <f>+_xlfn.XLOOKUP(PROYECTOS[[#This Row],[MUNICIPIO]],MUNICIPIOS!A:A,MUNICIPIOS!C:C,0,0,1)</f>
        <v>1</v>
      </c>
      <c r="J213" s="3" t="str" cm="1">
        <f t="array" ref="J213">_xlfn.TEXTJOIN(" ", TRUE, IF(radicados[ID PROYECTOS]=A213, radicados[RADICADO], ""))</f>
        <v/>
      </c>
      <c r="K213" s="45">
        <v>1</v>
      </c>
      <c r="L213" s="48"/>
      <c r="M213" s="34" t="s">
        <v>435</v>
      </c>
      <c r="N213" s="40" t="s">
        <v>397</v>
      </c>
      <c r="O213" s="40" t="s">
        <v>56</v>
      </c>
      <c r="P213" s="37" t="s">
        <v>508</v>
      </c>
      <c r="Q213" s="45"/>
      <c r="R213" s="43"/>
      <c r="S213" s="43"/>
      <c r="T213" s="44">
        <f>+_xlfn.XLOOKUP(PROYECTOS[[#This Row],[MUNICIPIO]],'4.CAP_ENDMNT'!B:B,'4.CAP_ENDMNT'!C:C,0,0,1)</f>
        <v>6</v>
      </c>
      <c r="U213" s="139">
        <f>+_xlfn.XLOOKUP(PROYECTOS[[#This Row],[MUNICIPIO]],'4.CAP_ENDMNT'!B:B,'4.CAP_ENDMNT'!D:D,0,0,1)</f>
        <v>9100976268.0305004</v>
      </c>
      <c r="V213" s="140">
        <f>+_xlfn.XLOOKUP(PROYECTOS[[#This Row],[MUNICIPIO]],'4.CAP_ENDMNT'!B:B,'4.CAP_ENDMNT'!E:E,0,0,1)</f>
        <v>3221460794.1700001</v>
      </c>
      <c r="W213" s="140">
        <f>+_xlfn.XLOOKUP(PROYECTOS[[#This Row],[MUNICIPIO]],'4.CAP_ENDMNT'!B:B,'4.CAP_ENDMNT'!F:F,0,0,1)</f>
        <v>5879515473.8605003</v>
      </c>
      <c r="X213" s="140">
        <f>+_xlfn.XLOOKUP(PROYECTOS[[#This Row],[MUNICIPIO]],'4.CAP_ENDMNT'!B:B,'4.CAP_ENDMNT'!G:G,0,0,1)</f>
        <v>1026722956</v>
      </c>
      <c r="Y213" s="140">
        <f>+_xlfn.XLOOKUP(PROYECTOS[[#This Row],[MUNICIPIO]],'4.CAP_ENDMNT'!B:B,'4.CAP_ENDMNT'!H:H,0,0,1)</f>
        <v>190000000</v>
      </c>
      <c r="Z213" s="140">
        <f>+_xlfn.XLOOKUP(PROYECTOS[[#This Row],[MUNICIPIO]],'4.CAP_ENDMNT'!B:B,'4.CAP_ENDMNT'!I:I,0,0,1)</f>
        <v>1216722956</v>
      </c>
      <c r="AA213" s="134">
        <f>+_xlfn.XLOOKUP(PROYECTOS[[#This Row],[MUNICIPIO]],'4.CAP_ENDMNT'!B:B,'4.CAP_ENDMNT'!J:J,0,0,1)</f>
        <v>0.13369147662477152</v>
      </c>
      <c r="AB213" s="140">
        <f>+_xlfn.XLOOKUP(PROYECTOS[[#This Row],[MUNICIPIO]],'4.CAP_ENDMNT'!B:B,'4.CAP_ENDMNT'!K:K,0,0,1)</f>
        <v>7884253312.0305004</v>
      </c>
      <c r="AC213" s="140">
        <f>+_xlfn.XLOOKUP(PROYECTOS[[#This Row],[MUNICIPIO]],'4.CAP_ENDMNT'!B:B,'4.CAP_ENDMNT'!L:L,0,0,1)</f>
        <v>6307402649.6244011</v>
      </c>
      <c r="AD213" s="140">
        <f>+_xlfn.XLOOKUP(PROYECTOS[[#This Row],[MUNICIPIO]],'4.CAP_ENDMNT'!B:B,'4.CAP_ENDMNT'!M:M,0,0,1)</f>
        <v>4730551987.2182999</v>
      </c>
      <c r="AE213" s="134">
        <f>+_xlfn.XLOOKUP(PROYECTOS[[#This Row],[MUNICIPIO]],'4.CAP_ENDMNT'!B:B,'4.CAP_ENDMNT'!N:N,0,0,1)</f>
        <v>0.84384284108140062</v>
      </c>
      <c r="AF213" s="134">
        <f>+_xlfn.XLOOKUP(PROYECTOS[[#This Row],[MUNICIPIO]],'4.CAP_ENDMNT'!B:B,'4.CAP_ENDMNT'!O:O,0,0,1)</f>
        <v>0.65864601932480682</v>
      </c>
      <c r="AG213" s="134">
        <f>+_xlfn.XLOOKUP(PROYECTOS[[#This Row],[MUNICIPIO]],'4.CAP_ENDMNT'!B:B,'4.CAP_ENDMNT'!P:P,0,0,1)</f>
        <v>0.8</v>
      </c>
      <c r="AH213" s="44" t="str">
        <f>+_xlfn.XLOOKUP(PROYECTOS[[#This Row],[MUNICIPIO]],'4.CAP_ENDMNT'!B:B,'4.CAP_ENDMNT'!Q:Q,0,0,1)</f>
        <v>Cumple</v>
      </c>
      <c r="AI213" s="139">
        <f>+_xlfn.XLOOKUP(PROYECTOS[[#This Row],[MUNICIPIO]],'4.CAP_ENDMNT'!B:B,'4.CAP_ENDMNT'!V:V,0,0,1)</f>
        <v>946110397.44366002</v>
      </c>
      <c r="AJ213" s="139">
        <f>+_xlfn.XLOOKUP(PROYECTOS[[#This Row],[MUNICIPIO]],'4.CAP_ENDMNT'!B:B,'4.CAP_ENDMNT'!Y:Y,0,0,1)</f>
        <v>-37054965217.338043</v>
      </c>
      <c r="AK213"/>
      <c r="AL213"/>
      <c r="AM213"/>
    </row>
    <row r="214" spans="1:39">
      <c r="A214" s="44">
        <v>231</v>
      </c>
      <c r="B214" s="37" t="s">
        <v>1428</v>
      </c>
      <c r="C214" s="118">
        <v>45747</v>
      </c>
      <c r="D214" s="34" t="s">
        <v>38</v>
      </c>
      <c r="E214" s="47" t="str">
        <f>+_xlfn.XLOOKUP(PROYECTOS[[#This Row],[MUNICIPIO]],MUNICIPIOS!A:A,MUNICIPIOS!E:E,0,0,1)</f>
        <v>Urabá</v>
      </c>
      <c r="F214" s="44">
        <f>+_xlfn.XLOOKUP(PROYECTOS[[#This Row],[MUNICIPIO]],MUNICIPIOS!A:A,MUNICIPIOS!F:F,0,0,1)</f>
        <v>-76.652652000000003</v>
      </c>
      <c r="G214" s="44" t="str">
        <f>+_xlfn.XLOOKUP(PROYECTOS[[#This Row],[MUNICIPIO]],MUNICIPIOS!A:A,MUNICIPIOS!G:G,0,0,1)</f>
        <v>7,755148</v>
      </c>
      <c r="H214" s="44">
        <f>+_xlfn.XLOOKUP(PROYECTOS[[#This Row],[MUNICIPIO]],MUNICIPIOS!A:A,MUNICIPIOS!B:B,0,0,1)</f>
        <v>1</v>
      </c>
      <c r="I214" s="44">
        <f>+_xlfn.XLOOKUP(PROYECTOS[[#This Row],[MUNICIPIO]],MUNICIPIOS!A:A,MUNICIPIOS!C:C,0,0,1)</f>
        <v>1</v>
      </c>
      <c r="J214" s="3" t="str" cm="1">
        <f t="array" ref="J214">_xlfn.TEXTJOIN(" ", TRUE, IF(radicados[ID PROYECTOS]=A214, radicados[RADICADO], ""))</f>
        <v/>
      </c>
      <c r="K214" s="142">
        <v>2</v>
      </c>
      <c r="L214" s="48"/>
      <c r="M214" s="34" t="s">
        <v>435</v>
      </c>
      <c r="N214" s="40" t="s">
        <v>397</v>
      </c>
      <c r="O214" s="40" t="s">
        <v>56</v>
      </c>
      <c r="P214" s="37" t="s">
        <v>1429</v>
      </c>
      <c r="Q214" s="45"/>
      <c r="R214" s="43"/>
      <c r="S214" s="43"/>
      <c r="T214" s="44">
        <f>+_xlfn.XLOOKUP(PROYECTOS[[#This Row],[MUNICIPIO]],'4.CAP_ENDMNT'!B:B,'4.CAP_ENDMNT'!C:C,0,0,1)</f>
        <v>6</v>
      </c>
      <c r="U214" s="139">
        <f>+_xlfn.XLOOKUP(PROYECTOS[[#This Row],[MUNICIPIO]],'4.CAP_ENDMNT'!B:B,'4.CAP_ENDMNT'!D:D,0,0,1)</f>
        <v>31551501799.776001</v>
      </c>
      <c r="V214" s="140">
        <f>+_xlfn.XLOOKUP(PROYECTOS[[#This Row],[MUNICIPIO]],'4.CAP_ENDMNT'!B:B,'4.CAP_ENDMNT'!E:E,0,0,1)</f>
        <v>12896901947.809999</v>
      </c>
      <c r="W214" s="140">
        <f>+_xlfn.XLOOKUP(PROYECTOS[[#This Row],[MUNICIPIO]],'4.CAP_ENDMNT'!B:B,'4.CAP_ENDMNT'!F:F,0,0,1)</f>
        <v>18654599851.966003</v>
      </c>
      <c r="X214" s="140">
        <f>+_xlfn.XLOOKUP(PROYECTOS[[#This Row],[MUNICIPIO]],'4.CAP_ENDMNT'!B:B,'4.CAP_ENDMNT'!G:G,0,0,1)</f>
        <v>4320802475</v>
      </c>
      <c r="Y214" s="140">
        <f>+_xlfn.XLOOKUP(PROYECTOS[[#This Row],[MUNICIPIO]],'4.CAP_ENDMNT'!B:B,'4.CAP_ENDMNT'!H:H,0,0,1)</f>
        <v>2118562934.45</v>
      </c>
      <c r="Z214" s="140">
        <f>+_xlfn.XLOOKUP(PROYECTOS[[#This Row],[MUNICIPIO]],'4.CAP_ENDMNT'!B:B,'4.CAP_ENDMNT'!I:I,0,0,1)</f>
        <v>6439365409.4499998</v>
      </c>
      <c r="AA214" s="134">
        <f>+_xlfn.XLOOKUP(PROYECTOS[[#This Row],[MUNICIPIO]],'4.CAP_ENDMNT'!B:B,'4.CAP_ENDMNT'!J:J,0,0,1)</f>
        <v>0.20409061509381832</v>
      </c>
      <c r="AB214" s="140">
        <f>+_xlfn.XLOOKUP(PROYECTOS[[#This Row],[MUNICIPIO]],'4.CAP_ENDMNT'!B:B,'4.CAP_ENDMNT'!K:K,0,0,1)</f>
        <v>25112136390.326</v>
      </c>
      <c r="AC214" s="140">
        <f>+_xlfn.XLOOKUP(PROYECTOS[[#This Row],[MUNICIPIO]],'4.CAP_ENDMNT'!B:B,'4.CAP_ENDMNT'!L:L,0,0,1)</f>
        <v>20089709112.260799</v>
      </c>
      <c r="AD214" s="140">
        <f>+_xlfn.XLOOKUP(PROYECTOS[[#This Row],[MUNICIPIO]],'4.CAP_ENDMNT'!B:B,'4.CAP_ENDMNT'!M:M,0,0,1)</f>
        <v>15067281834.195601</v>
      </c>
      <c r="AE214" s="134">
        <f>+_xlfn.XLOOKUP(PROYECTOS[[#This Row],[MUNICIPIO]],'4.CAP_ENDMNT'!B:B,'4.CAP_ENDMNT'!N:N,0,0,1)</f>
        <v>0.67099818076158058</v>
      </c>
      <c r="AF214" s="134">
        <f>+_xlfn.XLOOKUP(PROYECTOS[[#This Row],[MUNICIPIO]],'4.CAP_ENDMNT'!B:B,'4.CAP_ENDMNT'!O:O,0,0,1)</f>
        <v>0.60103296352987046</v>
      </c>
      <c r="AG214" s="134">
        <f>+_xlfn.XLOOKUP(PROYECTOS[[#This Row],[MUNICIPIO]],'4.CAP_ENDMNT'!B:B,'4.CAP_ENDMNT'!P:P,0,0,1)</f>
        <v>0.8</v>
      </c>
      <c r="AH214" s="44" t="str">
        <f>+_xlfn.XLOOKUP(PROYECTOS[[#This Row],[MUNICIPIO]],'4.CAP_ENDMNT'!B:B,'4.CAP_ENDMNT'!Q:Q,0,0,1)</f>
        <v>Cumple</v>
      </c>
      <c r="AI214" s="139">
        <f>+_xlfn.XLOOKUP(PROYECTOS[[#This Row],[MUNICIPIO]],'4.CAP_ENDMNT'!B:B,'4.CAP_ENDMNT'!V:V,0,0,1)</f>
        <v>3013456366.8391204</v>
      </c>
      <c r="AJ214" s="139">
        <f>+_xlfn.XLOOKUP(PROYECTOS[[#This Row],[MUNICIPIO]],'4.CAP_ENDMNT'!B:B,'4.CAP_ENDMNT'!Y:Y,0,0,1)</f>
        <v>10290788523.034721</v>
      </c>
      <c r="AK214"/>
      <c r="AL214"/>
      <c r="AM214"/>
    </row>
    <row r="215" spans="1:39">
      <c r="A215" s="44">
        <v>232</v>
      </c>
      <c r="B215" s="37" t="s">
        <v>1430</v>
      </c>
      <c r="C215" s="118">
        <v>45747</v>
      </c>
      <c r="D215" s="34" t="s">
        <v>38</v>
      </c>
      <c r="E215" s="47" t="str">
        <f>+_xlfn.XLOOKUP(PROYECTOS[[#This Row],[MUNICIPIO]],MUNICIPIOS!A:A,MUNICIPIOS!E:E,0,0,1)</f>
        <v>Urabá</v>
      </c>
      <c r="F215" s="44">
        <f>+_xlfn.XLOOKUP(PROYECTOS[[#This Row],[MUNICIPIO]],MUNICIPIOS!A:A,MUNICIPIOS!F:F,0,0,1)</f>
        <v>-76.652652000000003</v>
      </c>
      <c r="G215" s="44" t="str">
        <f>+_xlfn.XLOOKUP(PROYECTOS[[#This Row],[MUNICIPIO]],MUNICIPIOS!A:A,MUNICIPIOS!G:G,0,0,1)</f>
        <v>7,755148</v>
      </c>
      <c r="H215" s="44">
        <f>+_xlfn.XLOOKUP(PROYECTOS[[#This Row],[MUNICIPIO]],MUNICIPIOS!A:A,MUNICIPIOS!B:B,0,0,1)</f>
        <v>1</v>
      </c>
      <c r="I215" s="44">
        <f>+_xlfn.XLOOKUP(PROYECTOS[[#This Row],[MUNICIPIO]],MUNICIPIOS!A:A,MUNICIPIOS!C:C,0,0,1)</f>
        <v>1</v>
      </c>
      <c r="J215" s="3" t="str" cm="1">
        <f t="array" ref="J215">_xlfn.TEXTJOIN(" ", TRUE, IF(radicados[ID PROYECTOS]=A215, radicados[RADICADO], ""))</f>
        <v/>
      </c>
      <c r="K215" s="142">
        <v>2</v>
      </c>
      <c r="L215" s="48"/>
      <c r="M215" s="34" t="s">
        <v>435</v>
      </c>
      <c r="N215" s="40" t="s">
        <v>397</v>
      </c>
      <c r="O215" s="40" t="s">
        <v>56</v>
      </c>
      <c r="P215" s="37" t="s">
        <v>512</v>
      </c>
      <c r="Q215" s="45"/>
      <c r="R215" s="43"/>
      <c r="S215" s="43"/>
      <c r="T215" s="44">
        <f>+_xlfn.XLOOKUP(PROYECTOS[[#This Row],[MUNICIPIO]],'4.CAP_ENDMNT'!B:B,'4.CAP_ENDMNT'!C:C,0,0,1)</f>
        <v>6</v>
      </c>
      <c r="U215" s="139">
        <f>+_xlfn.XLOOKUP(PROYECTOS[[#This Row],[MUNICIPIO]],'4.CAP_ENDMNT'!B:B,'4.CAP_ENDMNT'!D:D,0,0,1)</f>
        <v>31551501799.776001</v>
      </c>
      <c r="V215" s="140">
        <f>+_xlfn.XLOOKUP(PROYECTOS[[#This Row],[MUNICIPIO]],'4.CAP_ENDMNT'!B:B,'4.CAP_ENDMNT'!E:E,0,0,1)</f>
        <v>12896901947.809999</v>
      </c>
      <c r="W215" s="140">
        <f>+_xlfn.XLOOKUP(PROYECTOS[[#This Row],[MUNICIPIO]],'4.CAP_ENDMNT'!B:B,'4.CAP_ENDMNT'!F:F,0,0,1)</f>
        <v>18654599851.966003</v>
      </c>
      <c r="X215" s="140">
        <f>+_xlfn.XLOOKUP(PROYECTOS[[#This Row],[MUNICIPIO]],'4.CAP_ENDMNT'!B:B,'4.CAP_ENDMNT'!G:G,0,0,1)</f>
        <v>4320802475</v>
      </c>
      <c r="Y215" s="140">
        <f>+_xlfn.XLOOKUP(PROYECTOS[[#This Row],[MUNICIPIO]],'4.CAP_ENDMNT'!B:B,'4.CAP_ENDMNT'!H:H,0,0,1)</f>
        <v>2118562934.45</v>
      </c>
      <c r="Z215" s="140">
        <f>+_xlfn.XLOOKUP(PROYECTOS[[#This Row],[MUNICIPIO]],'4.CAP_ENDMNT'!B:B,'4.CAP_ENDMNT'!I:I,0,0,1)</f>
        <v>6439365409.4499998</v>
      </c>
      <c r="AA215" s="134">
        <f>+_xlfn.XLOOKUP(PROYECTOS[[#This Row],[MUNICIPIO]],'4.CAP_ENDMNT'!B:B,'4.CAP_ENDMNT'!J:J,0,0,1)</f>
        <v>0.20409061509381832</v>
      </c>
      <c r="AB215" s="140">
        <f>+_xlfn.XLOOKUP(PROYECTOS[[#This Row],[MUNICIPIO]],'4.CAP_ENDMNT'!B:B,'4.CAP_ENDMNT'!K:K,0,0,1)</f>
        <v>25112136390.326</v>
      </c>
      <c r="AC215" s="140">
        <f>+_xlfn.XLOOKUP(PROYECTOS[[#This Row],[MUNICIPIO]],'4.CAP_ENDMNT'!B:B,'4.CAP_ENDMNT'!L:L,0,0,1)</f>
        <v>20089709112.260799</v>
      </c>
      <c r="AD215" s="140">
        <f>+_xlfn.XLOOKUP(PROYECTOS[[#This Row],[MUNICIPIO]],'4.CAP_ENDMNT'!B:B,'4.CAP_ENDMNT'!M:M,0,0,1)</f>
        <v>15067281834.195601</v>
      </c>
      <c r="AE215" s="134">
        <f>+_xlfn.XLOOKUP(PROYECTOS[[#This Row],[MUNICIPIO]],'4.CAP_ENDMNT'!B:B,'4.CAP_ENDMNT'!N:N,0,0,1)</f>
        <v>0.67099818076158058</v>
      </c>
      <c r="AF215" s="134">
        <f>+_xlfn.XLOOKUP(PROYECTOS[[#This Row],[MUNICIPIO]],'4.CAP_ENDMNT'!B:B,'4.CAP_ENDMNT'!O:O,0,0,1)</f>
        <v>0.60103296352987046</v>
      </c>
      <c r="AG215" s="134">
        <f>+_xlfn.XLOOKUP(PROYECTOS[[#This Row],[MUNICIPIO]],'4.CAP_ENDMNT'!B:B,'4.CAP_ENDMNT'!P:P,0,0,1)</f>
        <v>0.8</v>
      </c>
      <c r="AH215" s="44" t="str">
        <f>+_xlfn.XLOOKUP(PROYECTOS[[#This Row],[MUNICIPIO]],'4.CAP_ENDMNT'!B:B,'4.CAP_ENDMNT'!Q:Q,0,0,1)</f>
        <v>Cumple</v>
      </c>
      <c r="AI215" s="139">
        <f>+_xlfn.XLOOKUP(PROYECTOS[[#This Row],[MUNICIPIO]],'4.CAP_ENDMNT'!B:B,'4.CAP_ENDMNT'!V:V,0,0,1)</f>
        <v>3013456366.8391204</v>
      </c>
      <c r="AJ215" s="139">
        <f>+_xlfn.XLOOKUP(PROYECTOS[[#This Row],[MUNICIPIO]],'4.CAP_ENDMNT'!B:B,'4.CAP_ENDMNT'!Y:Y,0,0,1)</f>
        <v>10290788523.034721</v>
      </c>
      <c r="AK215"/>
      <c r="AL215"/>
      <c r="AM215"/>
    </row>
    <row r="216" spans="1:39">
      <c r="A216" s="44">
        <v>233</v>
      </c>
      <c r="B216" s="37" t="s">
        <v>1431</v>
      </c>
      <c r="C216" s="118">
        <v>45747</v>
      </c>
      <c r="D216" s="34" t="s">
        <v>38</v>
      </c>
      <c r="E216" s="47" t="str">
        <f>+_xlfn.XLOOKUP(PROYECTOS[[#This Row],[MUNICIPIO]],MUNICIPIOS!A:A,MUNICIPIOS!E:E,0,0,1)</f>
        <v>Urabá</v>
      </c>
      <c r="F216" s="44">
        <f>+_xlfn.XLOOKUP(PROYECTOS[[#This Row],[MUNICIPIO]],MUNICIPIOS!A:A,MUNICIPIOS!F:F,0,0,1)</f>
        <v>-76.652652000000003</v>
      </c>
      <c r="G216" s="44" t="str">
        <f>+_xlfn.XLOOKUP(PROYECTOS[[#This Row],[MUNICIPIO]],MUNICIPIOS!A:A,MUNICIPIOS!G:G,0,0,1)</f>
        <v>7,755148</v>
      </c>
      <c r="H216" s="44">
        <f>+_xlfn.XLOOKUP(PROYECTOS[[#This Row],[MUNICIPIO]],MUNICIPIOS!A:A,MUNICIPIOS!B:B,0,0,1)</f>
        <v>1</v>
      </c>
      <c r="I216" s="44">
        <f>+_xlfn.XLOOKUP(PROYECTOS[[#This Row],[MUNICIPIO]],MUNICIPIOS!A:A,MUNICIPIOS!C:C,0,0,1)</f>
        <v>1</v>
      </c>
      <c r="J216" s="3" t="str" cm="1">
        <f t="array" ref="J216">_xlfn.TEXTJOIN(" ", TRUE, IF(radicados[ID PROYECTOS]=A216, radicados[RADICADO], ""))</f>
        <v/>
      </c>
      <c r="K216" s="142">
        <v>2</v>
      </c>
      <c r="L216" s="48"/>
      <c r="M216" s="34" t="s">
        <v>435</v>
      </c>
      <c r="N216" s="40" t="s">
        <v>397</v>
      </c>
      <c r="O216" s="40" t="s">
        <v>56</v>
      </c>
      <c r="P216" s="37" t="s">
        <v>514</v>
      </c>
      <c r="Q216" s="45"/>
      <c r="R216" s="43"/>
      <c r="S216" s="43"/>
      <c r="T216" s="44">
        <f>+_xlfn.XLOOKUP(PROYECTOS[[#This Row],[MUNICIPIO]],'4.CAP_ENDMNT'!B:B,'4.CAP_ENDMNT'!C:C,0,0,1)</f>
        <v>6</v>
      </c>
      <c r="U216" s="139">
        <f>+_xlfn.XLOOKUP(PROYECTOS[[#This Row],[MUNICIPIO]],'4.CAP_ENDMNT'!B:B,'4.CAP_ENDMNT'!D:D,0,0,1)</f>
        <v>31551501799.776001</v>
      </c>
      <c r="V216" s="140">
        <f>+_xlfn.XLOOKUP(PROYECTOS[[#This Row],[MUNICIPIO]],'4.CAP_ENDMNT'!B:B,'4.CAP_ENDMNT'!E:E,0,0,1)</f>
        <v>12896901947.809999</v>
      </c>
      <c r="W216" s="140">
        <f>+_xlfn.XLOOKUP(PROYECTOS[[#This Row],[MUNICIPIO]],'4.CAP_ENDMNT'!B:B,'4.CAP_ENDMNT'!F:F,0,0,1)</f>
        <v>18654599851.966003</v>
      </c>
      <c r="X216" s="140">
        <f>+_xlfn.XLOOKUP(PROYECTOS[[#This Row],[MUNICIPIO]],'4.CAP_ENDMNT'!B:B,'4.CAP_ENDMNT'!G:G,0,0,1)</f>
        <v>4320802475</v>
      </c>
      <c r="Y216" s="140">
        <f>+_xlfn.XLOOKUP(PROYECTOS[[#This Row],[MUNICIPIO]],'4.CAP_ENDMNT'!B:B,'4.CAP_ENDMNT'!H:H,0,0,1)</f>
        <v>2118562934.45</v>
      </c>
      <c r="Z216" s="140">
        <f>+_xlfn.XLOOKUP(PROYECTOS[[#This Row],[MUNICIPIO]],'4.CAP_ENDMNT'!B:B,'4.CAP_ENDMNT'!I:I,0,0,1)</f>
        <v>6439365409.4499998</v>
      </c>
      <c r="AA216" s="134">
        <f>+_xlfn.XLOOKUP(PROYECTOS[[#This Row],[MUNICIPIO]],'4.CAP_ENDMNT'!B:B,'4.CAP_ENDMNT'!J:J,0,0,1)</f>
        <v>0.20409061509381832</v>
      </c>
      <c r="AB216" s="140">
        <f>+_xlfn.XLOOKUP(PROYECTOS[[#This Row],[MUNICIPIO]],'4.CAP_ENDMNT'!B:B,'4.CAP_ENDMNT'!K:K,0,0,1)</f>
        <v>25112136390.326</v>
      </c>
      <c r="AC216" s="140">
        <f>+_xlfn.XLOOKUP(PROYECTOS[[#This Row],[MUNICIPIO]],'4.CAP_ENDMNT'!B:B,'4.CAP_ENDMNT'!L:L,0,0,1)</f>
        <v>20089709112.260799</v>
      </c>
      <c r="AD216" s="140">
        <f>+_xlfn.XLOOKUP(PROYECTOS[[#This Row],[MUNICIPIO]],'4.CAP_ENDMNT'!B:B,'4.CAP_ENDMNT'!M:M,0,0,1)</f>
        <v>15067281834.195601</v>
      </c>
      <c r="AE216" s="134">
        <f>+_xlfn.XLOOKUP(PROYECTOS[[#This Row],[MUNICIPIO]],'4.CAP_ENDMNT'!B:B,'4.CAP_ENDMNT'!N:N,0,0,1)</f>
        <v>0.67099818076158058</v>
      </c>
      <c r="AF216" s="134">
        <f>+_xlfn.XLOOKUP(PROYECTOS[[#This Row],[MUNICIPIO]],'4.CAP_ENDMNT'!B:B,'4.CAP_ENDMNT'!O:O,0,0,1)</f>
        <v>0.60103296352987046</v>
      </c>
      <c r="AG216" s="134">
        <f>+_xlfn.XLOOKUP(PROYECTOS[[#This Row],[MUNICIPIO]],'4.CAP_ENDMNT'!B:B,'4.CAP_ENDMNT'!P:P,0,0,1)</f>
        <v>0.8</v>
      </c>
      <c r="AH216" s="44" t="str">
        <f>+_xlfn.XLOOKUP(PROYECTOS[[#This Row],[MUNICIPIO]],'4.CAP_ENDMNT'!B:B,'4.CAP_ENDMNT'!Q:Q,0,0,1)</f>
        <v>Cumple</v>
      </c>
      <c r="AI216" s="139">
        <f>+_xlfn.XLOOKUP(PROYECTOS[[#This Row],[MUNICIPIO]],'4.CAP_ENDMNT'!B:B,'4.CAP_ENDMNT'!V:V,0,0,1)</f>
        <v>3013456366.8391204</v>
      </c>
      <c r="AJ216" s="139">
        <f>+_xlfn.XLOOKUP(PROYECTOS[[#This Row],[MUNICIPIO]],'4.CAP_ENDMNT'!B:B,'4.CAP_ENDMNT'!Y:Y,0,0,1)</f>
        <v>10290788523.034721</v>
      </c>
      <c r="AK216"/>
      <c r="AL216"/>
      <c r="AM216"/>
    </row>
    <row r="217" spans="1:39">
      <c r="A217" s="44">
        <v>234</v>
      </c>
      <c r="B217" s="37" t="s">
        <v>515</v>
      </c>
      <c r="C217" s="118">
        <v>45747</v>
      </c>
      <c r="D217" s="34" t="s">
        <v>311</v>
      </c>
      <c r="E217" s="47" t="str">
        <f>+_xlfn.XLOOKUP(PROYECTOS[[#This Row],[MUNICIPIO]],MUNICIPIOS!A:A,MUNICIPIOS!E:E,0,0,1)</f>
        <v>Magdalena Medio</v>
      </c>
      <c r="F217" s="44">
        <f>+_xlfn.XLOOKUP(PROYECTOS[[#This Row],[MUNICIPIO]],MUNICIPIOS!A:A,MUNICIPIOS!F:F,0,0,1)</f>
        <v>-74.78716</v>
      </c>
      <c r="G217" s="44" t="str">
        <f>+_xlfn.XLOOKUP(PROYECTOS[[#This Row],[MUNICIPIO]],MUNICIPIOS!A:A,MUNICIPIOS!G:G,0,0,1)</f>
        <v>6,552116</v>
      </c>
      <c r="H217" s="44">
        <f>+_xlfn.XLOOKUP(PROYECTOS[[#This Row],[MUNICIPIO]],MUNICIPIOS!A:A,MUNICIPIOS!B:B,0,0,1)</f>
        <v>0</v>
      </c>
      <c r="I217" s="44">
        <f>+_xlfn.XLOOKUP(PROYECTOS[[#This Row],[MUNICIPIO]],MUNICIPIOS!A:A,MUNICIPIOS!C:C,0,0,1)</f>
        <v>0</v>
      </c>
      <c r="J217" s="3" t="str" cm="1">
        <f t="array" ref="J217">_xlfn.TEXTJOIN(" ", TRUE, IF(radicados[ID PROYECTOS]=A217, radicados[RADICADO], ""))</f>
        <v/>
      </c>
      <c r="K217" s="45">
        <v>1</v>
      </c>
      <c r="L217" s="48"/>
      <c r="M217" s="34" t="s">
        <v>435</v>
      </c>
      <c r="N217" s="40" t="s">
        <v>397</v>
      </c>
      <c r="O217" s="40" t="s">
        <v>56</v>
      </c>
      <c r="P217" s="37" t="s">
        <v>516</v>
      </c>
      <c r="Q217" s="45"/>
      <c r="R217" s="43"/>
      <c r="S217" s="43"/>
      <c r="T217" s="44">
        <f>+_xlfn.XLOOKUP(PROYECTOS[[#This Row],[MUNICIPIO]],'4.CAP_ENDMNT'!B:B,'4.CAP_ENDMNT'!C:C,0,0,1)</f>
        <v>6</v>
      </c>
      <c r="U217" s="139">
        <f>+_xlfn.XLOOKUP(PROYECTOS[[#This Row],[MUNICIPIO]],'4.CAP_ENDMNT'!B:B,'4.CAP_ENDMNT'!D:D,0,0,1)</f>
        <v>12443958135.744499</v>
      </c>
      <c r="V217" s="140">
        <f>+_xlfn.XLOOKUP(PROYECTOS[[#This Row],[MUNICIPIO]],'4.CAP_ENDMNT'!B:B,'4.CAP_ENDMNT'!E:E,0,0,1)</f>
        <v>4756407219.6099997</v>
      </c>
      <c r="W217" s="140">
        <f>+_xlfn.XLOOKUP(PROYECTOS[[#This Row],[MUNICIPIO]],'4.CAP_ENDMNT'!B:B,'4.CAP_ENDMNT'!F:F,0,0,1)</f>
        <v>7687550916.1344995</v>
      </c>
      <c r="X217" s="140">
        <f>+_xlfn.XLOOKUP(PROYECTOS[[#This Row],[MUNICIPIO]],'4.CAP_ENDMNT'!B:B,'4.CAP_ENDMNT'!G:G,0,0,1)</f>
        <v>8000000000</v>
      </c>
      <c r="Y217" s="140">
        <f>+_xlfn.XLOOKUP(PROYECTOS[[#This Row],[MUNICIPIO]],'4.CAP_ENDMNT'!B:B,'4.CAP_ENDMNT'!H:H,0,0,1)</f>
        <v>0</v>
      </c>
      <c r="Z217" s="140">
        <f>+_xlfn.XLOOKUP(PROYECTOS[[#This Row],[MUNICIPIO]],'4.CAP_ENDMNT'!B:B,'4.CAP_ENDMNT'!I:I,0,0,1)</f>
        <v>8000000000</v>
      </c>
      <c r="AA217" s="134">
        <f>+_xlfn.XLOOKUP(PROYECTOS[[#This Row],[MUNICIPIO]],'4.CAP_ENDMNT'!B:B,'4.CAP_ENDMNT'!J:J,0,0,1)</f>
        <v>0.64288226565312012</v>
      </c>
      <c r="AB217" s="140">
        <f>+_xlfn.XLOOKUP(PROYECTOS[[#This Row],[MUNICIPIO]],'4.CAP_ENDMNT'!B:B,'4.CAP_ENDMNT'!K:K,0,0,1)</f>
        <v>4443958135.7444992</v>
      </c>
      <c r="AC217" s="140">
        <f>+_xlfn.XLOOKUP(PROYECTOS[[#This Row],[MUNICIPIO]],'4.CAP_ENDMNT'!B:B,'4.CAP_ENDMNT'!L:L,0,0,1)</f>
        <v>3555166508.5955997</v>
      </c>
      <c r="AD217" s="140">
        <f>+_xlfn.XLOOKUP(PROYECTOS[[#This Row],[MUNICIPIO]],'4.CAP_ENDMNT'!B:B,'4.CAP_ENDMNT'!M:M,0,0,1)</f>
        <v>2666374881.4466996</v>
      </c>
      <c r="AE217" s="134">
        <f>+_xlfn.XLOOKUP(PROYECTOS[[#This Row],[MUNICIPIO]],'4.CAP_ENDMNT'!B:B,'4.CAP_ENDMNT'!N:N,0,0,1)</f>
        <v>1</v>
      </c>
      <c r="AF217" s="134">
        <f>+_xlfn.XLOOKUP(PROYECTOS[[#This Row],[MUNICIPIO]],'4.CAP_ENDMNT'!B:B,'4.CAP_ENDMNT'!O:O,0,0,1)</f>
        <v>0.49448054880206244</v>
      </c>
      <c r="AG217" s="134">
        <f>+_xlfn.XLOOKUP(PROYECTOS[[#This Row],[MUNICIPIO]],'4.CAP_ENDMNT'!B:B,'4.CAP_ENDMNT'!P:P,0,0,1)</f>
        <v>0.8</v>
      </c>
      <c r="AH217" s="44" t="str">
        <f>+_xlfn.XLOOKUP(PROYECTOS[[#This Row],[MUNICIPIO]],'4.CAP_ENDMNT'!B:B,'4.CAP_ENDMNT'!Q:Q,0,0,1)</f>
        <v>Cumple</v>
      </c>
      <c r="AI217" s="139">
        <f>+_xlfn.XLOOKUP(PROYECTOS[[#This Row],[MUNICIPIO]],'4.CAP_ENDMNT'!B:B,'4.CAP_ENDMNT'!V:V,0,0,1)</f>
        <v>533274976.28933996</v>
      </c>
      <c r="AJ217" s="139">
        <f>+_xlfn.XLOOKUP(PROYECTOS[[#This Row],[MUNICIPIO]],'4.CAP_ENDMNT'!B:B,'4.CAP_ENDMNT'!Y:Y,0,0,1)</f>
        <v>-10227839015.26396</v>
      </c>
      <c r="AK217"/>
      <c r="AL217"/>
      <c r="AM217"/>
    </row>
    <row r="218" spans="1:39">
      <c r="A218" s="44">
        <v>235</v>
      </c>
      <c r="B218" s="37" t="s">
        <v>1432</v>
      </c>
      <c r="C218" s="118">
        <v>45747</v>
      </c>
      <c r="D218" s="34" t="s">
        <v>11</v>
      </c>
      <c r="E218" s="47" t="str">
        <f>+_xlfn.XLOOKUP(PROYECTOS[[#This Row],[MUNICIPIO]],MUNICIPIOS!A:A,MUNICIPIOS!E:E,0,0,1)</f>
        <v>Magdalena Medio</v>
      </c>
      <c r="F218" s="44">
        <f>+_xlfn.XLOOKUP(PROYECTOS[[#This Row],[MUNICIPIO]],MUNICIPIOS!A:A,MUNICIPIOS!F:F,0,0,1)</f>
        <v>-74.641189999999995</v>
      </c>
      <c r="G218" s="44" t="str">
        <f>+_xlfn.XLOOKUP(PROYECTOS[[#This Row],[MUNICIPIO]],MUNICIPIOS!A:A,MUNICIPIOS!G:G,0,0,1)</f>
        <v>5,871318</v>
      </c>
      <c r="H218" s="44">
        <f>+_xlfn.XLOOKUP(PROYECTOS[[#This Row],[MUNICIPIO]],MUNICIPIOS!A:A,MUNICIPIOS!B:B,0,0,1)</f>
        <v>0</v>
      </c>
      <c r="I218" s="44">
        <f>+_xlfn.XLOOKUP(PROYECTOS[[#This Row],[MUNICIPIO]],MUNICIPIOS!A:A,MUNICIPIOS!C:C,0,0,1)</f>
        <v>0</v>
      </c>
      <c r="J218" s="3" t="str" cm="1">
        <f t="array" ref="J218">_xlfn.TEXTJOIN(" ", TRUE, IF(radicados[ID PROYECTOS]=A218, radicados[RADICADO], ""))</f>
        <v/>
      </c>
      <c r="K218" s="45">
        <v>2</v>
      </c>
      <c r="L218" s="48"/>
      <c r="M218" s="34" t="s">
        <v>435</v>
      </c>
      <c r="N218" s="40" t="s">
        <v>397</v>
      </c>
      <c r="O218" s="40" t="s">
        <v>56</v>
      </c>
      <c r="P218" s="71" t="s">
        <v>518</v>
      </c>
      <c r="Q218" s="45"/>
      <c r="R218" s="43"/>
      <c r="S218" s="43"/>
      <c r="T218" s="44">
        <f>+_xlfn.XLOOKUP(PROYECTOS[[#This Row],[MUNICIPIO]],'4.CAP_ENDMNT'!B:B,'4.CAP_ENDMNT'!C:C,0,0,1)</f>
        <v>6</v>
      </c>
      <c r="U218" s="139">
        <f>+_xlfn.XLOOKUP(PROYECTOS[[#This Row],[MUNICIPIO]],'4.CAP_ENDMNT'!B:B,'4.CAP_ENDMNT'!D:D,0,0,1)</f>
        <v>22896432570.9105</v>
      </c>
      <c r="V218" s="140">
        <f>+_xlfn.XLOOKUP(PROYECTOS[[#This Row],[MUNICIPIO]],'4.CAP_ENDMNT'!B:B,'4.CAP_ENDMNT'!E:E,0,0,1)</f>
        <v>6514105665.9899998</v>
      </c>
      <c r="W218" s="140">
        <f>+_xlfn.XLOOKUP(PROYECTOS[[#This Row],[MUNICIPIO]],'4.CAP_ENDMNT'!B:B,'4.CAP_ENDMNT'!F:F,0,0,1)</f>
        <v>16382326904.9205</v>
      </c>
      <c r="X218" s="140">
        <f>+_xlfn.XLOOKUP(PROYECTOS[[#This Row],[MUNICIPIO]],'4.CAP_ENDMNT'!B:B,'4.CAP_ENDMNT'!G:G,0,0,1)</f>
        <v>15087488121</v>
      </c>
      <c r="Y218" s="140">
        <f>+_xlfn.XLOOKUP(PROYECTOS[[#This Row],[MUNICIPIO]],'4.CAP_ENDMNT'!B:B,'4.CAP_ENDMNT'!H:H,0,0,1)</f>
        <v>152370595</v>
      </c>
      <c r="Z218" s="140">
        <f>+_xlfn.XLOOKUP(PROYECTOS[[#This Row],[MUNICIPIO]],'4.CAP_ENDMNT'!B:B,'4.CAP_ENDMNT'!I:I,0,0,1)</f>
        <v>15239858716</v>
      </c>
      <c r="AA218" s="134">
        <f>+_xlfn.XLOOKUP(PROYECTOS[[#This Row],[MUNICIPIO]],'4.CAP_ENDMNT'!B:B,'4.CAP_ENDMNT'!J:J,0,0,1)</f>
        <v>0.66559970287082904</v>
      </c>
      <c r="AB218" s="140">
        <f>+_xlfn.XLOOKUP(PROYECTOS[[#This Row],[MUNICIPIO]],'4.CAP_ENDMNT'!B:B,'4.CAP_ENDMNT'!K:K,0,0,1)</f>
        <v>7656573854.9104996</v>
      </c>
      <c r="AC218" s="140">
        <f>+_xlfn.XLOOKUP(PROYECTOS[[#This Row],[MUNICIPIO]],'4.CAP_ENDMNT'!B:B,'4.CAP_ENDMNT'!L:L,0,0,1)</f>
        <v>6125259083.9284</v>
      </c>
      <c r="AD218" s="140">
        <f>+_xlfn.XLOOKUP(PROYECTOS[[#This Row],[MUNICIPIO]],'4.CAP_ENDMNT'!B:B,'4.CAP_ENDMNT'!M:M,0,0,1)</f>
        <v>4593944312.9462996</v>
      </c>
      <c r="AE218" s="134">
        <f>+_xlfn.XLOOKUP(PROYECTOS[[#This Row],[MUNICIPIO]],'4.CAP_ENDMNT'!B:B,'4.CAP_ENDMNT'!N:N,0,0,1)</f>
        <v>0.99000183677293352</v>
      </c>
      <c r="AF218" s="134">
        <f>+_xlfn.XLOOKUP(PROYECTOS[[#This Row],[MUNICIPIO]],'4.CAP_ENDMNT'!B:B,'4.CAP_ENDMNT'!O:O,0,0,1)</f>
        <v>0.53987925149269589</v>
      </c>
      <c r="AG218" s="134">
        <f>+_xlfn.XLOOKUP(PROYECTOS[[#This Row],[MUNICIPIO]],'4.CAP_ENDMNT'!B:B,'4.CAP_ENDMNT'!P:P,0,0,1)</f>
        <v>0.8</v>
      </c>
      <c r="AH218" s="44" t="str">
        <f>+_xlfn.XLOOKUP(PROYECTOS[[#This Row],[MUNICIPIO]],'4.CAP_ENDMNT'!B:B,'4.CAP_ENDMNT'!Q:Q,0,0,1)</f>
        <v>Cumple</v>
      </c>
      <c r="AI218" s="139">
        <f>+_xlfn.XLOOKUP(PROYECTOS[[#This Row],[MUNICIPIO]],'4.CAP_ENDMNT'!B:B,'4.CAP_ENDMNT'!V:V,0,0,1)</f>
        <v>918788862.58925998</v>
      </c>
      <c r="AJ218" s="139">
        <f>+_xlfn.XLOOKUP(PROYECTOS[[#This Row],[MUNICIPIO]],'4.CAP_ENDMNT'!B:B,'4.CAP_ENDMNT'!Y:Y,0,0,1)</f>
        <v>-5124042499.4644403</v>
      </c>
      <c r="AK218"/>
      <c r="AL218"/>
      <c r="AM218"/>
    </row>
    <row r="219" spans="1:39">
      <c r="A219" s="44">
        <v>236</v>
      </c>
      <c r="B219" s="37" t="s">
        <v>519</v>
      </c>
      <c r="C219" s="118">
        <v>45747</v>
      </c>
      <c r="D219" s="34" t="s">
        <v>334</v>
      </c>
      <c r="E219" s="47" t="str">
        <f>+_xlfn.XLOOKUP(PROYECTOS[[#This Row],[MUNICIPIO]],MUNICIPIOS!A:A,MUNICIPIOS!E:E,0,0,1)</f>
        <v>Occidente</v>
      </c>
      <c r="F219" s="44">
        <f>+_xlfn.XLOOKUP(PROYECTOS[[#This Row],[MUNICIPIO]],MUNICIPIOS!A:A,MUNICIPIOS!F:F,0,0,1)</f>
        <v>-75.726974999999996</v>
      </c>
      <c r="G219" s="44" t="str">
        <f>+_xlfn.XLOOKUP(PROYECTOS[[#This Row],[MUNICIPIO]],MUNICIPIOS!A:A,MUNICIPIOS!G:G,0,0,1)</f>
        <v>6,44809</v>
      </c>
      <c r="H219" s="44">
        <f>+_xlfn.XLOOKUP(PROYECTOS[[#This Row],[MUNICIPIO]],MUNICIPIOS!A:A,MUNICIPIOS!B:B,0,0,1)</f>
        <v>0</v>
      </c>
      <c r="I219" s="44">
        <f>+_xlfn.XLOOKUP(PROYECTOS[[#This Row],[MUNICIPIO]],MUNICIPIOS!A:A,MUNICIPIOS!C:C,0,0,1)</f>
        <v>0</v>
      </c>
      <c r="J219" s="3" t="str" cm="1">
        <f t="array" ref="J219">_xlfn.TEXTJOIN(" ", TRUE, IF(radicados[ID PROYECTOS]=A219, radicados[RADICADO], ""))</f>
        <v/>
      </c>
      <c r="K219" s="142">
        <v>2</v>
      </c>
      <c r="L219" s="48"/>
      <c r="M219" s="34" t="s">
        <v>435</v>
      </c>
      <c r="N219" s="40" t="s">
        <v>397</v>
      </c>
      <c r="O219" s="40" t="s">
        <v>56</v>
      </c>
      <c r="P219" s="37" t="s">
        <v>520</v>
      </c>
      <c r="Q219" s="45"/>
      <c r="R219" s="43"/>
      <c r="S219" s="43"/>
      <c r="T219" s="44">
        <f>+_xlfn.XLOOKUP(PROYECTOS[[#This Row],[MUNICIPIO]],'4.CAP_ENDMNT'!B:B,'4.CAP_ENDMNT'!C:C,0,0,1)</f>
        <v>6</v>
      </c>
      <c r="U219" s="139">
        <f>+_xlfn.XLOOKUP(PROYECTOS[[#This Row],[MUNICIPIO]],'4.CAP_ENDMNT'!B:B,'4.CAP_ENDMNT'!D:D,0,0,1)</f>
        <v>21865753958.964001</v>
      </c>
      <c r="V219" s="140">
        <f>+_xlfn.XLOOKUP(PROYECTOS[[#This Row],[MUNICIPIO]],'4.CAP_ENDMNT'!B:B,'4.CAP_ENDMNT'!E:E,0,0,1)</f>
        <v>8371779870.6599998</v>
      </c>
      <c r="W219" s="140">
        <f>+_xlfn.XLOOKUP(PROYECTOS[[#This Row],[MUNICIPIO]],'4.CAP_ENDMNT'!B:B,'4.CAP_ENDMNT'!F:F,0,0,1)</f>
        <v>13493974088.304001</v>
      </c>
      <c r="X219" s="140">
        <f>+_xlfn.XLOOKUP(PROYECTOS[[#This Row],[MUNICIPIO]],'4.CAP_ENDMNT'!B:B,'4.CAP_ENDMNT'!G:G,0,0,1)</f>
        <v>851002641</v>
      </c>
      <c r="Y219" s="140">
        <f>+_xlfn.XLOOKUP(PROYECTOS[[#This Row],[MUNICIPIO]],'4.CAP_ENDMNT'!B:B,'4.CAP_ENDMNT'!H:H,0,0,1)</f>
        <v>4636492005</v>
      </c>
      <c r="Z219" s="140">
        <f>+_xlfn.XLOOKUP(PROYECTOS[[#This Row],[MUNICIPIO]],'4.CAP_ENDMNT'!B:B,'4.CAP_ENDMNT'!I:I,0,0,1)</f>
        <v>5487494646</v>
      </c>
      <c r="AA219" s="134">
        <f>+_xlfn.XLOOKUP(PROYECTOS[[#This Row],[MUNICIPIO]],'4.CAP_ENDMNT'!B:B,'4.CAP_ENDMNT'!J:J,0,0,1)</f>
        <v>0.25096297416949431</v>
      </c>
      <c r="AB219" s="140">
        <f>+_xlfn.XLOOKUP(PROYECTOS[[#This Row],[MUNICIPIO]],'4.CAP_ENDMNT'!B:B,'4.CAP_ENDMNT'!K:K,0,0,1)</f>
        <v>16378259312.964001</v>
      </c>
      <c r="AC219" s="140">
        <f>+_xlfn.XLOOKUP(PROYECTOS[[#This Row],[MUNICIPIO]],'4.CAP_ENDMNT'!B:B,'4.CAP_ENDMNT'!L:L,0,0,1)</f>
        <v>13102607450.371201</v>
      </c>
      <c r="AD219" s="140">
        <f>+_xlfn.XLOOKUP(PROYECTOS[[#This Row],[MUNICIPIO]],'4.CAP_ENDMNT'!B:B,'4.CAP_ENDMNT'!M:M,0,0,1)</f>
        <v>9826955587.7784004</v>
      </c>
      <c r="AE219" s="134">
        <f>+_xlfn.XLOOKUP(PROYECTOS[[#This Row],[MUNICIPIO]],'4.CAP_ENDMNT'!B:B,'4.CAP_ENDMNT'!N:N,0,0,1)</f>
        <v>0.15508035923466848</v>
      </c>
      <c r="AF219" s="134">
        <f>+_xlfn.XLOOKUP(PROYECTOS[[#This Row],[MUNICIPIO]],'4.CAP_ENDMNT'!B:B,'4.CAP_ENDMNT'!O:O,0,0,1)</f>
        <v>0.43479333121090752</v>
      </c>
      <c r="AG219" s="134">
        <f>+_xlfn.XLOOKUP(PROYECTOS[[#This Row],[MUNICIPIO]],'4.CAP_ENDMNT'!B:B,'4.CAP_ENDMNT'!P:P,0,0,1)</f>
        <v>0.8</v>
      </c>
      <c r="AH219" s="44" t="str">
        <f>+_xlfn.XLOOKUP(PROYECTOS[[#This Row],[MUNICIPIO]],'4.CAP_ENDMNT'!B:B,'4.CAP_ENDMNT'!Q:Q,0,0,1)</f>
        <v>Cumple</v>
      </c>
      <c r="AI219" s="139">
        <f>+_xlfn.XLOOKUP(PROYECTOS[[#This Row],[MUNICIPIO]],'4.CAP_ENDMNT'!B:B,'4.CAP_ENDMNT'!V:V,0,0,1)</f>
        <v>1965391117.5556803</v>
      </c>
      <c r="AJ219" s="139">
        <f>+_xlfn.XLOOKUP(PROYECTOS[[#This Row],[MUNICIPIO]],'4.CAP_ENDMNT'!B:B,'4.CAP_ENDMNT'!Y:Y,0,0,1)</f>
        <v>-4462766845.8359203</v>
      </c>
      <c r="AK219"/>
      <c r="AL219"/>
      <c r="AM219"/>
    </row>
    <row r="220" spans="1:39">
      <c r="A220" s="44">
        <v>237</v>
      </c>
      <c r="B220" s="37" t="s">
        <v>1433</v>
      </c>
      <c r="C220" s="118">
        <v>45747</v>
      </c>
      <c r="D220" s="34" t="s">
        <v>136</v>
      </c>
      <c r="E220" s="47" t="str">
        <f>+_xlfn.XLOOKUP(PROYECTOS[[#This Row],[MUNICIPIO]],MUNICIPIOS!A:A,MUNICIPIOS!E:E,0,0,1)</f>
        <v>Norte</v>
      </c>
      <c r="F220" s="44">
        <f>+_xlfn.XLOOKUP(PROYECTOS[[#This Row],[MUNICIPIO]],MUNICIPIOS!A:A,MUNICIPIOS!F:F,0,0,1)</f>
        <v>-75.550359999999998</v>
      </c>
      <c r="G220" s="44" t="str">
        <f>+_xlfn.XLOOKUP(PROYECTOS[[#This Row],[MUNICIPIO]],MUNICIPIOS!A:A,MUNICIPIOS!G:G,0,0,1)</f>
        <v>7,112803</v>
      </c>
      <c r="H220" s="44">
        <f>+_xlfn.XLOOKUP(PROYECTOS[[#This Row],[MUNICIPIO]],MUNICIPIOS!A:A,MUNICIPIOS!B:B,0,0,1)</f>
        <v>1</v>
      </c>
      <c r="I220" s="44">
        <f>+_xlfn.XLOOKUP(PROYECTOS[[#This Row],[MUNICIPIO]],MUNICIPIOS!A:A,MUNICIPIOS!C:C,0,0,1)</f>
        <v>1</v>
      </c>
      <c r="J220" s="3" t="str" cm="1">
        <f t="array" ref="J220">_xlfn.TEXTJOIN(" ", TRUE, IF(radicados[ID PROYECTOS]=A220, radicados[RADICADO], ""))</f>
        <v/>
      </c>
      <c r="K220" s="45">
        <v>3</v>
      </c>
      <c r="L220" s="48">
        <v>2100000000</v>
      </c>
      <c r="M220" s="34" t="s">
        <v>435</v>
      </c>
      <c r="N220" s="40" t="s">
        <v>397</v>
      </c>
      <c r="O220" s="40" t="s">
        <v>56</v>
      </c>
      <c r="P220" s="37" t="s">
        <v>1236</v>
      </c>
      <c r="Q220" s="45">
        <v>1</v>
      </c>
      <c r="R220" s="43" t="s">
        <v>922</v>
      </c>
      <c r="S220" s="43" t="s">
        <v>1643</v>
      </c>
      <c r="T220" s="44">
        <f>+_xlfn.XLOOKUP(PROYECTOS[[#This Row],[MUNICIPIO]],'4.CAP_ENDMNT'!B:B,'4.CAP_ENDMNT'!C:C,0,0,1)</f>
        <v>6</v>
      </c>
      <c r="U220" s="139">
        <f>+_xlfn.XLOOKUP(PROYECTOS[[#This Row],[MUNICIPIO]],'4.CAP_ENDMNT'!B:B,'4.CAP_ENDMNT'!D:D,0,0,1)</f>
        <v>15936675551.976999</v>
      </c>
      <c r="V220" s="140">
        <f>+_xlfn.XLOOKUP(PROYECTOS[[#This Row],[MUNICIPIO]],'4.CAP_ENDMNT'!B:B,'4.CAP_ENDMNT'!E:E,0,0,1)</f>
        <v>6355203503.6700001</v>
      </c>
      <c r="W220" s="140">
        <f>+_xlfn.XLOOKUP(PROYECTOS[[#This Row],[MUNICIPIO]],'4.CAP_ENDMNT'!B:B,'4.CAP_ENDMNT'!F:F,0,0,1)</f>
        <v>9581472048.3069992</v>
      </c>
      <c r="X220" s="140">
        <f>+_xlfn.XLOOKUP(PROYECTOS[[#This Row],[MUNICIPIO]],'4.CAP_ENDMNT'!B:B,'4.CAP_ENDMNT'!G:G,0,0,1)</f>
        <v>166905356.59</v>
      </c>
      <c r="Y220" s="140">
        <f>+_xlfn.XLOOKUP(PROYECTOS[[#This Row],[MUNICIPIO]],'4.CAP_ENDMNT'!B:B,'4.CAP_ENDMNT'!H:H,0,0,1)</f>
        <v>5064590198</v>
      </c>
      <c r="Z220" s="140">
        <f>+_xlfn.XLOOKUP(PROYECTOS[[#This Row],[MUNICIPIO]],'4.CAP_ENDMNT'!B:B,'4.CAP_ENDMNT'!I:I,0,0,1)</f>
        <v>5231495554.5900002</v>
      </c>
      <c r="AA220" s="134">
        <f>+_xlfn.XLOOKUP(PROYECTOS[[#This Row],[MUNICIPIO]],'4.CAP_ENDMNT'!B:B,'4.CAP_ENDMNT'!J:J,0,0,1)</f>
        <v>0.32826768277534613</v>
      </c>
      <c r="AB220" s="140">
        <f>+_xlfn.XLOOKUP(PROYECTOS[[#This Row],[MUNICIPIO]],'4.CAP_ENDMNT'!B:B,'4.CAP_ENDMNT'!K:K,0,0,1)</f>
        <v>10705179997.386999</v>
      </c>
      <c r="AC220" s="140">
        <f>+_xlfn.XLOOKUP(PROYECTOS[[#This Row],[MUNICIPIO]],'4.CAP_ENDMNT'!B:B,'4.CAP_ENDMNT'!L:L,0,0,1)</f>
        <v>8564143997.9095993</v>
      </c>
      <c r="AD220" s="140">
        <f>+_xlfn.XLOOKUP(PROYECTOS[[#This Row],[MUNICIPIO]],'4.CAP_ENDMNT'!B:B,'4.CAP_ENDMNT'!M:M,0,0,1)</f>
        <v>6423107998.4321995</v>
      </c>
      <c r="AE220" s="134">
        <f>+_xlfn.XLOOKUP(PROYECTOS[[#This Row],[MUNICIPIO]],'4.CAP_ENDMNT'!B:B,'4.CAP_ENDMNT'!N:N,0,0,1)</f>
        <v>3.1903946939907245E-2</v>
      </c>
      <c r="AF220" s="134">
        <f>+_xlfn.XLOOKUP(PROYECTOS[[#This Row],[MUNICIPIO]],'4.CAP_ENDMNT'!B:B,'4.CAP_ENDMNT'!O:O,0,0,1)</f>
        <v>0.65192157878949775</v>
      </c>
      <c r="AG220" s="134">
        <f>+_xlfn.XLOOKUP(PROYECTOS[[#This Row],[MUNICIPIO]],'4.CAP_ENDMNT'!B:B,'4.CAP_ENDMNT'!P:P,0,0,1)</f>
        <v>0.8</v>
      </c>
      <c r="AH220" s="44" t="str">
        <f>+_xlfn.XLOOKUP(PROYECTOS[[#This Row],[MUNICIPIO]],'4.CAP_ENDMNT'!B:B,'4.CAP_ENDMNT'!Q:Q,0,0,1)</f>
        <v>Cumple</v>
      </c>
      <c r="AI220" s="139">
        <f>+_xlfn.XLOOKUP(PROYECTOS[[#This Row],[MUNICIPIO]],'4.CAP_ENDMNT'!B:B,'4.CAP_ENDMNT'!V:V,0,0,1)</f>
        <v>1284621599.68644</v>
      </c>
      <c r="AJ220" s="139">
        <f>+_xlfn.XLOOKUP(PROYECTOS[[#This Row],[MUNICIPIO]],'4.CAP_ENDMNT'!B:B,'4.CAP_ENDMNT'!Y:Y,0,0,1)</f>
        <v>-1198654643.881361</v>
      </c>
      <c r="AK220"/>
      <c r="AL220"/>
      <c r="AM220"/>
    </row>
    <row r="221" spans="1:39">
      <c r="A221" s="44">
        <v>238</v>
      </c>
      <c r="B221" s="37" t="s">
        <v>1434</v>
      </c>
      <c r="C221" s="118">
        <v>45747</v>
      </c>
      <c r="D221" s="34" t="s">
        <v>473</v>
      </c>
      <c r="E221" s="47" t="str">
        <f>+_xlfn.XLOOKUP(PROYECTOS[[#This Row],[MUNICIPIO]],MUNICIPIOS!A:A,MUNICIPIOS!E:E,0,0,1)</f>
        <v>Magdalena Medio</v>
      </c>
      <c r="F221" s="44">
        <f>+_xlfn.XLOOKUP(PROYECTOS[[#This Row],[MUNICIPIO]],MUNICIPIOS!A:A,MUNICIPIOS!F:F,0,0,1)</f>
        <v>-74.757420999999994</v>
      </c>
      <c r="G221" s="44" t="str">
        <f>+_xlfn.XLOOKUP(PROYECTOS[[#This Row],[MUNICIPIO]],MUNICIPIOS!A:A,MUNICIPIOS!G:G,0,0,1)</f>
        <v>6,409829</v>
      </c>
      <c r="H221" s="44">
        <f>+_xlfn.XLOOKUP(PROYECTOS[[#This Row],[MUNICIPIO]],MUNICIPIOS!A:A,MUNICIPIOS!B:B,0,0,1)</f>
        <v>0</v>
      </c>
      <c r="I221" s="44">
        <f>+_xlfn.XLOOKUP(PROYECTOS[[#This Row],[MUNICIPIO]],MUNICIPIOS!A:A,MUNICIPIOS!C:C,0,0,1)</f>
        <v>0</v>
      </c>
      <c r="J221" s="3" t="str" cm="1">
        <f t="array" ref="J221">_xlfn.TEXTJOIN(" ", TRUE, IF(radicados[ID PROYECTOS]=A221, radicados[RADICADO], ""))</f>
        <v/>
      </c>
      <c r="K221" s="45">
        <v>1</v>
      </c>
      <c r="L221" s="48"/>
      <c r="M221" s="34" t="s">
        <v>435</v>
      </c>
      <c r="N221" s="40" t="s">
        <v>397</v>
      </c>
      <c r="O221" s="40" t="s">
        <v>56</v>
      </c>
      <c r="P221" s="71" t="s">
        <v>524</v>
      </c>
      <c r="Q221" s="45"/>
      <c r="R221" s="43"/>
      <c r="S221" s="43"/>
      <c r="T221" s="44">
        <f>+_xlfn.XLOOKUP(PROYECTOS[[#This Row],[MUNICIPIO]],'4.CAP_ENDMNT'!B:B,'4.CAP_ENDMNT'!C:C,0,0,1)</f>
        <v>6</v>
      </c>
      <c r="U221" s="139">
        <f>+_xlfn.XLOOKUP(PROYECTOS[[#This Row],[MUNICIPIO]],'4.CAP_ENDMNT'!B:B,'4.CAP_ENDMNT'!D:D,0,0,1)</f>
        <v>6287173903.2990007</v>
      </c>
      <c r="V221" s="140">
        <f>+_xlfn.XLOOKUP(PROYECTOS[[#This Row],[MUNICIPIO]],'4.CAP_ENDMNT'!B:B,'4.CAP_ENDMNT'!E:E,0,0,1)</f>
        <v>2101889048.3700001</v>
      </c>
      <c r="W221" s="140">
        <f>+_xlfn.XLOOKUP(PROYECTOS[[#This Row],[MUNICIPIO]],'4.CAP_ENDMNT'!B:B,'4.CAP_ENDMNT'!F:F,0,0,1)</f>
        <v>4185284854.9290009</v>
      </c>
      <c r="X221" s="140">
        <f>+_xlfn.XLOOKUP(PROYECTOS[[#This Row],[MUNICIPIO]],'4.CAP_ENDMNT'!B:B,'4.CAP_ENDMNT'!G:G,0,0,1)</f>
        <v>1389004859</v>
      </c>
      <c r="Y221" s="140">
        <f>+_xlfn.XLOOKUP(PROYECTOS[[#This Row],[MUNICIPIO]],'4.CAP_ENDMNT'!B:B,'4.CAP_ENDMNT'!H:H,0,0,1)</f>
        <v>1150000000</v>
      </c>
      <c r="Z221" s="140">
        <f>+_xlfn.XLOOKUP(PROYECTOS[[#This Row],[MUNICIPIO]],'4.CAP_ENDMNT'!B:B,'4.CAP_ENDMNT'!I:I,0,0,1)</f>
        <v>2539004859</v>
      </c>
      <c r="AA221" s="134">
        <f>+_xlfn.XLOOKUP(PROYECTOS[[#This Row],[MUNICIPIO]],'4.CAP_ENDMNT'!B:B,'4.CAP_ENDMNT'!J:J,0,0,1)</f>
        <v>0.40383881503066671</v>
      </c>
      <c r="AB221" s="140">
        <f>+_xlfn.XLOOKUP(PROYECTOS[[#This Row],[MUNICIPIO]],'4.CAP_ENDMNT'!B:B,'4.CAP_ENDMNT'!K:K,0,0,1)</f>
        <v>3748169044.2990007</v>
      </c>
      <c r="AC221" s="140">
        <f>+_xlfn.XLOOKUP(PROYECTOS[[#This Row],[MUNICIPIO]],'4.CAP_ENDMNT'!B:B,'4.CAP_ENDMNT'!L:L,0,0,1)</f>
        <v>2998535235.4392009</v>
      </c>
      <c r="AD221" s="140">
        <f>+_xlfn.XLOOKUP(PROYECTOS[[#This Row],[MUNICIPIO]],'4.CAP_ENDMNT'!B:B,'4.CAP_ENDMNT'!M:M,0,0,1)</f>
        <v>2248901426.5794005</v>
      </c>
      <c r="AE221" s="134">
        <f>+_xlfn.XLOOKUP(PROYECTOS[[#This Row],[MUNICIPIO]],'4.CAP_ENDMNT'!B:B,'4.CAP_ENDMNT'!N:N,0,0,1)</f>
        <v>0.54706664072595224</v>
      </c>
      <c r="AF221" s="134">
        <f>+_xlfn.XLOOKUP(PROYECTOS[[#This Row],[MUNICIPIO]],'4.CAP_ENDMNT'!B:B,'4.CAP_ENDMNT'!O:O,0,0,1)</f>
        <v>0.5833393396108878</v>
      </c>
      <c r="AG221" s="134">
        <f>+_xlfn.XLOOKUP(PROYECTOS[[#This Row],[MUNICIPIO]],'4.CAP_ENDMNT'!B:B,'4.CAP_ENDMNT'!P:P,0,0,1)</f>
        <v>0.8</v>
      </c>
      <c r="AH221" s="44" t="str">
        <f>+_xlfn.XLOOKUP(PROYECTOS[[#This Row],[MUNICIPIO]],'4.CAP_ENDMNT'!B:B,'4.CAP_ENDMNT'!Q:Q,0,0,1)</f>
        <v>Cumple</v>
      </c>
      <c r="AI221" s="139">
        <f>+_xlfn.XLOOKUP(PROYECTOS[[#This Row],[MUNICIPIO]],'4.CAP_ENDMNT'!B:B,'4.CAP_ENDMNT'!V:V,0,0,1)</f>
        <v>449780285.31588012</v>
      </c>
      <c r="AJ221" s="139">
        <f>+_xlfn.XLOOKUP(PROYECTOS[[#This Row],[MUNICIPIO]],'4.CAP_ENDMNT'!B:B,'4.CAP_ENDMNT'!Y:Y,0,0,1)</f>
        <v>-1221148754.1047192</v>
      </c>
      <c r="AK221"/>
      <c r="AL221"/>
      <c r="AM221"/>
    </row>
    <row r="222" spans="1:39">
      <c r="A222" s="44">
        <v>239</v>
      </c>
      <c r="B222" s="37" t="s">
        <v>1435</v>
      </c>
      <c r="C222" s="118">
        <v>45747</v>
      </c>
      <c r="D222" s="34" t="s">
        <v>11</v>
      </c>
      <c r="E222" s="47" t="str">
        <f>+_xlfn.XLOOKUP(PROYECTOS[[#This Row],[MUNICIPIO]],MUNICIPIOS!A:A,MUNICIPIOS!E:E,0,0,1)</f>
        <v>Magdalena Medio</v>
      </c>
      <c r="F222" s="44">
        <f>+_xlfn.XLOOKUP(PROYECTOS[[#This Row],[MUNICIPIO]],MUNICIPIOS!A:A,MUNICIPIOS!F:F,0,0,1)</f>
        <v>-74.641189999999995</v>
      </c>
      <c r="G222" s="44" t="str">
        <f>+_xlfn.XLOOKUP(PROYECTOS[[#This Row],[MUNICIPIO]],MUNICIPIOS!A:A,MUNICIPIOS!G:G,0,0,1)</f>
        <v>5,871318</v>
      </c>
      <c r="H222" s="44">
        <f>+_xlfn.XLOOKUP(PROYECTOS[[#This Row],[MUNICIPIO]],MUNICIPIOS!A:A,MUNICIPIOS!B:B,0,0,1)</f>
        <v>0</v>
      </c>
      <c r="I222" s="44">
        <f>+_xlfn.XLOOKUP(PROYECTOS[[#This Row],[MUNICIPIO]],MUNICIPIOS!A:A,MUNICIPIOS!C:C,0,0,1)</f>
        <v>0</v>
      </c>
      <c r="J222" s="3" t="str" cm="1">
        <f t="array" ref="J222">_xlfn.TEXTJOIN(" ", TRUE, IF(radicados[ID PROYECTOS]=A222, radicados[RADICADO], ""))</f>
        <v/>
      </c>
      <c r="K222" s="45">
        <v>2</v>
      </c>
      <c r="L222" s="215"/>
      <c r="M222" s="34" t="s">
        <v>435</v>
      </c>
      <c r="N222" s="40" t="s">
        <v>397</v>
      </c>
      <c r="O222" s="40" t="s">
        <v>56</v>
      </c>
      <c r="P222" s="71" t="s">
        <v>526</v>
      </c>
      <c r="Q222" s="45"/>
      <c r="R222" s="43"/>
      <c r="S222" s="43"/>
      <c r="T222" s="44">
        <f>+_xlfn.XLOOKUP(PROYECTOS[[#This Row],[MUNICIPIO]],'4.CAP_ENDMNT'!B:B,'4.CAP_ENDMNT'!C:C,0,0,1)</f>
        <v>6</v>
      </c>
      <c r="U222" s="139">
        <f>+_xlfn.XLOOKUP(PROYECTOS[[#This Row],[MUNICIPIO]],'4.CAP_ENDMNT'!B:B,'4.CAP_ENDMNT'!D:D,0,0,1)</f>
        <v>22896432570.9105</v>
      </c>
      <c r="V222" s="140">
        <f>+_xlfn.XLOOKUP(PROYECTOS[[#This Row],[MUNICIPIO]],'4.CAP_ENDMNT'!B:B,'4.CAP_ENDMNT'!E:E,0,0,1)</f>
        <v>6514105665.9899998</v>
      </c>
      <c r="W222" s="140">
        <f>+_xlfn.XLOOKUP(PROYECTOS[[#This Row],[MUNICIPIO]],'4.CAP_ENDMNT'!B:B,'4.CAP_ENDMNT'!F:F,0,0,1)</f>
        <v>16382326904.9205</v>
      </c>
      <c r="X222" s="140">
        <f>+_xlfn.XLOOKUP(PROYECTOS[[#This Row],[MUNICIPIO]],'4.CAP_ENDMNT'!B:B,'4.CAP_ENDMNT'!G:G,0,0,1)</f>
        <v>15087488121</v>
      </c>
      <c r="Y222" s="140">
        <f>+_xlfn.XLOOKUP(PROYECTOS[[#This Row],[MUNICIPIO]],'4.CAP_ENDMNT'!B:B,'4.CAP_ENDMNT'!H:H,0,0,1)</f>
        <v>152370595</v>
      </c>
      <c r="Z222" s="140">
        <f>+_xlfn.XLOOKUP(PROYECTOS[[#This Row],[MUNICIPIO]],'4.CAP_ENDMNT'!B:B,'4.CAP_ENDMNT'!I:I,0,0,1)</f>
        <v>15239858716</v>
      </c>
      <c r="AA222" s="134">
        <f>+_xlfn.XLOOKUP(PROYECTOS[[#This Row],[MUNICIPIO]],'4.CAP_ENDMNT'!B:B,'4.CAP_ENDMNT'!J:J,0,0,1)</f>
        <v>0.66559970287082904</v>
      </c>
      <c r="AB222" s="140">
        <f>+_xlfn.XLOOKUP(PROYECTOS[[#This Row],[MUNICIPIO]],'4.CAP_ENDMNT'!B:B,'4.CAP_ENDMNT'!K:K,0,0,1)</f>
        <v>7656573854.9104996</v>
      </c>
      <c r="AC222" s="140">
        <f>+_xlfn.XLOOKUP(PROYECTOS[[#This Row],[MUNICIPIO]],'4.CAP_ENDMNT'!B:B,'4.CAP_ENDMNT'!L:L,0,0,1)</f>
        <v>6125259083.9284</v>
      </c>
      <c r="AD222" s="140">
        <f>+_xlfn.XLOOKUP(PROYECTOS[[#This Row],[MUNICIPIO]],'4.CAP_ENDMNT'!B:B,'4.CAP_ENDMNT'!M:M,0,0,1)</f>
        <v>4593944312.9462996</v>
      </c>
      <c r="AE222" s="134">
        <f>+_xlfn.XLOOKUP(PROYECTOS[[#This Row],[MUNICIPIO]],'4.CAP_ENDMNT'!B:B,'4.CAP_ENDMNT'!N:N,0,0,1)</f>
        <v>0.99000183677293352</v>
      </c>
      <c r="AF222" s="134">
        <f>+_xlfn.XLOOKUP(PROYECTOS[[#This Row],[MUNICIPIO]],'4.CAP_ENDMNT'!B:B,'4.CAP_ENDMNT'!O:O,0,0,1)</f>
        <v>0.53987925149269589</v>
      </c>
      <c r="AG222" s="134">
        <f>+_xlfn.XLOOKUP(PROYECTOS[[#This Row],[MUNICIPIO]],'4.CAP_ENDMNT'!B:B,'4.CAP_ENDMNT'!P:P,0,0,1)</f>
        <v>0.8</v>
      </c>
      <c r="AH222" s="44" t="str">
        <f>+_xlfn.XLOOKUP(PROYECTOS[[#This Row],[MUNICIPIO]],'4.CAP_ENDMNT'!B:B,'4.CAP_ENDMNT'!Q:Q,0,0,1)</f>
        <v>Cumple</v>
      </c>
      <c r="AI222" s="139">
        <f>+_xlfn.XLOOKUP(PROYECTOS[[#This Row],[MUNICIPIO]],'4.CAP_ENDMNT'!B:B,'4.CAP_ENDMNT'!V:V,0,0,1)</f>
        <v>918788862.58925998</v>
      </c>
      <c r="AJ222" s="139">
        <f>+_xlfn.XLOOKUP(PROYECTOS[[#This Row],[MUNICIPIO]],'4.CAP_ENDMNT'!B:B,'4.CAP_ENDMNT'!Y:Y,0,0,1)</f>
        <v>-5124042499.4644403</v>
      </c>
      <c r="AK222"/>
      <c r="AL222"/>
      <c r="AM222"/>
    </row>
    <row r="223" spans="1:39">
      <c r="A223" s="44">
        <v>240</v>
      </c>
      <c r="B223" s="37" t="s">
        <v>1436</v>
      </c>
      <c r="C223" s="118">
        <v>45747</v>
      </c>
      <c r="D223" s="34" t="s">
        <v>174</v>
      </c>
      <c r="E223" s="47" t="str">
        <f>+_xlfn.XLOOKUP(PROYECTOS[[#This Row],[MUNICIPIO]],MUNICIPIOS!A:A,MUNICIPIOS!E:E,0,0,1)</f>
        <v>Norte</v>
      </c>
      <c r="F223" s="44">
        <f>+_xlfn.XLOOKUP(PROYECTOS[[#This Row],[MUNICIPIO]],MUNICIPIOS!A:A,MUNICIPIOS!F:F,0,0,1)</f>
        <v>-75.556742999999997</v>
      </c>
      <c r="G223" s="44" t="str">
        <f>+_xlfn.XLOOKUP(PROYECTOS[[#This Row],[MUNICIPIO]],MUNICIPIOS!A:A,MUNICIPIOS!G:G,0,0,1)</f>
        <v>6,46012</v>
      </c>
      <c r="H223" s="44">
        <f>+_xlfn.XLOOKUP(PROYECTOS[[#This Row],[MUNICIPIO]],MUNICIPIOS!A:A,MUNICIPIOS!B:B,0,0,1)</f>
        <v>0</v>
      </c>
      <c r="I223" s="44">
        <f>+_xlfn.XLOOKUP(PROYECTOS[[#This Row],[MUNICIPIO]],MUNICIPIOS!A:A,MUNICIPIOS!C:C,0,0,1)</f>
        <v>0</v>
      </c>
      <c r="J223" s="3" t="str" cm="1">
        <f t="array" ref="J223">_xlfn.TEXTJOIN(" ", TRUE, IF(radicados[ID PROYECTOS]=A223, radicados[RADICADO], ""))</f>
        <v/>
      </c>
      <c r="K223" s="45">
        <v>3</v>
      </c>
      <c r="L223" s="48"/>
      <c r="M223" s="34" t="s">
        <v>435</v>
      </c>
      <c r="N223" s="40" t="s">
        <v>397</v>
      </c>
      <c r="O223" s="40" t="s">
        <v>56</v>
      </c>
      <c r="P223" s="71" t="s">
        <v>528</v>
      </c>
      <c r="Q223" s="45"/>
      <c r="R223" s="43"/>
      <c r="S223" s="43"/>
      <c r="T223" s="44">
        <f>+_xlfn.XLOOKUP(PROYECTOS[[#This Row],[MUNICIPIO]],'4.CAP_ENDMNT'!B:B,'4.CAP_ENDMNT'!C:C,0,0,1)</f>
        <v>6</v>
      </c>
      <c r="U223" s="139">
        <f>+_xlfn.XLOOKUP(PROYECTOS[[#This Row],[MUNICIPIO]],'4.CAP_ENDMNT'!B:B,'4.CAP_ENDMNT'!D:D,0,0,1)</f>
        <v>31632055796.696003</v>
      </c>
      <c r="V223" s="140">
        <f>+_xlfn.XLOOKUP(PROYECTOS[[#This Row],[MUNICIPIO]],'4.CAP_ENDMNT'!B:B,'4.CAP_ENDMNT'!E:E,0,0,1)</f>
        <v>14204097707.720001</v>
      </c>
      <c r="W223" s="140">
        <f>+_xlfn.XLOOKUP(PROYECTOS[[#This Row],[MUNICIPIO]],'4.CAP_ENDMNT'!B:B,'4.CAP_ENDMNT'!F:F,0,0,1)</f>
        <v>17427958088.976002</v>
      </c>
      <c r="X223" s="140">
        <f>+_xlfn.XLOOKUP(PROYECTOS[[#This Row],[MUNICIPIO]],'4.CAP_ENDMNT'!B:B,'4.CAP_ENDMNT'!G:G,0,0,1)</f>
        <v>6063106860</v>
      </c>
      <c r="Y223" s="140">
        <f>+_xlfn.XLOOKUP(PROYECTOS[[#This Row],[MUNICIPIO]],'4.CAP_ENDMNT'!B:B,'4.CAP_ENDMNT'!H:H,0,0,1)</f>
        <v>5275762021</v>
      </c>
      <c r="Z223" s="140">
        <f>+_xlfn.XLOOKUP(PROYECTOS[[#This Row],[MUNICIPIO]],'4.CAP_ENDMNT'!B:B,'4.CAP_ENDMNT'!I:I,0,0,1)</f>
        <v>11338868881</v>
      </c>
      <c r="AA223" s="134">
        <f>+_xlfn.XLOOKUP(PROYECTOS[[#This Row],[MUNICIPIO]],'4.CAP_ENDMNT'!B:B,'4.CAP_ENDMNT'!J:J,0,0,1)</f>
        <v>0.35846133282884368</v>
      </c>
      <c r="AB223" s="140">
        <f>+_xlfn.XLOOKUP(PROYECTOS[[#This Row],[MUNICIPIO]],'4.CAP_ENDMNT'!B:B,'4.CAP_ENDMNT'!K:K,0,0,1)</f>
        <v>20293186915.696003</v>
      </c>
      <c r="AC223" s="140">
        <f>+_xlfn.XLOOKUP(PROYECTOS[[#This Row],[MUNICIPIO]],'4.CAP_ENDMNT'!B:B,'4.CAP_ENDMNT'!L:L,0,0,1)</f>
        <v>16234549532.556803</v>
      </c>
      <c r="AD223" s="140">
        <f>+_xlfn.XLOOKUP(PROYECTOS[[#This Row],[MUNICIPIO]],'4.CAP_ENDMNT'!B:B,'4.CAP_ENDMNT'!M:M,0,0,1)</f>
        <v>12175912149.417601</v>
      </c>
      <c r="AE223" s="134">
        <f>+_xlfn.XLOOKUP(PROYECTOS[[#This Row],[MUNICIPIO]],'4.CAP_ENDMNT'!B:B,'4.CAP_ENDMNT'!N:N,0,0,1)</f>
        <v>0.53471884397214064</v>
      </c>
      <c r="AF223" s="134">
        <f>+_xlfn.XLOOKUP(PROYECTOS[[#This Row],[MUNICIPIO]],'4.CAP_ENDMNT'!B:B,'4.CAP_ENDMNT'!O:O,0,0,1)</f>
        <v>0.58208884880898415</v>
      </c>
      <c r="AG223" s="134">
        <f>+_xlfn.XLOOKUP(PROYECTOS[[#This Row],[MUNICIPIO]],'4.CAP_ENDMNT'!B:B,'4.CAP_ENDMNT'!P:P,0,0,1)</f>
        <v>0.8</v>
      </c>
      <c r="AH223" s="44" t="str">
        <f>+_xlfn.XLOOKUP(PROYECTOS[[#This Row],[MUNICIPIO]],'4.CAP_ENDMNT'!B:B,'4.CAP_ENDMNT'!Q:Q,0,0,1)</f>
        <v>Cumple</v>
      </c>
      <c r="AI223" s="139">
        <f>+_xlfn.XLOOKUP(PROYECTOS[[#This Row],[MUNICIPIO]],'4.CAP_ENDMNT'!B:B,'4.CAP_ENDMNT'!V:V,0,0,1)</f>
        <v>2435182429.8835201</v>
      </c>
      <c r="AJ223" s="139">
        <f>+_xlfn.XLOOKUP(PROYECTOS[[#This Row],[MUNICIPIO]],'4.CAP_ENDMNT'!B:B,'4.CAP_ENDMNT'!Y:Y,0,0,1)</f>
        <v>1934959939.3011208</v>
      </c>
      <c r="AK223"/>
      <c r="AL223"/>
      <c r="AM223"/>
    </row>
    <row r="224" spans="1:39">
      <c r="A224" s="44">
        <v>241</v>
      </c>
      <c r="B224" s="37" t="s">
        <v>1437</v>
      </c>
      <c r="C224" s="118">
        <v>45747</v>
      </c>
      <c r="D224" s="34" t="s">
        <v>530</v>
      </c>
      <c r="E224" s="47" t="str">
        <f>+_xlfn.XLOOKUP(PROYECTOS[[#This Row],[MUNICIPIO]],MUNICIPIOS!A:A,MUNICIPIOS!E:E,0,0,1)</f>
        <v>Occidente</v>
      </c>
      <c r="F224" s="44">
        <f>+_xlfn.XLOOKUP(PROYECTOS[[#This Row],[MUNICIPIO]],MUNICIPIOS!A:A,MUNICIPIOS!F:F,0,0,1)</f>
        <v>-76.064304000000007</v>
      </c>
      <c r="G224" s="44" t="str">
        <f>+_xlfn.XLOOKUP(PROYECTOS[[#This Row],[MUNICIPIO]],MUNICIPIOS!A:A,MUNICIPIOS!G:G,0,0,1)</f>
        <v>6,632282</v>
      </c>
      <c r="H224" s="44">
        <f>+_xlfn.XLOOKUP(PROYECTOS[[#This Row],[MUNICIPIO]],MUNICIPIOS!A:A,MUNICIPIOS!B:B,0,0,1)</f>
        <v>0</v>
      </c>
      <c r="I224" s="44">
        <f>+_xlfn.XLOOKUP(PROYECTOS[[#This Row],[MUNICIPIO]],MUNICIPIOS!A:A,MUNICIPIOS!C:C,0,0,1)</f>
        <v>1</v>
      </c>
      <c r="J224" s="3" t="str" cm="1">
        <f t="array" ref="J224">_xlfn.TEXTJOIN(" ", TRUE, IF(radicados[ID PROYECTOS]=A224, radicados[RADICADO], ""))</f>
        <v/>
      </c>
      <c r="K224" s="45">
        <v>1</v>
      </c>
      <c r="L224" s="48"/>
      <c r="M224" s="34" t="s">
        <v>435</v>
      </c>
      <c r="N224" s="40" t="s">
        <v>397</v>
      </c>
      <c r="O224" s="40" t="s">
        <v>56</v>
      </c>
      <c r="P224" s="52" t="s">
        <v>531</v>
      </c>
      <c r="Q224" s="45"/>
      <c r="R224" s="43"/>
      <c r="S224" s="43"/>
      <c r="T224" s="44">
        <f>+_xlfn.XLOOKUP(PROYECTOS[[#This Row],[MUNICIPIO]],'4.CAP_ENDMNT'!B:B,'4.CAP_ENDMNT'!C:C,0,0,1)</f>
        <v>6</v>
      </c>
      <c r="U224" s="139">
        <f>+_xlfn.XLOOKUP(PROYECTOS[[#This Row],[MUNICIPIO]],'4.CAP_ENDMNT'!B:B,'4.CAP_ENDMNT'!D:D,0,0,1)</f>
        <v>4751801726.2775002</v>
      </c>
      <c r="V224" s="140">
        <f>+_xlfn.XLOOKUP(PROYECTOS[[#This Row],[MUNICIPIO]],'4.CAP_ENDMNT'!B:B,'4.CAP_ENDMNT'!E:E,0,0,1)</f>
        <v>1263292997.6800001</v>
      </c>
      <c r="W224" s="140">
        <f>+_xlfn.XLOOKUP(PROYECTOS[[#This Row],[MUNICIPIO]],'4.CAP_ENDMNT'!B:B,'4.CAP_ENDMNT'!F:F,0,0,1)</f>
        <v>3488508728.5974998</v>
      </c>
      <c r="X224" s="140">
        <f>+_xlfn.XLOOKUP(PROYECTOS[[#This Row],[MUNICIPIO]],'4.CAP_ENDMNT'!B:B,'4.CAP_ENDMNT'!G:G,0,0,1)</f>
        <v>691012966</v>
      </c>
      <c r="Y224" s="140">
        <f>+_xlfn.XLOOKUP(PROYECTOS[[#This Row],[MUNICIPIO]],'4.CAP_ENDMNT'!B:B,'4.CAP_ENDMNT'!H:H,0,0,1)</f>
        <v>0</v>
      </c>
      <c r="Z224" s="140">
        <f>+_xlfn.XLOOKUP(PROYECTOS[[#This Row],[MUNICIPIO]],'4.CAP_ENDMNT'!B:B,'4.CAP_ENDMNT'!I:I,0,0,1)</f>
        <v>691012966</v>
      </c>
      <c r="AA224" s="134">
        <f>+_xlfn.XLOOKUP(PROYECTOS[[#This Row],[MUNICIPIO]],'4.CAP_ENDMNT'!B:B,'4.CAP_ENDMNT'!J:J,0,0,1)</f>
        <v>0.14542125404321754</v>
      </c>
      <c r="AB224" s="140">
        <f>+_xlfn.XLOOKUP(PROYECTOS[[#This Row],[MUNICIPIO]],'4.CAP_ENDMNT'!B:B,'4.CAP_ENDMNT'!K:K,0,0,1)</f>
        <v>4060788760.2775002</v>
      </c>
      <c r="AC224" s="140">
        <f>+_xlfn.XLOOKUP(PROYECTOS[[#This Row],[MUNICIPIO]],'4.CAP_ENDMNT'!B:B,'4.CAP_ENDMNT'!L:L,0,0,1)</f>
        <v>3248631008.2220001</v>
      </c>
      <c r="AD224" s="140">
        <f>+_xlfn.XLOOKUP(PROYECTOS[[#This Row],[MUNICIPIO]],'4.CAP_ENDMNT'!B:B,'4.CAP_ENDMNT'!M:M,0,0,1)</f>
        <v>2436473256.1665001</v>
      </c>
      <c r="AE224" s="134">
        <f>+_xlfn.XLOOKUP(PROYECTOS[[#This Row],[MUNICIPIO]],'4.CAP_ENDMNT'!B:B,'4.CAP_ENDMNT'!N:N,0,0,1)</f>
        <v>1</v>
      </c>
      <c r="AF224" s="134">
        <f>+_xlfn.XLOOKUP(PROYECTOS[[#This Row],[MUNICIPIO]],'4.CAP_ENDMNT'!B:B,'4.CAP_ENDMNT'!O:O,0,0,1)</f>
        <v>0.49444669710295669</v>
      </c>
      <c r="AG224" s="134">
        <f>+_xlfn.XLOOKUP(PROYECTOS[[#This Row],[MUNICIPIO]],'4.CAP_ENDMNT'!B:B,'4.CAP_ENDMNT'!P:P,0,0,1)</f>
        <v>0.8</v>
      </c>
      <c r="AH224" s="44" t="str">
        <f>+_xlfn.XLOOKUP(PROYECTOS[[#This Row],[MUNICIPIO]],'4.CAP_ENDMNT'!B:B,'4.CAP_ENDMNT'!Q:Q,0,0,1)</f>
        <v>Cumple</v>
      </c>
      <c r="AI224" s="139">
        <f>+_xlfn.XLOOKUP(PROYECTOS[[#This Row],[MUNICIPIO]],'4.CAP_ENDMNT'!B:B,'4.CAP_ENDMNT'!V:V,0,0,1)</f>
        <v>487294651.23330003</v>
      </c>
      <c r="AJ224" s="139">
        <f>+_xlfn.XLOOKUP(PROYECTOS[[#This Row],[MUNICIPIO]],'4.CAP_ENDMNT'!B:B,'4.CAP_ENDMNT'!Y:Y,0,0,1)</f>
        <v>2923767907.3998003</v>
      </c>
      <c r="AK224"/>
      <c r="AL224"/>
      <c r="AM224"/>
    </row>
    <row r="225" spans="1:39">
      <c r="A225" s="44">
        <v>242</v>
      </c>
      <c r="B225" s="37" t="s">
        <v>1438</v>
      </c>
      <c r="C225" s="118">
        <v>45747</v>
      </c>
      <c r="D225" s="34" t="s">
        <v>63</v>
      </c>
      <c r="E225" s="47" t="str">
        <f>+_xlfn.XLOOKUP(PROYECTOS[[#This Row],[MUNICIPIO]],MUNICIPIOS!A:A,MUNICIPIOS!E:E,0,0,1)</f>
        <v>Urabá</v>
      </c>
      <c r="F225" s="44">
        <f>+_xlfn.XLOOKUP(PROYECTOS[[#This Row],[MUNICIPIO]],MUNICIPIOS!A:A,MUNICIPIOS!F:F,0,0,1)</f>
        <v>-76.380566999999999</v>
      </c>
      <c r="G225" s="44" t="str">
        <f>+_xlfn.XLOOKUP(PROYECTOS[[#This Row],[MUNICIPIO]],MUNICIPIOS!A:A,MUNICIPIOS!G:G,0,0,1)</f>
        <v>8,276884</v>
      </c>
      <c r="H225" s="44">
        <f>+_xlfn.XLOOKUP(PROYECTOS[[#This Row],[MUNICIPIO]],MUNICIPIOS!A:A,MUNICIPIOS!B:B,0,0,1)</f>
        <v>1</v>
      </c>
      <c r="I225" s="44">
        <f>+_xlfn.XLOOKUP(PROYECTOS[[#This Row],[MUNICIPIO]],MUNICIPIOS!A:A,MUNICIPIOS!C:C,0,0,1)</f>
        <v>1</v>
      </c>
      <c r="J225" s="3" t="str" cm="1">
        <f t="array" ref="J225">_xlfn.TEXTJOIN(" ", TRUE, IF(radicados[ID PROYECTOS]=A225, radicados[RADICADO], ""))</f>
        <v/>
      </c>
      <c r="K225" s="142">
        <v>3</v>
      </c>
      <c r="L225" s="48">
        <v>3393000000</v>
      </c>
      <c r="M225" s="34" t="s">
        <v>435</v>
      </c>
      <c r="N225" s="40" t="s">
        <v>397</v>
      </c>
      <c r="O225" s="40" t="s">
        <v>56</v>
      </c>
      <c r="P225" s="37" t="s">
        <v>1243</v>
      </c>
      <c r="Q225" s="45">
        <v>1</v>
      </c>
      <c r="R225" s="43" t="s">
        <v>922</v>
      </c>
      <c r="S225" s="43" t="s">
        <v>1643</v>
      </c>
      <c r="T225" s="44">
        <f>+_xlfn.XLOOKUP(PROYECTOS[[#This Row],[MUNICIPIO]],'4.CAP_ENDMNT'!B:B,'4.CAP_ENDMNT'!C:C,0,0,1)</f>
        <v>6</v>
      </c>
      <c r="U225" s="139">
        <f>+_xlfn.XLOOKUP(PROYECTOS[[#This Row],[MUNICIPIO]],'4.CAP_ENDMNT'!B:B,'4.CAP_ENDMNT'!D:D,0,0,1)</f>
        <v>19508372714.52</v>
      </c>
      <c r="V225" s="140">
        <f>+_xlfn.XLOOKUP(PROYECTOS[[#This Row],[MUNICIPIO]],'4.CAP_ENDMNT'!B:B,'4.CAP_ENDMNT'!E:E,0,0,1)</f>
        <v>5389834315.5</v>
      </c>
      <c r="W225" s="140">
        <f>+_xlfn.XLOOKUP(PROYECTOS[[#This Row],[MUNICIPIO]],'4.CAP_ENDMNT'!B:B,'4.CAP_ENDMNT'!F:F,0,0,1)</f>
        <v>14118538399.02</v>
      </c>
      <c r="X225" s="140">
        <f>+_xlfn.XLOOKUP(PROYECTOS[[#This Row],[MUNICIPIO]],'4.CAP_ENDMNT'!B:B,'4.CAP_ENDMNT'!G:G,0,0,1)</f>
        <v>2594281047</v>
      </c>
      <c r="Y225" s="140">
        <f>+_xlfn.XLOOKUP(PROYECTOS[[#This Row],[MUNICIPIO]],'4.CAP_ENDMNT'!B:B,'4.CAP_ENDMNT'!H:H,0,0,1)</f>
        <v>1833333333</v>
      </c>
      <c r="Z225" s="140">
        <f>+_xlfn.XLOOKUP(PROYECTOS[[#This Row],[MUNICIPIO]],'4.CAP_ENDMNT'!B:B,'4.CAP_ENDMNT'!I:I,0,0,1)</f>
        <v>4427614380</v>
      </c>
      <c r="AA225" s="134">
        <f>+_xlfn.XLOOKUP(PROYECTOS[[#This Row],[MUNICIPIO]],'4.CAP_ENDMNT'!B:B,'4.CAP_ENDMNT'!J:J,0,0,1)</f>
        <v>0.22695969801235882</v>
      </c>
      <c r="AB225" s="140">
        <f>+_xlfn.XLOOKUP(PROYECTOS[[#This Row],[MUNICIPIO]],'4.CAP_ENDMNT'!B:B,'4.CAP_ENDMNT'!K:K,0,0,1)</f>
        <v>15080758334.52</v>
      </c>
      <c r="AC225" s="140">
        <f>+_xlfn.XLOOKUP(PROYECTOS[[#This Row],[MUNICIPIO]],'4.CAP_ENDMNT'!B:B,'4.CAP_ENDMNT'!L:L,0,0,1)</f>
        <v>12064606667.616001</v>
      </c>
      <c r="AD225" s="140">
        <f>+_xlfn.XLOOKUP(PROYECTOS[[#This Row],[MUNICIPIO]],'4.CAP_ENDMNT'!B:B,'4.CAP_ENDMNT'!M:M,0,0,1)</f>
        <v>9048455000.7119999</v>
      </c>
      <c r="AE225" s="134">
        <f>+_xlfn.XLOOKUP(PROYECTOS[[#This Row],[MUNICIPIO]],'4.CAP_ENDMNT'!B:B,'4.CAP_ENDMNT'!N:N,0,0,1)</f>
        <v>0.58593202215591322</v>
      </c>
      <c r="AF225" s="134">
        <f>+_xlfn.XLOOKUP(PROYECTOS[[#This Row],[MUNICIPIO]],'4.CAP_ENDMNT'!B:B,'4.CAP_ENDMNT'!O:O,0,0,1)</f>
        <v>0.58851112900500024</v>
      </c>
      <c r="AG225" s="134">
        <f>+_xlfn.XLOOKUP(PROYECTOS[[#This Row],[MUNICIPIO]],'4.CAP_ENDMNT'!B:B,'4.CAP_ENDMNT'!P:P,0,0,1)</f>
        <v>0.8</v>
      </c>
      <c r="AH225" s="44" t="str">
        <f>+_xlfn.XLOOKUP(PROYECTOS[[#This Row],[MUNICIPIO]],'4.CAP_ENDMNT'!B:B,'4.CAP_ENDMNT'!Q:Q,0,0,1)</f>
        <v>Cumple</v>
      </c>
      <c r="AI225" s="139">
        <f>+_xlfn.XLOOKUP(PROYECTOS[[#This Row],[MUNICIPIO]],'4.CAP_ENDMNT'!B:B,'4.CAP_ENDMNT'!V:V,0,0,1)</f>
        <v>1809691000.1424</v>
      </c>
      <c r="AJ225" s="139">
        <f>+_xlfn.XLOOKUP(PROYECTOS[[#This Row],[MUNICIPIO]],'4.CAP_ENDMNT'!B:B,'4.CAP_ENDMNT'!Y:Y,0,0,1)</f>
        <v>-12348843887.145599</v>
      </c>
      <c r="AK225"/>
      <c r="AL225"/>
      <c r="AM225"/>
    </row>
    <row r="226" spans="1:39">
      <c r="A226" s="44">
        <v>243</v>
      </c>
      <c r="B226" s="37" t="s">
        <v>1439</v>
      </c>
      <c r="C226" s="118">
        <v>45747</v>
      </c>
      <c r="D226" s="34" t="s">
        <v>30</v>
      </c>
      <c r="E226" s="47" t="str">
        <f>+_xlfn.XLOOKUP(PROYECTOS[[#This Row],[MUNICIPIO]],MUNICIPIOS!A:A,MUNICIPIOS!E:E,0,0,1)</f>
        <v>Suroeste</v>
      </c>
      <c r="F226" s="44">
        <f>+_xlfn.XLOOKUP(PROYECTOS[[#This Row],[MUNICIPIO]],MUNICIPIOS!A:A,MUNICIPIOS!F:F,0,0,1)</f>
        <v>-75.567351000000002</v>
      </c>
      <c r="G226" s="44" t="str">
        <f>+_xlfn.XLOOKUP(PROYECTOS[[#This Row],[MUNICIPIO]],MUNICIPIOS!A:A,MUNICIPIOS!G:G,0,0,1)</f>
        <v>5,875527</v>
      </c>
      <c r="H226" s="44">
        <f>+_xlfn.XLOOKUP(PROYECTOS[[#This Row],[MUNICIPIO]],MUNICIPIOS!A:A,MUNICIPIOS!B:B,0,0,1)</f>
        <v>0</v>
      </c>
      <c r="I226" s="44">
        <f>+_xlfn.XLOOKUP(PROYECTOS[[#This Row],[MUNICIPIO]],MUNICIPIOS!A:A,MUNICIPIOS!C:C,0,0,1)</f>
        <v>0</v>
      </c>
      <c r="J226" s="3" t="str" cm="1">
        <f t="array" ref="J226">_xlfn.TEXTJOIN(" ", TRUE, IF(radicados[ID PROYECTOS]=A226, radicados[RADICADO], ""))</f>
        <v/>
      </c>
      <c r="K226" s="45">
        <v>1</v>
      </c>
      <c r="L226" s="48"/>
      <c r="M226" s="34" t="s">
        <v>435</v>
      </c>
      <c r="N226" s="40" t="s">
        <v>397</v>
      </c>
      <c r="O226" s="40" t="s">
        <v>56</v>
      </c>
      <c r="P226" s="71" t="s">
        <v>534</v>
      </c>
      <c r="Q226" s="45"/>
      <c r="R226" s="43"/>
      <c r="S226" s="43"/>
      <c r="T226" s="44">
        <f>+_xlfn.XLOOKUP(PROYECTOS[[#This Row],[MUNICIPIO]],'4.CAP_ENDMNT'!B:B,'4.CAP_ENDMNT'!C:C,0,0,1)</f>
        <v>6</v>
      </c>
      <c r="U226" s="139">
        <f>+_xlfn.XLOOKUP(PROYECTOS[[#This Row],[MUNICIPIO]],'4.CAP_ENDMNT'!B:B,'4.CAP_ENDMNT'!D:D,0,0,1)</f>
        <v>12109127304.486</v>
      </c>
      <c r="V226" s="140">
        <f>+_xlfn.XLOOKUP(PROYECTOS[[#This Row],[MUNICIPIO]],'4.CAP_ENDMNT'!B:B,'4.CAP_ENDMNT'!E:E,0,0,1)</f>
        <v>6485076277.8299999</v>
      </c>
      <c r="W226" s="140">
        <f>+_xlfn.XLOOKUP(PROYECTOS[[#This Row],[MUNICIPIO]],'4.CAP_ENDMNT'!B:B,'4.CAP_ENDMNT'!F:F,0,0,1)</f>
        <v>5624051026.6560001</v>
      </c>
      <c r="X226" s="140">
        <f>+_xlfn.XLOOKUP(PROYECTOS[[#This Row],[MUNICIPIO]],'4.CAP_ENDMNT'!B:B,'4.CAP_ENDMNT'!G:G,0,0,1)</f>
        <v>3662325591</v>
      </c>
      <c r="Y226" s="140">
        <f>+_xlfn.XLOOKUP(PROYECTOS[[#This Row],[MUNICIPIO]],'4.CAP_ENDMNT'!B:B,'4.CAP_ENDMNT'!H:H,0,0,1)</f>
        <v>0</v>
      </c>
      <c r="Z226" s="140">
        <f>+_xlfn.XLOOKUP(PROYECTOS[[#This Row],[MUNICIPIO]],'4.CAP_ENDMNT'!B:B,'4.CAP_ENDMNT'!I:I,0,0,1)</f>
        <v>3662325591</v>
      </c>
      <c r="AA226" s="134">
        <f>+_xlfn.XLOOKUP(PROYECTOS[[#This Row],[MUNICIPIO]],'4.CAP_ENDMNT'!B:B,'4.CAP_ENDMNT'!J:J,0,0,1)</f>
        <v>0.30244339653141139</v>
      </c>
      <c r="AB226" s="140">
        <f>+_xlfn.XLOOKUP(PROYECTOS[[#This Row],[MUNICIPIO]],'4.CAP_ENDMNT'!B:B,'4.CAP_ENDMNT'!K:K,0,0,1)</f>
        <v>8446801713.4860001</v>
      </c>
      <c r="AC226" s="140">
        <f>+_xlfn.XLOOKUP(PROYECTOS[[#This Row],[MUNICIPIO]],'4.CAP_ENDMNT'!B:B,'4.CAP_ENDMNT'!L:L,0,0,1)</f>
        <v>6757441370.7888002</v>
      </c>
      <c r="AD226" s="140">
        <f>+_xlfn.XLOOKUP(PROYECTOS[[#This Row],[MUNICIPIO]],'4.CAP_ENDMNT'!B:B,'4.CAP_ENDMNT'!M:M,0,0,1)</f>
        <v>5068081028.0915995</v>
      </c>
      <c r="AE226" s="134">
        <f>+_xlfn.XLOOKUP(PROYECTOS[[#This Row],[MUNICIPIO]],'4.CAP_ENDMNT'!B:B,'4.CAP_ENDMNT'!N:N,0,0,1)</f>
        <v>1</v>
      </c>
      <c r="AF226" s="134">
        <f>+_xlfn.XLOOKUP(PROYECTOS[[#This Row],[MUNICIPIO]],'4.CAP_ENDMNT'!B:B,'4.CAP_ENDMNT'!O:O,0,0,1)</f>
        <v>0.55253262293583549</v>
      </c>
      <c r="AG226" s="134">
        <f>+_xlfn.XLOOKUP(PROYECTOS[[#This Row],[MUNICIPIO]],'4.CAP_ENDMNT'!B:B,'4.CAP_ENDMNT'!P:P,0,0,1)</f>
        <v>0.8</v>
      </c>
      <c r="AH226" s="44" t="str">
        <f>+_xlfn.XLOOKUP(PROYECTOS[[#This Row],[MUNICIPIO]],'4.CAP_ENDMNT'!B:B,'4.CAP_ENDMNT'!Q:Q,0,0,1)</f>
        <v>Cumple</v>
      </c>
      <c r="AI226" s="139">
        <f>+_xlfn.XLOOKUP(PROYECTOS[[#This Row],[MUNICIPIO]],'4.CAP_ENDMNT'!B:B,'4.CAP_ENDMNT'!V:V,0,0,1)</f>
        <v>1013616205.61832</v>
      </c>
      <c r="AJ226" s="139">
        <f>+_xlfn.XLOOKUP(PROYECTOS[[#This Row],[MUNICIPIO]],'4.CAP_ENDMNT'!B:B,'4.CAP_ENDMNT'!Y:Y,0,0,1)</f>
        <v>5281697233.709919</v>
      </c>
      <c r="AK226"/>
      <c r="AL226"/>
      <c r="AM226"/>
    </row>
    <row r="227" spans="1:39">
      <c r="A227" s="44">
        <v>244</v>
      </c>
      <c r="B227" s="37" t="s">
        <v>535</v>
      </c>
      <c r="C227" s="118">
        <v>45747</v>
      </c>
      <c r="D227" s="34" t="s">
        <v>134</v>
      </c>
      <c r="E227" s="47" t="str">
        <f>+_xlfn.XLOOKUP(PROYECTOS[[#This Row],[MUNICIPIO]],MUNICIPIOS!A:A,MUNICIPIOS!E:E,0,0,1)</f>
        <v>Magdalena Medio</v>
      </c>
      <c r="F227" s="44">
        <f>+_xlfn.XLOOKUP(PROYECTOS[[#This Row],[MUNICIPIO]],MUNICIPIOS!A:A,MUNICIPIOS!F:F,0,0,1)</f>
        <v>-74.583011999999997</v>
      </c>
      <c r="G227" s="44" t="str">
        <f>+_xlfn.XLOOKUP(PROYECTOS[[#This Row],[MUNICIPIO]],MUNICIPIOS!A:A,MUNICIPIOS!G:G,0,0,1)</f>
        <v>6,186025</v>
      </c>
      <c r="H227" s="44">
        <f>+_xlfn.XLOOKUP(PROYECTOS[[#This Row],[MUNICIPIO]],MUNICIPIOS!A:A,MUNICIPIOS!B:B,0,0,1)</f>
        <v>0</v>
      </c>
      <c r="I227" s="44">
        <f>+_xlfn.XLOOKUP(PROYECTOS[[#This Row],[MUNICIPIO]],MUNICIPIOS!A:A,MUNICIPIOS!C:C,0,0,1)</f>
        <v>0</v>
      </c>
      <c r="J227" s="3" t="str" cm="1">
        <f t="array" ref="J227">_xlfn.TEXTJOIN(" ", TRUE, IF(radicados[ID PROYECTOS]=A227, radicados[RADICADO], ""))</f>
        <v/>
      </c>
      <c r="K227" s="45">
        <v>2</v>
      </c>
      <c r="L227" s="48"/>
      <c r="M227" s="34" t="s">
        <v>435</v>
      </c>
      <c r="N227" s="40" t="s">
        <v>397</v>
      </c>
      <c r="O227" s="40" t="s">
        <v>56</v>
      </c>
      <c r="P227" s="52" t="s">
        <v>536</v>
      </c>
      <c r="Q227" s="45"/>
      <c r="R227" s="43"/>
      <c r="S227" s="43"/>
      <c r="T227" s="44">
        <f>+_xlfn.XLOOKUP(PROYECTOS[[#This Row],[MUNICIPIO]],'4.CAP_ENDMNT'!B:B,'4.CAP_ENDMNT'!C:C,0,0,1)</f>
        <v>6</v>
      </c>
      <c r="U227" s="139">
        <f>+_xlfn.XLOOKUP(PROYECTOS[[#This Row],[MUNICIPIO]],'4.CAP_ENDMNT'!B:B,'4.CAP_ENDMNT'!D:D,0,0,1)</f>
        <v>17406090503.82</v>
      </c>
      <c r="V227" s="140">
        <f>+_xlfn.XLOOKUP(PROYECTOS[[#This Row],[MUNICIPIO]],'4.CAP_ENDMNT'!B:B,'4.CAP_ENDMNT'!E:E,0,0,1)</f>
        <v>8490973725.3299999</v>
      </c>
      <c r="W227" s="140">
        <f>+_xlfn.XLOOKUP(PROYECTOS[[#This Row],[MUNICIPIO]],'4.CAP_ENDMNT'!B:B,'4.CAP_ENDMNT'!F:F,0,0,1)</f>
        <v>8915116778.4899998</v>
      </c>
      <c r="X227" s="140">
        <f>+_xlfn.XLOOKUP(PROYECTOS[[#This Row],[MUNICIPIO]],'4.CAP_ENDMNT'!B:B,'4.CAP_ENDMNT'!G:G,0,0,1)</f>
        <v>6695063584</v>
      </c>
      <c r="Y227" s="140">
        <f>+_xlfn.XLOOKUP(PROYECTOS[[#This Row],[MUNICIPIO]],'4.CAP_ENDMNT'!B:B,'4.CAP_ENDMNT'!H:H,0,0,1)</f>
        <v>0</v>
      </c>
      <c r="Z227" s="140">
        <f>+_xlfn.XLOOKUP(PROYECTOS[[#This Row],[MUNICIPIO]],'4.CAP_ENDMNT'!B:B,'4.CAP_ENDMNT'!I:I,0,0,1)</f>
        <v>6695063584</v>
      </c>
      <c r="AA227" s="134">
        <f>+_xlfn.XLOOKUP(PROYECTOS[[#This Row],[MUNICIPIO]],'4.CAP_ENDMNT'!B:B,'4.CAP_ENDMNT'!J:J,0,0,1)</f>
        <v>0.38463913436108349</v>
      </c>
      <c r="AB227" s="140">
        <f>+_xlfn.XLOOKUP(PROYECTOS[[#This Row],[MUNICIPIO]],'4.CAP_ENDMNT'!B:B,'4.CAP_ENDMNT'!K:K,0,0,1)</f>
        <v>10711026919.82</v>
      </c>
      <c r="AC227" s="140">
        <f>+_xlfn.XLOOKUP(PROYECTOS[[#This Row],[MUNICIPIO]],'4.CAP_ENDMNT'!B:B,'4.CAP_ENDMNT'!L:L,0,0,1)</f>
        <v>8568821535.8559999</v>
      </c>
      <c r="AD227" s="140">
        <f>+_xlfn.XLOOKUP(PROYECTOS[[#This Row],[MUNICIPIO]],'4.CAP_ENDMNT'!B:B,'4.CAP_ENDMNT'!M:M,0,0,1)</f>
        <v>6426616151.8919992</v>
      </c>
      <c r="AE227" s="134">
        <f>+_xlfn.XLOOKUP(PROYECTOS[[#This Row],[MUNICIPIO]],'4.CAP_ENDMNT'!B:B,'4.CAP_ENDMNT'!N:N,0,0,1)</f>
        <v>1</v>
      </c>
      <c r="AF227" s="134">
        <f>+_xlfn.XLOOKUP(PROYECTOS[[#This Row],[MUNICIPIO]],'4.CAP_ENDMNT'!B:B,'4.CAP_ENDMNT'!O:O,0,0,1)</f>
        <v>0.75913384232200265</v>
      </c>
      <c r="AG227" s="134">
        <f>+_xlfn.XLOOKUP(PROYECTOS[[#This Row],[MUNICIPIO]],'4.CAP_ENDMNT'!B:B,'4.CAP_ENDMNT'!P:P,0,0,1)</f>
        <v>0.8</v>
      </c>
      <c r="AH227" s="44" t="str">
        <f>+_xlfn.XLOOKUP(PROYECTOS[[#This Row],[MUNICIPIO]],'4.CAP_ENDMNT'!B:B,'4.CAP_ENDMNT'!Q:Q,0,0,1)</f>
        <v>Riesgo</v>
      </c>
      <c r="AI227" s="139">
        <f>+_xlfn.XLOOKUP(PROYECTOS[[#This Row],[MUNICIPIO]],'4.CAP_ENDMNT'!B:B,'4.CAP_ENDMNT'!V:V,0,0,1)</f>
        <v>1285323230.3783998</v>
      </c>
      <c r="AJ227" s="139">
        <f>+_xlfn.XLOOKUP(PROYECTOS[[#This Row],[MUNICIPIO]],'4.CAP_ENDMNT'!B:B,'4.CAP_ENDMNT'!Y:Y,0,0,1)</f>
        <v>4683293036.2703991</v>
      </c>
      <c r="AK227"/>
      <c r="AL227"/>
      <c r="AM227"/>
    </row>
    <row r="228" spans="1:39">
      <c r="A228" s="44">
        <v>245</v>
      </c>
      <c r="B228" s="37" t="s">
        <v>537</v>
      </c>
      <c r="C228" s="118">
        <v>45747</v>
      </c>
      <c r="D228" s="34" t="s">
        <v>281</v>
      </c>
      <c r="E228" s="47" t="str">
        <f>+_xlfn.XLOOKUP(PROYECTOS[[#This Row],[MUNICIPIO]],MUNICIPIOS!A:A,MUNICIPIOS!E:E,0,0,1)</f>
        <v>Suroeste</v>
      </c>
      <c r="F228" s="44">
        <f>+_xlfn.XLOOKUP(PROYECTOS[[#This Row],[MUNICIPIO]],MUNICIPIOS!A:A,MUNICIPIOS!F:F,0,0,1)</f>
        <v>-75.735544000000004</v>
      </c>
      <c r="G228" s="44">
        <f>+_xlfn.XLOOKUP(PROYECTOS[[#This Row],[MUNICIPIO]],MUNICIPIOS!A:A,MUNICIPIOS!G:G,0,0,1)</f>
        <v>5.9646929999999996</v>
      </c>
      <c r="H228" s="44">
        <f>+_xlfn.XLOOKUP(PROYECTOS[[#This Row],[MUNICIPIO]],MUNICIPIOS!A:A,MUNICIPIOS!B:B,0,0,1)</f>
        <v>0</v>
      </c>
      <c r="I228" s="44">
        <f>+_xlfn.XLOOKUP(PROYECTOS[[#This Row],[MUNICIPIO]],MUNICIPIOS!A:A,MUNICIPIOS!C:C,0,0,1)</f>
        <v>0</v>
      </c>
      <c r="J228" s="3" t="str" cm="1">
        <f t="array" ref="J228">_xlfn.TEXTJOIN(" ", TRUE, IF(radicados[ID PROYECTOS]=A228, radicados[RADICADO], ""))</f>
        <v/>
      </c>
      <c r="K228" s="45">
        <v>2</v>
      </c>
      <c r="L228" s="48"/>
      <c r="M228" s="34" t="s">
        <v>435</v>
      </c>
      <c r="N228" s="40" t="s">
        <v>397</v>
      </c>
      <c r="O228" s="40" t="s">
        <v>56</v>
      </c>
      <c r="P228" s="52" t="s">
        <v>536</v>
      </c>
      <c r="Q228" s="45"/>
      <c r="R228" s="43"/>
      <c r="S228" s="43"/>
      <c r="T228" s="44">
        <f>+_xlfn.XLOOKUP(PROYECTOS[[#This Row],[MUNICIPIO]],'4.CAP_ENDMNT'!B:B,'4.CAP_ENDMNT'!C:C,0,0,1)</f>
        <v>6</v>
      </c>
      <c r="U228" s="139">
        <f>+_xlfn.XLOOKUP(PROYECTOS[[#This Row],[MUNICIPIO]],'4.CAP_ENDMNT'!B:B,'4.CAP_ENDMNT'!D:D,0,0,1)</f>
        <v>12522207884.799</v>
      </c>
      <c r="V228" s="140">
        <f>+_xlfn.XLOOKUP(PROYECTOS[[#This Row],[MUNICIPIO]],'4.CAP_ENDMNT'!B:B,'4.CAP_ENDMNT'!E:E,0,0,1)</f>
        <v>6810462569.46</v>
      </c>
      <c r="W228" s="140">
        <f>+_xlfn.XLOOKUP(PROYECTOS[[#This Row],[MUNICIPIO]],'4.CAP_ENDMNT'!B:B,'4.CAP_ENDMNT'!F:F,0,0,1)</f>
        <v>5711745315.3389997</v>
      </c>
      <c r="X228" s="140">
        <f>+_xlfn.XLOOKUP(PROYECTOS[[#This Row],[MUNICIPIO]],'4.CAP_ENDMNT'!B:B,'4.CAP_ENDMNT'!G:G,0,0,1)</f>
        <v>0</v>
      </c>
      <c r="Y228" s="140">
        <f>+_xlfn.XLOOKUP(PROYECTOS[[#This Row],[MUNICIPIO]],'4.CAP_ENDMNT'!B:B,'4.CAP_ENDMNT'!H:H,0,0,1)</f>
        <v>0</v>
      </c>
      <c r="Z228" s="140">
        <f>+_xlfn.XLOOKUP(PROYECTOS[[#This Row],[MUNICIPIO]],'4.CAP_ENDMNT'!B:B,'4.CAP_ENDMNT'!I:I,0,0,1)</f>
        <v>0</v>
      </c>
      <c r="AA228" s="134">
        <f>+_xlfn.XLOOKUP(PROYECTOS[[#This Row],[MUNICIPIO]],'4.CAP_ENDMNT'!B:B,'4.CAP_ENDMNT'!J:J,0,0,1)</f>
        <v>0</v>
      </c>
      <c r="AB228" s="140">
        <f>+_xlfn.XLOOKUP(PROYECTOS[[#This Row],[MUNICIPIO]],'4.CAP_ENDMNT'!B:B,'4.CAP_ENDMNT'!K:K,0,0,1)</f>
        <v>12522207884.799</v>
      </c>
      <c r="AC228" s="140">
        <f>+_xlfn.XLOOKUP(PROYECTOS[[#This Row],[MUNICIPIO]],'4.CAP_ENDMNT'!B:B,'4.CAP_ENDMNT'!L:L,0,0,1)</f>
        <v>10017766307.839201</v>
      </c>
      <c r="AD228" s="140">
        <f>+_xlfn.XLOOKUP(PROYECTOS[[#This Row],[MUNICIPIO]],'4.CAP_ENDMNT'!B:B,'4.CAP_ENDMNT'!M:M,0,0,1)</f>
        <v>7513324730.8793993</v>
      </c>
      <c r="AE228" s="134">
        <f>+_xlfn.XLOOKUP(PROYECTOS[[#This Row],[MUNICIPIO]],'4.CAP_ENDMNT'!B:B,'4.CAP_ENDMNT'!N:N,0,0,1)</f>
        <v>0</v>
      </c>
      <c r="AF228" s="134">
        <f>+_xlfn.XLOOKUP(PROYECTOS[[#This Row],[MUNICIPIO]],'4.CAP_ENDMNT'!B:B,'4.CAP_ENDMNT'!O:O,0,0,1)</f>
        <v>0.68767493145996073</v>
      </c>
      <c r="AG228" s="134">
        <f>+_xlfn.XLOOKUP(PROYECTOS[[#This Row],[MUNICIPIO]],'4.CAP_ENDMNT'!B:B,'4.CAP_ENDMNT'!P:P,0,0,1)</f>
        <v>0.8</v>
      </c>
      <c r="AH228" s="44" t="str">
        <f>+_xlfn.XLOOKUP(PROYECTOS[[#This Row],[MUNICIPIO]],'4.CAP_ENDMNT'!B:B,'4.CAP_ENDMNT'!Q:Q,0,0,1)</f>
        <v>Cumple</v>
      </c>
      <c r="AI228" s="139">
        <f>+_xlfn.XLOOKUP(PROYECTOS[[#This Row],[MUNICIPIO]],'4.CAP_ENDMNT'!B:B,'4.CAP_ENDMNT'!V:V,0,0,1)</f>
        <v>1502664946.17588</v>
      </c>
      <c r="AJ228" s="139">
        <f>+_xlfn.XLOOKUP(PROYECTOS[[#This Row],[MUNICIPIO]],'4.CAP_ENDMNT'!B:B,'4.CAP_ENDMNT'!Y:Y,0,0,1)</f>
        <v>-30486452994.944721</v>
      </c>
      <c r="AK228"/>
      <c r="AL228"/>
      <c r="AM228"/>
    </row>
    <row r="229" spans="1:39">
      <c r="A229" s="44">
        <v>247</v>
      </c>
      <c r="B229" s="37" t="s">
        <v>1440</v>
      </c>
      <c r="C229" s="118">
        <f>+_xlfn.XLOOKUP(PROYECTOS[[#This Row],[ID_NECESIDAD]],'1.RADICADOS'!G:G,'1.RADICADOS'!C:C,0,0,1)*1</f>
        <v>45705</v>
      </c>
      <c r="D229" s="46" t="s">
        <v>63</v>
      </c>
      <c r="E229" s="47" t="str">
        <f>+_xlfn.XLOOKUP(PROYECTOS[[#This Row],[MUNICIPIO]],MUNICIPIOS!A:A,MUNICIPIOS!E:E,0,0,1)</f>
        <v>Urabá</v>
      </c>
      <c r="F229" s="44">
        <f>+_xlfn.XLOOKUP(PROYECTOS[[#This Row],[MUNICIPIO]],MUNICIPIOS!A:A,MUNICIPIOS!F:F,0,0,1)</f>
        <v>-76.380566999999999</v>
      </c>
      <c r="G229" s="44" t="str">
        <f>+_xlfn.XLOOKUP(PROYECTOS[[#This Row],[MUNICIPIO]],MUNICIPIOS!A:A,MUNICIPIOS!G:G,0,0,1)</f>
        <v>8,276884</v>
      </c>
      <c r="H229" s="44">
        <f>+_xlfn.XLOOKUP(PROYECTOS[[#This Row],[MUNICIPIO]],MUNICIPIOS!A:A,MUNICIPIOS!B:B,0,0,1)</f>
        <v>1</v>
      </c>
      <c r="I229" s="44">
        <f>+_xlfn.XLOOKUP(PROYECTOS[[#This Row],[MUNICIPIO]],MUNICIPIOS!A:A,MUNICIPIOS!C:C,0,0,1)</f>
        <v>1</v>
      </c>
      <c r="J229" s="3" t="str" cm="1">
        <f t="array" ref="J229">_xlfn.TEXTJOIN(" ", TRUE, IF(radicados[ID PROYECTOS]=A229, radicados[RADICADO], ""))</f>
        <v>2025010072501</v>
      </c>
      <c r="K229" s="142">
        <v>3</v>
      </c>
      <c r="L229" s="48">
        <v>1949820000</v>
      </c>
      <c r="M229" s="34" t="s">
        <v>435</v>
      </c>
      <c r="N229" s="40" t="s">
        <v>398</v>
      </c>
      <c r="O229" s="40" t="s">
        <v>25</v>
      </c>
      <c r="P229" s="37" t="s">
        <v>1109</v>
      </c>
      <c r="Q229" s="45">
        <v>1</v>
      </c>
      <c r="R229" s="43" t="s">
        <v>922</v>
      </c>
      <c r="S229" s="43" t="s">
        <v>1643</v>
      </c>
      <c r="T229" s="44">
        <f>+_xlfn.XLOOKUP(PROYECTOS[[#This Row],[MUNICIPIO]],'4.CAP_ENDMNT'!B:B,'4.CAP_ENDMNT'!C:C,0,0,1)</f>
        <v>6</v>
      </c>
      <c r="U229" s="139">
        <f>+_xlfn.XLOOKUP(PROYECTOS[[#This Row],[MUNICIPIO]],'4.CAP_ENDMNT'!B:B,'4.CAP_ENDMNT'!D:D,0,0,1)</f>
        <v>19508372714.52</v>
      </c>
      <c r="V229" s="140">
        <f>+_xlfn.XLOOKUP(PROYECTOS[[#This Row],[MUNICIPIO]],'4.CAP_ENDMNT'!B:B,'4.CAP_ENDMNT'!E:E,0,0,1)</f>
        <v>5389834315.5</v>
      </c>
      <c r="W229" s="140">
        <f>+_xlfn.XLOOKUP(PROYECTOS[[#This Row],[MUNICIPIO]],'4.CAP_ENDMNT'!B:B,'4.CAP_ENDMNT'!F:F,0,0,1)</f>
        <v>14118538399.02</v>
      </c>
      <c r="X229" s="140">
        <f>+_xlfn.XLOOKUP(PROYECTOS[[#This Row],[MUNICIPIO]],'4.CAP_ENDMNT'!B:B,'4.CAP_ENDMNT'!G:G,0,0,1)</f>
        <v>2594281047</v>
      </c>
      <c r="Y229" s="140">
        <f>+_xlfn.XLOOKUP(PROYECTOS[[#This Row],[MUNICIPIO]],'4.CAP_ENDMNT'!B:B,'4.CAP_ENDMNT'!H:H,0,0,1)</f>
        <v>1833333333</v>
      </c>
      <c r="Z229" s="140">
        <f>+_xlfn.XLOOKUP(PROYECTOS[[#This Row],[MUNICIPIO]],'4.CAP_ENDMNT'!B:B,'4.CAP_ENDMNT'!I:I,0,0,1)</f>
        <v>4427614380</v>
      </c>
      <c r="AA229" s="134">
        <f>+_xlfn.XLOOKUP(PROYECTOS[[#This Row],[MUNICIPIO]],'4.CAP_ENDMNT'!B:B,'4.CAP_ENDMNT'!J:J,0,0,1)</f>
        <v>0.22695969801235882</v>
      </c>
      <c r="AB229" s="140">
        <f>+_xlfn.XLOOKUP(PROYECTOS[[#This Row],[MUNICIPIO]],'4.CAP_ENDMNT'!B:B,'4.CAP_ENDMNT'!K:K,0,0,1)</f>
        <v>15080758334.52</v>
      </c>
      <c r="AC229" s="140">
        <f>+_xlfn.XLOOKUP(PROYECTOS[[#This Row],[MUNICIPIO]],'4.CAP_ENDMNT'!B:B,'4.CAP_ENDMNT'!L:L,0,0,1)</f>
        <v>12064606667.616001</v>
      </c>
      <c r="AD229" s="140">
        <f>+_xlfn.XLOOKUP(PROYECTOS[[#This Row],[MUNICIPIO]],'4.CAP_ENDMNT'!B:B,'4.CAP_ENDMNT'!M:M,0,0,1)</f>
        <v>9048455000.7119999</v>
      </c>
      <c r="AE229" s="134">
        <f>+_xlfn.XLOOKUP(PROYECTOS[[#This Row],[MUNICIPIO]],'4.CAP_ENDMNT'!B:B,'4.CAP_ENDMNT'!N:N,0,0,1)</f>
        <v>0.58593202215591322</v>
      </c>
      <c r="AF229" s="134">
        <f>+_xlfn.XLOOKUP(PROYECTOS[[#This Row],[MUNICIPIO]],'4.CAP_ENDMNT'!B:B,'4.CAP_ENDMNT'!O:O,0,0,1)</f>
        <v>0.58851112900500024</v>
      </c>
      <c r="AG229" s="134">
        <f>+_xlfn.XLOOKUP(PROYECTOS[[#This Row],[MUNICIPIO]],'4.CAP_ENDMNT'!B:B,'4.CAP_ENDMNT'!P:P,0,0,1)</f>
        <v>0.8</v>
      </c>
      <c r="AH229" s="44" t="str">
        <f>+_xlfn.XLOOKUP(PROYECTOS[[#This Row],[MUNICIPIO]],'4.CAP_ENDMNT'!B:B,'4.CAP_ENDMNT'!Q:Q,0,0,1)</f>
        <v>Cumple</v>
      </c>
      <c r="AI229" s="139">
        <f>+_xlfn.XLOOKUP(PROYECTOS[[#This Row],[MUNICIPIO]],'4.CAP_ENDMNT'!B:B,'4.CAP_ENDMNT'!V:V,0,0,1)</f>
        <v>1809691000.1424</v>
      </c>
      <c r="AJ229" s="139">
        <f>+_xlfn.XLOOKUP(PROYECTOS[[#This Row],[MUNICIPIO]],'4.CAP_ENDMNT'!B:B,'4.CAP_ENDMNT'!Y:Y,0,0,1)</f>
        <v>-12348843887.145599</v>
      </c>
      <c r="AK229"/>
      <c r="AL229"/>
      <c r="AM229"/>
    </row>
    <row r="230" spans="1:39">
      <c r="A230" s="44">
        <v>248</v>
      </c>
      <c r="B230" s="37" t="s">
        <v>539</v>
      </c>
      <c r="C230" s="118">
        <f>+_xlfn.XLOOKUP(PROYECTOS[[#This Row],[ID_NECESIDAD]],'1.RADICADOS'!G:G,'1.RADICADOS'!C:C,0,0,1)*1</f>
        <v>45706</v>
      </c>
      <c r="D230" s="46" t="s">
        <v>186</v>
      </c>
      <c r="E230" s="47" t="str">
        <f>+_xlfn.XLOOKUP(PROYECTOS[[#This Row],[MUNICIPIO]],MUNICIPIOS!A:A,MUNICIPIOS!E:E,0,0,1)</f>
        <v>Oriente</v>
      </c>
      <c r="F230" s="44">
        <f>+_xlfn.XLOOKUP(PROYECTOS[[#This Row],[MUNICIPIO]],MUNICIPIOS!A:A,MUNICIPIOS!F:F,0,0,1)</f>
        <v>-75.360873999999995</v>
      </c>
      <c r="G230" s="44" t="str">
        <f>+_xlfn.XLOOKUP(PROYECTOS[[#This Row],[MUNICIPIO]],MUNICIPIOS!A:A,MUNICIPIOS!G:G,0,0,1)</f>
        <v>5,973845</v>
      </c>
      <c r="H230" s="44">
        <f>+_xlfn.XLOOKUP(PROYECTOS[[#This Row],[MUNICIPIO]],MUNICIPIOS!A:A,MUNICIPIOS!B:B,0,0,1)</f>
        <v>0</v>
      </c>
      <c r="I230" s="44">
        <f>+_xlfn.XLOOKUP(PROYECTOS[[#This Row],[MUNICIPIO]],MUNICIPIOS!A:A,MUNICIPIOS!C:C,0,0,1)</f>
        <v>0</v>
      </c>
      <c r="J230" s="3" t="str" cm="1">
        <f t="array" ref="J230">_xlfn.TEXTJOIN(" ", TRUE, IF(radicados[ID PROYECTOS]=A230, radicados[RADICADO], ""))</f>
        <v>2025010076176</v>
      </c>
      <c r="K230" s="45">
        <v>3</v>
      </c>
      <c r="L230" s="216">
        <v>4853481778</v>
      </c>
      <c r="M230" s="34" t="s">
        <v>288</v>
      </c>
      <c r="N230" s="40" t="s">
        <v>398</v>
      </c>
      <c r="O230" s="40" t="s">
        <v>25</v>
      </c>
      <c r="P230" s="37"/>
      <c r="Q230" s="45"/>
      <c r="R230" s="43"/>
      <c r="S230" s="43"/>
      <c r="T230" s="44">
        <f>+_xlfn.XLOOKUP(PROYECTOS[[#This Row],[MUNICIPIO]],'4.CAP_ENDMNT'!B:B,'4.CAP_ENDMNT'!C:C,0,0,1)</f>
        <v>6</v>
      </c>
      <c r="U230" s="139">
        <f>+_xlfn.XLOOKUP(PROYECTOS[[#This Row],[MUNICIPIO]],'4.CAP_ENDMNT'!B:B,'4.CAP_ENDMNT'!D:D,0,0,1)</f>
        <v>22781121123.307999</v>
      </c>
      <c r="V230" s="140">
        <f>+_xlfn.XLOOKUP(PROYECTOS[[#This Row],[MUNICIPIO]],'4.CAP_ENDMNT'!B:B,'4.CAP_ENDMNT'!E:E,0,0,1)</f>
        <v>7460247261.1800003</v>
      </c>
      <c r="W230" s="140">
        <f>+_xlfn.XLOOKUP(PROYECTOS[[#This Row],[MUNICIPIO]],'4.CAP_ENDMNT'!B:B,'4.CAP_ENDMNT'!F:F,0,0,1)</f>
        <v>15320873862.127998</v>
      </c>
      <c r="X230" s="140">
        <f>+_xlfn.XLOOKUP(PROYECTOS[[#This Row],[MUNICIPIO]],'4.CAP_ENDMNT'!B:B,'4.CAP_ENDMNT'!G:G,0,0,1)</f>
        <v>8372353142.5600004</v>
      </c>
      <c r="Y230" s="140">
        <f>+_xlfn.XLOOKUP(PROYECTOS[[#This Row],[MUNICIPIO]],'4.CAP_ENDMNT'!B:B,'4.CAP_ENDMNT'!H:H,0,0,1)</f>
        <v>142113074</v>
      </c>
      <c r="Z230" s="140">
        <f>+_xlfn.XLOOKUP(PROYECTOS[[#This Row],[MUNICIPIO]],'4.CAP_ENDMNT'!B:B,'4.CAP_ENDMNT'!I:I,0,0,1)</f>
        <v>8514466216.5600004</v>
      </c>
      <c r="AA230" s="134">
        <f>+_xlfn.XLOOKUP(PROYECTOS[[#This Row],[MUNICIPIO]],'4.CAP_ENDMNT'!B:B,'4.CAP_ENDMNT'!J:J,0,0,1)</f>
        <v>0.37375097434729027</v>
      </c>
      <c r="AB230" s="140">
        <f>+_xlfn.XLOOKUP(PROYECTOS[[#This Row],[MUNICIPIO]],'4.CAP_ENDMNT'!B:B,'4.CAP_ENDMNT'!K:K,0,0,1)</f>
        <v>14266654906.747997</v>
      </c>
      <c r="AC230" s="140">
        <f>+_xlfn.XLOOKUP(PROYECTOS[[#This Row],[MUNICIPIO]],'4.CAP_ENDMNT'!B:B,'4.CAP_ENDMNT'!L:L,0,0,1)</f>
        <v>11413323925.398399</v>
      </c>
      <c r="AD230" s="140">
        <f>+_xlfn.XLOOKUP(PROYECTOS[[#This Row],[MUNICIPIO]],'4.CAP_ENDMNT'!B:B,'4.CAP_ENDMNT'!M:M,0,0,1)</f>
        <v>8559992944.0487976</v>
      </c>
      <c r="AE230" s="134">
        <f>+_xlfn.XLOOKUP(PROYECTOS[[#This Row],[MUNICIPIO]],'4.CAP_ENDMNT'!B:B,'4.CAP_ENDMNT'!N:N,0,0,1)</f>
        <v>0.98330922099102336</v>
      </c>
      <c r="AF230" s="134">
        <f>+_xlfn.XLOOKUP(PROYECTOS[[#This Row],[MUNICIPIO]],'4.CAP_ENDMNT'!B:B,'4.CAP_ENDMNT'!O:O,0,0,1)</f>
        <v>0.47573857187041646</v>
      </c>
      <c r="AG230" s="134">
        <f>+_xlfn.XLOOKUP(PROYECTOS[[#This Row],[MUNICIPIO]],'4.CAP_ENDMNT'!B:B,'4.CAP_ENDMNT'!P:P,0,0,1)</f>
        <v>0.8</v>
      </c>
      <c r="AH230" s="44" t="str">
        <f>+_xlfn.XLOOKUP(PROYECTOS[[#This Row],[MUNICIPIO]],'4.CAP_ENDMNT'!B:B,'4.CAP_ENDMNT'!Q:Q,0,0,1)</f>
        <v>Cumple</v>
      </c>
      <c r="AI230" s="139">
        <f>+_xlfn.XLOOKUP(PROYECTOS[[#This Row],[MUNICIPIO]],'4.CAP_ENDMNT'!B:B,'4.CAP_ENDMNT'!V:V,0,0,1)</f>
        <v>1711998588.8097596</v>
      </c>
      <c r="AJ230" s="139">
        <f>+_xlfn.XLOOKUP(PROYECTOS[[#This Row],[MUNICIPIO]],'4.CAP_ENDMNT'!B:B,'4.CAP_ENDMNT'!Y:Y,0,0,1)</f>
        <v>-9965414152.1414433</v>
      </c>
      <c r="AK230"/>
      <c r="AL230"/>
      <c r="AM230"/>
    </row>
    <row r="231" spans="1:39">
      <c r="A231" s="44">
        <v>249</v>
      </c>
      <c r="B231" s="37" t="s">
        <v>338</v>
      </c>
      <c r="C231" s="118">
        <f>+_xlfn.XLOOKUP(PROYECTOS[[#This Row],[ID_NECESIDAD]],'1.RADICADOS'!G:G,'1.RADICADOS'!C:C,0,0,1)*1</f>
        <v>45700</v>
      </c>
      <c r="D231" s="46" t="s">
        <v>337</v>
      </c>
      <c r="E231" s="47" t="str">
        <f>+_xlfn.XLOOKUP(PROYECTOS[[#This Row],[MUNICIPIO]],MUNICIPIOS!A:A,MUNICIPIOS!E:E,0,0,1)</f>
        <v>Suroeste</v>
      </c>
      <c r="F231" s="44">
        <f>+_xlfn.XLOOKUP(PROYECTOS[[#This Row],[MUNICIPIO]],MUNICIPIOS!A:A,MUNICIPIOS!F:F,0,0,1)</f>
        <v>-75.984452000000005</v>
      </c>
      <c r="G231" s="44" t="str">
        <f>+_xlfn.XLOOKUP(PROYECTOS[[#This Row],[MUNICIPIO]],MUNICIPIOS!A:A,MUNICIPIOS!G:G,0,0,1)</f>
        <v>6,115208</v>
      </c>
      <c r="H231" s="44">
        <f>+_xlfn.XLOOKUP(PROYECTOS[[#This Row],[MUNICIPIO]],MUNICIPIOS!A:A,MUNICIPIOS!B:B,0,0,1)</f>
        <v>0</v>
      </c>
      <c r="I231" s="44">
        <f>+_xlfn.XLOOKUP(PROYECTOS[[#This Row],[MUNICIPIO]],MUNICIPIOS!A:A,MUNICIPIOS!C:C,0,0,1)</f>
        <v>0</v>
      </c>
      <c r="J231" s="3" t="str" cm="1">
        <f t="array" ref="J231">_xlfn.TEXTJOIN(" ", TRUE, IF(radicados[ID PROYECTOS]=A231, radicados[RADICADO], ""))</f>
        <v>2025010067007</v>
      </c>
      <c r="K231" s="45">
        <v>3</v>
      </c>
      <c r="L231" s="48">
        <v>126398173</v>
      </c>
      <c r="M231" s="34" t="s">
        <v>40</v>
      </c>
      <c r="N231" s="40" t="s">
        <v>1079</v>
      </c>
      <c r="O231" s="40" t="s">
        <v>40</v>
      </c>
      <c r="P231" s="37" t="s">
        <v>1093</v>
      </c>
      <c r="Q231" s="45"/>
      <c r="R231" s="43"/>
      <c r="S231" s="43"/>
      <c r="T231" s="44">
        <f>+_xlfn.XLOOKUP(PROYECTOS[[#This Row],[MUNICIPIO]],'4.CAP_ENDMNT'!B:B,'4.CAP_ENDMNT'!C:C,0,0,1)</f>
        <v>6</v>
      </c>
      <c r="U231" s="139">
        <f>+_xlfn.XLOOKUP(PROYECTOS[[#This Row],[MUNICIPIO]],'4.CAP_ENDMNT'!B:B,'4.CAP_ENDMNT'!D:D,0,0,1)</f>
        <v>12058979368.9545</v>
      </c>
      <c r="V231" s="140">
        <f>+_xlfn.XLOOKUP(PROYECTOS[[#This Row],[MUNICIPIO]],'4.CAP_ENDMNT'!B:B,'4.CAP_ENDMNT'!E:E,0,0,1)</f>
        <v>3567680920.52</v>
      </c>
      <c r="W231" s="140">
        <f>+_xlfn.XLOOKUP(PROYECTOS[[#This Row],[MUNICIPIO]],'4.CAP_ENDMNT'!B:B,'4.CAP_ENDMNT'!F:F,0,0,1)</f>
        <v>8491298448.4344997</v>
      </c>
      <c r="X231" s="140">
        <f>+_xlfn.XLOOKUP(PROYECTOS[[#This Row],[MUNICIPIO]],'4.CAP_ENDMNT'!B:B,'4.CAP_ENDMNT'!G:G,0,0,1)</f>
        <v>914830553</v>
      </c>
      <c r="Y231" s="140">
        <f>+_xlfn.XLOOKUP(PROYECTOS[[#This Row],[MUNICIPIO]],'4.CAP_ENDMNT'!B:B,'4.CAP_ENDMNT'!H:H,0,0,1)</f>
        <v>0</v>
      </c>
      <c r="Z231" s="140">
        <f>+_xlfn.XLOOKUP(PROYECTOS[[#This Row],[MUNICIPIO]],'4.CAP_ENDMNT'!B:B,'4.CAP_ENDMNT'!I:I,0,0,1)</f>
        <v>914830553</v>
      </c>
      <c r="AA231" s="134">
        <f>+_xlfn.XLOOKUP(PROYECTOS[[#This Row],[MUNICIPIO]],'4.CAP_ENDMNT'!B:B,'4.CAP_ENDMNT'!J:J,0,0,1)</f>
        <v>7.586301667910679E-2</v>
      </c>
      <c r="AB231" s="140">
        <f>+_xlfn.XLOOKUP(PROYECTOS[[#This Row],[MUNICIPIO]],'4.CAP_ENDMNT'!B:B,'4.CAP_ENDMNT'!K:K,0,0,1)</f>
        <v>11144148815.9545</v>
      </c>
      <c r="AC231" s="140">
        <f>+_xlfn.XLOOKUP(PROYECTOS[[#This Row],[MUNICIPIO]],'4.CAP_ENDMNT'!B:B,'4.CAP_ENDMNT'!L:L,0,0,1)</f>
        <v>8915319052.7636013</v>
      </c>
      <c r="AD231" s="140">
        <f>+_xlfn.XLOOKUP(PROYECTOS[[#This Row],[MUNICIPIO]],'4.CAP_ENDMNT'!B:B,'4.CAP_ENDMNT'!M:M,0,0,1)</f>
        <v>6686489289.5726995</v>
      </c>
      <c r="AE231" s="134">
        <f>+_xlfn.XLOOKUP(PROYECTOS[[#This Row],[MUNICIPIO]],'4.CAP_ENDMNT'!B:B,'4.CAP_ENDMNT'!N:N,0,0,1)</f>
        <v>1</v>
      </c>
      <c r="AF231" s="134">
        <f>+_xlfn.XLOOKUP(PROYECTOS[[#This Row],[MUNICIPIO]],'4.CAP_ENDMNT'!B:B,'4.CAP_ENDMNT'!O:O,0,0,1)</f>
        <v>0.60206976758564179</v>
      </c>
      <c r="AG231" s="134">
        <f>+_xlfn.XLOOKUP(PROYECTOS[[#This Row],[MUNICIPIO]],'4.CAP_ENDMNT'!B:B,'4.CAP_ENDMNT'!P:P,0,0,1)</f>
        <v>0.8</v>
      </c>
      <c r="AH231" s="44" t="str">
        <f>+_xlfn.XLOOKUP(PROYECTOS[[#This Row],[MUNICIPIO]],'4.CAP_ENDMNT'!B:B,'4.CAP_ENDMNT'!Q:Q,0,0,1)</f>
        <v>Cumple</v>
      </c>
      <c r="AI231" s="139">
        <f>+_xlfn.XLOOKUP(PROYECTOS[[#This Row],[MUNICIPIO]],'4.CAP_ENDMNT'!B:B,'4.CAP_ENDMNT'!V:V,0,0,1)</f>
        <v>1337297857.9145401</v>
      </c>
      <c r="AJ231" s="139">
        <f>+_xlfn.XLOOKUP(PROYECTOS[[#This Row],[MUNICIPIO]],'4.CAP_ENDMNT'!B:B,'4.CAP_ENDMNT'!Y:Y,0,0,1)</f>
        <v>7897388974.4872398</v>
      </c>
      <c r="AK231"/>
      <c r="AL231"/>
      <c r="AM231"/>
    </row>
    <row r="232" spans="1:39">
      <c r="A232" s="44">
        <v>250</v>
      </c>
      <c r="B232" s="37" t="s">
        <v>540</v>
      </c>
      <c r="C232" s="118">
        <v>45747</v>
      </c>
      <c r="D232" s="46" t="s">
        <v>286</v>
      </c>
      <c r="E232" s="47" t="str">
        <f>+_xlfn.XLOOKUP(PROYECTOS[[#This Row],[MUNICIPIO]],MUNICIPIOS!A:A,MUNICIPIOS!E:E,0,0,1)</f>
        <v>Norte</v>
      </c>
      <c r="F232" s="44">
        <f>+_xlfn.XLOOKUP(PROYECTOS[[#This Row],[MUNICIPIO]],MUNICIPIOS!A:A,MUNICIPIOS!F:F,0,0,1)</f>
        <v>-75.298090999999999</v>
      </c>
      <c r="G232" s="44" t="str">
        <f>+_xlfn.XLOOKUP(PROYECTOS[[#This Row],[MUNICIPIO]],MUNICIPIOS!A:A,MUNICIPIOS!G:G,0,0,1)</f>
        <v>6,979771</v>
      </c>
      <c r="H232" s="44">
        <f>+_xlfn.XLOOKUP(PROYECTOS[[#This Row],[MUNICIPIO]],MUNICIPIOS!A:A,MUNICIPIOS!B:B,0,0,1)</f>
        <v>0</v>
      </c>
      <c r="I232" s="44">
        <f>+_xlfn.XLOOKUP(PROYECTOS[[#This Row],[MUNICIPIO]],MUNICIPIOS!A:A,MUNICIPIOS!C:C,0,0,1)</f>
        <v>1</v>
      </c>
      <c r="J232" s="3" t="str" cm="1">
        <f t="array" ref="J232">_xlfn.TEXTJOIN(" ", TRUE, IF(radicados[ID PROYECTOS]=A232, radicados[RADICADO], ""))</f>
        <v/>
      </c>
      <c r="K232" s="45">
        <v>1</v>
      </c>
      <c r="L232" s="48"/>
      <c r="M232" s="34" t="s">
        <v>407</v>
      </c>
      <c r="N232" s="40" t="s">
        <v>397</v>
      </c>
      <c r="O232" s="40" t="s">
        <v>56</v>
      </c>
      <c r="P232" s="37" t="s">
        <v>541</v>
      </c>
      <c r="Q232" s="45"/>
      <c r="R232" s="43"/>
      <c r="S232" s="43"/>
      <c r="T232" s="44">
        <f>+_xlfn.XLOOKUP(PROYECTOS[[#This Row],[MUNICIPIO]],'4.CAP_ENDMNT'!B:B,'4.CAP_ENDMNT'!C:C,0,0,1)</f>
        <v>6</v>
      </c>
      <c r="U232" s="139">
        <f>+_xlfn.XLOOKUP(PROYECTOS[[#This Row],[MUNICIPIO]],'4.CAP_ENDMNT'!B:B,'4.CAP_ENDMNT'!D:D,0,0,1)</f>
        <v>8809287720.75</v>
      </c>
      <c r="V232" s="140">
        <f>+_xlfn.XLOOKUP(PROYECTOS[[#This Row],[MUNICIPIO]],'4.CAP_ENDMNT'!B:B,'4.CAP_ENDMNT'!E:E,0,0,1)</f>
        <v>2669441983.3800001</v>
      </c>
      <c r="W232" s="140">
        <f>+_xlfn.XLOOKUP(PROYECTOS[[#This Row],[MUNICIPIO]],'4.CAP_ENDMNT'!B:B,'4.CAP_ENDMNT'!F:F,0,0,1)</f>
        <v>6139845737.3699999</v>
      </c>
      <c r="X232" s="140">
        <f>+_xlfn.XLOOKUP(PROYECTOS[[#This Row],[MUNICIPIO]],'4.CAP_ENDMNT'!B:B,'4.CAP_ENDMNT'!G:G,0,0,1)</f>
        <v>3083047525</v>
      </c>
      <c r="Y232" s="140">
        <f>+_xlfn.XLOOKUP(PROYECTOS[[#This Row],[MUNICIPIO]],'4.CAP_ENDMNT'!B:B,'4.CAP_ENDMNT'!H:H,0,0,1)</f>
        <v>0</v>
      </c>
      <c r="Z232" s="140">
        <f>+_xlfn.XLOOKUP(PROYECTOS[[#This Row],[MUNICIPIO]],'4.CAP_ENDMNT'!B:B,'4.CAP_ENDMNT'!I:I,0,0,1)</f>
        <v>3083047525</v>
      </c>
      <c r="AA232" s="134">
        <f>+_xlfn.XLOOKUP(PROYECTOS[[#This Row],[MUNICIPIO]],'4.CAP_ENDMNT'!B:B,'4.CAP_ENDMNT'!J:J,0,0,1)</f>
        <v>0.34997693601696972</v>
      </c>
      <c r="AB232" s="140">
        <f>+_xlfn.XLOOKUP(PROYECTOS[[#This Row],[MUNICIPIO]],'4.CAP_ENDMNT'!B:B,'4.CAP_ENDMNT'!K:K,0,0,1)</f>
        <v>5726240195.75</v>
      </c>
      <c r="AC232" s="140">
        <f>+_xlfn.XLOOKUP(PROYECTOS[[#This Row],[MUNICIPIO]],'4.CAP_ENDMNT'!B:B,'4.CAP_ENDMNT'!L:L,0,0,1)</f>
        <v>4580992156.6000004</v>
      </c>
      <c r="AD232" s="140">
        <f>+_xlfn.XLOOKUP(PROYECTOS[[#This Row],[MUNICIPIO]],'4.CAP_ENDMNT'!B:B,'4.CAP_ENDMNT'!M:M,0,0,1)</f>
        <v>3435744117.4499998</v>
      </c>
      <c r="AE232" s="134">
        <f>+_xlfn.XLOOKUP(PROYECTOS[[#This Row],[MUNICIPIO]],'4.CAP_ENDMNT'!B:B,'4.CAP_ENDMNT'!N:N,0,0,1)</f>
        <v>1</v>
      </c>
      <c r="AF232" s="134">
        <f>+_xlfn.XLOOKUP(PROYECTOS[[#This Row],[MUNICIPIO]],'4.CAP_ENDMNT'!B:B,'4.CAP_ENDMNT'!O:O,0,0,1)</f>
        <v>0.72230003829506451</v>
      </c>
      <c r="AG232" s="134">
        <f>+_xlfn.XLOOKUP(PROYECTOS[[#This Row],[MUNICIPIO]],'4.CAP_ENDMNT'!B:B,'4.CAP_ENDMNT'!P:P,0,0,1)</f>
        <v>0.8</v>
      </c>
      <c r="AH232" s="44" t="str">
        <f>+_xlfn.XLOOKUP(PROYECTOS[[#This Row],[MUNICIPIO]],'4.CAP_ENDMNT'!B:B,'4.CAP_ENDMNT'!Q:Q,0,0,1)</f>
        <v>Cumple</v>
      </c>
      <c r="AI232" s="139">
        <f>+_xlfn.XLOOKUP(PROYECTOS[[#This Row],[MUNICIPIO]],'4.CAP_ENDMNT'!B:B,'4.CAP_ENDMNT'!V:V,0,0,1)</f>
        <v>687148823.49000001</v>
      </c>
      <c r="AJ232" s="139">
        <f>+_xlfn.XLOOKUP(PROYECTOS[[#This Row],[MUNICIPIO]],'4.CAP_ENDMNT'!B:B,'4.CAP_ENDMNT'!Y:Y,0,0,1)</f>
        <v>-2079909113.0600004</v>
      </c>
      <c r="AK232"/>
      <c r="AL232"/>
      <c r="AM232"/>
    </row>
    <row r="233" spans="1:39">
      <c r="A233" s="44">
        <v>251</v>
      </c>
      <c r="B233" s="37" t="s">
        <v>542</v>
      </c>
      <c r="C233" s="118">
        <v>45747</v>
      </c>
      <c r="D233" s="46" t="s">
        <v>468</v>
      </c>
      <c r="E233" s="47" t="str">
        <f>+_xlfn.XLOOKUP(PROYECTOS[[#This Row],[MUNICIPIO]],MUNICIPIOS!A:A,MUNICIPIOS!E:E,0,0,1)</f>
        <v>Nordeste</v>
      </c>
      <c r="F233" s="44">
        <f>+_xlfn.XLOOKUP(PROYECTOS[[#This Row],[MUNICIPIO]],MUNICIPIOS!A:A,MUNICIPIOS!F:F,0,0,1)</f>
        <v>-75.148354999999995</v>
      </c>
      <c r="G233" s="44" t="str">
        <f>+_xlfn.XLOOKUP(PROYECTOS[[#This Row],[MUNICIPIO]],MUNICIPIOS!A:A,MUNICIPIOS!G:G,0,0,1)</f>
        <v>7,074703</v>
      </c>
      <c r="H233" s="44">
        <f>+_xlfn.XLOOKUP(PROYECTOS[[#This Row],[MUNICIPIO]],MUNICIPIOS!A:A,MUNICIPIOS!B:B,0,0,1)</f>
        <v>1</v>
      </c>
      <c r="I233" s="44">
        <f>+_xlfn.XLOOKUP(PROYECTOS[[#This Row],[MUNICIPIO]],MUNICIPIOS!A:A,MUNICIPIOS!C:C,0,0,1)</f>
        <v>1</v>
      </c>
      <c r="J233" s="3" t="str" cm="1">
        <f t="array" ref="J233">_xlfn.TEXTJOIN(" ", TRUE, IF(radicados[ID PROYECTOS]=A233, radicados[RADICADO], ""))</f>
        <v/>
      </c>
      <c r="K233" s="45">
        <v>1</v>
      </c>
      <c r="L233" s="48"/>
      <c r="M233" s="34" t="s">
        <v>407</v>
      </c>
      <c r="N233" s="40" t="s">
        <v>397</v>
      </c>
      <c r="O233" s="40" t="s">
        <v>56</v>
      </c>
      <c r="P233" s="37" t="s">
        <v>541</v>
      </c>
      <c r="Q233" s="45"/>
      <c r="R233" s="43"/>
      <c r="S233" s="43"/>
      <c r="T233" s="44">
        <f>+_xlfn.XLOOKUP(PROYECTOS[[#This Row],[MUNICIPIO]],'4.CAP_ENDMNT'!B:B,'4.CAP_ENDMNT'!C:C,0,0,1)</f>
        <v>6</v>
      </c>
      <c r="U233" s="139">
        <f>+_xlfn.XLOOKUP(PROYECTOS[[#This Row],[MUNICIPIO]],'4.CAP_ENDMNT'!B:B,'4.CAP_ENDMNT'!D:D,0,0,1)</f>
        <v>16148449667.859503</v>
      </c>
      <c r="V233" s="140">
        <f>+_xlfn.XLOOKUP(PROYECTOS[[#This Row],[MUNICIPIO]],'4.CAP_ENDMNT'!B:B,'4.CAP_ENDMNT'!E:E,0,0,1)</f>
        <v>5168319228.7700005</v>
      </c>
      <c r="W233" s="140">
        <f>+_xlfn.XLOOKUP(PROYECTOS[[#This Row],[MUNICIPIO]],'4.CAP_ENDMNT'!B:B,'4.CAP_ENDMNT'!F:F,0,0,1)</f>
        <v>10980130439.089502</v>
      </c>
      <c r="X233" s="140">
        <f>+_xlfn.XLOOKUP(PROYECTOS[[#This Row],[MUNICIPIO]],'4.CAP_ENDMNT'!B:B,'4.CAP_ENDMNT'!G:G,0,0,1)</f>
        <v>943947740</v>
      </c>
      <c r="Y233" s="140">
        <f>+_xlfn.XLOOKUP(PROYECTOS[[#This Row],[MUNICIPIO]],'4.CAP_ENDMNT'!B:B,'4.CAP_ENDMNT'!H:H,0,0,1)</f>
        <v>680000000</v>
      </c>
      <c r="Z233" s="140">
        <f>+_xlfn.XLOOKUP(PROYECTOS[[#This Row],[MUNICIPIO]],'4.CAP_ENDMNT'!B:B,'4.CAP_ENDMNT'!I:I,0,0,1)</f>
        <v>1623947740</v>
      </c>
      <c r="AA233" s="134">
        <f>+_xlfn.XLOOKUP(PROYECTOS[[#This Row],[MUNICIPIO]],'4.CAP_ENDMNT'!B:B,'4.CAP_ENDMNT'!J:J,0,0,1)</f>
        <v>0.10056369332049052</v>
      </c>
      <c r="AB233" s="140">
        <f>+_xlfn.XLOOKUP(PROYECTOS[[#This Row],[MUNICIPIO]],'4.CAP_ENDMNT'!B:B,'4.CAP_ENDMNT'!K:K,0,0,1)</f>
        <v>14524501927.859503</v>
      </c>
      <c r="AC233" s="140">
        <f>+_xlfn.XLOOKUP(PROYECTOS[[#This Row],[MUNICIPIO]],'4.CAP_ENDMNT'!B:B,'4.CAP_ENDMNT'!L:L,0,0,1)</f>
        <v>11619601542.287603</v>
      </c>
      <c r="AD233" s="140">
        <f>+_xlfn.XLOOKUP(PROYECTOS[[#This Row],[MUNICIPIO]],'4.CAP_ENDMNT'!B:B,'4.CAP_ENDMNT'!M:M,0,0,1)</f>
        <v>8714701156.7157021</v>
      </c>
      <c r="AE233" s="134">
        <f>+_xlfn.XLOOKUP(PROYECTOS[[#This Row],[MUNICIPIO]],'4.CAP_ENDMNT'!B:B,'4.CAP_ENDMNT'!N:N,0,0,1)</f>
        <v>0.58126731344199534</v>
      </c>
      <c r="AF233" s="134">
        <f>+_xlfn.XLOOKUP(PROYECTOS[[#This Row],[MUNICIPIO]],'4.CAP_ENDMNT'!B:B,'4.CAP_ENDMNT'!O:O,0,0,1)</f>
        <v>0.64090582782582184</v>
      </c>
      <c r="AG233" s="134">
        <f>+_xlfn.XLOOKUP(PROYECTOS[[#This Row],[MUNICIPIO]],'4.CAP_ENDMNT'!B:B,'4.CAP_ENDMNT'!P:P,0,0,1)</f>
        <v>0.8</v>
      </c>
      <c r="AH233" s="44" t="str">
        <f>+_xlfn.XLOOKUP(PROYECTOS[[#This Row],[MUNICIPIO]],'4.CAP_ENDMNT'!B:B,'4.CAP_ENDMNT'!Q:Q,0,0,1)</f>
        <v>Cumple</v>
      </c>
      <c r="AI233" s="139">
        <f>+_xlfn.XLOOKUP(PROYECTOS[[#This Row],[MUNICIPIO]],'4.CAP_ENDMNT'!B:B,'4.CAP_ENDMNT'!V:V,0,0,1)</f>
        <v>1742940231.3431406</v>
      </c>
      <c r="AJ233" s="139">
        <f>+_xlfn.XLOOKUP(PROYECTOS[[#This Row],[MUNICIPIO]],'4.CAP_ENDMNT'!B:B,'4.CAP_ENDMNT'!Y:Y,0,0,1)</f>
        <v>6232088008.0588417</v>
      </c>
      <c r="AK233"/>
      <c r="AL233"/>
      <c r="AM233"/>
    </row>
    <row r="234" spans="1:39">
      <c r="A234" s="44">
        <v>252</v>
      </c>
      <c r="B234" s="37" t="s">
        <v>543</v>
      </c>
      <c r="C234" s="118">
        <v>45747</v>
      </c>
      <c r="D234" s="46" t="s">
        <v>67</v>
      </c>
      <c r="E234" s="47" t="str">
        <f>+_xlfn.XLOOKUP(PROYECTOS[[#This Row],[MUNICIPIO]],MUNICIPIOS!A:A,MUNICIPIOS!E:E,0,0,1)</f>
        <v>Nordeste</v>
      </c>
      <c r="F234" s="44">
        <f>+_xlfn.XLOOKUP(PROYECTOS[[#This Row],[MUNICIPIO]],MUNICIPIOS!A:A,MUNICIPIOS!F:F,0,0,1)</f>
        <v>-75.013385</v>
      </c>
      <c r="G234" s="44">
        <f>+_xlfn.XLOOKUP(PROYECTOS[[#This Row],[MUNICIPIO]],MUNICIPIOS!A:A,MUNICIPIOS!G:G,0,0,1)</f>
        <v>6.5945109999999998</v>
      </c>
      <c r="H234" s="44">
        <f>+_xlfn.XLOOKUP(PROYECTOS[[#This Row],[MUNICIPIO]],MUNICIPIOS!A:A,MUNICIPIOS!B:B,0,0,1)</f>
        <v>0</v>
      </c>
      <c r="I234" s="44">
        <f>+_xlfn.XLOOKUP(PROYECTOS[[#This Row],[MUNICIPIO]],MUNICIPIOS!A:A,MUNICIPIOS!C:C,0,0,1)</f>
        <v>1</v>
      </c>
      <c r="J234" s="3" t="str" cm="1">
        <f t="array" ref="J234">_xlfn.TEXTJOIN(" ", TRUE, IF(radicados[ID PROYECTOS]=A234, radicados[RADICADO], ""))</f>
        <v/>
      </c>
      <c r="K234" s="45">
        <v>1</v>
      </c>
      <c r="L234" s="48"/>
      <c r="M234" s="34" t="s">
        <v>407</v>
      </c>
      <c r="N234" s="40" t="s">
        <v>397</v>
      </c>
      <c r="O234" s="40" t="s">
        <v>56</v>
      </c>
      <c r="P234" s="37" t="s">
        <v>541</v>
      </c>
      <c r="Q234" s="45"/>
      <c r="R234" s="43"/>
      <c r="S234" s="43"/>
      <c r="T234" s="44">
        <f>+_xlfn.XLOOKUP(PROYECTOS[[#This Row],[MUNICIPIO]],'4.CAP_ENDMNT'!B:B,'4.CAP_ENDMNT'!C:C,0,0,1)</f>
        <v>6</v>
      </c>
      <c r="U234" s="139">
        <f>+_xlfn.XLOOKUP(PROYECTOS[[#This Row],[MUNICIPIO]],'4.CAP_ENDMNT'!B:B,'4.CAP_ENDMNT'!D:D,0,0,1)</f>
        <v>18632663202.9925</v>
      </c>
      <c r="V234" s="140">
        <f>+_xlfn.XLOOKUP(PROYECTOS[[#This Row],[MUNICIPIO]],'4.CAP_ENDMNT'!B:B,'4.CAP_ENDMNT'!E:E,0,0,1)</f>
        <v>4332293517.3299999</v>
      </c>
      <c r="W234" s="140">
        <f>+_xlfn.XLOOKUP(PROYECTOS[[#This Row],[MUNICIPIO]],'4.CAP_ENDMNT'!B:B,'4.CAP_ENDMNT'!F:F,0,0,1)</f>
        <v>14300369685.6625</v>
      </c>
      <c r="X234" s="140">
        <f>+_xlfn.XLOOKUP(PROYECTOS[[#This Row],[MUNICIPIO]],'4.CAP_ENDMNT'!B:B,'4.CAP_ENDMNT'!G:G,0,0,1)</f>
        <v>3970281006</v>
      </c>
      <c r="Y234" s="140">
        <f>+_xlfn.XLOOKUP(PROYECTOS[[#This Row],[MUNICIPIO]],'4.CAP_ENDMNT'!B:B,'4.CAP_ENDMNT'!H:H,0,0,1)</f>
        <v>1500000000</v>
      </c>
      <c r="Z234" s="140">
        <f>+_xlfn.XLOOKUP(PROYECTOS[[#This Row],[MUNICIPIO]],'4.CAP_ENDMNT'!B:B,'4.CAP_ENDMNT'!I:I,0,0,1)</f>
        <v>5470281006</v>
      </c>
      <c r="AA234" s="134">
        <f>+_xlfn.XLOOKUP(PROYECTOS[[#This Row],[MUNICIPIO]],'4.CAP_ENDMNT'!B:B,'4.CAP_ENDMNT'!J:J,0,0,1)</f>
        <v>0.29358556779588252</v>
      </c>
      <c r="AB234" s="140">
        <f>+_xlfn.XLOOKUP(PROYECTOS[[#This Row],[MUNICIPIO]],'4.CAP_ENDMNT'!B:B,'4.CAP_ENDMNT'!K:K,0,0,1)</f>
        <v>13162382196.9925</v>
      </c>
      <c r="AC234" s="140">
        <f>+_xlfn.XLOOKUP(PROYECTOS[[#This Row],[MUNICIPIO]],'4.CAP_ENDMNT'!B:B,'4.CAP_ENDMNT'!L:L,0,0,1)</f>
        <v>10529905757.594002</v>
      </c>
      <c r="AD234" s="140">
        <f>+_xlfn.XLOOKUP(PROYECTOS[[#This Row],[MUNICIPIO]],'4.CAP_ENDMNT'!B:B,'4.CAP_ENDMNT'!M:M,0,0,1)</f>
        <v>7897429318.1954994</v>
      </c>
      <c r="AE234" s="134">
        <f>+_xlfn.XLOOKUP(PROYECTOS[[#This Row],[MUNICIPIO]],'4.CAP_ENDMNT'!B:B,'4.CAP_ENDMNT'!N:N,0,0,1)</f>
        <v>0.72579105198531002</v>
      </c>
      <c r="AF234" s="134">
        <f>+_xlfn.XLOOKUP(PROYECTOS[[#This Row],[MUNICIPIO]],'4.CAP_ENDMNT'!B:B,'4.CAP_ENDMNT'!O:O,0,0,1)</f>
        <v>0.44683077557401057</v>
      </c>
      <c r="AG234" s="134">
        <f>+_xlfn.XLOOKUP(PROYECTOS[[#This Row],[MUNICIPIO]],'4.CAP_ENDMNT'!B:B,'4.CAP_ENDMNT'!P:P,0,0,1)</f>
        <v>0.8</v>
      </c>
      <c r="AH234" s="44" t="str">
        <f>+_xlfn.XLOOKUP(PROYECTOS[[#This Row],[MUNICIPIO]],'4.CAP_ENDMNT'!B:B,'4.CAP_ENDMNT'!Q:Q,0,0,1)</f>
        <v>Cumple</v>
      </c>
      <c r="AI234" s="139">
        <f>+_xlfn.XLOOKUP(PROYECTOS[[#This Row],[MUNICIPIO]],'4.CAP_ENDMNT'!B:B,'4.CAP_ENDMNT'!V:V,0,0,1)</f>
        <v>1579485863.6391001</v>
      </c>
      <c r="AJ234" s="139">
        <f>+_xlfn.XLOOKUP(PROYECTOS[[#This Row],[MUNICIPIO]],'4.CAP_ENDMNT'!B:B,'4.CAP_ENDMNT'!Y:Y,0,0,1)</f>
        <v>2111158837.8345985</v>
      </c>
      <c r="AK234"/>
      <c r="AL234"/>
      <c r="AM234"/>
    </row>
    <row r="235" spans="1:39">
      <c r="A235" s="44">
        <v>253</v>
      </c>
      <c r="B235" s="37" t="s">
        <v>544</v>
      </c>
      <c r="C235" s="118">
        <v>45747</v>
      </c>
      <c r="D235" s="46" t="s">
        <v>67</v>
      </c>
      <c r="E235" s="47" t="str">
        <f>+_xlfn.XLOOKUP(PROYECTOS[[#This Row],[MUNICIPIO]],MUNICIPIOS!A:A,MUNICIPIOS!E:E,0,0,1)</f>
        <v>Nordeste</v>
      </c>
      <c r="F235" s="44">
        <f>+_xlfn.XLOOKUP(PROYECTOS[[#This Row],[MUNICIPIO]],MUNICIPIOS!A:A,MUNICIPIOS!F:F,0,0,1)</f>
        <v>-75.013385</v>
      </c>
      <c r="G235" s="44">
        <f>+_xlfn.XLOOKUP(PROYECTOS[[#This Row],[MUNICIPIO]],MUNICIPIOS!A:A,MUNICIPIOS!G:G,0,0,1)</f>
        <v>6.5945109999999998</v>
      </c>
      <c r="H235" s="44">
        <f>+_xlfn.XLOOKUP(PROYECTOS[[#This Row],[MUNICIPIO]],MUNICIPIOS!A:A,MUNICIPIOS!B:B,0,0,1)</f>
        <v>0</v>
      </c>
      <c r="I235" s="44">
        <f>+_xlfn.XLOOKUP(PROYECTOS[[#This Row],[MUNICIPIO]],MUNICIPIOS!A:A,MUNICIPIOS!C:C,0,0,1)</f>
        <v>1</v>
      </c>
      <c r="J235" s="3" t="str" cm="1">
        <f t="array" ref="J235">_xlfn.TEXTJOIN(" ", TRUE, IF(radicados[ID PROYECTOS]=A235, radicados[RADICADO], ""))</f>
        <v/>
      </c>
      <c r="K235" s="45">
        <v>1</v>
      </c>
      <c r="L235" s="48"/>
      <c r="M235" s="34" t="s">
        <v>407</v>
      </c>
      <c r="N235" s="40" t="s">
        <v>397</v>
      </c>
      <c r="O235" s="40" t="s">
        <v>56</v>
      </c>
      <c r="P235" s="37" t="s">
        <v>541</v>
      </c>
      <c r="Q235" s="45"/>
      <c r="R235" s="43"/>
      <c r="S235" s="43"/>
      <c r="T235" s="44">
        <f>+_xlfn.XLOOKUP(PROYECTOS[[#This Row],[MUNICIPIO]],'4.CAP_ENDMNT'!B:B,'4.CAP_ENDMNT'!C:C,0,0,1)</f>
        <v>6</v>
      </c>
      <c r="U235" s="139">
        <f>+_xlfn.XLOOKUP(PROYECTOS[[#This Row],[MUNICIPIO]],'4.CAP_ENDMNT'!B:B,'4.CAP_ENDMNT'!D:D,0,0,1)</f>
        <v>18632663202.9925</v>
      </c>
      <c r="V235" s="140">
        <f>+_xlfn.XLOOKUP(PROYECTOS[[#This Row],[MUNICIPIO]],'4.CAP_ENDMNT'!B:B,'4.CAP_ENDMNT'!E:E,0,0,1)</f>
        <v>4332293517.3299999</v>
      </c>
      <c r="W235" s="140">
        <f>+_xlfn.XLOOKUP(PROYECTOS[[#This Row],[MUNICIPIO]],'4.CAP_ENDMNT'!B:B,'4.CAP_ENDMNT'!F:F,0,0,1)</f>
        <v>14300369685.6625</v>
      </c>
      <c r="X235" s="140">
        <f>+_xlfn.XLOOKUP(PROYECTOS[[#This Row],[MUNICIPIO]],'4.CAP_ENDMNT'!B:B,'4.CAP_ENDMNT'!G:G,0,0,1)</f>
        <v>3970281006</v>
      </c>
      <c r="Y235" s="140">
        <f>+_xlfn.XLOOKUP(PROYECTOS[[#This Row],[MUNICIPIO]],'4.CAP_ENDMNT'!B:B,'4.CAP_ENDMNT'!H:H,0,0,1)</f>
        <v>1500000000</v>
      </c>
      <c r="Z235" s="140">
        <f>+_xlfn.XLOOKUP(PROYECTOS[[#This Row],[MUNICIPIO]],'4.CAP_ENDMNT'!B:B,'4.CAP_ENDMNT'!I:I,0,0,1)</f>
        <v>5470281006</v>
      </c>
      <c r="AA235" s="134">
        <f>+_xlfn.XLOOKUP(PROYECTOS[[#This Row],[MUNICIPIO]],'4.CAP_ENDMNT'!B:B,'4.CAP_ENDMNT'!J:J,0,0,1)</f>
        <v>0.29358556779588252</v>
      </c>
      <c r="AB235" s="140">
        <f>+_xlfn.XLOOKUP(PROYECTOS[[#This Row],[MUNICIPIO]],'4.CAP_ENDMNT'!B:B,'4.CAP_ENDMNT'!K:K,0,0,1)</f>
        <v>13162382196.9925</v>
      </c>
      <c r="AC235" s="140">
        <f>+_xlfn.XLOOKUP(PROYECTOS[[#This Row],[MUNICIPIO]],'4.CAP_ENDMNT'!B:B,'4.CAP_ENDMNT'!L:L,0,0,1)</f>
        <v>10529905757.594002</v>
      </c>
      <c r="AD235" s="140">
        <f>+_xlfn.XLOOKUP(PROYECTOS[[#This Row],[MUNICIPIO]],'4.CAP_ENDMNT'!B:B,'4.CAP_ENDMNT'!M:M,0,0,1)</f>
        <v>7897429318.1954994</v>
      </c>
      <c r="AE235" s="134">
        <f>+_xlfn.XLOOKUP(PROYECTOS[[#This Row],[MUNICIPIO]],'4.CAP_ENDMNT'!B:B,'4.CAP_ENDMNT'!N:N,0,0,1)</f>
        <v>0.72579105198531002</v>
      </c>
      <c r="AF235" s="134">
        <f>+_xlfn.XLOOKUP(PROYECTOS[[#This Row],[MUNICIPIO]],'4.CAP_ENDMNT'!B:B,'4.CAP_ENDMNT'!O:O,0,0,1)</f>
        <v>0.44683077557401057</v>
      </c>
      <c r="AG235" s="134">
        <f>+_xlfn.XLOOKUP(PROYECTOS[[#This Row],[MUNICIPIO]],'4.CAP_ENDMNT'!B:B,'4.CAP_ENDMNT'!P:P,0,0,1)</f>
        <v>0.8</v>
      </c>
      <c r="AH235" s="44" t="str">
        <f>+_xlfn.XLOOKUP(PROYECTOS[[#This Row],[MUNICIPIO]],'4.CAP_ENDMNT'!B:B,'4.CAP_ENDMNT'!Q:Q,0,0,1)</f>
        <v>Cumple</v>
      </c>
      <c r="AI235" s="139">
        <f>+_xlfn.XLOOKUP(PROYECTOS[[#This Row],[MUNICIPIO]],'4.CAP_ENDMNT'!B:B,'4.CAP_ENDMNT'!V:V,0,0,1)</f>
        <v>1579485863.6391001</v>
      </c>
      <c r="AJ235" s="139">
        <f>+_xlfn.XLOOKUP(PROYECTOS[[#This Row],[MUNICIPIO]],'4.CAP_ENDMNT'!B:B,'4.CAP_ENDMNT'!Y:Y,0,0,1)</f>
        <v>2111158837.8345985</v>
      </c>
      <c r="AK235"/>
      <c r="AL235"/>
      <c r="AM235"/>
    </row>
    <row r="236" spans="1:39">
      <c r="A236" s="44">
        <v>254</v>
      </c>
      <c r="B236" s="37" t="s">
        <v>545</v>
      </c>
      <c r="C236" s="118">
        <v>45747</v>
      </c>
      <c r="D236" s="46" t="s">
        <v>546</v>
      </c>
      <c r="E236" s="47" t="str">
        <f>+_xlfn.XLOOKUP(PROYECTOS[[#This Row],[MUNICIPIO]],MUNICIPIOS!A:A,MUNICIPIOS!E:E,0,0,1)</f>
        <v>Nordeste</v>
      </c>
      <c r="F236" s="44">
        <f>+_xlfn.XLOOKUP(PROYECTOS[[#This Row],[MUNICIPIO]],MUNICIPIOS!A:A,MUNICIPIOS!F:F,0,0,1)</f>
        <v>-75.077500999999998</v>
      </c>
      <c r="G236" s="44" t="str">
        <f>+_xlfn.XLOOKUP(PROYECTOS[[#This Row],[MUNICIPIO]],MUNICIPIOS!A:A,MUNICIPIOS!G:G,0,0,1)</f>
        <v>6,909655</v>
      </c>
      <c r="H236" s="44">
        <f>+_xlfn.XLOOKUP(PROYECTOS[[#This Row],[MUNICIPIO]],MUNICIPIOS!A:A,MUNICIPIOS!B:B,0,0,1)</f>
        <v>1</v>
      </c>
      <c r="I236" s="44">
        <f>+_xlfn.XLOOKUP(PROYECTOS[[#This Row],[MUNICIPIO]],MUNICIPIOS!A:A,MUNICIPIOS!C:C,0,0,1)</f>
        <v>1</v>
      </c>
      <c r="J236" s="3" t="str" cm="1">
        <f t="array" ref="J236">_xlfn.TEXTJOIN(" ", TRUE, IF(radicados[ID PROYECTOS]=A236, radicados[RADICADO], ""))</f>
        <v/>
      </c>
      <c r="K236" s="45">
        <v>1</v>
      </c>
      <c r="L236" s="48"/>
      <c r="M236" s="34" t="s">
        <v>407</v>
      </c>
      <c r="N236" s="40" t="s">
        <v>397</v>
      </c>
      <c r="O236" s="40" t="s">
        <v>56</v>
      </c>
      <c r="P236" s="37" t="s">
        <v>541</v>
      </c>
      <c r="Q236" s="45"/>
      <c r="R236" s="43"/>
      <c r="S236" s="43"/>
      <c r="T236" s="44">
        <f>+_xlfn.XLOOKUP(PROYECTOS[[#This Row],[MUNICIPIO]],'4.CAP_ENDMNT'!B:B,'4.CAP_ENDMNT'!C:C,0,0,1)</f>
        <v>6</v>
      </c>
      <c r="U236" s="139">
        <f>+_xlfn.XLOOKUP(PROYECTOS[[#This Row],[MUNICIPIO]],'4.CAP_ENDMNT'!B:B,'4.CAP_ENDMNT'!D:D,0,0,1)</f>
        <v>15844230778.251999</v>
      </c>
      <c r="V236" s="140">
        <f>+_xlfn.XLOOKUP(PROYECTOS[[#This Row],[MUNICIPIO]],'4.CAP_ENDMNT'!B:B,'4.CAP_ENDMNT'!E:E,0,0,1)</f>
        <v>8497967637.5100002</v>
      </c>
      <c r="W236" s="140">
        <f>+_xlfn.XLOOKUP(PROYECTOS[[#This Row],[MUNICIPIO]],'4.CAP_ENDMNT'!B:B,'4.CAP_ENDMNT'!F:F,0,0,1)</f>
        <v>7346263140.7419987</v>
      </c>
      <c r="X236" s="140">
        <f>+_xlfn.XLOOKUP(PROYECTOS[[#This Row],[MUNICIPIO]],'4.CAP_ENDMNT'!B:B,'4.CAP_ENDMNT'!G:G,0,0,1)</f>
        <v>0</v>
      </c>
      <c r="Y236" s="140">
        <f>+_xlfn.XLOOKUP(PROYECTOS[[#This Row],[MUNICIPIO]],'4.CAP_ENDMNT'!B:B,'4.CAP_ENDMNT'!H:H,0,0,1)</f>
        <v>7918633450</v>
      </c>
      <c r="Z236" s="140">
        <f>+_xlfn.XLOOKUP(PROYECTOS[[#This Row],[MUNICIPIO]],'4.CAP_ENDMNT'!B:B,'4.CAP_ENDMNT'!I:I,0,0,1)</f>
        <v>7918633450</v>
      </c>
      <c r="AA236" s="134">
        <f>+_xlfn.XLOOKUP(PROYECTOS[[#This Row],[MUNICIPIO]],'4.CAP_ENDMNT'!B:B,'4.CAP_ENDMNT'!J:J,0,0,1)</f>
        <v>0.49978023930762366</v>
      </c>
      <c r="AB236" s="140">
        <f>+_xlfn.XLOOKUP(PROYECTOS[[#This Row],[MUNICIPIO]],'4.CAP_ENDMNT'!B:B,'4.CAP_ENDMNT'!K:K,0,0,1)</f>
        <v>7925597328.2519989</v>
      </c>
      <c r="AC236" s="140">
        <f>+_xlfn.XLOOKUP(PROYECTOS[[#This Row],[MUNICIPIO]],'4.CAP_ENDMNT'!B:B,'4.CAP_ENDMNT'!L:L,0,0,1)</f>
        <v>6340477862.6015997</v>
      </c>
      <c r="AD236" s="140">
        <f>+_xlfn.XLOOKUP(PROYECTOS[[#This Row],[MUNICIPIO]],'4.CAP_ENDMNT'!B:B,'4.CAP_ENDMNT'!M:M,0,0,1)</f>
        <v>4755358396.9511995</v>
      </c>
      <c r="AE236" s="134">
        <f>+_xlfn.XLOOKUP(PROYECTOS[[#This Row],[MUNICIPIO]],'4.CAP_ENDMNT'!B:B,'4.CAP_ENDMNT'!N:N,0,0,1)</f>
        <v>0</v>
      </c>
      <c r="AF236" s="134">
        <f>+_xlfn.XLOOKUP(PROYECTOS[[#This Row],[MUNICIPIO]],'4.CAP_ENDMNT'!B:B,'4.CAP_ENDMNT'!O:O,0,0,1)</f>
        <v>0.78459127310588017</v>
      </c>
      <c r="AG236" s="134">
        <f>+_xlfn.XLOOKUP(PROYECTOS[[#This Row],[MUNICIPIO]],'4.CAP_ENDMNT'!B:B,'4.CAP_ENDMNT'!P:P,0,0,1)</f>
        <v>0.8</v>
      </c>
      <c r="AH236" s="44" t="str">
        <f>+_xlfn.XLOOKUP(PROYECTOS[[#This Row],[MUNICIPIO]],'4.CAP_ENDMNT'!B:B,'4.CAP_ENDMNT'!Q:Q,0,0,1)</f>
        <v>Riesgo</v>
      </c>
      <c r="AI236" s="139">
        <f>+_xlfn.XLOOKUP(PROYECTOS[[#This Row],[MUNICIPIO]],'4.CAP_ENDMNT'!B:B,'4.CAP_ENDMNT'!V:V,0,0,1)</f>
        <v>951071679.39023995</v>
      </c>
      <c r="AJ236" s="139">
        <f>+_xlfn.XLOOKUP(PROYECTOS[[#This Row],[MUNICIPIO]],'4.CAP_ENDMNT'!B:B,'4.CAP_ENDMNT'!Y:Y,0,0,1)</f>
        <v>5706430076.3414392</v>
      </c>
      <c r="AK236"/>
      <c r="AL236"/>
      <c r="AM236"/>
    </row>
    <row r="237" spans="1:39">
      <c r="A237" s="44">
        <v>255</v>
      </c>
      <c r="B237" s="37" t="s">
        <v>547</v>
      </c>
      <c r="C237" s="118">
        <v>45747</v>
      </c>
      <c r="D237" s="3" t="s">
        <v>327</v>
      </c>
      <c r="E237" s="47" t="str">
        <f>+_xlfn.XLOOKUP(PROYECTOS[[#This Row],[MUNICIPIO]],MUNICIPIOS!A:A,MUNICIPIOS!E:E,0,0,1)</f>
        <v>Nordeste</v>
      </c>
      <c r="F237" s="44">
        <f>+_xlfn.XLOOKUP(PROYECTOS[[#This Row],[MUNICIPIO]],MUNICIPIOS!A:A,MUNICIPIOS!F:F,0,0,1)</f>
        <v>-75.019109</v>
      </c>
      <c r="G237" s="44" t="str">
        <f>+_xlfn.XLOOKUP(PROYECTOS[[#This Row],[MUNICIPIO]],MUNICIPIOS!A:A,MUNICIPIOS!G:G,0,0,1)</f>
        <v>6,485939</v>
      </c>
      <c r="H237" s="44">
        <f>+_xlfn.XLOOKUP(PROYECTOS[[#This Row],[MUNICIPIO]],MUNICIPIOS!A:A,MUNICIPIOS!B:B,0,0,1)</f>
        <v>0</v>
      </c>
      <c r="I237" s="44">
        <f>+_xlfn.XLOOKUP(PROYECTOS[[#This Row],[MUNICIPIO]],MUNICIPIOS!A:A,MUNICIPIOS!C:C,0,0,1)</f>
        <v>0</v>
      </c>
      <c r="J237" s="3" t="str" cm="1">
        <f t="array" ref="J237">_xlfn.TEXTJOIN(" ", TRUE, IF(radicados[ID PROYECTOS]=A237, radicados[RADICADO], ""))</f>
        <v/>
      </c>
      <c r="K237" s="45">
        <v>1</v>
      </c>
      <c r="L237" s="48"/>
      <c r="M237" s="34" t="s">
        <v>407</v>
      </c>
      <c r="N237" s="40" t="s">
        <v>397</v>
      </c>
      <c r="O237" s="40" t="s">
        <v>56</v>
      </c>
      <c r="P237" s="37" t="s">
        <v>541</v>
      </c>
      <c r="Q237" s="45"/>
      <c r="R237" s="43"/>
      <c r="S237" s="43"/>
      <c r="T237" s="44">
        <f>+_xlfn.XLOOKUP(PROYECTOS[[#This Row],[MUNICIPIO]],'4.CAP_ENDMNT'!B:B,'4.CAP_ENDMNT'!C:C,0,0,1)</f>
        <v>6</v>
      </c>
      <c r="U237" s="139">
        <f>+_xlfn.XLOOKUP(PROYECTOS[[#This Row],[MUNICIPIO]],'4.CAP_ENDMNT'!B:B,'4.CAP_ENDMNT'!D:D,0,0,1)</f>
        <v>13645854382.4415</v>
      </c>
      <c r="V237" s="140">
        <f>+_xlfn.XLOOKUP(PROYECTOS[[#This Row],[MUNICIPIO]],'4.CAP_ENDMNT'!B:B,'4.CAP_ENDMNT'!E:E,0,0,1)</f>
        <v>5036095672.2200003</v>
      </c>
      <c r="W237" s="140">
        <f>+_xlfn.XLOOKUP(PROYECTOS[[#This Row],[MUNICIPIO]],'4.CAP_ENDMNT'!B:B,'4.CAP_ENDMNT'!F:F,0,0,1)</f>
        <v>8609758710.2215004</v>
      </c>
      <c r="X237" s="140">
        <f>+_xlfn.XLOOKUP(PROYECTOS[[#This Row],[MUNICIPIO]],'4.CAP_ENDMNT'!B:B,'4.CAP_ENDMNT'!G:G,0,0,1)</f>
        <v>2357809963</v>
      </c>
      <c r="Y237" s="140">
        <f>+_xlfn.XLOOKUP(PROYECTOS[[#This Row],[MUNICIPIO]],'4.CAP_ENDMNT'!B:B,'4.CAP_ENDMNT'!H:H,0,0,1)</f>
        <v>1093248488</v>
      </c>
      <c r="Z237" s="140">
        <f>+_xlfn.XLOOKUP(PROYECTOS[[#This Row],[MUNICIPIO]],'4.CAP_ENDMNT'!B:B,'4.CAP_ENDMNT'!I:I,0,0,1)</f>
        <v>3451058451</v>
      </c>
      <c r="AA237" s="134">
        <f>+_xlfn.XLOOKUP(PROYECTOS[[#This Row],[MUNICIPIO]],'4.CAP_ENDMNT'!B:B,'4.CAP_ENDMNT'!J:J,0,0,1)</f>
        <v>0.25290160324739891</v>
      </c>
      <c r="AB237" s="140">
        <f>+_xlfn.XLOOKUP(PROYECTOS[[#This Row],[MUNICIPIO]],'4.CAP_ENDMNT'!B:B,'4.CAP_ENDMNT'!K:K,0,0,1)</f>
        <v>10194795931.4415</v>
      </c>
      <c r="AC237" s="140">
        <f>+_xlfn.XLOOKUP(PROYECTOS[[#This Row],[MUNICIPIO]],'4.CAP_ENDMNT'!B:B,'4.CAP_ENDMNT'!L:L,0,0,1)</f>
        <v>8155836745.1532001</v>
      </c>
      <c r="AD237" s="140">
        <f>+_xlfn.XLOOKUP(PROYECTOS[[#This Row],[MUNICIPIO]],'4.CAP_ENDMNT'!B:B,'4.CAP_ENDMNT'!M:M,0,0,1)</f>
        <v>6116877558.8648996</v>
      </c>
      <c r="AE237" s="134">
        <f>+_xlfn.XLOOKUP(PROYECTOS[[#This Row],[MUNICIPIO]],'4.CAP_ENDMNT'!B:B,'4.CAP_ENDMNT'!N:N,0,0,1)</f>
        <v>0.68321356954032075</v>
      </c>
      <c r="AF237" s="134">
        <f>+_xlfn.XLOOKUP(PROYECTOS[[#This Row],[MUNICIPIO]],'4.CAP_ENDMNT'!B:B,'4.CAP_ENDMNT'!O:O,0,0,1)</f>
        <v>0.58815143933117542</v>
      </c>
      <c r="AG237" s="134">
        <f>+_xlfn.XLOOKUP(PROYECTOS[[#This Row],[MUNICIPIO]],'4.CAP_ENDMNT'!B:B,'4.CAP_ENDMNT'!P:P,0,0,1)</f>
        <v>0.8</v>
      </c>
      <c r="AH237" s="44" t="str">
        <f>+_xlfn.XLOOKUP(PROYECTOS[[#This Row],[MUNICIPIO]],'4.CAP_ENDMNT'!B:B,'4.CAP_ENDMNT'!Q:Q,0,0,1)</f>
        <v>Cumple</v>
      </c>
      <c r="AI237" s="139">
        <f>+_xlfn.XLOOKUP(PROYECTOS[[#This Row],[MUNICIPIO]],'4.CAP_ENDMNT'!B:B,'4.CAP_ENDMNT'!V:V,0,0,1)</f>
        <v>1223375511.77298</v>
      </c>
      <c r="AJ237" s="139">
        <f>+_xlfn.XLOOKUP(PROYECTOS[[#This Row],[MUNICIPIO]],'4.CAP_ENDMNT'!B:B,'4.CAP_ENDMNT'!Y:Y,0,0,1)</f>
        <v>-3684666242.3621206</v>
      </c>
      <c r="AK237"/>
      <c r="AL237"/>
      <c r="AM237"/>
    </row>
    <row r="238" spans="1:39">
      <c r="A238" s="44">
        <v>256</v>
      </c>
      <c r="B238" s="37" t="s">
        <v>548</v>
      </c>
      <c r="C238" s="118">
        <v>45747</v>
      </c>
      <c r="D238" s="46" t="s">
        <v>477</v>
      </c>
      <c r="E238" s="47" t="str">
        <f>+_xlfn.XLOOKUP(PROYECTOS[[#This Row],[MUNICIPIO]],MUNICIPIOS!A:A,MUNICIPIOS!E:E,0,0,1)</f>
        <v>Norte</v>
      </c>
      <c r="F238" s="44">
        <f>+_xlfn.XLOOKUP(PROYECTOS[[#This Row],[MUNICIPIO]],MUNICIPIOS!A:A,MUNICIPIOS!F:F,0,0,1)</f>
        <v>-75.335115999999999</v>
      </c>
      <c r="G238" s="44" t="str">
        <f>+_xlfn.XLOOKUP(PROYECTOS[[#This Row],[MUNICIPIO]],MUNICIPIOS!A:A,MUNICIPIOS!G:G,0,0,1)</f>
        <v>6,885175</v>
      </c>
      <c r="H238" s="44">
        <f>+_xlfn.XLOOKUP(PROYECTOS[[#This Row],[MUNICIPIO]],MUNICIPIOS!A:A,MUNICIPIOS!B:B,0,0,1)</f>
        <v>0</v>
      </c>
      <c r="I238" s="44">
        <f>+_xlfn.XLOOKUP(PROYECTOS[[#This Row],[MUNICIPIO]],MUNICIPIOS!A:A,MUNICIPIOS!C:C,0,0,1)</f>
        <v>1</v>
      </c>
      <c r="J238" s="3" t="str" cm="1">
        <f t="array" ref="J238">_xlfn.TEXTJOIN(" ", TRUE, IF(radicados[ID PROYECTOS]=A238, radicados[RADICADO], ""))</f>
        <v/>
      </c>
      <c r="K238" s="45">
        <v>1</v>
      </c>
      <c r="L238" s="48"/>
      <c r="M238" s="34" t="s">
        <v>407</v>
      </c>
      <c r="N238" s="40" t="s">
        <v>397</v>
      </c>
      <c r="O238" s="40" t="s">
        <v>56</v>
      </c>
      <c r="P238" s="37" t="s">
        <v>541</v>
      </c>
      <c r="Q238" s="45"/>
      <c r="R238" s="43"/>
      <c r="S238" s="43"/>
      <c r="T238" s="44">
        <f>+_xlfn.XLOOKUP(PROYECTOS[[#This Row],[MUNICIPIO]],'4.CAP_ENDMNT'!B:B,'4.CAP_ENDMNT'!C:C,0,0,1)</f>
        <v>6</v>
      </c>
      <c r="U238" s="139">
        <f>+_xlfn.XLOOKUP(PROYECTOS[[#This Row],[MUNICIPIO]],'4.CAP_ENDMNT'!B:B,'4.CAP_ENDMNT'!D:D,0,0,1)</f>
        <v>12764062914.553999</v>
      </c>
      <c r="V238" s="140">
        <f>+_xlfn.XLOOKUP(PROYECTOS[[#This Row],[MUNICIPIO]],'4.CAP_ENDMNT'!B:B,'4.CAP_ENDMNT'!E:E,0,0,1)</f>
        <v>4266060462.2200003</v>
      </c>
      <c r="W238" s="140">
        <f>+_xlfn.XLOOKUP(PROYECTOS[[#This Row],[MUNICIPIO]],'4.CAP_ENDMNT'!B:B,'4.CAP_ENDMNT'!F:F,0,0,1)</f>
        <v>8498002452.3339987</v>
      </c>
      <c r="X238" s="140">
        <f>+_xlfn.XLOOKUP(PROYECTOS[[#This Row],[MUNICIPIO]],'4.CAP_ENDMNT'!B:B,'4.CAP_ENDMNT'!G:G,0,0,1)</f>
        <v>4258957687</v>
      </c>
      <c r="Y238" s="140">
        <f>+_xlfn.XLOOKUP(PROYECTOS[[#This Row],[MUNICIPIO]],'4.CAP_ENDMNT'!B:B,'4.CAP_ENDMNT'!H:H,0,0,1)</f>
        <v>500000000</v>
      </c>
      <c r="Z238" s="140">
        <f>+_xlfn.XLOOKUP(PROYECTOS[[#This Row],[MUNICIPIO]],'4.CAP_ENDMNT'!B:B,'4.CAP_ENDMNT'!I:I,0,0,1)</f>
        <v>4758957687</v>
      </c>
      <c r="AA238" s="134">
        <f>+_xlfn.XLOOKUP(PROYECTOS[[#This Row],[MUNICIPIO]],'4.CAP_ENDMNT'!B:B,'4.CAP_ENDMNT'!J:J,0,0,1)</f>
        <v>0.37284035019708983</v>
      </c>
      <c r="AB238" s="140">
        <f>+_xlfn.XLOOKUP(PROYECTOS[[#This Row],[MUNICIPIO]],'4.CAP_ENDMNT'!B:B,'4.CAP_ENDMNT'!K:K,0,0,1)</f>
        <v>8005105227.5539989</v>
      </c>
      <c r="AC238" s="140">
        <f>+_xlfn.XLOOKUP(PROYECTOS[[#This Row],[MUNICIPIO]],'4.CAP_ENDMNT'!B:B,'4.CAP_ENDMNT'!L:L,0,0,1)</f>
        <v>6404084182.0431995</v>
      </c>
      <c r="AD238" s="140">
        <f>+_xlfn.XLOOKUP(PROYECTOS[[#This Row],[MUNICIPIO]],'4.CAP_ENDMNT'!B:B,'4.CAP_ENDMNT'!M:M,0,0,1)</f>
        <v>4803063136.5323992</v>
      </c>
      <c r="AE238" s="134">
        <f>+_xlfn.XLOOKUP(PROYECTOS[[#This Row],[MUNICIPIO]],'4.CAP_ENDMNT'!B:B,'4.CAP_ENDMNT'!N:N,0,0,1)</f>
        <v>0.89493497675639244</v>
      </c>
      <c r="AF238" s="134">
        <f>+_xlfn.XLOOKUP(PROYECTOS[[#This Row],[MUNICIPIO]],'4.CAP_ENDMNT'!B:B,'4.CAP_ENDMNT'!O:O,0,0,1)</f>
        <v>0.64132957807138946</v>
      </c>
      <c r="AG238" s="134">
        <f>+_xlfn.XLOOKUP(PROYECTOS[[#This Row],[MUNICIPIO]],'4.CAP_ENDMNT'!B:B,'4.CAP_ENDMNT'!P:P,0,0,1)</f>
        <v>0.8</v>
      </c>
      <c r="AH238" s="44" t="str">
        <f>+_xlfn.XLOOKUP(PROYECTOS[[#This Row],[MUNICIPIO]],'4.CAP_ENDMNT'!B:B,'4.CAP_ENDMNT'!Q:Q,0,0,1)</f>
        <v>Cumple</v>
      </c>
      <c r="AI238" s="139">
        <f>+_xlfn.XLOOKUP(PROYECTOS[[#This Row],[MUNICIPIO]],'4.CAP_ENDMNT'!B:B,'4.CAP_ENDMNT'!V:V,0,0,1)</f>
        <v>960612627.30647993</v>
      </c>
      <c r="AJ238" s="139">
        <f>+_xlfn.XLOOKUP(PROYECTOS[[#This Row],[MUNICIPIO]],'4.CAP_ENDMNT'!B:B,'4.CAP_ENDMNT'!Y:Y,0,0,1)</f>
        <v>-8999039296.1611214</v>
      </c>
      <c r="AK238"/>
      <c r="AL238"/>
      <c r="AM238"/>
    </row>
    <row r="239" spans="1:39">
      <c r="A239" s="44">
        <v>257</v>
      </c>
      <c r="B239" s="37" t="s">
        <v>549</v>
      </c>
      <c r="C239" s="118">
        <v>45747</v>
      </c>
      <c r="D239" s="46" t="s">
        <v>57</v>
      </c>
      <c r="E239" s="47" t="str">
        <f>+_xlfn.XLOOKUP(PROYECTOS[[#This Row],[MUNICIPIO]],MUNICIPIOS!A:A,MUNICIPIOS!E:E,0,0,1)</f>
        <v>Norte</v>
      </c>
      <c r="F239" s="44">
        <f>+_xlfn.XLOOKUP(PROYECTOS[[#This Row],[MUNICIPIO]],MUNICIPIOS!A:A,MUNICIPIOS!F:F,0,0,1)</f>
        <v>-75.683351999999999</v>
      </c>
      <c r="G239" s="44" t="str">
        <f>+_xlfn.XLOOKUP(PROYECTOS[[#This Row],[MUNICIPIO]],MUNICIPIOS!A:A,MUNICIPIOS!G:G,0,0,1)</f>
        <v>6,85009</v>
      </c>
      <c r="H239" s="44">
        <f>+_xlfn.XLOOKUP(PROYECTOS[[#This Row],[MUNICIPIO]],MUNICIPIOS!A:A,MUNICIPIOS!B:B,0,0,1)</f>
        <v>0</v>
      </c>
      <c r="I239" s="44">
        <f>+_xlfn.XLOOKUP(PROYECTOS[[#This Row],[MUNICIPIO]],MUNICIPIOS!A:A,MUNICIPIOS!C:C,0,0,1)</f>
        <v>0</v>
      </c>
      <c r="J239" s="3" t="str" cm="1">
        <f t="array" ref="J239">_xlfn.TEXTJOIN(" ", TRUE, IF(radicados[ID PROYECTOS]=A239, radicados[RADICADO], ""))</f>
        <v/>
      </c>
      <c r="K239" s="45">
        <v>1</v>
      </c>
      <c r="L239" s="48"/>
      <c r="M239" s="34" t="s">
        <v>407</v>
      </c>
      <c r="N239" s="40" t="s">
        <v>397</v>
      </c>
      <c r="O239" s="40" t="s">
        <v>56</v>
      </c>
      <c r="P239" s="37" t="s">
        <v>541</v>
      </c>
      <c r="Q239" s="45"/>
      <c r="R239" s="43"/>
      <c r="S239" s="43"/>
      <c r="T239" s="44">
        <f>+_xlfn.XLOOKUP(PROYECTOS[[#This Row],[MUNICIPIO]],'4.CAP_ENDMNT'!B:B,'4.CAP_ENDMNT'!C:C,0,0,1)</f>
        <v>6</v>
      </c>
      <c r="U239" s="139">
        <f>+_xlfn.XLOOKUP(PROYECTOS[[#This Row],[MUNICIPIO]],'4.CAP_ENDMNT'!B:B,'4.CAP_ENDMNT'!D:D,0,0,1)</f>
        <v>5437802568.3275003</v>
      </c>
      <c r="V239" s="140">
        <f>+_xlfn.XLOOKUP(PROYECTOS[[#This Row],[MUNICIPIO]],'4.CAP_ENDMNT'!B:B,'4.CAP_ENDMNT'!E:E,0,0,1)</f>
        <v>2195257843.8499999</v>
      </c>
      <c r="W239" s="140">
        <f>+_xlfn.XLOOKUP(PROYECTOS[[#This Row],[MUNICIPIO]],'4.CAP_ENDMNT'!B:B,'4.CAP_ENDMNT'!F:F,0,0,1)</f>
        <v>3242544724.4775004</v>
      </c>
      <c r="X239" s="140">
        <f>+_xlfn.XLOOKUP(PROYECTOS[[#This Row],[MUNICIPIO]],'4.CAP_ENDMNT'!B:B,'4.CAP_ENDMNT'!G:G,0,0,1)</f>
        <v>1389038990</v>
      </c>
      <c r="Y239" s="140">
        <f>+_xlfn.XLOOKUP(PROYECTOS[[#This Row],[MUNICIPIO]],'4.CAP_ENDMNT'!B:B,'4.CAP_ENDMNT'!H:H,0,0,1)</f>
        <v>0</v>
      </c>
      <c r="Z239" s="140">
        <f>+_xlfn.XLOOKUP(PROYECTOS[[#This Row],[MUNICIPIO]],'4.CAP_ENDMNT'!B:B,'4.CAP_ENDMNT'!I:I,0,0,1)</f>
        <v>1389038990</v>
      </c>
      <c r="AA239" s="134">
        <f>+_xlfn.XLOOKUP(PROYECTOS[[#This Row],[MUNICIPIO]],'4.CAP_ENDMNT'!B:B,'4.CAP_ENDMNT'!J:J,0,0,1)</f>
        <v>0.25544123247329026</v>
      </c>
      <c r="AB239" s="140">
        <f>+_xlfn.XLOOKUP(PROYECTOS[[#This Row],[MUNICIPIO]],'4.CAP_ENDMNT'!B:B,'4.CAP_ENDMNT'!K:K,0,0,1)</f>
        <v>4048763578.3275003</v>
      </c>
      <c r="AC239" s="140">
        <f>+_xlfn.XLOOKUP(PROYECTOS[[#This Row],[MUNICIPIO]],'4.CAP_ENDMNT'!B:B,'4.CAP_ENDMNT'!L:L,0,0,1)</f>
        <v>3239010862.6620007</v>
      </c>
      <c r="AD239" s="140">
        <f>+_xlfn.XLOOKUP(PROYECTOS[[#This Row],[MUNICIPIO]],'4.CAP_ENDMNT'!B:B,'4.CAP_ENDMNT'!M:M,0,0,1)</f>
        <v>2429258146.9965</v>
      </c>
      <c r="AE239" s="134">
        <f>+_xlfn.XLOOKUP(PROYECTOS[[#This Row],[MUNICIPIO]],'4.CAP_ENDMNT'!B:B,'4.CAP_ENDMNT'!N:N,0,0,1)</f>
        <v>1</v>
      </c>
      <c r="AF239" s="134">
        <f>+_xlfn.XLOOKUP(PROYECTOS[[#This Row],[MUNICIPIO]],'4.CAP_ENDMNT'!B:B,'4.CAP_ENDMNT'!O:O,0,0,1)</f>
        <v>0.74230580339650343</v>
      </c>
      <c r="AG239" s="134">
        <f>+_xlfn.XLOOKUP(PROYECTOS[[#This Row],[MUNICIPIO]],'4.CAP_ENDMNT'!B:B,'4.CAP_ENDMNT'!P:P,0,0,1)</f>
        <v>0.8</v>
      </c>
      <c r="AH239" s="44" t="str">
        <f>+_xlfn.XLOOKUP(PROYECTOS[[#This Row],[MUNICIPIO]],'4.CAP_ENDMNT'!B:B,'4.CAP_ENDMNT'!Q:Q,0,0,1)</f>
        <v>Cumple</v>
      </c>
      <c r="AI239" s="139">
        <f>+_xlfn.XLOOKUP(PROYECTOS[[#This Row],[MUNICIPIO]],'4.CAP_ENDMNT'!B:B,'4.CAP_ENDMNT'!V:V,0,0,1)</f>
        <v>485851629.39930004</v>
      </c>
      <c r="AJ239" s="139">
        <f>+_xlfn.XLOOKUP(PROYECTOS[[#This Row],[MUNICIPIO]],'4.CAP_ENDMNT'!B:B,'4.CAP_ENDMNT'!Y:Y,0,0,1)</f>
        <v>-14155936706.6042</v>
      </c>
      <c r="AK239"/>
      <c r="AL239"/>
      <c r="AM239"/>
    </row>
    <row r="240" spans="1:39">
      <c r="A240" s="44">
        <v>258</v>
      </c>
      <c r="B240" s="37" t="s">
        <v>550</v>
      </c>
      <c r="C240" s="118">
        <v>45747</v>
      </c>
      <c r="D240" s="46" t="s">
        <v>57</v>
      </c>
      <c r="E240" s="47" t="str">
        <f>+_xlfn.XLOOKUP(PROYECTOS[[#This Row],[MUNICIPIO]],MUNICIPIOS!A:A,MUNICIPIOS!E:E,0,0,1)</f>
        <v>Norte</v>
      </c>
      <c r="F240" s="44">
        <f>+_xlfn.XLOOKUP(PROYECTOS[[#This Row],[MUNICIPIO]],MUNICIPIOS!A:A,MUNICIPIOS!F:F,0,0,1)</f>
        <v>-75.683351999999999</v>
      </c>
      <c r="G240" s="44" t="str">
        <f>+_xlfn.XLOOKUP(PROYECTOS[[#This Row],[MUNICIPIO]],MUNICIPIOS!A:A,MUNICIPIOS!G:G,0,0,1)</f>
        <v>6,85009</v>
      </c>
      <c r="H240" s="44">
        <f>+_xlfn.XLOOKUP(PROYECTOS[[#This Row],[MUNICIPIO]],MUNICIPIOS!A:A,MUNICIPIOS!B:B,0,0,1)</f>
        <v>0</v>
      </c>
      <c r="I240" s="44">
        <f>+_xlfn.XLOOKUP(PROYECTOS[[#This Row],[MUNICIPIO]],MUNICIPIOS!A:A,MUNICIPIOS!C:C,0,0,1)</f>
        <v>0</v>
      </c>
      <c r="J240" s="3" t="str" cm="1">
        <f t="array" ref="J240">_xlfn.TEXTJOIN(" ", TRUE, IF(radicados[ID PROYECTOS]=A240, radicados[RADICADO], ""))</f>
        <v/>
      </c>
      <c r="K240" s="45">
        <v>1</v>
      </c>
      <c r="L240" s="48"/>
      <c r="M240" s="34" t="s">
        <v>407</v>
      </c>
      <c r="N240" s="40" t="s">
        <v>397</v>
      </c>
      <c r="O240" s="40" t="s">
        <v>56</v>
      </c>
      <c r="P240" s="71" t="s">
        <v>551</v>
      </c>
      <c r="Q240" s="45"/>
      <c r="R240" s="43"/>
      <c r="S240" s="43"/>
      <c r="T240" s="44">
        <f>+_xlfn.XLOOKUP(PROYECTOS[[#This Row],[MUNICIPIO]],'4.CAP_ENDMNT'!B:B,'4.CAP_ENDMNT'!C:C,0,0,1)</f>
        <v>6</v>
      </c>
      <c r="U240" s="139">
        <f>+_xlfn.XLOOKUP(PROYECTOS[[#This Row],[MUNICIPIO]],'4.CAP_ENDMNT'!B:B,'4.CAP_ENDMNT'!D:D,0,0,1)</f>
        <v>5437802568.3275003</v>
      </c>
      <c r="V240" s="140">
        <f>+_xlfn.XLOOKUP(PROYECTOS[[#This Row],[MUNICIPIO]],'4.CAP_ENDMNT'!B:B,'4.CAP_ENDMNT'!E:E,0,0,1)</f>
        <v>2195257843.8499999</v>
      </c>
      <c r="W240" s="140">
        <f>+_xlfn.XLOOKUP(PROYECTOS[[#This Row],[MUNICIPIO]],'4.CAP_ENDMNT'!B:B,'4.CAP_ENDMNT'!F:F,0,0,1)</f>
        <v>3242544724.4775004</v>
      </c>
      <c r="X240" s="140">
        <f>+_xlfn.XLOOKUP(PROYECTOS[[#This Row],[MUNICIPIO]],'4.CAP_ENDMNT'!B:B,'4.CAP_ENDMNT'!G:G,0,0,1)</f>
        <v>1389038990</v>
      </c>
      <c r="Y240" s="140">
        <f>+_xlfn.XLOOKUP(PROYECTOS[[#This Row],[MUNICIPIO]],'4.CAP_ENDMNT'!B:B,'4.CAP_ENDMNT'!H:H,0,0,1)</f>
        <v>0</v>
      </c>
      <c r="Z240" s="140">
        <f>+_xlfn.XLOOKUP(PROYECTOS[[#This Row],[MUNICIPIO]],'4.CAP_ENDMNT'!B:B,'4.CAP_ENDMNT'!I:I,0,0,1)</f>
        <v>1389038990</v>
      </c>
      <c r="AA240" s="134">
        <f>+_xlfn.XLOOKUP(PROYECTOS[[#This Row],[MUNICIPIO]],'4.CAP_ENDMNT'!B:B,'4.CAP_ENDMNT'!J:J,0,0,1)</f>
        <v>0.25544123247329026</v>
      </c>
      <c r="AB240" s="140">
        <f>+_xlfn.XLOOKUP(PROYECTOS[[#This Row],[MUNICIPIO]],'4.CAP_ENDMNT'!B:B,'4.CAP_ENDMNT'!K:K,0,0,1)</f>
        <v>4048763578.3275003</v>
      </c>
      <c r="AC240" s="140">
        <f>+_xlfn.XLOOKUP(PROYECTOS[[#This Row],[MUNICIPIO]],'4.CAP_ENDMNT'!B:B,'4.CAP_ENDMNT'!L:L,0,0,1)</f>
        <v>3239010862.6620007</v>
      </c>
      <c r="AD240" s="140">
        <f>+_xlfn.XLOOKUP(PROYECTOS[[#This Row],[MUNICIPIO]],'4.CAP_ENDMNT'!B:B,'4.CAP_ENDMNT'!M:M,0,0,1)</f>
        <v>2429258146.9965</v>
      </c>
      <c r="AE240" s="134">
        <f>+_xlfn.XLOOKUP(PROYECTOS[[#This Row],[MUNICIPIO]],'4.CAP_ENDMNT'!B:B,'4.CAP_ENDMNT'!N:N,0,0,1)</f>
        <v>1</v>
      </c>
      <c r="AF240" s="134">
        <f>+_xlfn.XLOOKUP(PROYECTOS[[#This Row],[MUNICIPIO]],'4.CAP_ENDMNT'!B:B,'4.CAP_ENDMNT'!O:O,0,0,1)</f>
        <v>0.74230580339650343</v>
      </c>
      <c r="AG240" s="134">
        <f>+_xlfn.XLOOKUP(PROYECTOS[[#This Row],[MUNICIPIO]],'4.CAP_ENDMNT'!B:B,'4.CAP_ENDMNT'!P:P,0,0,1)</f>
        <v>0.8</v>
      </c>
      <c r="AH240" s="44" t="str">
        <f>+_xlfn.XLOOKUP(PROYECTOS[[#This Row],[MUNICIPIO]],'4.CAP_ENDMNT'!B:B,'4.CAP_ENDMNT'!Q:Q,0,0,1)</f>
        <v>Cumple</v>
      </c>
      <c r="AI240" s="139">
        <f>+_xlfn.XLOOKUP(PROYECTOS[[#This Row],[MUNICIPIO]],'4.CAP_ENDMNT'!B:B,'4.CAP_ENDMNT'!V:V,0,0,1)</f>
        <v>485851629.39930004</v>
      </c>
      <c r="AJ240" s="139">
        <f>+_xlfn.XLOOKUP(PROYECTOS[[#This Row],[MUNICIPIO]],'4.CAP_ENDMNT'!B:B,'4.CAP_ENDMNT'!Y:Y,0,0,1)</f>
        <v>-14155936706.6042</v>
      </c>
      <c r="AK240"/>
      <c r="AL240"/>
      <c r="AM240"/>
    </row>
    <row r="241" spans="1:39">
      <c r="A241" s="44">
        <v>259</v>
      </c>
      <c r="B241" s="37" t="s">
        <v>552</v>
      </c>
      <c r="C241" s="118">
        <v>45747</v>
      </c>
      <c r="D241" s="46" t="s">
        <v>120</v>
      </c>
      <c r="E241" s="47" t="str">
        <f>+_xlfn.XLOOKUP(PROYECTOS[[#This Row],[MUNICIPIO]],MUNICIPIOS!A:A,MUNICIPIOS!E:E,0,0,1)</f>
        <v>Norte</v>
      </c>
      <c r="F241" s="44">
        <f>+_xlfn.XLOOKUP(PROYECTOS[[#This Row],[MUNICIPIO]],MUNICIPIOS!A:A,MUNICIPIOS!F:F,0,0,1)</f>
        <v>-75.418828000000005</v>
      </c>
      <c r="G241" s="44">
        <f>+_xlfn.XLOOKUP(PROYECTOS[[#This Row],[MUNICIPIO]],MUNICIPIOS!A:A,MUNICIPIOS!G:G,0,0,1)</f>
        <v>6.963832</v>
      </c>
      <c r="H241" s="44">
        <f>+_xlfn.XLOOKUP(PROYECTOS[[#This Row],[MUNICIPIO]],MUNICIPIOS!A:A,MUNICIPIOS!B:B,0,0,1)</f>
        <v>0</v>
      </c>
      <c r="I241" s="44">
        <f>+_xlfn.XLOOKUP(PROYECTOS[[#This Row],[MUNICIPIO]],MUNICIPIOS!A:A,MUNICIPIOS!C:C,0,0,1)</f>
        <v>1</v>
      </c>
      <c r="J241" s="3" t="str" cm="1">
        <f t="array" ref="J241">_xlfn.TEXTJOIN(" ", TRUE, IF(radicados[ID PROYECTOS]=A241, radicados[RADICADO], ""))</f>
        <v/>
      </c>
      <c r="K241" s="45">
        <v>1</v>
      </c>
      <c r="L241" s="48"/>
      <c r="M241" s="34" t="s">
        <v>407</v>
      </c>
      <c r="N241" s="40" t="s">
        <v>397</v>
      </c>
      <c r="O241" s="40" t="s">
        <v>56</v>
      </c>
      <c r="P241" s="37" t="s">
        <v>541</v>
      </c>
      <c r="Q241" s="45"/>
      <c r="R241" s="43"/>
      <c r="S241" s="43"/>
      <c r="T241" s="44">
        <f>+_xlfn.XLOOKUP(PROYECTOS[[#This Row],[MUNICIPIO]],'4.CAP_ENDMNT'!B:B,'4.CAP_ENDMNT'!C:C,0,0,1)</f>
        <v>5</v>
      </c>
      <c r="U241" s="139">
        <f>+_xlfn.XLOOKUP(PROYECTOS[[#This Row],[MUNICIPIO]],'4.CAP_ENDMNT'!B:B,'4.CAP_ENDMNT'!D:D,0,0,1)</f>
        <v>36204719778.619003</v>
      </c>
      <c r="V241" s="140">
        <f>+_xlfn.XLOOKUP(PROYECTOS[[#This Row],[MUNICIPIO]],'4.CAP_ENDMNT'!B:B,'4.CAP_ENDMNT'!E:E,0,0,1)</f>
        <v>11082623753.610001</v>
      </c>
      <c r="W241" s="140">
        <f>+_xlfn.XLOOKUP(PROYECTOS[[#This Row],[MUNICIPIO]],'4.CAP_ENDMNT'!B:B,'4.CAP_ENDMNT'!F:F,0,0,1)</f>
        <v>25122096025.009003</v>
      </c>
      <c r="X241" s="140">
        <f>+_xlfn.XLOOKUP(PROYECTOS[[#This Row],[MUNICIPIO]],'4.CAP_ENDMNT'!B:B,'4.CAP_ENDMNT'!G:G,0,0,1)</f>
        <v>1291156679</v>
      </c>
      <c r="Y241" s="140">
        <f>+_xlfn.XLOOKUP(PROYECTOS[[#This Row],[MUNICIPIO]],'4.CAP_ENDMNT'!B:B,'4.CAP_ENDMNT'!H:H,0,0,1)</f>
        <v>12320355879.07</v>
      </c>
      <c r="Z241" s="140">
        <f>+_xlfn.XLOOKUP(PROYECTOS[[#This Row],[MUNICIPIO]],'4.CAP_ENDMNT'!B:B,'4.CAP_ENDMNT'!I:I,0,0,1)</f>
        <v>13611512558.07</v>
      </c>
      <c r="AA241" s="134">
        <f>+_xlfn.XLOOKUP(PROYECTOS[[#This Row],[MUNICIPIO]],'4.CAP_ENDMNT'!B:B,'4.CAP_ENDMNT'!J:J,0,0,1)</f>
        <v>0.37595961635113639</v>
      </c>
      <c r="AB241" s="140">
        <f>+_xlfn.XLOOKUP(PROYECTOS[[#This Row],[MUNICIPIO]],'4.CAP_ENDMNT'!B:B,'4.CAP_ENDMNT'!K:K,0,0,1)</f>
        <v>22593207220.549004</v>
      </c>
      <c r="AC241" s="140">
        <f>+_xlfn.XLOOKUP(PROYECTOS[[#This Row],[MUNICIPIO]],'4.CAP_ENDMNT'!B:B,'4.CAP_ENDMNT'!L:L,0,0,1)</f>
        <v>18074565776.439205</v>
      </c>
      <c r="AD241" s="140">
        <f>+_xlfn.XLOOKUP(PROYECTOS[[#This Row],[MUNICIPIO]],'4.CAP_ENDMNT'!B:B,'4.CAP_ENDMNT'!M:M,0,0,1)</f>
        <v>13555924332.329401</v>
      </c>
      <c r="AE241" s="134">
        <f>+_xlfn.XLOOKUP(PROYECTOS[[#This Row],[MUNICIPIO]],'4.CAP_ENDMNT'!B:B,'4.CAP_ENDMNT'!N:N,0,0,1)</f>
        <v>9.4857692963336279E-2</v>
      </c>
      <c r="AF241" s="134">
        <f>+_xlfn.XLOOKUP(PROYECTOS[[#This Row],[MUNICIPIO]],'4.CAP_ENDMNT'!B:B,'4.CAP_ENDMNT'!O:O,0,0,1)</f>
        <v>0.39053077044629697</v>
      </c>
      <c r="AG241" s="134">
        <f>+_xlfn.XLOOKUP(PROYECTOS[[#This Row],[MUNICIPIO]],'4.CAP_ENDMNT'!B:B,'4.CAP_ENDMNT'!P:P,0,0,1)</f>
        <v>0.8</v>
      </c>
      <c r="AH241" s="44" t="str">
        <f>+_xlfn.XLOOKUP(PROYECTOS[[#This Row],[MUNICIPIO]],'4.CAP_ENDMNT'!B:B,'4.CAP_ENDMNT'!Q:Q,0,0,1)</f>
        <v>Cumple</v>
      </c>
      <c r="AI241" s="139">
        <f>+_xlfn.XLOOKUP(PROYECTOS[[#This Row],[MUNICIPIO]],'4.CAP_ENDMNT'!B:B,'4.CAP_ENDMNT'!V:V,0,0,1)</f>
        <v>2711184866.4658804</v>
      </c>
      <c r="AJ241" s="139">
        <f>+_xlfn.XLOOKUP(PROYECTOS[[#This Row],[MUNICIPIO]],'4.CAP_ENDMNT'!B:B,'4.CAP_ENDMNT'!Y:Y,0,0,1)</f>
        <v>-192411827505.20471</v>
      </c>
      <c r="AK241"/>
      <c r="AL241"/>
      <c r="AM241"/>
    </row>
    <row r="242" spans="1:39">
      <c r="A242" s="44">
        <v>260</v>
      </c>
      <c r="B242" s="37" t="s">
        <v>553</v>
      </c>
      <c r="C242" s="118">
        <v>45747</v>
      </c>
      <c r="D242" s="46" t="s">
        <v>136</v>
      </c>
      <c r="E242" s="47" t="str">
        <f>+_xlfn.XLOOKUP(PROYECTOS[[#This Row],[MUNICIPIO]],MUNICIPIOS!A:A,MUNICIPIOS!E:E,0,0,1)</f>
        <v>Norte</v>
      </c>
      <c r="F242" s="44">
        <f>+_xlfn.XLOOKUP(PROYECTOS[[#This Row],[MUNICIPIO]],MUNICIPIOS!A:A,MUNICIPIOS!F:F,0,0,1)</f>
        <v>-75.550359999999998</v>
      </c>
      <c r="G242" s="44" t="str">
        <f>+_xlfn.XLOOKUP(PROYECTOS[[#This Row],[MUNICIPIO]],MUNICIPIOS!A:A,MUNICIPIOS!G:G,0,0,1)</f>
        <v>7,112803</v>
      </c>
      <c r="H242" s="44">
        <f>+_xlfn.XLOOKUP(PROYECTOS[[#This Row],[MUNICIPIO]],MUNICIPIOS!A:A,MUNICIPIOS!B:B,0,0,1)</f>
        <v>1</v>
      </c>
      <c r="I242" s="44">
        <f>+_xlfn.XLOOKUP(PROYECTOS[[#This Row],[MUNICIPIO]],MUNICIPIOS!A:A,MUNICIPIOS!C:C,0,0,1)</f>
        <v>1</v>
      </c>
      <c r="J242" s="3" t="str" cm="1">
        <f t="array" ref="J242">_xlfn.TEXTJOIN(" ", TRUE, IF(radicados[ID PROYECTOS]=A242, radicados[RADICADO], ""))</f>
        <v/>
      </c>
      <c r="K242" s="45">
        <v>1</v>
      </c>
      <c r="L242" s="48"/>
      <c r="M242" s="34" t="s">
        <v>407</v>
      </c>
      <c r="N242" s="40" t="s">
        <v>397</v>
      </c>
      <c r="O242" s="40" t="s">
        <v>56</v>
      </c>
      <c r="P242" s="37" t="s">
        <v>541</v>
      </c>
      <c r="Q242" s="45"/>
      <c r="R242" s="43"/>
      <c r="S242" s="43"/>
      <c r="T242" s="44">
        <f>+_xlfn.XLOOKUP(PROYECTOS[[#This Row],[MUNICIPIO]],'4.CAP_ENDMNT'!B:B,'4.CAP_ENDMNT'!C:C,0,0,1)</f>
        <v>6</v>
      </c>
      <c r="U242" s="139">
        <f>+_xlfn.XLOOKUP(PROYECTOS[[#This Row],[MUNICIPIO]],'4.CAP_ENDMNT'!B:B,'4.CAP_ENDMNT'!D:D,0,0,1)</f>
        <v>15936675551.976999</v>
      </c>
      <c r="V242" s="140">
        <f>+_xlfn.XLOOKUP(PROYECTOS[[#This Row],[MUNICIPIO]],'4.CAP_ENDMNT'!B:B,'4.CAP_ENDMNT'!E:E,0,0,1)</f>
        <v>6355203503.6700001</v>
      </c>
      <c r="W242" s="140">
        <f>+_xlfn.XLOOKUP(PROYECTOS[[#This Row],[MUNICIPIO]],'4.CAP_ENDMNT'!B:B,'4.CAP_ENDMNT'!F:F,0,0,1)</f>
        <v>9581472048.3069992</v>
      </c>
      <c r="X242" s="140">
        <f>+_xlfn.XLOOKUP(PROYECTOS[[#This Row],[MUNICIPIO]],'4.CAP_ENDMNT'!B:B,'4.CAP_ENDMNT'!G:G,0,0,1)</f>
        <v>166905356.59</v>
      </c>
      <c r="Y242" s="140">
        <f>+_xlfn.XLOOKUP(PROYECTOS[[#This Row],[MUNICIPIO]],'4.CAP_ENDMNT'!B:B,'4.CAP_ENDMNT'!H:H,0,0,1)</f>
        <v>5064590198</v>
      </c>
      <c r="Z242" s="140">
        <f>+_xlfn.XLOOKUP(PROYECTOS[[#This Row],[MUNICIPIO]],'4.CAP_ENDMNT'!B:B,'4.CAP_ENDMNT'!I:I,0,0,1)</f>
        <v>5231495554.5900002</v>
      </c>
      <c r="AA242" s="134">
        <f>+_xlfn.XLOOKUP(PROYECTOS[[#This Row],[MUNICIPIO]],'4.CAP_ENDMNT'!B:B,'4.CAP_ENDMNT'!J:J,0,0,1)</f>
        <v>0.32826768277534613</v>
      </c>
      <c r="AB242" s="140">
        <f>+_xlfn.XLOOKUP(PROYECTOS[[#This Row],[MUNICIPIO]],'4.CAP_ENDMNT'!B:B,'4.CAP_ENDMNT'!K:K,0,0,1)</f>
        <v>10705179997.386999</v>
      </c>
      <c r="AC242" s="140">
        <f>+_xlfn.XLOOKUP(PROYECTOS[[#This Row],[MUNICIPIO]],'4.CAP_ENDMNT'!B:B,'4.CAP_ENDMNT'!L:L,0,0,1)</f>
        <v>8564143997.9095993</v>
      </c>
      <c r="AD242" s="140">
        <f>+_xlfn.XLOOKUP(PROYECTOS[[#This Row],[MUNICIPIO]],'4.CAP_ENDMNT'!B:B,'4.CAP_ENDMNT'!M:M,0,0,1)</f>
        <v>6423107998.4321995</v>
      </c>
      <c r="AE242" s="134">
        <f>+_xlfn.XLOOKUP(PROYECTOS[[#This Row],[MUNICIPIO]],'4.CAP_ENDMNT'!B:B,'4.CAP_ENDMNT'!N:N,0,0,1)</f>
        <v>3.1903946939907245E-2</v>
      </c>
      <c r="AF242" s="134">
        <f>+_xlfn.XLOOKUP(PROYECTOS[[#This Row],[MUNICIPIO]],'4.CAP_ENDMNT'!B:B,'4.CAP_ENDMNT'!O:O,0,0,1)</f>
        <v>0.65192157878949775</v>
      </c>
      <c r="AG242" s="134">
        <f>+_xlfn.XLOOKUP(PROYECTOS[[#This Row],[MUNICIPIO]],'4.CAP_ENDMNT'!B:B,'4.CAP_ENDMNT'!P:P,0,0,1)</f>
        <v>0.8</v>
      </c>
      <c r="AH242" s="44" t="str">
        <f>+_xlfn.XLOOKUP(PROYECTOS[[#This Row],[MUNICIPIO]],'4.CAP_ENDMNT'!B:B,'4.CAP_ENDMNT'!Q:Q,0,0,1)</f>
        <v>Cumple</v>
      </c>
      <c r="AI242" s="139">
        <f>+_xlfn.XLOOKUP(PROYECTOS[[#This Row],[MUNICIPIO]],'4.CAP_ENDMNT'!B:B,'4.CAP_ENDMNT'!V:V,0,0,1)</f>
        <v>1284621599.68644</v>
      </c>
      <c r="AJ242" s="139">
        <f>+_xlfn.XLOOKUP(PROYECTOS[[#This Row],[MUNICIPIO]],'4.CAP_ENDMNT'!B:B,'4.CAP_ENDMNT'!Y:Y,0,0,1)</f>
        <v>-1198654643.881361</v>
      </c>
      <c r="AK242"/>
      <c r="AL242"/>
      <c r="AM242"/>
    </row>
    <row r="243" spans="1:39">
      <c r="A243" s="44">
        <v>261</v>
      </c>
      <c r="B243" s="37" t="s">
        <v>554</v>
      </c>
      <c r="C243" s="118">
        <v>45747</v>
      </c>
      <c r="D243" s="46" t="s">
        <v>209</v>
      </c>
      <c r="E243" s="47" t="str">
        <f>+_xlfn.XLOOKUP(PROYECTOS[[#This Row],[MUNICIPIO]],MUNICIPIOS!A:A,MUNICIPIOS!E:E,0,0,1)</f>
        <v>Norte</v>
      </c>
      <c r="F243" s="44">
        <f>+_xlfn.XLOOKUP(PROYECTOS[[#This Row],[MUNICIPIO]],MUNICIPIOS!A:A,MUNICIPIOS!F:F,0,0,1)</f>
        <v>-75.439273999999997</v>
      </c>
      <c r="G243" s="44">
        <f>+_xlfn.XLOOKUP(PROYECTOS[[#This Row],[MUNICIPIO]],MUNICIPIOS!A:A,MUNICIPIOS!G:G,0,0,1)</f>
        <v>7.1651999999999996</v>
      </c>
      <c r="H243" s="44">
        <f>+_xlfn.XLOOKUP(PROYECTOS[[#This Row],[MUNICIPIO]],MUNICIPIOS!A:A,MUNICIPIOS!B:B,0,0,1)</f>
        <v>1</v>
      </c>
      <c r="I243" s="44">
        <f>+_xlfn.XLOOKUP(PROYECTOS[[#This Row],[MUNICIPIO]],MUNICIPIOS!A:A,MUNICIPIOS!C:C,0,0,1)</f>
        <v>1</v>
      </c>
      <c r="J243" s="3" t="str" cm="1">
        <f t="array" ref="J243">_xlfn.TEXTJOIN(" ", TRUE, IF(radicados[ID PROYECTOS]=A243, radicados[RADICADO], ""))</f>
        <v/>
      </c>
      <c r="K243" s="45">
        <v>1</v>
      </c>
      <c r="L243" s="48"/>
      <c r="M243" s="34" t="s">
        <v>407</v>
      </c>
      <c r="N243" s="40" t="s">
        <v>397</v>
      </c>
      <c r="O243" s="40" t="s">
        <v>56</v>
      </c>
      <c r="P243" s="37" t="s">
        <v>541</v>
      </c>
      <c r="Q243" s="45"/>
      <c r="R243" s="43"/>
      <c r="S243" s="43"/>
      <c r="T243" s="44">
        <f>+_xlfn.XLOOKUP(PROYECTOS[[#This Row],[MUNICIPIO]],'4.CAP_ENDMNT'!B:B,'4.CAP_ENDMNT'!C:C,0,0,1)</f>
        <v>6</v>
      </c>
      <c r="U243" s="139">
        <f>+_xlfn.XLOOKUP(PROYECTOS[[#This Row],[MUNICIPIO]],'4.CAP_ENDMNT'!B:B,'4.CAP_ENDMNT'!D:D,0,0,1)</f>
        <v>13037566833.207003</v>
      </c>
      <c r="V243" s="140">
        <f>+_xlfn.XLOOKUP(PROYECTOS[[#This Row],[MUNICIPIO]],'4.CAP_ENDMNT'!B:B,'4.CAP_ENDMNT'!E:E,0,0,1)</f>
        <v>3869989518.3099999</v>
      </c>
      <c r="W243" s="140">
        <f>+_xlfn.XLOOKUP(PROYECTOS[[#This Row],[MUNICIPIO]],'4.CAP_ENDMNT'!B:B,'4.CAP_ENDMNT'!F:F,0,0,1)</f>
        <v>9167577314.8970032</v>
      </c>
      <c r="X243" s="140">
        <f>+_xlfn.XLOOKUP(PROYECTOS[[#This Row],[MUNICIPIO]],'4.CAP_ENDMNT'!B:B,'4.CAP_ENDMNT'!G:G,0,0,1)</f>
        <v>3761583922</v>
      </c>
      <c r="Y243" s="140">
        <f>+_xlfn.XLOOKUP(PROYECTOS[[#This Row],[MUNICIPIO]],'4.CAP_ENDMNT'!B:B,'4.CAP_ENDMNT'!H:H,0,0,1)</f>
        <v>0</v>
      </c>
      <c r="Z243" s="140">
        <f>+_xlfn.XLOOKUP(PROYECTOS[[#This Row],[MUNICIPIO]],'4.CAP_ENDMNT'!B:B,'4.CAP_ENDMNT'!I:I,0,0,1)</f>
        <v>3761583922</v>
      </c>
      <c r="AA243" s="134">
        <f>+_xlfn.XLOOKUP(PROYECTOS[[#This Row],[MUNICIPIO]],'4.CAP_ENDMNT'!B:B,'4.CAP_ENDMNT'!J:J,0,0,1)</f>
        <v>0.28851886016178674</v>
      </c>
      <c r="AB243" s="140">
        <f>+_xlfn.XLOOKUP(PROYECTOS[[#This Row],[MUNICIPIO]],'4.CAP_ENDMNT'!B:B,'4.CAP_ENDMNT'!K:K,0,0,1)</f>
        <v>9275982911.2070026</v>
      </c>
      <c r="AC243" s="140">
        <f>+_xlfn.XLOOKUP(PROYECTOS[[#This Row],[MUNICIPIO]],'4.CAP_ENDMNT'!B:B,'4.CAP_ENDMNT'!L:L,0,0,1)</f>
        <v>7420786328.9656029</v>
      </c>
      <c r="AD243" s="140">
        <f>+_xlfn.XLOOKUP(PROYECTOS[[#This Row],[MUNICIPIO]],'4.CAP_ENDMNT'!B:B,'4.CAP_ENDMNT'!M:M,0,0,1)</f>
        <v>5565589746.7242012</v>
      </c>
      <c r="AE243" s="134">
        <f>+_xlfn.XLOOKUP(PROYECTOS[[#This Row],[MUNICIPIO]],'4.CAP_ENDMNT'!B:B,'4.CAP_ENDMNT'!N:N,0,0,1)</f>
        <v>1</v>
      </c>
      <c r="AF243" s="134">
        <f>+_xlfn.XLOOKUP(PROYECTOS[[#This Row],[MUNICIPIO]],'4.CAP_ENDMNT'!B:B,'4.CAP_ENDMNT'!O:O,0,0,1)</f>
        <v>0.55776534569064784</v>
      </c>
      <c r="AG243" s="134">
        <f>+_xlfn.XLOOKUP(PROYECTOS[[#This Row],[MUNICIPIO]],'4.CAP_ENDMNT'!B:B,'4.CAP_ENDMNT'!P:P,0,0,1)</f>
        <v>0.8</v>
      </c>
      <c r="AH243" s="44" t="str">
        <f>+_xlfn.XLOOKUP(PROYECTOS[[#This Row],[MUNICIPIO]],'4.CAP_ENDMNT'!B:B,'4.CAP_ENDMNT'!Q:Q,0,0,1)</f>
        <v>Cumple</v>
      </c>
      <c r="AI243" s="139">
        <f>+_xlfn.XLOOKUP(PROYECTOS[[#This Row],[MUNICIPIO]],'4.CAP_ENDMNT'!B:B,'4.CAP_ENDMNT'!V:V,0,0,1)</f>
        <v>1113117949.3448403</v>
      </c>
      <c r="AJ243" s="139">
        <f>+_xlfn.XLOOKUP(PROYECTOS[[#This Row],[MUNICIPIO]],'4.CAP_ENDMNT'!B:B,'4.CAP_ENDMNT'!Y:Y,0,0,1)</f>
        <v>-623173287.21095943</v>
      </c>
      <c r="AK243"/>
      <c r="AL243"/>
      <c r="AM243"/>
    </row>
    <row r="244" spans="1:39">
      <c r="A244" s="44">
        <v>262</v>
      </c>
      <c r="B244" s="37" t="s">
        <v>555</v>
      </c>
      <c r="C244" s="118">
        <v>45747</v>
      </c>
      <c r="D244" s="46" t="s">
        <v>57</v>
      </c>
      <c r="E244" s="47" t="str">
        <f>+_xlfn.XLOOKUP(PROYECTOS[[#This Row],[MUNICIPIO]],MUNICIPIOS!A:A,MUNICIPIOS!E:E,0,0,1)</f>
        <v>Norte</v>
      </c>
      <c r="F244" s="44">
        <f>+_xlfn.XLOOKUP(PROYECTOS[[#This Row],[MUNICIPIO]],MUNICIPIOS!A:A,MUNICIPIOS!F:F,0,0,1)</f>
        <v>-75.683351999999999</v>
      </c>
      <c r="G244" s="44" t="str">
        <f>+_xlfn.XLOOKUP(PROYECTOS[[#This Row],[MUNICIPIO]],MUNICIPIOS!A:A,MUNICIPIOS!G:G,0,0,1)</f>
        <v>6,85009</v>
      </c>
      <c r="H244" s="44">
        <f>+_xlfn.XLOOKUP(PROYECTOS[[#This Row],[MUNICIPIO]],MUNICIPIOS!A:A,MUNICIPIOS!B:B,0,0,1)</f>
        <v>0</v>
      </c>
      <c r="I244" s="44">
        <f>+_xlfn.XLOOKUP(PROYECTOS[[#This Row],[MUNICIPIO]],MUNICIPIOS!A:A,MUNICIPIOS!C:C,0,0,1)</f>
        <v>0</v>
      </c>
      <c r="J244" s="3" t="str" cm="1">
        <f t="array" ref="J244">_xlfn.TEXTJOIN(" ", TRUE, IF(radicados[ID PROYECTOS]=A244, radicados[RADICADO], ""))</f>
        <v/>
      </c>
      <c r="K244" s="45">
        <v>1</v>
      </c>
      <c r="L244" s="48"/>
      <c r="M244" s="34" t="s">
        <v>407</v>
      </c>
      <c r="N244" s="40" t="s">
        <v>397</v>
      </c>
      <c r="O244" s="40" t="s">
        <v>56</v>
      </c>
      <c r="P244" s="37" t="s">
        <v>541</v>
      </c>
      <c r="Q244" s="45"/>
      <c r="R244" s="43"/>
      <c r="S244" s="43"/>
      <c r="T244" s="44">
        <f>+_xlfn.XLOOKUP(PROYECTOS[[#This Row],[MUNICIPIO]],'4.CAP_ENDMNT'!B:B,'4.CAP_ENDMNT'!C:C,0,0,1)</f>
        <v>6</v>
      </c>
      <c r="U244" s="139">
        <f>+_xlfn.XLOOKUP(PROYECTOS[[#This Row],[MUNICIPIO]],'4.CAP_ENDMNT'!B:B,'4.CAP_ENDMNT'!D:D,0,0,1)</f>
        <v>5437802568.3275003</v>
      </c>
      <c r="V244" s="140">
        <f>+_xlfn.XLOOKUP(PROYECTOS[[#This Row],[MUNICIPIO]],'4.CAP_ENDMNT'!B:B,'4.CAP_ENDMNT'!E:E,0,0,1)</f>
        <v>2195257843.8499999</v>
      </c>
      <c r="W244" s="140">
        <f>+_xlfn.XLOOKUP(PROYECTOS[[#This Row],[MUNICIPIO]],'4.CAP_ENDMNT'!B:B,'4.CAP_ENDMNT'!F:F,0,0,1)</f>
        <v>3242544724.4775004</v>
      </c>
      <c r="X244" s="140">
        <f>+_xlfn.XLOOKUP(PROYECTOS[[#This Row],[MUNICIPIO]],'4.CAP_ENDMNT'!B:B,'4.CAP_ENDMNT'!G:G,0,0,1)</f>
        <v>1389038990</v>
      </c>
      <c r="Y244" s="140">
        <f>+_xlfn.XLOOKUP(PROYECTOS[[#This Row],[MUNICIPIO]],'4.CAP_ENDMNT'!B:B,'4.CAP_ENDMNT'!H:H,0,0,1)</f>
        <v>0</v>
      </c>
      <c r="Z244" s="140">
        <f>+_xlfn.XLOOKUP(PROYECTOS[[#This Row],[MUNICIPIO]],'4.CAP_ENDMNT'!B:B,'4.CAP_ENDMNT'!I:I,0,0,1)</f>
        <v>1389038990</v>
      </c>
      <c r="AA244" s="134">
        <f>+_xlfn.XLOOKUP(PROYECTOS[[#This Row],[MUNICIPIO]],'4.CAP_ENDMNT'!B:B,'4.CAP_ENDMNT'!J:J,0,0,1)</f>
        <v>0.25544123247329026</v>
      </c>
      <c r="AB244" s="140">
        <f>+_xlfn.XLOOKUP(PROYECTOS[[#This Row],[MUNICIPIO]],'4.CAP_ENDMNT'!B:B,'4.CAP_ENDMNT'!K:K,0,0,1)</f>
        <v>4048763578.3275003</v>
      </c>
      <c r="AC244" s="140">
        <f>+_xlfn.XLOOKUP(PROYECTOS[[#This Row],[MUNICIPIO]],'4.CAP_ENDMNT'!B:B,'4.CAP_ENDMNT'!L:L,0,0,1)</f>
        <v>3239010862.6620007</v>
      </c>
      <c r="AD244" s="140">
        <f>+_xlfn.XLOOKUP(PROYECTOS[[#This Row],[MUNICIPIO]],'4.CAP_ENDMNT'!B:B,'4.CAP_ENDMNT'!M:M,0,0,1)</f>
        <v>2429258146.9965</v>
      </c>
      <c r="AE244" s="134">
        <f>+_xlfn.XLOOKUP(PROYECTOS[[#This Row],[MUNICIPIO]],'4.CAP_ENDMNT'!B:B,'4.CAP_ENDMNT'!N:N,0,0,1)</f>
        <v>1</v>
      </c>
      <c r="AF244" s="134">
        <f>+_xlfn.XLOOKUP(PROYECTOS[[#This Row],[MUNICIPIO]],'4.CAP_ENDMNT'!B:B,'4.CAP_ENDMNT'!O:O,0,0,1)</f>
        <v>0.74230580339650343</v>
      </c>
      <c r="AG244" s="134">
        <f>+_xlfn.XLOOKUP(PROYECTOS[[#This Row],[MUNICIPIO]],'4.CAP_ENDMNT'!B:B,'4.CAP_ENDMNT'!P:P,0,0,1)</f>
        <v>0.8</v>
      </c>
      <c r="AH244" s="44" t="str">
        <f>+_xlfn.XLOOKUP(PROYECTOS[[#This Row],[MUNICIPIO]],'4.CAP_ENDMNT'!B:B,'4.CAP_ENDMNT'!Q:Q,0,0,1)</f>
        <v>Cumple</v>
      </c>
      <c r="AI244" s="139">
        <f>+_xlfn.XLOOKUP(PROYECTOS[[#This Row],[MUNICIPIO]],'4.CAP_ENDMNT'!B:B,'4.CAP_ENDMNT'!V:V,0,0,1)</f>
        <v>485851629.39930004</v>
      </c>
      <c r="AJ244" s="139">
        <f>+_xlfn.XLOOKUP(PROYECTOS[[#This Row],[MUNICIPIO]],'4.CAP_ENDMNT'!B:B,'4.CAP_ENDMNT'!Y:Y,0,0,1)</f>
        <v>-14155936706.6042</v>
      </c>
      <c r="AK244"/>
      <c r="AL244"/>
      <c r="AM244"/>
    </row>
    <row r="245" spans="1:39">
      <c r="A245" s="44">
        <v>263</v>
      </c>
      <c r="B245" s="37" t="s">
        <v>556</v>
      </c>
      <c r="C245" s="118">
        <v>45747</v>
      </c>
      <c r="D245" s="34" t="s">
        <v>796</v>
      </c>
      <c r="E245" s="47" t="str">
        <f>+_xlfn.XLOOKUP(PROYECTOS[[#This Row],[MUNICIPIO]],MUNICIPIOS!A:A,MUNICIPIOS!E:E,0,0,1)</f>
        <v>Norte</v>
      </c>
      <c r="F245" s="44">
        <f>+_xlfn.XLOOKUP(PROYECTOS[[#This Row],[MUNICIPIO]],MUNICIPIOS!A:A,MUNICIPIOS!F:F,0,0,1)</f>
        <v>-75.283192</v>
      </c>
      <c r="G245" s="44" t="str">
        <f>+_xlfn.XLOOKUP(PROYECTOS[[#This Row],[MUNICIPIO]],MUNICIPIOS!A:A,MUNICIPIOS!G:G,0,0,1)</f>
        <v>6,725995</v>
      </c>
      <c r="H245" s="44">
        <f>+_xlfn.XLOOKUP(PROYECTOS[[#This Row],[MUNICIPIO]],MUNICIPIOS!A:A,MUNICIPIOS!B:B,0,0,1)</f>
        <v>0</v>
      </c>
      <c r="I245" s="44">
        <f>+_xlfn.XLOOKUP(PROYECTOS[[#This Row],[MUNICIPIO]],MUNICIPIOS!A:A,MUNICIPIOS!C:C,0,0,1)</f>
        <v>0</v>
      </c>
      <c r="J245" s="3" t="str" cm="1">
        <f t="array" ref="J245">_xlfn.TEXTJOIN(" ", TRUE, IF(radicados[ID PROYECTOS]=A245, radicados[RADICADO], ""))</f>
        <v/>
      </c>
      <c r="K245" s="45">
        <v>3</v>
      </c>
      <c r="L245" s="48">
        <v>1807500000</v>
      </c>
      <c r="M245" s="34" t="s">
        <v>407</v>
      </c>
      <c r="N245" s="40" t="s">
        <v>397</v>
      </c>
      <c r="O245" s="40" t="s">
        <v>56</v>
      </c>
      <c r="P245" s="37" t="s">
        <v>1238</v>
      </c>
      <c r="Q245" s="45">
        <v>1</v>
      </c>
      <c r="R245" s="43" t="s">
        <v>922</v>
      </c>
      <c r="S245" s="43" t="s">
        <v>1643</v>
      </c>
      <c r="T245" s="44">
        <f>+_xlfn.XLOOKUP(PROYECTOS[[#This Row],[MUNICIPIO]],'4.CAP_ENDMNT'!B:B,'4.CAP_ENDMNT'!C:C,0,0,1)</f>
        <v>6</v>
      </c>
      <c r="U245" s="139">
        <f>+_xlfn.XLOOKUP(PROYECTOS[[#This Row],[MUNICIPIO]],'4.CAP_ENDMNT'!B:B,'4.CAP_ENDMNT'!D:D,0,0,1)</f>
        <v>12753516160.956001</v>
      </c>
      <c r="V245" s="140">
        <f>+_xlfn.XLOOKUP(PROYECTOS[[#This Row],[MUNICIPIO]],'4.CAP_ENDMNT'!B:B,'4.CAP_ENDMNT'!E:E,0,0,1)</f>
        <v>2768667331.0500002</v>
      </c>
      <c r="W245" s="140">
        <f>+_xlfn.XLOOKUP(PROYECTOS[[#This Row],[MUNICIPIO]],'4.CAP_ENDMNT'!B:B,'4.CAP_ENDMNT'!F:F,0,0,1)</f>
        <v>9984848829.906002</v>
      </c>
      <c r="X245" s="140">
        <f>+_xlfn.XLOOKUP(PROYECTOS[[#This Row],[MUNICIPIO]],'4.CAP_ENDMNT'!B:B,'4.CAP_ENDMNT'!G:G,0,0,1)</f>
        <v>1244778755</v>
      </c>
      <c r="Y245" s="140">
        <f>+_xlfn.XLOOKUP(PROYECTOS[[#This Row],[MUNICIPIO]],'4.CAP_ENDMNT'!B:B,'4.CAP_ENDMNT'!H:H,0,0,1)</f>
        <v>0</v>
      </c>
      <c r="Z245" s="140">
        <f>+_xlfn.XLOOKUP(PROYECTOS[[#This Row],[MUNICIPIO]],'4.CAP_ENDMNT'!B:B,'4.CAP_ENDMNT'!I:I,0,0,1)</f>
        <v>1244778755</v>
      </c>
      <c r="AA245" s="134">
        <f>+_xlfn.XLOOKUP(PROYECTOS[[#This Row],[MUNICIPIO]],'4.CAP_ENDMNT'!B:B,'4.CAP_ENDMNT'!J:J,0,0,1)</f>
        <v>9.760278963779441E-2</v>
      </c>
      <c r="AB245" s="140">
        <f>+_xlfn.XLOOKUP(PROYECTOS[[#This Row],[MUNICIPIO]],'4.CAP_ENDMNT'!B:B,'4.CAP_ENDMNT'!K:K,0,0,1)</f>
        <v>11508737405.956001</v>
      </c>
      <c r="AC245" s="140">
        <f>+_xlfn.XLOOKUP(PROYECTOS[[#This Row],[MUNICIPIO]],'4.CAP_ENDMNT'!B:B,'4.CAP_ENDMNT'!L:L,0,0,1)</f>
        <v>9206989924.764801</v>
      </c>
      <c r="AD245" s="140">
        <f>+_xlfn.XLOOKUP(PROYECTOS[[#This Row],[MUNICIPIO]],'4.CAP_ENDMNT'!B:B,'4.CAP_ENDMNT'!M:M,0,0,1)</f>
        <v>6905242443.5736008</v>
      </c>
      <c r="AE245" s="134">
        <f>+_xlfn.XLOOKUP(PROYECTOS[[#This Row],[MUNICIPIO]],'4.CAP_ENDMNT'!B:B,'4.CAP_ENDMNT'!N:N,0,0,1)</f>
        <v>1</v>
      </c>
      <c r="AF245" s="134">
        <f>+_xlfn.XLOOKUP(PROYECTOS[[#This Row],[MUNICIPIO]],'4.CAP_ENDMNT'!B:B,'4.CAP_ENDMNT'!O:O,0,0,1)</f>
        <v>0.7839967136976107</v>
      </c>
      <c r="AG245" s="134">
        <f>+_xlfn.XLOOKUP(PROYECTOS[[#This Row],[MUNICIPIO]],'4.CAP_ENDMNT'!B:B,'4.CAP_ENDMNT'!P:P,0,0,1)</f>
        <v>0.8</v>
      </c>
      <c r="AH245" s="44" t="str">
        <f>+_xlfn.XLOOKUP(PROYECTOS[[#This Row],[MUNICIPIO]],'4.CAP_ENDMNT'!B:B,'4.CAP_ENDMNT'!Q:Q,0,0,1)</f>
        <v>Riesgo</v>
      </c>
      <c r="AI245" s="139">
        <f>+_xlfn.XLOOKUP(PROYECTOS[[#This Row],[MUNICIPIO]],'4.CAP_ENDMNT'!B:B,'4.CAP_ENDMNT'!V:V,0,0,1)</f>
        <v>1381048488.7147202</v>
      </c>
      <c r="AJ245" s="139">
        <f>+_xlfn.XLOOKUP(PROYECTOS[[#This Row],[MUNICIPIO]],'4.CAP_ENDMNT'!B:B,'4.CAP_ENDMNT'!Y:Y,0,0,1)</f>
        <v>6478790932.2883205</v>
      </c>
      <c r="AK245"/>
      <c r="AL245"/>
      <c r="AM245"/>
    </row>
    <row r="246" spans="1:39">
      <c r="A246" s="44">
        <v>264</v>
      </c>
      <c r="B246" s="37" t="s">
        <v>558</v>
      </c>
      <c r="C246" s="118">
        <v>45747</v>
      </c>
      <c r="D246" s="46" t="s">
        <v>191</v>
      </c>
      <c r="E246" s="47" t="str">
        <f>+_xlfn.XLOOKUP(PROYECTOS[[#This Row],[MUNICIPIO]],MUNICIPIOS!A:A,MUNICIPIOS!E:E,0,0,1)</f>
        <v>Bajo Cauca</v>
      </c>
      <c r="F246" s="44">
        <f>+_xlfn.XLOOKUP(PROYECTOS[[#This Row],[MUNICIPIO]],MUNICIPIOS!A:A,MUNICIPIOS!F:F,0,0,1)</f>
        <v>-75.352050000000006</v>
      </c>
      <c r="G246" s="44" t="str">
        <f>+_xlfn.XLOOKUP(PROYECTOS[[#This Row],[MUNICIPIO]],MUNICIPIOS!A:A,MUNICIPIOS!G:G,0,0,1)</f>
        <v>7,578366</v>
      </c>
      <c r="H246" s="44">
        <f>+_xlfn.XLOOKUP(PROYECTOS[[#This Row],[MUNICIPIO]],MUNICIPIOS!A:A,MUNICIPIOS!B:B,0,0,1)</f>
        <v>1</v>
      </c>
      <c r="I246" s="44">
        <f>+_xlfn.XLOOKUP(PROYECTOS[[#This Row],[MUNICIPIO]],MUNICIPIOS!A:A,MUNICIPIOS!C:C,0,0,1)</f>
        <v>1</v>
      </c>
      <c r="J246" s="3" t="str" cm="1">
        <f t="array" ref="J246">_xlfn.TEXTJOIN(" ", TRUE, IF(radicados[ID PROYECTOS]=A246, radicados[RADICADO], ""))</f>
        <v/>
      </c>
      <c r="K246" s="45">
        <v>1</v>
      </c>
      <c r="L246" s="48"/>
      <c r="M246" s="34" t="s">
        <v>407</v>
      </c>
      <c r="N246" s="40" t="s">
        <v>397</v>
      </c>
      <c r="O246" s="40" t="s">
        <v>56</v>
      </c>
      <c r="P246" s="37" t="s">
        <v>541</v>
      </c>
      <c r="Q246" s="45"/>
      <c r="R246" s="43"/>
      <c r="S246" s="43"/>
      <c r="T246" s="44">
        <f>+_xlfn.XLOOKUP(PROYECTOS[[#This Row],[MUNICIPIO]],'4.CAP_ENDMNT'!B:B,'4.CAP_ENDMNT'!C:C,0,0,1)</f>
        <v>6</v>
      </c>
      <c r="U246" s="139">
        <f>+_xlfn.XLOOKUP(PROYECTOS[[#This Row],[MUNICIPIO]],'4.CAP_ENDMNT'!B:B,'4.CAP_ENDMNT'!D:D,0,0,1)</f>
        <v>16341381522.362501</v>
      </c>
      <c r="V246" s="140">
        <f>+_xlfn.XLOOKUP(PROYECTOS[[#This Row],[MUNICIPIO]],'4.CAP_ENDMNT'!B:B,'4.CAP_ENDMNT'!E:E,0,0,1)</f>
        <v>6183321664.5100002</v>
      </c>
      <c r="W246" s="140">
        <f>+_xlfn.XLOOKUP(PROYECTOS[[#This Row],[MUNICIPIO]],'4.CAP_ENDMNT'!B:B,'4.CAP_ENDMNT'!F:F,0,0,1)</f>
        <v>10158059857.852501</v>
      </c>
      <c r="X246" s="140">
        <f>+_xlfn.XLOOKUP(PROYECTOS[[#This Row],[MUNICIPIO]],'4.CAP_ENDMNT'!B:B,'4.CAP_ENDMNT'!G:G,0,0,1)</f>
        <v>3504148016</v>
      </c>
      <c r="Y246" s="140">
        <f>+_xlfn.XLOOKUP(PROYECTOS[[#This Row],[MUNICIPIO]],'4.CAP_ENDMNT'!B:B,'4.CAP_ENDMNT'!H:H,0,0,1)</f>
        <v>5476192157</v>
      </c>
      <c r="Z246" s="140">
        <f>+_xlfn.XLOOKUP(PROYECTOS[[#This Row],[MUNICIPIO]],'4.CAP_ENDMNT'!B:B,'4.CAP_ENDMNT'!I:I,0,0,1)</f>
        <v>8980340173</v>
      </c>
      <c r="AA246" s="134">
        <f>+_xlfn.XLOOKUP(PROYECTOS[[#This Row],[MUNICIPIO]],'4.CAP_ENDMNT'!B:B,'4.CAP_ENDMNT'!J:J,0,0,1)</f>
        <v>0.54954595856603539</v>
      </c>
      <c r="AB246" s="140">
        <f>+_xlfn.XLOOKUP(PROYECTOS[[#This Row],[MUNICIPIO]],'4.CAP_ENDMNT'!B:B,'4.CAP_ENDMNT'!K:K,0,0,1)</f>
        <v>7361041349.3625011</v>
      </c>
      <c r="AC246" s="140">
        <f>+_xlfn.XLOOKUP(PROYECTOS[[#This Row],[MUNICIPIO]],'4.CAP_ENDMNT'!B:B,'4.CAP_ENDMNT'!L:L,0,0,1)</f>
        <v>5888833079.4900017</v>
      </c>
      <c r="AD246" s="140">
        <f>+_xlfn.XLOOKUP(PROYECTOS[[#This Row],[MUNICIPIO]],'4.CAP_ENDMNT'!B:B,'4.CAP_ENDMNT'!M:M,0,0,1)</f>
        <v>4416624809.6175003</v>
      </c>
      <c r="AE246" s="134">
        <f>+_xlfn.XLOOKUP(PROYECTOS[[#This Row],[MUNICIPIO]],'4.CAP_ENDMNT'!B:B,'4.CAP_ENDMNT'!N:N,0,0,1)</f>
        <v>0.39020214696715588</v>
      </c>
      <c r="AF246" s="134">
        <f>+_xlfn.XLOOKUP(PROYECTOS[[#This Row],[MUNICIPIO]],'4.CAP_ENDMNT'!B:B,'4.CAP_ENDMNT'!O:O,0,0,1)</f>
        <v>0.6661172152696142</v>
      </c>
      <c r="AG246" s="134">
        <f>+_xlfn.XLOOKUP(PROYECTOS[[#This Row],[MUNICIPIO]],'4.CAP_ENDMNT'!B:B,'4.CAP_ENDMNT'!P:P,0,0,1)</f>
        <v>0.8</v>
      </c>
      <c r="AH246" s="44" t="str">
        <f>+_xlfn.XLOOKUP(PROYECTOS[[#This Row],[MUNICIPIO]],'4.CAP_ENDMNT'!B:B,'4.CAP_ENDMNT'!Q:Q,0,0,1)</f>
        <v>Cumple</v>
      </c>
      <c r="AI246" s="139">
        <f>+_xlfn.XLOOKUP(PROYECTOS[[#This Row],[MUNICIPIO]],'4.CAP_ENDMNT'!B:B,'4.CAP_ENDMNT'!V:V,0,0,1)</f>
        <v>883324961.92350006</v>
      </c>
      <c r="AJ246" s="139">
        <f>+_xlfn.XLOOKUP(PROYECTOS[[#This Row],[MUNICIPIO]],'4.CAP_ENDMNT'!B:B,'4.CAP_ENDMNT'!Y:Y,0,0,1)</f>
        <v>-321308282411.45898</v>
      </c>
      <c r="AK246"/>
      <c r="AL246"/>
      <c r="AM246"/>
    </row>
    <row r="247" spans="1:39">
      <c r="A247" s="44">
        <v>265</v>
      </c>
      <c r="B247" s="37" t="s">
        <v>559</v>
      </c>
      <c r="C247" s="118">
        <v>45747</v>
      </c>
      <c r="D247" s="46" t="s">
        <v>329</v>
      </c>
      <c r="E247" s="47" t="str">
        <f>+_xlfn.XLOOKUP(PROYECTOS[[#This Row],[MUNICIPIO]],MUNICIPIOS!A:A,MUNICIPIOS!E:E,0,0,1)</f>
        <v>Bajo Cauca</v>
      </c>
      <c r="F247" s="44">
        <f>+_xlfn.XLOOKUP(PROYECTOS[[#This Row],[MUNICIPIO]],MUNICIPIOS!A:A,MUNICIPIOS!F:F,0,0,1)</f>
        <v>-74.776470000000003</v>
      </c>
      <c r="G247" s="44" t="str">
        <f>+_xlfn.XLOOKUP(PROYECTOS[[#This Row],[MUNICIPIO]],MUNICIPIOS!A:A,MUNICIPIOS!G:G,0,0,1)</f>
        <v>8,094129</v>
      </c>
      <c r="H247" s="44">
        <f>+_xlfn.XLOOKUP(PROYECTOS[[#This Row],[MUNICIPIO]],MUNICIPIOS!A:A,MUNICIPIOS!B:B,0,0,1)</f>
        <v>1</v>
      </c>
      <c r="I247" s="44">
        <f>+_xlfn.XLOOKUP(PROYECTOS[[#This Row],[MUNICIPIO]],MUNICIPIOS!A:A,MUNICIPIOS!C:C,0,0,1)</f>
        <v>1</v>
      </c>
      <c r="J247" s="3" t="str" cm="1">
        <f t="array" ref="J247">_xlfn.TEXTJOIN(" ", TRUE, IF(radicados[ID PROYECTOS]=A247, radicados[RADICADO], ""))</f>
        <v/>
      </c>
      <c r="K247" s="45">
        <v>1</v>
      </c>
      <c r="L247" s="48"/>
      <c r="M247" s="34" t="s">
        <v>407</v>
      </c>
      <c r="N247" s="40" t="s">
        <v>397</v>
      </c>
      <c r="O247" s="40" t="s">
        <v>56</v>
      </c>
      <c r="P247" s="37" t="s">
        <v>541</v>
      </c>
      <c r="Q247" s="45"/>
      <c r="R247" s="43"/>
      <c r="S247" s="43"/>
      <c r="T247" s="44">
        <f>+_xlfn.XLOOKUP(PROYECTOS[[#This Row],[MUNICIPIO]],'4.CAP_ENDMNT'!B:B,'4.CAP_ENDMNT'!C:C,0,0,1)</f>
        <v>6</v>
      </c>
      <c r="U247" s="139">
        <f>+_xlfn.XLOOKUP(PROYECTOS[[#This Row],[MUNICIPIO]],'4.CAP_ENDMNT'!B:B,'4.CAP_ENDMNT'!D:D,0,0,1)</f>
        <v>17207529181.433002</v>
      </c>
      <c r="V247" s="140">
        <f>+_xlfn.XLOOKUP(PROYECTOS[[#This Row],[MUNICIPIO]],'4.CAP_ENDMNT'!B:B,'4.CAP_ENDMNT'!E:E,0,0,1)</f>
        <v>3556882387.1300001</v>
      </c>
      <c r="W247" s="140">
        <f>+_xlfn.XLOOKUP(PROYECTOS[[#This Row],[MUNICIPIO]],'4.CAP_ENDMNT'!B:B,'4.CAP_ENDMNT'!F:F,0,0,1)</f>
        <v>13650646794.303001</v>
      </c>
      <c r="X247" s="140">
        <f>+_xlfn.XLOOKUP(PROYECTOS[[#This Row],[MUNICIPIO]],'4.CAP_ENDMNT'!B:B,'4.CAP_ENDMNT'!G:G,0,0,1)</f>
        <v>2981910160</v>
      </c>
      <c r="Y247" s="140">
        <f>+_xlfn.XLOOKUP(PROYECTOS[[#This Row],[MUNICIPIO]],'4.CAP_ENDMNT'!B:B,'4.CAP_ENDMNT'!H:H,0,0,1)</f>
        <v>5898924731</v>
      </c>
      <c r="Z247" s="140">
        <f>+_xlfn.XLOOKUP(PROYECTOS[[#This Row],[MUNICIPIO]],'4.CAP_ENDMNT'!B:B,'4.CAP_ENDMNT'!I:I,0,0,1)</f>
        <v>8880834891</v>
      </c>
      <c r="AA247" s="134">
        <f>+_xlfn.XLOOKUP(PROYECTOS[[#This Row],[MUNICIPIO]],'4.CAP_ENDMNT'!B:B,'4.CAP_ENDMNT'!J:J,0,0,1)</f>
        <v>0.51610168998478057</v>
      </c>
      <c r="AB247" s="140">
        <f>+_xlfn.XLOOKUP(PROYECTOS[[#This Row],[MUNICIPIO]],'4.CAP_ENDMNT'!B:B,'4.CAP_ENDMNT'!K:K,0,0,1)</f>
        <v>8326694290.4330025</v>
      </c>
      <c r="AC247" s="140">
        <f>+_xlfn.XLOOKUP(PROYECTOS[[#This Row],[MUNICIPIO]],'4.CAP_ENDMNT'!B:B,'4.CAP_ENDMNT'!L:L,0,0,1)</f>
        <v>6661355432.3464022</v>
      </c>
      <c r="AD247" s="140">
        <f>+_xlfn.XLOOKUP(PROYECTOS[[#This Row],[MUNICIPIO]],'4.CAP_ENDMNT'!B:B,'4.CAP_ENDMNT'!M:M,0,0,1)</f>
        <v>4996016574.2598009</v>
      </c>
      <c r="AE247" s="134">
        <f>+_xlfn.XLOOKUP(PROYECTOS[[#This Row],[MUNICIPIO]],'4.CAP_ENDMNT'!B:B,'4.CAP_ENDMNT'!N:N,0,0,1)</f>
        <v>0.3357691249301259</v>
      </c>
      <c r="AF247" s="134">
        <f>+_xlfn.XLOOKUP(PROYECTOS[[#This Row],[MUNICIPIO]],'4.CAP_ENDMNT'!B:B,'4.CAP_ENDMNT'!O:O,0,0,1)</f>
        <v>0.46603493316730282</v>
      </c>
      <c r="AG247" s="134">
        <f>+_xlfn.XLOOKUP(PROYECTOS[[#This Row],[MUNICIPIO]],'4.CAP_ENDMNT'!B:B,'4.CAP_ENDMNT'!P:P,0,0,1)</f>
        <v>0.8</v>
      </c>
      <c r="AH247" s="44" t="str">
        <f>+_xlfn.XLOOKUP(PROYECTOS[[#This Row],[MUNICIPIO]],'4.CAP_ENDMNT'!B:B,'4.CAP_ENDMNT'!Q:Q,0,0,1)</f>
        <v>Cumple</v>
      </c>
      <c r="AI247" s="139">
        <f>+_xlfn.XLOOKUP(PROYECTOS[[#This Row],[MUNICIPIO]],'4.CAP_ENDMNT'!B:B,'4.CAP_ENDMNT'!V:V,0,0,1)</f>
        <v>999203314.85196018</v>
      </c>
      <c r="AJ247" s="139">
        <f>+_xlfn.XLOOKUP(PROYECTOS[[#This Row],[MUNICIPIO]],'4.CAP_ENDMNT'!B:B,'4.CAP_ENDMNT'!Y:Y,0,0,1)</f>
        <v>-4219206551.8882389</v>
      </c>
      <c r="AK247"/>
      <c r="AL247"/>
      <c r="AM247"/>
    </row>
    <row r="248" spans="1:39">
      <c r="A248" s="44">
        <v>266</v>
      </c>
      <c r="B248" s="37" t="s">
        <v>560</v>
      </c>
      <c r="C248" s="118">
        <v>45747</v>
      </c>
      <c r="D248" s="46" t="s">
        <v>63</v>
      </c>
      <c r="E248" s="47" t="str">
        <f>+_xlfn.XLOOKUP(PROYECTOS[[#This Row],[MUNICIPIO]],MUNICIPIOS!A:A,MUNICIPIOS!E:E,0,0,1)</f>
        <v>Urabá</v>
      </c>
      <c r="F248" s="44">
        <f>+_xlfn.XLOOKUP(PROYECTOS[[#This Row],[MUNICIPIO]],MUNICIPIOS!A:A,MUNICIPIOS!F:F,0,0,1)</f>
        <v>-76.380566999999999</v>
      </c>
      <c r="G248" s="44" t="str">
        <f>+_xlfn.XLOOKUP(PROYECTOS[[#This Row],[MUNICIPIO]],MUNICIPIOS!A:A,MUNICIPIOS!G:G,0,0,1)</f>
        <v>8,276884</v>
      </c>
      <c r="H248" s="44">
        <f>+_xlfn.XLOOKUP(PROYECTOS[[#This Row],[MUNICIPIO]],MUNICIPIOS!A:A,MUNICIPIOS!B:B,0,0,1)</f>
        <v>1</v>
      </c>
      <c r="I248" s="44">
        <f>+_xlfn.XLOOKUP(PROYECTOS[[#This Row],[MUNICIPIO]],MUNICIPIOS!A:A,MUNICIPIOS!C:C,0,0,1)</f>
        <v>1</v>
      </c>
      <c r="J248" s="3" t="str" cm="1">
        <f t="array" ref="J248">_xlfn.TEXTJOIN(" ", TRUE, IF(radicados[ID PROYECTOS]=A248, radicados[RADICADO], ""))</f>
        <v/>
      </c>
      <c r="K248" s="45">
        <v>3</v>
      </c>
      <c r="L248" s="48"/>
      <c r="M248" s="34" t="s">
        <v>407</v>
      </c>
      <c r="N248" s="40" t="s">
        <v>397</v>
      </c>
      <c r="O248" s="40" t="s">
        <v>56</v>
      </c>
      <c r="P248" s="37" t="s">
        <v>541</v>
      </c>
      <c r="Q248" s="45">
        <v>1</v>
      </c>
      <c r="R248" s="43" t="s">
        <v>190</v>
      </c>
      <c r="S248" s="43"/>
      <c r="T248" s="44">
        <f>+_xlfn.XLOOKUP(PROYECTOS[[#This Row],[MUNICIPIO]],'4.CAP_ENDMNT'!B:B,'4.CAP_ENDMNT'!C:C,0,0,1)</f>
        <v>6</v>
      </c>
      <c r="U248" s="139">
        <f>+_xlfn.XLOOKUP(PROYECTOS[[#This Row],[MUNICIPIO]],'4.CAP_ENDMNT'!B:B,'4.CAP_ENDMNT'!D:D,0,0,1)</f>
        <v>19508372714.52</v>
      </c>
      <c r="V248" s="140">
        <f>+_xlfn.XLOOKUP(PROYECTOS[[#This Row],[MUNICIPIO]],'4.CAP_ENDMNT'!B:B,'4.CAP_ENDMNT'!E:E,0,0,1)</f>
        <v>5389834315.5</v>
      </c>
      <c r="W248" s="140">
        <f>+_xlfn.XLOOKUP(PROYECTOS[[#This Row],[MUNICIPIO]],'4.CAP_ENDMNT'!B:B,'4.CAP_ENDMNT'!F:F,0,0,1)</f>
        <v>14118538399.02</v>
      </c>
      <c r="X248" s="140">
        <f>+_xlfn.XLOOKUP(PROYECTOS[[#This Row],[MUNICIPIO]],'4.CAP_ENDMNT'!B:B,'4.CAP_ENDMNT'!G:G,0,0,1)</f>
        <v>2594281047</v>
      </c>
      <c r="Y248" s="140">
        <f>+_xlfn.XLOOKUP(PROYECTOS[[#This Row],[MUNICIPIO]],'4.CAP_ENDMNT'!B:B,'4.CAP_ENDMNT'!H:H,0,0,1)</f>
        <v>1833333333</v>
      </c>
      <c r="Z248" s="140">
        <f>+_xlfn.XLOOKUP(PROYECTOS[[#This Row],[MUNICIPIO]],'4.CAP_ENDMNT'!B:B,'4.CAP_ENDMNT'!I:I,0,0,1)</f>
        <v>4427614380</v>
      </c>
      <c r="AA248" s="134">
        <f>+_xlfn.XLOOKUP(PROYECTOS[[#This Row],[MUNICIPIO]],'4.CAP_ENDMNT'!B:B,'4.CAP_ENDMNT'!J:J,0,0,1)</f>
        <v>0.22695969801235882</v>
      </c>
      <c r="AB248" s="140">
        <f>+_xlfn.XLOOKUP(PROYECTOS[[#This Row],[MUNICIPIO]],'4.CAP_ENDMNT'!B:B,'4.CAP_ENDMNT'!K:K,0,0,1)</f>
        <v>15080758334.52</v>
      </c>
      <c r="AC248" s="140">
        <f>+_xlfn.XLOOKUP(PROYECTOS[[#This Row],[MUNICIPIO]],'4.CAP_ENDMNT'!B:B,'4.CAP_ENDMNT'!L:L,0,0,1)</f>
        <v>12064606667.616001</v>
      </c>
      <c r="AD248" s="140">
        <f>+_xlfn.XLOOKUP(PROYECTOS[[#This Row],[MUNICIPIO]],'4.CAP_ENDMNT'!B:B,'4.CAP_ENDMNT'!M:M,0,0,1)</f>
        <v>9048455000.7119999</v>
      </c>
      <c r="AE248" s="134">
        <f>+_xlfn.XLOOKUP(PROYECTOS[[#This Row],[MUNICIPIO]],'4.CAP_ENDMNT'!B:B,'4.CAP_ENDMNT'!N:N,0,0,1)</f>
        <v>0.58593202215591322</v>
      </c>
      <c r="AF248" s="134">
        <f>+_xlfn.XLOOKUP(PROYECTOS[[#This Row],[MUNICIPIO]],'4.CAP_ENDMNT'!B:B,'4.CAP_ENDMNT'!O:O,0,0,1)</f>
        <v>0.58851112900500024</v>
      </c>
      <c r="AG248" s="134">
        <f>+_xlfn.XLOOKUP(PROYECTOS[[#This Row],[MUNICIPIO]],'4.CAP_ENDMNT'!B:B,'4.CAP_ENDMNT'!P:P,0,0,1)</f>
        <v>0.8</v>
      </c>
      <c r="AH248" s="44" t="str">
        <f>+_xlfn.XLOOKUP(PROYECTOS[[#This Row],[MUNICIPIO]],'4.CAP_ENDMNT'!B:B,'4.CAP_ENDMNT'!Q:Q,0,0,1)</f>
        <v>Cumple</v>
      </c>
      <c r="AI248" s="139">
        <f>+_xlfn.XLOOKUP(PROYECTOS[[#This Row],[MUNICIPIO]],'4.CAP_ENDMNT'!B:B,'4.CAP_ENDMNT'!V:V,0,0,1)</f>
        <v>1809691000.1424</v>
      </c>
      <c r="AJ248" s="139">
        <f>+_xlfn.XLOOKUP(PROYECTOS[[#This Row],[MUNICIPIO]],'4.CAP_ENDMNT'!B:B,'4.CAP_ENDMNT'!Y:Y,0,0,1)</f>
        <v>-12348843887.145599</v>
      </c>
      <c r="AK248"/>
      <c r="AL248"/>
      <c r="AM248"/>
    </row>
    <row r="249" spans="1:39">
      <c r="A249" s="44">
        <v>267</v>
      </c>
      <c r="B249" s="37" t="s">
        <v>561</v>
      </c>
      <c r="C249" s="118">
        <v>45747</v>
      </c>
      <c r="D249" s="46" t="s">
        <v>38</v>
      </c>
      <c r="E249" s="47" t="str">
        <f>+_xlfn.XLOOKUP(PROYECTOS[[#This Row],[MUNICIPIO]],MUNICIPIOS!A:A,MUNICIPIOS!E:E,0,0,1)</f>
        <v>Urabá</v>
      </c>
      <c r="F249" s="44">
        <f>+_xlfn.XLOOKUP(PROYECTOS[[#This Row],[MUNICIPIO]],MUNICIPIOS!A:A,MUNICIPIOS!F:F,0,0,1)</f>
        <v>-76.652652000000003</v>
      </c>
      <c r="G249" s="44" t="str">
        <f>+_xlfn.XLOOKUP(PROYECTOS[[#This Row],[MUNICIPIO]],MUNICIPIOS!A:A,MUNICIPIOS!G:G,0,0,1)</f>
        <v>7,755148</v>
      </c>
      <c r="H249" s="44">
        <f>+_xlfn.XLOOKUP(PROYECTOS[[#This Row],[MUNICIPIO]],MUNICIPIOS!A:A,MUNICIPIOS!B:B,0,0,1)</f>
        <v>1</v>
      </c>
      <c r="I249" s="44">
        <f>+_xlfn.XLOOKUP(PROYECTOS[[#This Row],[MUNICIPIO]],MUNICIPIOS!A:A,MUNICIPIOS!C:C,0,0,1)</f>
        <v>1</v>
      </c>
      <c r="J249" s="3" t="str" cm="1">
        <f t="array" ref="J249">_xlfn.TEXTJOIN(" ", TRUE, IF(radicados[ID PROYECTOS]=A249, radicados[RADICADO], ""))</f>
        <v/>
      </c>
      <c r="K249" s="45">
        <v>1</v>
      </c>
      <c r="L249" s="48"/>
      <c r="M249" s="34" t="s">
        <v>407</v>
      </c>
      <c r="N249" s="40" t="s">
        <v>397</v>
      </c>
      <c r="O249" s="40" t="s">
        <v>56</v>
      </c>
      <c r="P249" s="37" t="s">
        <v>541</v>
      </c>
      <c r="Q249" s="45"/>
      <c r="R249" s="43"/>
      <c r="S249" s="43"/>
      <c r="T249" s="44">
        <f>+_xlfn.XLOOKUP(PROYECTOS[[#This Row],[MUNICIPIO]],'4.CAP_ENDMNT'!B:B,'4.CAP_ENDMNT'!C:C,0,0,1)</f>
        <v>6</v>
      </c>
      <c r="U249" s="139">
        <f>+_xlfn.XLOOKUP(PROYECTOS[[#This Row],[MUNICIPIO]],'4.CAP_ENDMNT'!B:B,'4.CAP_ENDMNT'!D:D,0,0,1)</f>
        <v>31551501799.776001</v>
      </c>
      <c r="V249" s="140">
        <f>+_xlfn.XLOOKUP(PROYECTOS[[#This Row],[MUNICIPIO]],'4.CAP_ENDMNT'!B:B,'4.CAP_ENDMNT'!E:E,0,0,1)</f>
        <v>12896901947.809999</v>
      </c>
      <c r="W249" s="140">
        <f>+_xlfn.XLOOKUP(PROYECTOS[[#This Row],[MUNICIPIO]],'4.CAP_ENDMNT'!B:B,'4.CAP_ENDMNT'!F:F,0,0,1)</f>
        <v>18654599851.966003</v>
      </c>
      <c r="X249" s="140">
        <f>+_xlfn.XLOOKUP(PROYECTOS[[#This Row],[MUNICIPIO]],'4.CAP_ENDMNT'!B:B,'4.CAP_ENDMNT'!G:G,0,0,1)</f>
        <v>4320802475</v>
      </c>
      <c r="Y249" s="140">
        <f>+_xlfn.XLOOKUP(PROYECTOS[[#This Row],[MUNICIPIO]],'4.CAP_ENDMNT'!B:B,'4.CAP_ENDMNT'!H:H,0,0,1)</f>
        <v>2118562934.45</v>
      </c>
      <c r="Z249" s="140">
        <f>+_xlfn.XLOOKUP(PROYECTOS[[#This Row],[MUNICIPIO]],'4.CAP_ENDMNT'!B:B,'4.CAP_ENDMNT'!I:I,0,0,1)</f>
        <v>6439365409.4499998</v>
      </c>
      <c r="AA249" s="134">
        <f>+_xlfn.XLOOKUP(PROYECTOS[[#This Row],[MUNICIPIO]],'4.CAP_ENDMNT'!B:B,'4.CAP_ENDMNT'!J:J,0,0,1)</f>
        <v>0.20409061509381832</v>
      </c>
      <c r="AB249" s="140">
        <f>+_xlfn.XLOOKUP(PROYECTOS[[#This Row],[MUNICIPIO]],'4.CAP_ENDMNT'!B:B,'4.CAP_ENDMNT'!K:K,0,0,1)</f>
        <v>25112136390.326</v>
      </c>
      <c r="AC249" s="140">
        <f>+_xlfn.XLOOKUP(PROYECTOS[[#This Row],[MUNICIPIO]],'4.CAP_ENDMNT'!B:B,'4.CAP_ENDMNT'!L:L,0,0,1)</f>
        <v>20089709112.260799</v>
      </c>
      <c r="AD249" s="140">
        <f>+_xlfn.XLOOKUP(PROYECTOS[[#This Row],[MUNICIPIO]],'4.CAP_ENDMNT'!B:B,'4.CAP_ENDMNT'!M:M,0,0,1)</f>
        <v>15067281834.195601</v>
      </c>
      <c r="AE249" s="134">
        <f>+_xlfn.XLOOKUP(PROYECTOS[[#This Row],[MUNICIPIO]],'4.CAP_ENDMNT'!B:B,'4.CAP_ENDMNT'!N:N,0,0,1)</f>
        <v>0.67099818076158058</v>
      </c>
      <c r="AF249" s="134">
        <f>+_xlfn.XLOOKUP(PROYECTOS[[#This Row],[MUNICIPIO]],'4.CAP_ENDMNT'!B:B,'4.CAP_ENDMNT'!O:O,0,0,1)</f>
        <v>0.60103296352987046</v>
      </c>
      <c r="AG249" s="134">
        <f>+_xlfn.XLOOKUP(PROYECTOS[[#This Row],[MUNICIPIO]],'4.CAP_ENDMNT'!B:B,'4.CAP_ENDMNT'!P:P,0,0,1)</f>
        <v>0.8</v>
      </c>
      <c r="AH249" s="44" t="str">
        <f>+_xlfn.XLOOKUP(PROYECTOS[[#This Row],[MUNICIPIO]],'4.CAP_ENDMNT'!B:B,'4.CAP_ENDMNT'!Q:Q,0,0,1)</f>
        <v>Cumple</v>
      </c>
      <c r="AI249" s="139">
        <f>+_xlfn.XLOOKUP(PROYECTOS[[#This Row],[MUNICIPIO]],'4.CAP_ENDMNT'!B:B,'4.CAP_ENDMNT'!V:V,0,0,1)</f>
        <v>3013456366.8391204</v>
      </c>
      <c r="AJ249" s="139">
        <f>+_xlfn.XLOOKUP(PROYECTOS[[#This Row],[MUNICIPIO]],'4.CAP_ENDMNT'!B:B,'4.CAP_ENDMNT'!Y:Y,0,0,1)</f>
        <v>10290788523.034721</v>
      </c>
      <c r="AK249"/>
      <c r="AL249"/>
      <c r="AM249"/>
    </row>
    <row r="250" spans="1:39">
      <c r="A250" s="44">
        <v>268</v>
      </c>
      <c r="B250" s="37" t="s">
        <v>562</v>
      </c>
      <c r="C250" s="118">
        <v>45747</v>
      </c>
      <c r="D250" s="46" t="s">
        <v>193</v>
      </c>
      <c r="E250" s="47" t="str">
        <f>+_xlfn.XLOOKUP(PROYECTOS[[#This Row],[MUNICIPIO]],MUNICIPIOS!A:A,MUNICIPIOS!E:E,0,0,1)</f>
        <v>Urabá</v>
      </c>
      <c r="F250" s="44">
        <f>+_xlfn.XLOOKUP(PROYECTOS[[#This Row],[MUNICIPIO]],MUNICIPIOS!A:A,MUNICIPIOS!F:F,0,0,1)</f>
        <v>-76.426708000000005</v>
      </c>
      <c r="G250" s="44" t="str">
        <f>+_xlfn.XLOOKUP(PROYECTOS[[#This Row],[MUNICIPIO]],MUNICIPIOS!A:A,MUNICIPIOS!G:G,0,0,1)</f>
        <v>8,849317</v>
      </c>
      <c r="H250" s="44">
        <f>+_xlfn.XLOOKUP(PROYECTOS[[#This Row],[MUNICIPIO]],MUNICIPIOS!A:A,MUNICIPIOS!B:B,0,0,1)</f>
        <v>0</v>
      </c>
      <c r="I250" s="44">
        <f>+_xlfn.XLOOKUP(PROYECTOS[[#This Row],[MUNICIPIO]],MUNICIPIOS!A:A,MUNICIPIOS!C:C,0,0,1)</f>
        <v>0</v>
      </c>
      <c r="J250" s="3" t="str" cm="1">
        <f t="array" ref="J250">_xlfn.TEXTJOIN(" ", TRUE, IF(radicados[ID PROYECTOS]=A250, radicados[RADICADO], ""))</f>
        <v/>
      </c>
      <c r="K250" s="45">
        <v>1</v>
      </c>
      <c r="L250" s="48"/>
      <c r="M250" s="34" t="s">
        <v>407</v>
      </c>
      <c r="N250" s="40" t="s">
        <v>397</v>
      </c>
      <c r="O250" s="40" t="s">
        <v>56</v>
      </c>
      <c r="P250" s="37" t="s">
        <v>541</v>
      </c>
      <c r="Q250" s="45"/>
      <c r="R250" s="43"/>
      <c r="S250" s="43"/>
      <c r="T250" s="44">
        <f>+_xlfn.XLOOKUP(PROYECTOS[[#This Row],[MUNICIPIO]],'4.CAP_ENDMNT'!B:B,'4.CAP_ENDMNT'!C:C,0,0,1)</f>
        <v>6</v>
      </c>
      <c r="U250" s="139">
        <f>+_xlfn.XLOOKUP(PROYECTOS[[#This Row],[MUNICIPIO]],'4.CAP_ENDMNT'!B:B,'4.CAP_ENDMNT'!D:D,0,0,1)</f>
        <v>19782037469.424</v>
      </c>
      <c r="V250" s="140">
        <f>+_xlfn.XLOOKUP(PROYECTOS[[#This Row],[MUNICIPIO]],'4.CAP_ENDMNT'!B:B,'4.CAP_ENDMNT'!E:E,0,0,1)</f>
        <v>6224691780.3400002</v>
      </c>
      <c r="W250" s="140">
        <f>+_xlfn.XLOOKUP(PROYECTOS[[#This Row],[MUNICIPIO]],'4.CAP_ENDMNT'!B:B,'4.CAP_ENDMNT'!F:F,0,0,1)</f>
        <v>13557345689.084</v>
      </c>
      <c r="X250" s="140">
        <f>+_xlfn.XLOOKUP(PROYECTOS[[#This Row],[MUNICIPIO]],'4.CAP_ENDMNT'!B:B,'4.CAP_ENDMNT'!G:G,0,0,1)</f>
        <v>5530076291</v>
      </c>
      <c r="Y250" s="140">
        <f>+_xlfn.XLOOKUP(PROYECTOS[[#This Row],[MUNICIPIO]],'4.CAP_ENDMNT'!B:B,'4.CAP_ENDMNT'!H:H,0,0,1)</f>
        <v>135075758</v>
      </c>
      <c r="Z250" s="140">
        <f>+_xlfn.XLOOKUP(PROYECTOS[[#This Row],[MUNICIPIO]],'4.CAP_ENDMNT'!B:B,'4.CAP_ENDMNT'!I:I,0,0,1)</f>
        <v>5665152049</v>
      </c>
      <c r="AA250" s="134">
        <f>+_xlfn.XLOOKUP(PROYECTOS[[#This Row],[MUNICIPIO]],'4.CAP_ENDMNT'!B:B,'4.CAP_ENDMNT'!J:J,0,0,1)</f>
        <v>0.28637859258715448</v>
      </c>
      <c r="AB250" s="140">
        <f>+_xlfn.XLOOKUP(PROYECTOS[[#This Row],[MUNICIPIO]],'4.CAP_ENDMNT'!B:B,'4.CAP_ENDMNT'!K:K,0,0,1)</f>
        <v>14116885420.424</v>
      </c>
      <c r="AC250" s="140">
        <f>+_xlfn.XLOOKUP(PROYECTOS[[#This Row],[MUNICIPIO]],'4.CAP_ENDMNT'!B:B,'4.CAP_ENDMNT'!L:L,0,0,1)</f>
        <v>11293508336.339201</v>
      </c>
      <c r="AD250" s="140">
        <f>+_xlfn.XLOOKUP(PROYECTOS[[#This Row],[MUNICIPIO]],'4.CAP_ENDMNT'!B:B,'4.CAP_ENDMNT'!M:M,0,0,1)</f>
        <v>8470131252.2543993</v>
      </c>
      <c r="AE250" s="134">
        <f>+_xlfn.XLOOKUP(PROYECTOS[[#This Row],[MUNICIPIO]],'4.CAP_ENDMNT'!B:B,'4.CAP_ENDMNT'!N:N,0,0,1)</f>
        <v>0.97615672856938707</v>
      </c>
      <c r="AF250" s="134">
        <f>+_xlfn.XLOOKUP(PROYECTOS[[#This Row],[MUNICIPIO]],'4.CAP_ENDMNT'!B:B,'4.CAP_ENDMNT'!O:O,0,0,1)</f>
        <v>0.63121490876418529</v>
      </c>
      <c r="AG250" s="134">
        <f>+_xlfn.XLOOKUP(PROYECTOS[[#This Row],[MUNICIPIO]],'4.CAP_ENDMNT'!B:B,'4.CAP_ENDMNT'!P:P,0,0,1)</f>
        <v>0.8</v>
      </c>
      <c r="AH250" s="44" t="str">
        <f>+_xlfn.XLOOKUP(PROYECTOS[[#This Row],[MUNICIPIO]],'4.CAP_ENDMNT'!B:B,'4.CAP_ENDMNT'!Q:Q,0,0,1)</f>
        <v>Cumple</v>
      </c>
      <c r="AI250" s="139">
        <f>+_xlfn.XLOOKUP(PROYECTOS[[#This Row],[MUNICIPIO]],'4.CAP_ENDMNT'!B:B,'4.CAP_ENDMNT'!V:V,0,0,1)</f>
        <v>1694026250.4508801</v>
      </c>
      <c r="AJ250" s="139">
        <f>+_xlfn.XLOOKUP(PROYECTOS[[#This Row],[MUNICIPIO]],'4.CAP_ENDMNT'!B:B,'4.CAP_ENDMNT'!Y:Y,0,0,1)</f>
        <v>-28540377224.29472</v>
      </c>
      <c r="AK250"/>
      <c r="AL250"/>
      <c r="AM250"/>
    </row>
    <row r="251" spans="1:39">
      <c r="A251" s="44">
        <v>269</v>
      </c>
      <c r="B251" s="37" t="s">
        <v>563</v>
      </c>
      <c r="C251" s="118">
        <v>45747</v>
      </c>
      <c r="D251" s="46" t="s">
        <v>193</v>
      </c>
      <c r="E251" s="47" t="str">
        <f>+_xlfn.XLOOKUP(PROYECTOS[[#This Row],[MUNICIPIO]],MUNICIPIOS!A:A,MUNICIPIOS!E:E,0,0,1)</f>
        <v>Urabá</v>
      </c>
      <c r="F251" s="44">
        <f>+_xlfn.XLOOKUP(PROYECTOS[[#This Row],[MUNICIPIO]],MUNICIPIOS!A:A,MUNICIPIOS!F:F,0,0,1)</f>
        <v>-76.426708000000005</v>
      </c>
      <c r="G251" s="44" t="str">
        <f>+_xlfn.XLOOKUP(PROYECTOS[[#This Row],[MUNICIPIO]],MUNICIPIOS!A:A,MUNICIPIOS!G:G,0,0,1)</f>
        <v>8,849317</v>
      </c>
      <c r="H251" s="44">
        <f>+_xlfn.XLOOKUP(PROYECTOS[[#This Row],[MUNICIPIO]],MUNICIPIOS!A:A,MUNICIPIOS!B:B,0,0,1)</f>
        <v>0</v>
      </c>
      <c r="I251" s="44">
        <f>+_xlfn.XLOOKUP(PROYECTOS[[#This Row],[MUNICIPIO]],MUNICIPIOS!A:A,MUNICIPIOS!C:C,0,0,1)</f>
        <v>0</v>
      </c>
      <c r="J251" s="3" t="str" cm="1">
        <f t="array" ref="J251">_xlfn.TEXTJOIN(" ", TRUE, IF(radicados[ID PROYECTOS]=A251, radicados[RADICADO], ""))</f>
        <v/>
      </c>
      <c r="K251" s="45">
        <v>1</v>
      </c>
      <c r="L251" s="48"/>
      <c r="M251" s="34" t="s">
        <v>407</v>
      </c>
      <c r="N251" s="40" t="s">
        <v>397</v>
      </c>
      <c r="O251" s="40" t="s">
        <v>56</v>
      </c>
      <c r="P251" s="37" t="s">
        <v>541</v>
      </c>
      <c r="Q251" s="45"/>
      <c r="R251" s="43"/>
      <c r="S251" s="43"/>
      <c r="T251" s="44">
        <f>+_xlfn.XLOOKUP(PROYECTOS[[#This Row],[MUNICIPIO]],'4.CAP_ENDMNT'!B:B,'4.CAP_ENDMNT'!C:C,0,0,1)</f>
        <v>6</v>
      </c>
      <c r="U251" s="139">
        <f>+_xlfn.XLOOKUP(PROYECTOS[[#This Row],[MUNICIPIO]],'4.CAP_ENDMNT'!B:B,'4.CAP_ENDMNT'!D:D,0,0,1)</f>
        <v>19782037469.424</v>
      </c>
      <c r="V251" s="140">
        <f>+_xlfn.XLOOKUP(PROYECTOS[[#This Row],[MUNICIPIO]],'4.CAP_ENDMNT'!B:B,'4.CAP_ENDMNT'!E:E,0,0,1)</f>
        <v>6224691780.3400002</v>
      </c>
      <c r="W251" s="140">
        <f>+_xlfn.XLOOKUP(PROYECTOS[[#This Row],[MUNICIPIO]],'4.CAP_ENDMNT'!B:B,'4.CAP_ENDMNT'!F:F,0,0,1)</f>
        <v>13557345689.084</v>
      </c>
      <c r="X251" s="140">
        <f>+_xlfn.XLOOKUP(PROYECTOS[[#This Row],[MUNICIPIO]],'4.CAP_ENDMNT'!B:B,'4.CAP_ENDMNT'!G:G,0,0,1)</f>
        <v>5530076291</v>
      </c>
      <c r="Y251" s="140">
        <f>+_xlfn.XLOOKUP(PROYECTOS[[#This Row],[MUNICIPIO]],'4.CAP_ENDMNT'!B:B,'4.CAP_ENDMNT'!H:H,0,0,1)</f>
        <v>135075758</v>
      </c>
      <c r="Z251" s="140">
        <f>+_xlfn.XLOOKUP(PROYECTOS[[#This Row],[MUNICIPIO]],'4.CAP_ENDMNT'!B:B,'4.CAP_ENDMNT'!I:I,0,0,1)</f>
        <v>5665152049</v>
      </c>
      <c r="AA251" s="134">
        <f>+_xlfn.XLOOKUP(PROYECTOS[[#This Row],[MUNICIPIO]],'4.CAP_ENDMNT'!B:B,'4.CAP_ENDMNT'!J:J,0,0,1)</f>
        <v>0.28637859258715448</v>
      </c>
      <c r="AB251" s="140">
        <f>+_xlfn.XLOOKUP(PROYECTOS[[#This Row],[MUNICIPIO]],'4.CAP_ENDMNT'!B:B,'4.CAP_ENDMNT'!K:K,0,0,1)</f>
        <v>14116885420.424</v>
      </c>
      <c r="AC251" s="140">
        <f>+_xlfn.XLOOKUP(PROYECTOS[[#This Row],[MUNICIPIO]],'4.CAP_ENDMNT'!B:B,'4.CAP_ENDMNT'!L:L,0,0,1)</f>
        <v>11293508336.339201</v>
      </c>
      <c r="AD251" s="140">
        <f>+_xlfn.XLOOKUP(PROYECTOS[[#This Row],[MUNICIPIO]],'4.CAP_ENDMNT'!B:B,'4.CAP_ENDMNT'!M:M,0,0,1)</f>
        <v>8470131252.2543993</v>
      </c>
      <c r="AE251" s="134">
        <f>+_xlfn.XLOOKUP(PROYECTOS[[#This Row],[MUNICIPIO]],'4.CAP_ENDMNT'!B:B,'4.CAP_ENDMNT'!N:N,0,0,1)</f>
        <v>0.97615672856938707</v>
      </c>
      <c r="AF251" s="134">
        <f>+_xlfn.XLOOKUP(PROYECTOS[[#This Row],[MUNICIPIO]],'4.CAP_ENDMNT'!B:B,'4.CAP_ENDMNT'!O:O,0,0,1)</f>
        <v>0.63121490876418529</v>
      </c>
      <c r="AG251" s="134">
        <f>+_xlfn.XLOOKUP(PROYECTOS[[#This Row],[MUNICIPIO]],'4.CAP_ENDMNT'!B:B,'4.CAP_ENDMNT'!P:P,0,0,1)</f>
        <v>0.8</v>
      </c>
      <c r="AH251" s="44" t="str">
        <f>+_xlfn.XLOOKUP(PROYECTOS[[#This Row],[MUNICIPIO]],'4.CAP_ENDMNT'!B:B,'4.CAP_ENDMNT'!Q:Q,0,0,1)</f>
        <v>Cumple</v>
      </c>
      <c r="AI251" s="139">
        <f>+_xlfn.XLOOKUP(PROYECTOS[[#This Row],[MUNICIPIO]],'4.CAP_ENDMNT'!B:B,'4.CAP_ENDMNT'!V:V,0,0,1)</f>
        <v>1694026250.4508801</v>
      </c>
      <c r="AJ251" s="139">
        <f>+_xlfn.XLOOKUP(PROYECTOS[[#This Row],[MUNICIPIO]],'4.CAP_ENDMNT'!B:B,'4.CAP_ENDMNT'!Y:Y,0,0,1)</f>
        <v>-28540377224.29472</v>
      </c>
      <c r="AK251"/>
      <c r="AL251"/>
      <c r="AM251"/>
    </row>
    <row r="252" spans="1:39">
      <c r="A252" s="44">
        <v>270</v>
      </c>
      <c r="B252" s="37" t="s">
        <v>1441</v>
      </c>
      <c r="C252" s="118">
        <f>+_xlfn.XLOOKUP(PROYECTOS[[#This Row],[ID_NECESIDAD]],'1.RADICADOS'!G:G,'1.RADICADOS'!C:C,0,0,1)*1</f>
        <v>45516</v>
      </c>
      <c r="D252" s="46" t="s">
        <v>339</v>
      </c>
      <c r="E252" s="47" t="str">
        <f>+_xlfn.XLOOKUP(PROYECTOS[[#This Row],[MUNICIPIO]],MUNICIPIOS!A:A,MUNICIPIOS!E:E,0,0,1)</f>
        <v>Magdalena Medio</v>
      </c>
      <c r="F252" s="44">
        <f>+_xlfn.XLOOKUP(PROYECTOS[[#This Row],[MUNICIPIO]],MUNICIPIOS!A:A,MUNICIPIOS!F:F,0,0,1)</f>
        <v>-73.912445000000005</v>
      </c>
      <c r="G252" s="44">
        <f>+_xlfn.XLOOKUP(PROYECTOS[[#This Row],[MUNICIPIO]],MUNICIPIOS!A:A,MUNICIPIOS!G:G,0,0,1)</f>
        <v>7.0039600000000002</v>
      </c>
      <c r="H252" s="44">
        <f>+_xlfn.XLOOKUP(PROYECTOS[[#This Row],[MUNICIPIO]],MUNICIPIOS!A:A,MUNICIPIOS!B:B,0,0,1)</f>
        <v>1</v>
      </c>
      <c r="I252" s="44">
        <f>+_xlfn.XLOOKUP(PROYECTOS[[#This Row],[MUNICIPIO]],MUNICIPIOS!A:A,MUNICIPIOS!C:C,0,0,1)</f>
        <v>1</v>
      </c>
      <c r="J252" s="3" t="str" cm="1">
        <f t="array" ref="J252">_xlfn.TEXTJOIN(" ", TRUE, IF(radicados[ID PROYECTOS]=A252, radicados[RADICADO], ""))</f>
        <v>2024010363244</v>
      </c>
      <c r="K252" s="45">
        <v>2</v>
      </c>
      <c r="L252" s="48"/>
      <c r="M252" s="34" t="s">
        <v>396</v>
      </c>
      <c r="N252" s="40" t="s">
        <v>397</v>
      </c>
      <c r="O252" s="40" t="s">
        <v>56</v>
      </c>
      <c r="P252" s="37" t="s">
        <v>941</v>
      </c>
      <c r="Q252" s="45"/>
      <c r="R252" s="43"/>
      <c r="S252" s="43"/>
      <c r="T252" s="44">
        <f>+_xlfn.XLOOKUP(PROYECTOS[[#This Row],[MUNICIPIO]],'4.CAP_ENDMNT'!B:B,'4.CAP_ENDMNT'!C:C,0,0,1)</f>
        <v>6</v>
      </c>
      <c r="U252" s="139">
        <f>+_xlfn.XLOOKUP(PROYECTOS[[#This Row],[MUNICIPIO]],'4.CAP_ENDMNT'!B:B,'4.CAP_ENDMNT'!D:D,0,0,1)</f>
        <v>30235702409.850498</v>
      </c>
      <c r="V252" s="140">
        <f>+_xlfn.XLOOKUP(PROYECTOS[[#This Row],[MUNICIPIO]],'4.CAP_ENDMNT'!B:B,'4.CAP_ENDMNT'!E:E,0,0,1)</f>
        <v>8068276995.0799999</v>
      </c>
      <c r="W252" s="140">
        <f>+_xlfn.XLOOKUP(PROYECTOS[[#This Row],[MUNICIPIO]],'4.CAP_ENDMNT'!B:B,'4.CAP_ENDMNT'!F:F,0,0,1)</f>
        <v>22167425414.7705</v>
      </c>
      <c r="X252" s="140">
        <f>+_xlfn.XLOOKUP(PROYECTOS[[#This Row],[MUNICIPIO]],'4.CAP_ENDMNT'!B:B,'4.CAP_ENDMNT'!G:G,0,0,1)</f>
        <v>0</v>
      </c>
      <c r="Y252" s="140">
        <f>+_xlfn.XLOOKUP(PROYECTOS[[#This Row],[MUNICIPIO]],'4.CAP_ENDMNT'!B:B,'4.CAP_ENDMNT'!H:H,0,0,1)</f>
        <v>0</v>
      </c>
      <c r="Z252" s="140">
        <f>+_xlfn.XLOOKUP(PROYECTOS[[#This Row],[MUNICIPIO]],'4.CAP_ENDMNT'!B:B,'4.CAP_ENDMNT'!I:I,0,0,1)</f>
        <v>0</v>
      </c>
      <c r="AA252" s="134">
        <f>+_xlfn.XLOOKUP(PROYECTOS[[#This Row],[MUNICIPIO]],'4.CAP_ENDMNT'!B:B,'4.CAP_ENDMNT'!J:J,0,0,1)</f>
        <v>0</v>
      </c>
      <c r="AB252" s="140">
        <f>+_xlfn.XLOOKUP(PROYECTOS[[#This Row],[MUNICIPIO]],'4.CAP_ENDMNT'!B:B,'4.CAP_ENDMNT'!K:K,0,0,1)</f>
        <v>30235702409.850498</v>
      </c>
      <c r="AC252" s="140">
        <f>+_xlfn.XLOOKUP(PROYECTOS[[#This Row],[MUNICIPIO]],'4.CAP_ENDMNT'!B:B,'4.CAP_ENDMNT'!L:L,0,0,1)</f>
        <v>24188561927.880402</v>
      </c>
      <c r="AD252" s="140">
        <f>+_xlfn.XLOOKUP(PROYECTOS[[#This Row],[MUNICIPIO]],'4.CAP_ENDMNT'!B:B,'4.CAP_ENDMNT'!M:M,0,0,1)</f>
        <v>18141421445.910297</v>
      </c>
      <c r="AE252" s="134">
        <f>+_xlfn.XLOOKUP(PROYECTOS[[#This Row],[MUNICIPIO]],'4.CAP_ENDMNT'!B:B,'4.CAP_ENDMNT'!N:N,0,0,1)</f>
        <v>0</v>
      </c>
      <c r="AF252" s="134">
        <f>+_xlfn.XLOOKUP(PROYECTOS[[#This Row],[MUNICIPIO]],'4.CAP_ENDMNT'!B:B,'4.CAP_ENDMNT'!O:O,0,0,1)</f>
        <v>0.48110149713114325</v>
      </c>
      <c r="AG252" s="134">
        <f>+_xlfn.XLOOKUP(PROYECTOS[[#This Row],[MUNICIPIO]],'4.CAP_ENDMNT'!B:B,'4.CAP_ENDMNT'!P:P,0,0,1)</f>
        <v>0.8</v>
      </c>
      <c r="AH252" s="44" t="str">
        <f>+_xlfn.XLOOKUP(PROYECTOS[[#This Row],[MUNICIPIO]],'4.CAP_ENDMNT'!B:B,'4.CAP_ENDMNT'!Q:Q,0,0,1)</f>
        <v>Cumple</v>
      </c>
      <c r="AI252" s="139">
        <f>+_xlfn.XLOOKUP(PROYECTOS[[#This Row],[MUNICIPIO]],'4.CAP_ENDMNT'!B:B,'4.CAP_ENDMNT'!V:V,0,0,1)</f>
        <v>3628284289.1820598</v>
      </c>
      <c r="AJ252" s="139">
        <f>+_xlfn.XLOOKUP(PROYECTOS[[#This Row],[MUNICIPIO]],'4.CAP_ENDMNT'!B:B,'4.CAP_ENDMNT'!Y:Y,0,0,1)</f>
        <v>13348657652.092358</v>
      </c>
      <c r="AK252"/>
      <c r="AL252"/>
      <c r="AM252"/>
    </row>
    <row r="253" spans="1:39">
      <c r="A253" s="44">
        <v>271</v>
      </c>
      <c r="B253" s="37" t="s">
        <v>565</v>
      </c>
      <c r="C253" s="118">
        <v>45747</v>
      </c>
      <c r="D253" s="46" t="s">
        <v>473</v>
      </c>
      <c r="E253" s="47" t="str">
        <f>+_xlfn.XLOOKUP(PROYECTOS[[#This Row],[MUNICIPIO]],MUNICIPIOS!A:A,MUNICIPIOS!E:E,0,0,1)</f>
        <v>Magdalena Medio</v>
      </c>
      <c r="F253" s="44">
        <f>+_xlfn.XLOOKUP(PROYECTOS[[#This Row],[MUNICIPIO]],MUNICIPIOS!A:A,MUNICIPIOS!F:F,0,0,1)</f>
        <v>-74.757420999999994</v>
      </c>
      <c r="G253" s="44" t="str">
        <f>+_xlfn.XLOOKUP(PROYECTOS[[#This Row],[MUNICIPIO]],MUNICIPIOS!A:A,MUNICIPIOS!G:G,0,0,1)</f>
        <v>6,409829</v>
      </c>
      <c r="H253" s="44">
        <f>+_xlfn.XLOOKUP(PROYECTOS[[#This Row],[MUNICIPIO]],MUNICIPIOS!A:A,MUNICIPIOS!B:B,0,0,1)</f>
        <v>0</v>
      </c>
      <c r="I253" s="44">
        <f>+_xlfn.XLOOKUP(PROYECTOS[[#This Row],[MUNICIPIO]],MUNICIPIOS!A:A,MUNICIPIOS!C:C,0,0,1)</f>
        <v>0</v>
      </c>
      <c r="J253" s="3" t="str" cm="1">
        <f t="array" ref="J253">_xlfn.TEXTJOIN(" ", TRUE, IF(radicados[ID PROYECTOS]=A253, radicados[RADICADO], ""))</f>
        <v/>
      </c>
      <c r="K253" s="45">
        <v>1</v>
      </c>
      <c r="L253" s="48"/>
      <c r="M253" s="34" t="s">
        <v>407</v>
      </c>
      <c r="N253" s="40" t="s">
        <v>397</v>
      </c>
      <c r="O253" s="40" t="s">
        <v>56</v>
      </c>
      <c r="P253" s="37" t="s">
        <v>541</v>
      </c>
      <c r="Q253" s="45"/>
      <c r="R253" s="43"/>
      <c r="S253" s="43"/>
      <c r="T253" s="44">
        <f>+_xlfn.XLOOKUP(PROYECTOS[[#This Row],[MUNICIPIO]],'4.CAP_ENDMNT'!B:B,'4.CAP_ENDMNT'!C:C,0,0,1)</f>
        <v>6</v>
      </c>
      <c r="U253" s="139">
        <f>+_xlfn.XLOOKUP(PROYECTOS[[#This Row],[MUNICIPIO]],'4.CAP_ENDMNT'!B:B,'4.CAP_ENDMNT'!D:D,0,0,1)</f>
        <v>6287173903.2990007</v>
      </c>
      <c r="V253" s="140">
        <f>+_xlfn.XLOOKUP(PROYECTOS[[#This Row],[MUNICIPIO]],'4.CAP_ENDMNT'!B:B,'4.CAP_ENDMNT'!E:E,0,0,1)</f>
        <v>2101889048.3700001</v>
      </c>
      <c r="W253" s="140">
        <f>+_xlfn.XLOOKUP(PROYECTOS[[#This Row],[MUNICIPIO]],'4.CAP_ENDMNT'!B:B,'4.CAP_ENDMNT'!F:F,0,0,1)</f>
        <v>4185284854.9290009</v>
      </c>
      <c r="X253" s="140">
        <f>+_xlfn.XLOOKUP(PROYECTOS[[#This Row],[MUNICIPIO]],'4.CAP_ENDMNT'!B:B,'4.CAP_ENDMNT'!G:G,0,0,1)</f>
        <v>1389004859</v>
      </c>
      <c r="Y253" s="140">
        <f>+_xlfn.XLOOKUP(PROYECTOS[[#This Row],[MUNICIPIO]],'4.CAP_ENDMNT'!B:B,'4.CAP_ENDMNT'!H:H,0,0,1)</f>
        <v>1150000000</v>
      </c>
      <c r="Z253" s="140">
        <f>+_xlfn.XLOOKUP(PROYECTOS[[#This Row],[MUNICIPIO]],'4.CAP_ENDMNT'!B:B,'4.CAP_ENDMNT'!I:I,0,0,1)</f>
        <v>2539004859</v>
      </c>
      <c r="AA253" s="134">
        <f>+_xlfn.XLOOKUP(PROYECTOS[[#This Row],[MUNICIPIO]],'4.CAP_ENDMNT'!B:B,'4.CAP_ENDMNT'!J:J,0,0,1)</f>
        <v>0.40383881503066671</v>
      </c>
      <c r="AB253" s="140">
        <f>+_xlfn.XLOOKUP(PROYECTOS[[#This Row],[MUNICIPIO]],'4.CAP_ENDMNT'!B:B,'4.CAP_ENDMNT'!K:K,0,0,1)</f>
        <v>3748169044.2990007</v>
      </c>
      <c r="AC253" s="140">
        <f>+_xlfn.XLOOKUP(PROYECTOS[[#This Row],[MUNICIPIO]],'4.CAP_ENDMNT'!B:B,'4.CAP_ENDMNT'!L:L,0,0,1)</f>
        <v>2998535235.4392009</v>
      </c>
      <c r="AD253" s="140">
        <f>+_xlfn.XLOOKUP(PROYECTOS[[#This Row],[MUNICIPIO]],'4.CAP_ENDMNT'!B:B,'4.CAP_ENDMNT'!M:M,0,0,1)</f>
        <v>2248901426.5794005</v>
      </c>
      <c r="AE253" s="134">
        <f>+_xlfn.XLOOKUP(PROYECTOS[[#This Row],[MUNICIPIO]],'4.CAP_ENDMNT'!B:B,'4.CAP_ENDMNT'!N:N,0,0,1)</f>
        <v>0.54706664072595224</v>
      </c>
      <c r="AF253" s="134">
        <f>+_xlfn.XLOOKUP(PROYECTOS[[#This Row],[MUNICIPIO]],'4.CAP_ENDMNT'!B:B,'4.CAP_ENDMNT'!O:O,0,0,1)</f>
        <v>0.5833393396108878</v>
      </c>
      <c r="AG253" s="134">
        <f>+_xlfn.XLOOKUP(PROYECTOS[[#This Row],[MUNICIPIO]],'4.CAP_ENDMNT'!B:B,'4.CAP_ENDMNT'!P:P,0,0,1)</f>
        <v>0.8</v>
      </c>
      <c r="AH253" s="44" t="str">
        <f>+_xlfn.XLOOKUP(PROYECTOS[[#This Row],[MUNICIPIO]],'4.CAP_ENDMNT'!B:B,'4.CAP_ENDMNT'!Q:Q,0,0,1)</f>
        <v>Cumple</v>
      </c>
      <c r="AI253" s="139">
        <f>+_xlfn.XLOOKUP(PROYECTOS[[#This Row],[MUNICIPIO]],'4.CAP_ENDMNT'!B:B,'4.CAP_ENDMNT'!V:V,0,0,1)</f>
        <v>449780285.31588012</v>
      </c>
      <c r="AJ253" s="139">
        <f>+_xlfn.XLOOKUP(PROYECTOS[[#This Row],[MUNICIPIO]],'4.CAP_ENDMNT'!B:B,'4.CAP_ENDMNT'!Y:Y,0,0,1)</f>
        <v>-1221148754.1047192</v>
      </c>
      <c r="AK253"/>
      <c r="AL253"/>
      <c r="AM253"/>
    </row>
    <row r="254" spans="1:39">
      <c r="A254" s="44">
        <v>272</v>
      </c>
      <c r="B254" s="37" t="s">
        <v>566</v>
      </c>
      <c r="C254" s="118">
        <v>45747</v>
      </c>
      <c r="D254" s="46" t="s">
        <v>311</v>
      </c>
      <c r="E254" s="47" t="str">
        <f>+_xlfn.XLOOKUP(PROYECTOS[[#This Row],[MUNICIPIO]],MUNICIPIOS!A:A,MUNICIPIOS!E:E,0,0,1)</f>
        <v>Magdalena Medio</v>
      </c>
      <c r="F254" s="44">
        <f>+_xlfn.XLOOKUP(PROYECTOS[[#This Row],[MUNICIPIO]],MUNICIPIOS!A:A,MUNICIPIOS!F:F,0,0,1)</f>
        <v>-74.78716</v>
      </c>
      <c r="G254" s="44" t="str">
        <f>+_xlfn.XLOOKUP(PROYECTOS[[#This Row],[MUNICIPIO]],MUNICIPIOS!A:A,MUNICIPIOS!G:G,0,0,1)</f>
        <v>6,552116</v>
      </c>
      <c r="H254" s="44">
        <f>+_xlfn.XLOOKUP(PROYECTOS[[#This Row],[MUNICIPIO]],MUNICIPIOS!A:A,MUNICIPIOS!B:B,0,0,1)</f>
        <v>0</v>
      </c>
      <c r="I254" s="44">
        <f>+_xlfn.XLOOKUP(PROYECTOS[[#This Row],[MUNICIPIO]],MUNICIPIOS!A:A,MUNICIPIOS!C:C,0,0,1)</f>
        <v>0</v>
      </c>
      <c r="J254" s="3" t="str" cm="1">
        <f t="array" ref="J254">_xlfn.TEXTJOIN(" ", TRUE, IF(radicados[ID PROYECTOS]=A254, radicados[RADICADO], ""))</f>
        <v/>
      </c>
      <c r="K254" s="45">
        <v>1</v>
      </c>
      <c r="L254" s="48"/>
      <c r="M254" s="34" t="s">
        <v>407</v>
      </c>
      <c r="N254" s="40" t="s">
        <v>397</v>
      </c>
      <c r="O254" s="40" t="s">
        <v>56</v>
      </c>
      <c r="P254" s="37" t="s">
        <v>541</v>
      </c>
      <c r="Q254" s="45"/>
      <c r="R254" s="43"/>
      <c r="S254" s="43"/>
      <c r="T254" s="44">
        <f>+_xlfn.XLOOKUP(PROYECTOS[[#This Row],[MUNICIPIO]],'4.CAP_ENDMNT'!B:B,'4.CAP_ENDMNT'!C:C,0,0,1)</f>
        <v>6</v>
      </c>
      <c r="U254" s="139">
        <f>+_xlfn.XLOOKUP(PROYECTOS[[#This Row],[MUNICIPIO]],'4.CAP_ENDMNT'!B:B,'4.CAP_ENDMNT'!D:D,0,0,1)</f>
        <v>12443958135.744499</v>
      </c>
      <c r="V254" s="140">
        <f>+_xlfn.XLOOKUP(PROYECTOS[[#This Row],[MUNICIPIO]],'4.CAP_ENDMNT'!B:B,'4.CAP_ENDMNT'!E:E,0,0,1)</f>
        <v>4756407219.6099997</v>
      </c>
      <c r="W254" s="140">
        <f>+_xlfn.XLOOKUP(PROYECTOS[[#This Row],[MUNICIPIO]],'4.CAP_ENDMNT'!B:B,'4.CAP_ENDMNT'!F:F,0,0,1)</f>
        <v>7687550916.1344995</v>
      </c>
      <c r="X254" s="140">
        <f>+_xlfn.XLOOKUP(PROYECTOS[[#This Row],[MUNICIPIO]],'4.CAP_ENDMNT'!B:B,'4.CAP_ENDMNT'!G:G,0,0,1)</f>
        <v>8000000000</v>
      </c>
      <c r="Y254" s="140">
        <f>+_xlfn.XLOOKUP(PROYECTOS[[#This Row],[MUNICIPIO]],'4.CAP_ENDMNT'!B:B,'4.CAP_ENDMNT'!H:H,0,0,1)</f>
        <v>0</v>
      </c>
      <c r="Z254" s="140">
        <f>+_xlfn.XLOOKUP(PROYECTOS[[#This Row],[MUNICIPIO]],'4.CAP_ENDMNT'!B:B,'4.CAP_ENDMNT'!I:I,0,0,1)</f>
        <v>8000000000</v>
      </c>
      <c r="AA254" s="134">
        <f>+_xlfn.XLOOKUP(PROYECTOS[[#This Row],[MUNICIPIO]],'4.CAP_ENDMNT'!B:B,'4.CAP_ENDMNT'!J:J,0,0,1)</f>
        <v>0.64288226565312012</v>
      </c>
      <c r="AB254" s="140">
        <f>+_xlfn.XLOOKUP(PROYECTOS[[#This Row],[MUNICIPIO]],'4.CAP_ENDMNT'!B:B,'4.CAP_ENDMNT'!K:K,0,0,1)</f>
        <v>4443958135.7444992</v>
      </c>
      <c r="AC254" s="140">
        <f>+_xlfn.XLOOKUP(PROYECTOS[[#This Row],[MUNICIPIO]],'4.CAP_ENDMNT'!B:B,'4.CAP_ENDMNT'!L:L,0,0,1)</f>
        <v>3555166508.5955997</v>
      </c>
      <c r="AD254" s="140">
        <f>+_xlfn.XLOOKUP(PROYECTOS[[#This Row],[MUNICIPIO]],'4.CAP_ENDMNT'!B:B,'4.CAP_ENDMNT'!M:M,0,0,1)</f>
        <v>2666374881.4466996</v>
      </c>
      <c r="AE254" s="134">
        <f>+_xlfn.XLOOKUP(PROYECTOS[[#This Row],[MUNICIPIO]],'4.CAP_ENDMNT'!B:B,'4.CAP_ENDMNT'!N:N,0,0,1)</f>
        <v>1</v>
      </c>
      <c r="AF254" s="134">
        <f>+_xlfn.XLOOKUP(PROYECTOS[[#This Row],[MUNICIPIO]],'4.CAP_ENDMNT'!B:B,'4.CAP_ENDMNT'!O:O,0,0,1)</f>
        <v>0.49448054880206244</v>
      </c>
      <c r="AG254" s="134">
        <f>+_xlfn.XLOOKUP(PROYECTOS[[#This Row],[MUNICIPIO]],'4.CAP_ENDMNT'!B:B,'4.CAP_ENDMNT'!P:P,0,0,1)</f>
        <v>0.8</v>
      </c>
      <c r="AH254" s="44" t="str">
        <f>+_xlfn.XLOOKUP(PROYECTOS[[#This Row],[MUNICIPIO]],'4.CAP_ENDMNT'!B:B,'4.CAP_ENDMNT'!Q:Q,0,0,1)</f>
        <v>Cumple</v>
      </c>
      <c r="AI254" s="139">
        <f>+_xlfn.XLOOKUP(PROYECTOS[[#This Row],[MUNICIPIO]],'4.CAP_ENDMNT'!B:B,'4.CAP_ENDMNT'!V:V,0,0,1)</f>
        <v>533274976.28933996</v>
      </c>
      <c r="AJ254" s="139">
        <f>+_xlfn.XLOOKUP(PROYECTOS[[#This Row],[MUNICIPIO]],'4.CAP_ENDMNT'!B:B,'4.CAP_ENDMNT'!Y:Y,0,0,1)</f>
        <v>-10227839015.26396</v>
      </c>
      <c r="AK254"/>
      <c r="AL254"/>
      <c r="AM254"/>
    </row>
    <row r="255" spans="1:39">
      <c r="A255" s="44">
        <v>273</v>
      </c>
      <c r="B255" s="37" t="s">
        <v>567</v>
      </c>
      <c r="C255" s="118">
        <v>45747</v>
      </c>
      <c r="D255" s="46" t="s">
        <v>473</v>
      </c>
      <c r="E255" s="47" t="str">
        <f>+_xlfn.XLOOKUP(PROYECTOS[[#This Row],[MUNICIPIO]],MUNICIPIOS!A:A,MUNICIPIOS!E:E,0,0,1)</f>
        <v>Magdalena Medio</v>
      </c>
      <c r="F255" s="44">
        <f>+_xlfn.XLOOKUP(PROYECTOS[[#This Row],[MUNICIPIO]],MUNICIPIOS!A:A,MUNICIPIOS!F:F,0,0,1)</f>
        <v>-74.757420999999994</v>
      </c>
      <c r="G255" s="44" t="str">
        <f>+_xlfn.XLOOKUP(PROYECTOS[[#This Row],[MUNICIPIO]],MUNICIPIOS!A:A,MUNICIPIOS!G:G,0,0,1)</f>
        <v>6,409829</v>
      </c>
      <c r="H255" s="44">
        <f>+_xlfn.XLOOKUP(PROYECTOS[[#This Row],[MUNICIPIO]],MUNICIPIOS!A:A,MUNICIPIOS!B:B,0,0,1)</f>
        <v>0</v>
      </c>
      <c r="I255" s="44">
        <f>+_xlfn.XLOOKUP(PROYECTOS[[#This Row],[MUNICIPIO]],MUNICIPIOS!A:A,MUNICIPIOS!C:C,0,0,1)</f>
        <v>0</v>
      </c>
      <c r="J255" s="3" t="str" cm="1">
        <f t="array" ref="J255">_xlfn.TEXTJOIN(" ", TRUE, IF(radicados[ID PROYECTOS]=A255, radicados[RADICADO], ""))</f>
        <v/>
      </c>
      <c r="K255" s="45">
        <v>1</v>
      </c>
      <c r="L255" s="48"/>
      <c r="M255" s="34" t="s">
        <v>407</v>
      </c>
      <c r="N255" s="40" t="s">
        <v>397</v>
      </c>
      <c r="O255" s="40" t="s">
        <v>56</v>
      </c>
      <c r="P255" s="37" t="s">
        <v>541</v>
      </c>
      <c r="Q255" s="45"/>
      <c r="R255" s="43"/>
      <c r="S255" s="43"/>
      <c r="T255" s="44">
        <f>+_xlfn.XLOOKUP(PROYECTOS[[#This Row],[MUNICIPIO]],'4.CAP_ENDMNT'!B:B,'4.CAP_ENDMNT'!C:C,0,0,1)</f>
        <v>6</v>
      </c>
      <c r="U255" s="139">
        <f>+_xlfn.XLOOKUP(PROYECTOS[[#This Row],[MUNICIPIO]],'4.CAP_ENDMNT'!B:B,'4.CAP_ENDMNT'!D:D,0,0,1)</f>
        <v>6287173903.2990007</v>
      </c>
      <c r="V255" s="140">
        <f>+_xlfn.XLOOKUP(PROYECTOS[[#This Row],[MUNICIPIO]],'4.CAP_ENDMNT'!B:B,'4.CAP_ENDMNT'!E:E,0,0,1)</f>
        <v>2101889048.3700001</v>
      </c>
      <c r="W255" s="140">
        <f>+_xlfn.XLOOKUP(PROYECTOS[[#This Row],[MUNICIPIO]],'4.CAP_ENDMNT'!B:B,'4.CAP_ENDMNT'!F:F,0,0,1)</f>
        <v>4185284854.9290009</v>
      </c>
      <c r="X255" s="140">
        <f>+_xlfn.XLOOKUP(PROYECTOS[[#This Row],[MUNICIPIO]],'4.CAP_ENDMNT'!B:B,'4.CAP_ENDMNT'!G:G,0,0,1)</f>
        <v>1389004859</v>
      </c>
      <c r="Y255" s="140">
        <f>+_xlfn.XLOOKUP(PROYECTOS[[#This Row],[MUNICIPIO]],'4.CAP_ENDMNT'!B:B,'4.CAP_ENDMNT'!H:H,0,0,1)</f>
        <v>1150000000</v>
      </c>
      <c r="Z255" s="140">
        <f>+_xlfn.XLOOKUP(PROYECTOS[[#This Row],[MUNICIPIO]],'4.CAP_ENDMNT'!B:B,'4.CAP_ENDMNT'!I:I,0,0,1)</f>
        <v>2539004859</v>
      </c>
      <c r="AA255" s="134">
        <f>+_xlfn.XLOOKUP(PROYECTOS[[#This Row],[MUNICIPIO]],'4.CAP_ENDMNT'!B:B,'4.CAP_ENDMNT'!J:J,0,0,1)</f>
        <v>0.40383881503066671</v>
      </c>
      <c r="AB255" s="140">
        <f>+_xlfn.XLOOKUP(PROYECTOS[[#This Row],[MUNICIPIO]],'4.CAP_ENDMNT'!B:B,'4.CAP_ENDMNT'!K:K,0,0,1)</f>
        <v>3748169044.2990007</v>
      </c>
      <c r="AC255" s="140">
        <f>+_xlfn.XLOOKUP(PROYECTOS[[#This Row],[MUNICIPIO]],'4.CAP_ENDMNT'!B:B,'4.CAP_ENDMNT'!L:L,0,0,1)</f>
        <v>2998535235.4392009</v>
      </c>
      <c r="AD255" s="140">
        <f>+_xlfn.XLOOKUP(PROYECTOS[[#This Row],[MUNICIPIO]],'4.CAP_ENDMNT'!B:B,'4.CAP_ENDMNT'!M:M,0,0,1)</f>
        <v>2248901426.5794005</v>
      </c>
      <c r="AE255" s="134">
        <f>+_xlfn.XLOOKUP(PROYECTOS[[#This Row],[MUNICIPIO]],'4.CAP_ENDMNT'!B:B,'4.CAP_ENDMNT'!N:N,0,0,1)</f>
        <v>0.54706664072595224</v>
      </c>
      <c r="AF255" s="134">
        <f>+_xlfn.XLOOKUP(PROYECTOS[[#This Row],[MUNICIPIO]],'4.CAP_ENDMNT'!B:B,'4.CAP_ENDMNT'!O:O,0,0,1)</f>
        <v>0.5833393396108878</v>
      </c>
      <c r="AG255" s="134">
        <f>+_xlfn.XLOOKUP(PROYECTOS[[#This Row],[MUNICIPIO]],'4.CAP_ENDMNT'!B:B,'4.CAP_ENDMNT'!P:P,0,0,1)</f>
        <v>0.8</v>
      </c>
      <c r="AH255" s="44" t="str">
        <f>+_xlfn.XLOOKUP(PROYECTOS[[#This Row],[MUNICIPIO]],'4.CAP_ENDMNT'!B:B,'4.CAP_ENDMNT'!Q:Q,0,0,1)</f>
        <v>Cumple</v>
      </c>
      <c r="AI255" s="139">
        <f>+_xlfn.XLOOKUP(PROYECTOS[[#This Row],[MUNICIPIO]],'4.CAP_ENDMNT'!B:B,'4.CAP_ENDMNT'!V:V,0,0,1)</f>
        <v>449780285.31588012</v>
      </c>
      <c r="AJ255" s="139">
        <f>+_xlfn.XLOOKUP(PROYECTOS[[#This Row],[MUNICIPIO]],'4.CAP_ENDMNT'!B:B,'4.CAP_ENDMNT'!Y:Y,0,0,1)</f>
        <v>-1221148754.1047192</v>
      </c>
      <c r="AK255"/>
      <c r="AL255"/>
      <c r="AM255"/>
    </row>
    <row r="256" spans="1:39">
      <c r="A256" s="44">
        <v>274</v>
      </c>
      <c r="B256" s="37" t="s">
        <v>568</v>
      </c>
      <c r="C256" s="118">
        <v>45747</v>
      </c>
      <c r="D256" s="46" t="s">
        <v>448</v>
      </c>
      <c r="E256" s="47" t="str">
        <f>+_xlfn.XLOOKUP(PROYECTOS[[#This Row],[MUNICIPIO]],MUNICIPIOS!A:A,MUNICIPIOS!E:E,0,0,1)</f>
        <v>Occidente</v>
      </c>
      <c r="F256" s="44">
        <f>+_xlfn.XLOOKUP(PROYECTOS[[#This Row],[MUNICIPIO]],MUNICIPIOS!A:A,MUNICIPIOS!F:F,0,0,1)</f>
        <v>-75.982929999999996</v>
      </c>
      <c r="G256" s="44" t="str">
        <f>+_xlfn.XLOOKUP(PROYECTOS[[#This Row],[MUNICIPIO]],MUNICIPIOS!A:A,MUNICIPIOS!G:G,0,0,1)</f>
        <v>6,405607</v>
      </c>
      <c r="H256" s="44">
        <f>+_xlfn.XLOOKUP(PROYECTOS[[#This Row],[MUNICIPIO]],MUNICIPIOS!A:A,MUNICIPIOS!B:B,0,0,1)</f>
        <v>0</v>
      </c>
      <c r="I256" s="44">
        <f>+_xlfn.XLOOKUP(PROYECTOS[[#This Row],[MUNICIPIO]],MUNICIPIOS!A:A,MUNICIPIOS!C:C,0,0,1)</f>
        <v>1</v>
      </c>
      <c r="J256" s="3" t="str" cm="1">
        <f t="array" ref="J256">_xlfn.TEXTJOIN(" ", TRUE, IF(radicados[ID PROYECTOS]=A256, radicados[RADICADO], ""))</f>
        <v/>
      </c>
      <c r="K256" s="45">
        <v>1</v>
      </c>
      <c r="L256" s="48"/>
      <c r="M256" s="34" t="s">
        <v>407</v>
      </c>
      <c r="N256" s="40" t="s">
        <v>397</v>
      </c>
      <c r="O256" s="40" t="s">
        <v>56</v>
      </c>
      <c r="P256" s="37" t="s">
        <v>541</v>
      </c>
      <c r="Q256" s="45"/>
      <c r="R256" s="43"/>
      <c r="S256" s="43"/>
      <c r="T256" s="44">
        <f>+_xlfn.XLOOKUP(PROYECTOS[[#This Row],[MUNICIPIO]],'4.CAP_ENDMNT'!B:B,'4.CAP_ENDMNT'!C:C,0,0,1)</f>
        <v>6</v>
      </c>
      <c r="U256" s="139">
        <f>+_xlfn.XLOOKUP(PROYECTOS[[#This Row],[MUNICIPIO]],'4.CAP_ENDMNT'!B:B,'4.CAP_ENDMNT'!D:D,0,0,1)</f>
        <v>8536446221.1044998</v>
      </c>
      <c r="V256" s="140">
        <f>+_xlfn.XLOOKUP(PROYECTOS[[#This Row],[MUNICIPIO]],'4.CAP_ENDMNT'!B:B,'4.CAP_ENDMNT'!E:E,0,0,1)</f>
        <v>2840287960.8099999</v>
      </c>
      <c r="W256" s="140">
        <f>+_xlfn.XLOOKUP(PROYECTOS[[#This Row],[MUNICIPIO]],'4.CAP_ENDMNT'!B:B,'4.CAP_ENDMNT'!F:F,0,0,1)</f>
        <v>5696158260.2945004</v>
      </c>
      <c r="X256" s="140">
        <f>+_xlfn.XLOOKUP(PROYECTOS[[#This Row],[MUNICIPIO]],'4.CAP_ENDMNT'!B:B,'4.CAP_ENDMNT'!G:G,0,0,1)</f>
        <v>1059912604</v>
      </c>
      <c r="Y256" s="140">
        <f>+_xlfn.XLOOKUP(PROYECTOS[[#This Row],[MUNICIPIO]],'4.CAP_ENDMNT'!B:B,'4.CAP_ENDMNT'!H:H,0,0,1)</f>
        <v>559890374</v>
      </c>
      <c r="Z256" s="140">
        <f>+_xlfn.XLOOKUP(PROYECTOS[[#This Row],[MUNICIPIO]],'4.CAP_ENDMNT'!B:B,'4.CAP_ENDMNT'!I:I,0,0,1)</f>
        <v>1619802978</v>
      </c>
      <c r="AA256" s="134">
        <f>+_xlfn.XLOOKUP(PROYECTOS[[#This Row],[MUNICIPIO]],'4.CAP_ENDMNT'!B:B,'4.CAP_ENDMNT'!J:J,0,0,1)</f>
        <v>0.18975144176453554</v>
      </c>
      <c r="AB256" s="140">
        <f>+_xlfn.XLOOKUP(PROYECTOS[[#This Row],[MUNICIPIO]],'4.CAP_ENDMNT'!B:B,'4.CAP_ENDMNT'!K:K,0,0,1)</f>
        <v>6916643243.1044998</v>
      </c>
      <c r="AC256" s="140">
        <f>+_xlfn.XLOOKUP(PROYECTOS[[#This Row],[MUNICIPIO]],'4.CAP_ENDMNT'!B:B,'4.CAP_ENDMNT'!L:L,0,0,1)</f>
        <v>5533314594.4836006</v>
      </c>
      <c r="AD256" s="140">
        <f>+_xlfn.XLOOKUP(PROYECTOS[[#This Row],[MUNICIPIO]],'4.CAP_ENDMNT'!B:B,'4.CAP_ENDMNT'!M:M,0,0,1)</f>
        <v>4149985945.8626995</v>
      </c>
      <c r="AE256" s="134">
        <f>+_xlfn.XLOOKUP(PROYECTOS[[#This Row],[MUNICIPIO]],'4.CAP_ENDMNT'!B:B,'4.CAP_ENDMNT'!N:N,0,0,1)</f>
        <v>0.65434662017271583</v>
      </c>
      <c r="AF256" s="134">
        <f>+_xlfn.XLOOKUP(PROYECTOS[[#This Row],[MUNICIPIO]],'4.CAP_ENDMNT'!B:B,'4.CAP_ENDMNT'!O:O,0,0,1)</f>
        <v>0.62730744736284794</v>
      </c>
      <c r="AG256" s="134">
        <f>+_xlfn.XLOOKUP(PROYECTOS[[#This Row],[MUNICIPIO]],'4.CAP_ENDMNT'!B:B,'4.CAP_ENDMNT'!P:P,0,0,1)</f>
        <v>0.8</v>
      </c>
      <c r="AH256" s="44" t="str">
        <f>+_xlfn.XLOOKUP(PROYECTOS[[#This Row],[MUNICIPIO]],'4.CAP_ENDMNT'!B:B,'4.CAP_ENDMNT'!Q:Q,0,0,1)</f>
        <v>Cumple</v>
      </c>
      <c r="AI256" s="139">
        <f>+_xlfn.XLOOKUP(PROYECTOS[[#This Row],[MUNICIPIO]],'4.CAP_ENDMNT'!B:B,'4.CAP_ENDMNT'!V:V,0,0,1)</f>
        <v>829997189.17253995</v>
      </c>
      <c r="AJ256" s="139">
        <f>+_xlfn.XLOOKUP(PROYECTOS[[#This Row],[MUNICIPIO]],'4.CAP_ENDMNT'!B:B,'4.CAP_ENDMNT'!Y:Y,0,0,1)</f>
        <v>-7956520095.9647608</v>
      </c>
      <c r="AK256"/>
      <c r="AL256"/>
      <c r="AM256"/>
    </row>
    <row r="257" spans="1:39">
      <c r="A257" s="44">
        <v>275</v>
      </c>
      <c r="B257" s="37" t="s">
        <v>569</v>
      </c>
      <c r="C257" s="118">
        <v>45747</v>
      </c>
      <c r="D257" s="46" t="s">
        <v>146</v>
      </c>
      <c r="E257" s="47" t="str">
        <f>+_xlfn.XLOOKUP(PROYECTOS[[#This Row],[MUNICIPIO]],MUNICIPIOS!A:A,MUNICIPIOS!E:E,0,0,1)</f>
        <v>Suroeste</v>
      </c>
      <c r="F257" s="44">
        <f>+_xlfn.XLOOKUP(PROYECTOS[[#This Row],[MUNICIPIO]],MUNICIPIOS!A:A,MUNICIPIOS!F:F,0,0,1)</f>
        <v>-75.791887000000003</v>
      </c>
      <c r="G257" s="44">
        <f>+_xlfn.XLOOKUP(PROYECTOS[[#This Row],[MUNICIPIO]],MUNICIPIOS!A:A,MUNICIPIOS!G:G,0,0,1)</f>
        <v>6.0623909999999999</v>
      </c>
      <c r="H257" s="44">
        <f>+_xlfn.XLOOKUP(PROYECTOS[[#This Row],[MUNICIPIO]],MUNICIPIOS!A:A,MUNICIPIOS!B:B,0,0,1)</f>
        <v>0</v>
      </c>
      <c r="I257" s="44">
        <f>+_xlfn.XLOOKUP(PROYECTOS[[#This Row],[MUNICIPIO]],MUNICIPIOS!A:A,MUNICIPIOS!C:C,0,0,1)</f>
        <v>0</v>
      </c>
      <c r="J257" s="3" t="str" cm="1">
        <f t="array" ref="J257">_xlfn.TEXTJOIN(" ", TRUE, IF(radicados[ID PROYECTOS]=A257, radicados[RADICADO], ""))</f>
        <v/>
      </c>
      <c r="K257" s="45">
        <v>1</v>
      </c>
      <c r="L257" s="48"/>
      <c r="M257" s="34" t="s">
        <v>407</v>
      </c>
      <c r="N257" s="40" t="s">
        <v>397</v>
      </c>
      <c r="O257" s="40" t="s">
        <v>56</v>
      </c>
      <c r="P257" s="37" t="s">
        <v>541</v>
      </c>
      <c r="Q257" s="45"/>
      <c r="R257" s="43"/>
      <c r="S257" s="43"/>
      <c r="T257" s="44">
        <f>+_xlfn.XLOOKUP(PROYECTOS[[#This Row],[MUNICIPIO]],'4.CAP_ENDMNT'!B:B,'4.CAP_ENDMNT'!C:C,0,0,1)</f>
        <v>6</v>
      </c>
      <c r="U257" s="139">
        <f>+_xlfn.XLOOKUP(PROYECTOS[[#This Row],[MUNICIPIO]],'4.CAP_ENDMNT'!B:B,'4.CAP_ENDMNT'!D:D,0,0,1)</f>
        <v>11592686445.107998</v>
      </c>
      <c r="V257" s="140">
        <f>+_xlfn.XLOOKUP(PROYECTOS[[#This Row],[MUNICIPIO]],'4.CAP_ENDMNT'!B:B,'4.CAP_ENDMNT'!E:E,0,0,1)</f>
        <v>5670743725.9899998</v>
      </c>
      <c r="W257" s="140">
        <f>+_xlfn.XLOOKUP(PROYECTOS[[#This Row],[MUNICIPIO]],'4.CAP_ENDMNT'!B:B,'4.CAP_ENDMNT'!F:F,0,0,1)</f>
        <v>5921942719.1179981</v>
      </c>
      <c r="X257" s="140">
        <f>+_xlfn.XLOOKUP(PROYECTOS[[#This Row],[MUNICIPIO]],'4.CAP_ENDMNT'!B:B,'4.CAP_ENDMNT'!G:G,0,0,1)</f>
        <v>1149558272.3800001</v>
      </c>
      <c r="Y257" s="140">
        <f>+_xlfn.XLOOKUP(PROYECTOS[[#This Row],[MUNICIPIO]],'4.CAP_ENDMNT'!B:B,'4.CAP_ENDMNT'!H:H,0,0,1)</f>
        <v>1133660976</v>
      </c>
      <c r="Z257" s="140">
        <f>+_xlfn.XLOOKUP(PROYECTOS[[#This Row],[MUNICIPIO]],'4.CAP_ENDMNT'!B:B,'4.CAP_ENDMNT'!I:I,0,0,1)</f>
        <v>2283219248.3800001</v>
      </c>
      <c r="AA257" s="134">
        <f>+_xlfn.XLOOKUP(PROYECTOS[[#This Row],[MUNICIPIO]],'4.CAP_ENDMNT'!B:B,'4.CAP_ENDMNT'!J:J,0,0,1)</f>
        <v>0.19695342052001213</v>
      </c>
      <c r="AB257" s="140">
        <f>+_xlfn.XLOOKUP(PROYECTOS[[#This Row],[MUNICIPIO]],'4.CAP_ENDMNT'!B:B,'4.CAP_ENDMNT'!K:K,0,0,1)</f>
        <v>9309467196.7279968</v>
      </c>
      <c r="AC257" s="140">
        <f>+_xlfn.XLOOKUP(PROYECTOS[[#This Row],[MUNICIPIO]],'4.CAP_ENDMNT'!B:B,'4.CAP_ENDMNT'!L:L,0,0,1)</f>
        <v>7447573757.3823977</v>
      </c>
      <c r="AD257" s="140">
        <f>+_xlfn.XLOOKUP(PROYECTOS[[#This Row],[MUNICIPIO]],'4.CAP_ENDMNT'!B:B,'4.CAP_ENDMNT'!M:M,0,0,1)</f>
        <v>5585680318.0367975</v>
      </c>
      <c r="AE257" s="134">
        <f>+_xlfn.XLOOKUP(PROYECTOS[[#This Row],[MUNICIPIO]],'4.CAP_ENDMNT'!B:B,'4.CAP_ENDMNT'!N:N,0,0,1)</f>
        <v>0.50348133373334159</v>
      </c>
      <c r="AF257" s="134">
        <f>+_xlfn.XLOOKUP(PROYECTOS[[#This Row],[MUNICIPIO]],'4.CAP_ENDMNT'!B:B,'4.CAP_ENDMNT'!O:O,0,0,1)</f>
        <v>0.69203788539600963</v>
      </c>
      <c r="AG257" s="134">
        <f>+_xlfn.XLOOKUP(PROYECTOS[[#This Row],[MUNICIPIO]],'4.CAP_ENDMNT'!B:B,'4.CAP_ENDMNT'!P:P,0,0,1)</f>
        <v>0.8</v>
      </c>
      <c r="AH257" s="44" t="str">
        <f>+_xlfn.XLOOKUP(PROYECTOS[[#This Row],[MUNICIPIO]],'4.CAP_ENDMNT'!B:B,'4.CAP_ENDMNT'!Q:Q,0,0,1)</f>
        <v>Cumple</v>
      </c>
      <c r="AI257" s="139">
        <f>+_xlfn.XLOOKUP(PROYECTOS[[#This Row],[MUNICIPIO]],'4.CAP_ENDMNT'!B:B,'4.CAP_ENDMNT'!V:V,0,0,1)</f>
        <v>1117136063.6073596</v>
      </c>
      <c r="AJ257" s="139">
        <f>+_xlfn.XLOOKUP(PROYECTOS[[#This Row],[MUNICIPIO]],'4.CAP_ENDMNT'!B:B,'4.CAP_ENDMNT'!Y:Y,0,0,1)</f>
        <v>-9756872913.3558426</v>
      </c>
      <c r="AK257"/>
      <c r="AL257"/>
      <c r="AM257"/>
    </row>
    <row r="258" spans="1:39">
      <c r="A258" s="44">
        <v>276</v>
      </c>
      <c r="B258" s="37" t="s">
        <v>570</v>
      </c>
      <c r="C258" s="118">
        <v>45747</v>
      </c>
      <c r="D258" s="46" t="s">
        <v>256</v>
      </c>
      <c r="E258" s="47" t="str">
        <f>+_xlfn.XLOOKUP(PROYECTOS[[#This Row],[MUNICIPIO]],MUNICIPIOS!A:A,MUNICIPIOS!E:E,0,0,1)</f>
        <v>Occidente</v>
      </c>
      <c r="F258" s="44">
        <f>+_xlfn.XLOOKUP(PROYECTOS[[#This Row],[MUNICIPIO]],MUNICIPIOS!A:A,MUNICIPIOS!F:F,0,0,1)</f>
        <v>-76.130764999999997</v>
      </c>
      <c r="G258" s="44" t="str">
        <f>+_xlfn.XLOOKUP(PROYECTOS[[#This Row],[MUNICIPIO]],MUNICIPIOS!A:A,MUNICIPIOS!G:G,0,0,1)</f>
        <v>6,776066</v>
      </c>
      <c r="H258" s="44">
        <f>+_xlfn.XLOOKUP(PROYECTOS[[#This Row],[MUNICIPIO]],MUNICIPIOS!A:A,MUNICIPIOS!B:B,0,0,1)</f>
        <v>0</v>
      </c>
      <c r="I258" s="44">
        <f>+_xlfn.XLOOKUP(PROYECTOS[[#This Row],[MUNICIPIO]],MUNICIPIOS!A:A,MUNICIPIOS!C:C,0,0,1)</f>
        <v>1</v>
      </c>
      <c r="J258" s="3" t="str" cm="1">
        <f t="array" ref="J258">_xlfn.TEXTJOIN(" ", TRUE, IF(radicados[ID PROYECTOS]=A258, radicados[RADICADO], ""))</f>
        <v/>
      </c>
      <c r="K258" s="45">
        <v>1</v>
      </c>
      <c r="L258" s="48"/>
      <c r="M258" s="34" t="s">
        <v>407</v>
      </c>
      <c r="N258" s="40" t="s">
        <v>397</v>
      </c>
      <c r="O258" s="40" t="s">
        <v>56</v>
      </c>
      <c r="P258" s="37" t="s">
        <v>541</v>
      </c>
      <c r="Q258" s="45"/>
      <c r="R258" s="43"/>
      <c r="S258" s="43"/>
      <c r="T258" s="44">
        <f>+_xlfn.XLOOKUP(PROYECTOS[[#This Row],[MUNICIPIO]],'4.CAP_ENDMNT'!B:B,'4.CAP_ENDMNT'!C:C,0,0,1)</f>
        <v>6</v>
      </c>
      <c r="U258" s="139">
        <f>+_xlfn.XLOOKUP(PROYECTOS[[#This Row],[MUNICIPIO]],'4.CAP_ENDMNT'!B:B,'4.CAP_ENDMNT'!D:D,0,0,1)</f>
        <v>15502017167.017002</v>
      </c>
      <c r="V258" s="140">
        <f>+_xlfn.XLOOKUP(PROYECTOS[[#This Row],[MUNICIPIO]],'4.CAP_ENDMNT'!B:B,'4.CAP_ENDMNT'!E:E,0,0,1)</f>
        <v>4560047682.8000002</v>
      </c>
      <c r="W258" s="140">
        <f>+_xlfn.XLOOKUP(PROYECTOS[[#This Row],[MUNICIPIO]],'4.CAP_ENDMNT'!B:B,'4.CAP_ENDMNT'!F:F,0,0,1)</f>
        <v>10941969484.217003</v>
      </c>
      <c r="X258" s="140">
        <f>+_xlfn.XLOOKUP(PROYECTOS[[#This Row],[MUNICIPIO]],'4.CAP_ENDMNT'!B:B,'4.CAP_ENDMNT'!G:G,0,0,1)</f>
        <v>1591148139</v>
      </c>
      <c r="Y258" s="140">
        <f>+_xlfn.XLOOKUP(PROYECTOS[[#This Row],[MUNICIPIO]],'4.CAP_ENDMNT'!B:B,'4.CAP_ENDMNT'!H:H,0,0,1)</f>
        <v>1671853559</v>
      </c>
      <c r="Z258" s="140">
        <f>+_xlfn.XLOOKUP(PROYECTOS[[#This Row],[MUNICIPIO]],'4.CAP_ENDMNT'!B:B,'4.CAP_ENDMNT'!I:I,0,0,1)</f>
        <v>3263001698</v>
      </c>
      <c r="AA258" s="134">
        <f>+_xlfn.XLOOKUP(PROYECTOS[[#This Row],[MUNICIPIO]],'4.CAP_ENDMNT'!B:B,'4.CAP_ENDMNT'!J:J,0,0,1)</f>
        <v>0.2104888456027873</v>
      </c>
      <c r="AB258" s="140">
        <f>+_xlfn.XLOOKUP(PROYECTOS[[#This Row],[MUNICIPIO]],'4.CAP_ENDMNT'!B:B,'4.CAP_ENDMNT'!K:K,0,0,1)</f>
        <v>12239015469.017002</v>
      </c>
      <c r="AC258" s="140">
        <f>+_xlfn.XLOOKUP(PROYECTOS[[#This Row],[MUNICIPIO]],'4.CAP_ENDMNT'!B:B,'4.CAP_ENDMNT'!L:L,0,0,1)</f>
        <v>9791212375.2136021</v>
      </c>
      <c r="AD258" s="140">
        <f>+_xlfn.XLOOKUP(PROYECTOS[[#This Row],[MUNICIPIO]],'4.CAP_ENDMNT'!B:B,'4.CAP_ENDMNT'!M:M,0,0,1)</f>
        <v>7343409281.4102011</v>
      </c>
      <c r="AE258" s="134">
        <f>+_xlfn.XLOOKUP(PROYECTOS[[#This Row],[MUNICIPIO]],'4.CAP_ENDMNT'!B:B,'4.CAP_ENDMNT'!N:N,0,0,1)</f>
        <v>0.4876332549796914</v>
      </c>
      <c r="AF258" s="134">
        <f>+_xlfn.XLOOKUP(PROYECTOS[[#This Row],[MUNICIPIO]],'4.CAP_ENDMNT'!B:B,'4.CAP_ENDMNT'!O:O,0,0,1)</f>
        <v>0.42560105953702715</v>
      </c>
      <c r="AG258" s="134">
        <f>+_xlfn.XLOOKUP(PROYECTOS[[#This Row],[MUNICIPIO]],'4.CAP_ENDMNT'!B:B,'4.CAP_ENDMNT'!P:P,0,0,1)</f>
        <v>0.8</v>
      </c>
      <c r="AH258" s="44" t="str">
        <f>+_xlfn.XLOOKUP(PROYECTOS[[#This Row],[MUNICIPIO]],'4.CAP_ENDMNT'!B:B,'4.CAP_ENDMNT'!Q:Q,0,0,1)</f>
        <v>Cumple</v>
      </c>
      <c r="AI258" s="139">
        <f>+_xlfn.XLOOKUP(PROYECTOS[[#This Row],[MUNICIPIO]],'4.CAP_ENDMNT'!B:B,'4.CAP_ENDMNT'!V:V,0,0,1)</f>
        <v>1468681856.2820404</v>
      </c>
      <c r="AJ258" s="139">
        <f>+_xlfn.XLOOKUP(PROYECTOS[[#This Row],[MUNICIPIO]],'4.CAP_ENDMNT'!B:B,'4.CAP_ENDMNT'!Y:Y,0,0,1)</f>
        <v>-10121554576.307758</v>
      </c>
      <c r="AK258"/>
      <c r="AL258"/>
      <c r="AM258"/>
    </row>
    <row r="259" spans="1:39">
      <c r="A259" s="44">
        <v>277</v>
      </c>
      <c r="B259" s="37" t="s">
        <v>571</v>
      </c>
      <c r="C259" s="118">
        <v>45747</v>
      </c>
      <c r="D259" s="46" t="s">
        <v>256</v>
      </c>
      <c r="E259" s="47" t="str">
        <f>+_xlfn.XLOOKUP(PROYECTOS[[#This Row],[MUNICIPIO]],MUNICIPIOS!A:A,MUNICIPIOS!E:E,0,0,1)</f>
        <v>Occidente</v>
      </c>
      <c r="F259" s="44">
        <f>+_xlfn.XLOOKUP(PROYECTOS[[#This Row],[MUNICIPIO]],MUNICIPIOS!A:A,MUNICIPIOS!F:F,0,0,1)</f>
        <v>-76.130764999999997</v>
      </c>
      <c r="G259" s="44" t="str">
        <f>+_xlfn.XLOOKUP(PROYECTOS[[#This Row],[MUNICIPIO]],MUNICIPIOS!A:A,MUNICIPIOS!G:G,0,0,1)</f>
        <v>6,776066</v>
      </c>
      <c r="H259" s="44">
        <f>+_xlfn.XLOOKUP(PROYECTOS[[#This Row],[MUNICIPIO]],MUNICIPIOS!A:A,MUNICIPIOS!B:B,0,0,1)</f>
        <v>0</v>
      </c>
      <c r="I259" s="44">
        <f>+_xlfn.XLOOKUP(PROYECTOS[[#This Row],[MUNICIPIO]],MUNICIPIOS!A:A,MUNICIPIOS!C:C,0,0,1)</f>
        <v>1</v>
      </c>
      <c r="J259" s="3" t="str" cm="1">
        <f t="array" ref="J259">_xlfn.TEXTJOIN(" ", TRUE, IF(radicados[ID PROYECTOS]=A259, radicados[RADICADO], ""))</f>
        <v/>
      </c>
      <c r="K259" s="45">
        <v>1</v>
      </c>
      <c r="L259" s="48"/>
      <c r="M259" s="34" t="s">
        <v>407</v>
      </c>
      <c r="N259" s="40" t="s">
        <v>397</v>
      </c>
      <c r="O259" s="40" t="s">
        <v>56</v>
      </c>
      <c r="P259" s="37" t="s">
        <v>541</v>
      </c>
      <c r="Q259" s="45"/>
      <c r="R259" s="43"/>
      <c r="S259" s="43"/>
      <c r="T259" s="44">
        <f>+_xlfn.XLOOKUP(PROYECTOS[[#This Row],[MUNICIPIO]],'4.CAP_ENDMNT'!B:B,'4.CAP_ENDMNT'!C:C,0,0,1)</f>
        <v>6</v>
      </c>
      <c r="U259" s="139">
        <f>+_xlfn.XLOOKUP(PROYECTOS[[#This Row],[MUNICIPIO]],'4.CAP_ENDMNT'!B:B,'4.CAP_ENDMNT'!D:D,0,0,1)</f>
        <v>15502017167.017002</v>
      </c>
      <c r="V259" s="140">
        <f>+_xlfn.XLOOKUP(PROYECTOS[[#This Row],[MUNICIPIO]],'4.CAP_ENDMNT'!B:B,'4.CAP_ENDMNT'!E:E,0,0,1)</f>
        <v>4560047682.8000002</v>
      </c>
      <c r="W259" s="140">
        <f>+_xlfn.XLOOKUP(PROYECTOS[[#This Row],[MUNICIPIO]],'4.CAP_ENDMNT'!B:B,'4.CAP_ENDMNT'!F:F,0,0,1)</f>
        <v>10941969484.217003</v>
      </c>
      <c r="X259" s="140">
        <f>+_xlfn.XLOOKUP(PROYECTOS[[#This Row],[MUNICIPIO]],'4.CAP_ENDMNT'!B:B,'4.CAP_ENDMNT'!G:G,0,0,1)</f>
        <v>1591148139</v>
      </c>
      <c r="Y259" s="140">
        <f>+_xlfn.XLOOKUP(PROYECTOS[[#This Row],[MUNICIPIO]],'4.CAP_ENDMNT'!B:B,'4.CAP_ENDMNT'!H:H,0,0,1)</f>
        <v>1671853559</v>
      </c>
      <c r="Z259" s="140">
        <f>+_xlfn.XLOOKUP(PROYECTOS[[#This Row],[MUNICIPIO]],'4.CAP_ENDMNT'!B:B,'4.CAP_ENDMNT'!I:I,0,0,1)</f>
        <v>3263001698</v>
      </c>
      <c r="AA259" s="134">
        <f>+_xlfn.XLOOKUP(PROYECTOS[[#This Row],[MUNICIPIO]],'4.CAP_ENDMNT'!B:B,'4.CAP_ENDMNT'!J:J,0,0,1)</f>
        <v>0.2104888456027873</v>
      </c>
      <c r="AB259" s="140">
        <f>+_xlfn.XLOOKUP(PROYECTOS[[#This Row],[MUNICIPIO]],'4.CAP_ENDMNT'!B:B,'4.CAP_ENDMNT'!K:K,0,0,1)</f>
        <v>12239015469.017002</v>
      </c>
      <c r="AC259" s="140">
        <f>+_xlfn.XLOOKUP(PROYECTOS[[#This Row],[MUNICIPIO]],'4.CAP_ENDMNT'!B:B,'4.CAP_ENDMNT'!L:L,0,0,1)</f>
        <v>9791212375.2136021</v>
      </c>
      <c r="AD259" s="140">
        <f>+_xlfn.XLOOKUP(PROYECTOS[[#This Row],[MUNICIPIO]],'4.CAP_ENDMNT'!B:B,'4.CAP_ENDMNT'!M:M,0,0,1)</f>
        <v>7343409281.4102011</v>
      </c>
      <c r="AE259" s="134">
        <f>+_xlfn.XLOOKUP(PROYECTOS[[#This Row],[MUNICIPIO]],'4.CAP_ENDMNT'!B:B,'4.CAP_ENDMNT'!N:N,0,0,1)</f>
        <v>0.4876332549796914</v>
      </c>
      <c r="AF259" s="134">
        <f>+_xlfn.XLOOKUP(PROYECTOS[[#This Row],[MUNICIPIO]],'4.CAP_ENDMNT'!B:B,'4.CAP_ENDMNT'!O:O,0,0,1)</f>
        <v>0.42560105953702715</v>
      </c>
      <c r="AG259" s="134">
        <f>+_xlfn.XLOOKUP(PROYECTOS[[#This Row],[MUNICIPIO]],'4.CAP_ENDMNT'!B:B,'4.CAP_ENDMNT'!P:P,0,0,1)</f>
        <v>0.8</v>
      </c>
      <c r="AH259" s="44" t="str">
        <f>+_xlfn.XLOOKUP(PROYECTOS[[#This Row],[MUNICIPIO]],'4.CAP_ENDMNT'!B:B,'4.CAP_ENDMNT'!Q:Q,0,0,1)</f>
        <v>Cumple</v>
      </c>
      <c r="AI259" s="139">
        <f>+_xlfn.XLOOKUP(PROYECTOS[[#This Row],[MUNICIPIO]],'4.CAP_ENDMNT'!B:B,'4.CAP_ENDMNT'!V:V,0,0,1)</f>
        <v>1468681856.2820404</v>
      </c>
      <c r="AJ259" s="139">
        <f>+_xlfn.XLOOKUP(PROYECTOS[[#This Row],[MUNICIPIO]],'4.CAP_ENDMNT'!B:B,'4.CAP_ENDMNT'!Y:Y,0,0,1)</f>
        <v>-10121554576.307758</v>
      </c>
      <c r="AK259"/>
      <c r="AL259"/>
      <c r="AM259"/>
    </row>
    <row r="260" spans="1:39">
      <c r="A260" s="44">
        <v>278</v>
      </c>
      <c r="B260" s="37" t="s">
        <v>572</v>
      </c>
      <c r="C260" s="118">
        <v>45747</v>
      </c>
      <c r="D260" s="46" t="s">
        <v>530</v>
      </c>
      <c r="E260" s="47" t="str">
        <f>+_xlfn.XLOOKUP(PROYECTOS[[#This Row],[MUNICIPIO]],MUNICIPIOS!A:A,MUNICIPIOS!E:E,0,0,1)</f>
        <v>Occidente</v>
      </c>
      <c r="F260" s="44">
        <f>+_xlfn.XLOOKUP(PROYECTOS[[#This Row],[MUNICIPIO]],MUNICIPIOS!A:A,MUNICIPIOS!F:F,0,0,1)</f>
        <v>-76.064304000000007</v>
      </c>
      <c r="G260" s="44" t="str">
        <f>+_xlfn.XLOOKUP(PROYECTOS[[#This Row],[MUNICIPIO]],MUNICIPIOS!A:A,MUNICIPIOS!G:G,0,0,1)</f>
        <v>6,632282</v>
      </c>
      <c r="H260" s="44">
        <f>+_xlfn.XLOOKUP(PROYECTOS[[#This Row],[MUNICIPIO]],MUNICIPIOS!A:A,MUNICIPIOS!B:B,0,0,1)</f>
        <v>0</v>
      </c>
      <c r="I260" s="44">
        <f>+_xlfn.XLOOKUP(PROYECTOS[[#This Row],[MUNICIPIO]],MUNICIPIOS!A:A,MUNICIPIOS!C:C,0,0,1)</f>
        <v>1</v>
      </c>
      <c r="J260" s="3" t="str" cm="1">
        <f t="array" ref="J260">_xlfn.TEXTJOIN(" ", TRUE, IF(radicados[ID PROYECTOS]=A260, radicados[RADICADO], ""))</f>
        <v/>
      </c>
      <c r="K260" s="45">
        <v>1</v>
      </c>
      <c r="L260" s="48"/>
      <c r="M260" s="34" t="s">
        <v>407</v>
      </c>
      <c r="N260" s="40" t="s">
        <v>397</v>
      </c>
      <c r="O260" s="40" t="s">
        <v>56</v>
      </c>
      <c r="P260" s="37" t="s">
        <v>541</v>
      </c>
      <c r="Q260" s="45"/>
      <c r="R260" s="43"/>
      <c r="S260" s="43"/>
      <c r="T260" s="44">
        <f>+_xlfn.XLOOKUP(PROYECTOS[[#This Row],[MUNICIPIO]],'4.CAP_ENDMNT'!B:B,'4.CAP_ENDMNT'!C:C,0,0,1)</f>
        <v>6</v>
      </c>
      <c r="U260" s="139">
        <f>+_xlfn.XLOOKUP(PROYECTOS[[#This Row],[MUNICIPIO]],'4.CAP_ENDMNT'!B:B,'4.CAP_ENDMNT'!D:D,0,0,1)</f>
        <v>4751801726.2775002</v>
      </c>
      <c r="V260" s="140">
        <f>+_xlfn.XLOOKUP(PROYECTOS[[#This Row],[MUNICIPIO]],'4.CAP_ENDMNT'!B:B,'4.CAP_ENDMNT'!E:E,0,0,1)</f>
        <v>1263292997.6800001</v>
      </c>
      <c r="W260" s="140">
        <f>+_xlfn.XLOOKUP(PROYECTOS[[#This Row],[MUNICIPIO]],'4.CAP_ENDMNT'!B:B,'4.CAP_ENDMNT'!F:F,0,0,1)</f>
        <v>3488508728.5974998</v>
      </c>
      <c r="X260" s="140">
        <f>+_xlfn.XLOOKUP(PROYECTOS[[#This Row],[MUNICIPIO]],'4.CAP_ENDMNT'!B:B,'4.CAP_ENDMNT'!G:G,0,0,1)</f>
        <v>691012966</v>
      </c>
      <c r="Y260" s="140">
        <f>+_xlfn.XLOOKUP(PROYECTOS[[#This Row],[MUNICIPIO]],'4.CAP_ENDMNT'!B:B,'4.CAP_ENDMNT'!H:H,0,0,1)</f>
        <v>0</v>
      </c>
      <c r="Z260" s="140">
        <f>+_xlfn.XLOOKUP(PROYECTOS[[#This Row],[MUNICIPIO]],'4.CAP_ENDMNT'!B:B,'4.CAP_ENDMNT'!I:I,0,0,1)</f>
        <v>691012966</v>
      </c>
      <c r="AA260" s="134">
        <f>+_xlfn.XLOOKUP(PROYECTOS[[#This Row],[MUNICIPIO]],'4.CAP_ENDMNT'!B:B,'4.CAP_ENDMNT'!J:J,0,0,1)</f>
        <v>0.14542125404321754</v>
      </c>
      <c r="AB260" s="140">
        <f>+_xlfn.XLOOKUP(PROYECTOS[[#This Row],[MUNICIPIO]],'4.CAP_ENDMNT'!B:B,'4.CAP_ENDMNT'!K:K,0,0,1)</f>
        <v>4060788760.2775002</v>
      </c>
      <c r="AC260" s="140">
        <f>+_xlfn.XLOOKUP(PROYECTOS[[#This Row],[MUNICIPIO]],'4.CAP_ENDMNT'!B:B,'4.CAP_ENDMNT'!L:L,0,0,1)</f>
        <v>3248631008.2220001</v>
      </c>
      <c r="AD260" s="140">
        <f>+_xlfn.XLOOKUP(PROYECTOS[[#This Row],[MUNICIPIO]],'4.CAP_ENDMNT'!B:B,'4.CAP_ENDMNT'!M:M,0,0,1)</f>
        <v>2436473256.1665001</v>
      </c>
      <c r="AE260" s="134">
        <f>+_xlfn.XLOOKUP(PROYECTOS[[#This Row],[MUNICIPIO]],'4.CAP_ENDMNT'!B:B,'4.CAP_ENDMNT'!N:N,0,0,1)</f>
        <v>1</v>
      </c>
      <c r="AF260" s="134">
        <f>+_xlfn.XLOOKUP(PROYECTOS[[#This Row],[MUNICIPIO]],'4.CAP_ENDMNT'!B:B,'4.CAP_ENDMNT'!O:O,0,0,1)</f>
        <v>0.49444669710295669</v>
      </c>
      <c r="AG260" s="134">
        <f>+_xlfn.XLOOKUP(PROYECTOS[[#This Row],[MUNICIPIO]],'4.CAP_ENDMNT'!B:B,'4.CAP_ENDMNT'!P:P,0,0,1)</f>
        <v>0.8</v>
      </c>
      <c r="AH260" s="44" t="str">
        <f>+_xlfn.XLOOKUP(PROYECTOS[[#This Row],[MUNICIPIO]],'4.CAP_ENDMNT'!B:B,'4.CAP_ENDMNT'!Q:Q,0,0,1)</f>
        <v>Cumple</v>
      </c>
      <c r="AI260" s="139">
        <f>+_xlfn.XLOOKUP(PROYECTOS[[#This Row],[MUNICIPIO]],'4.CAP_ENDMNT'!B:B,'4.CAP_ENDMNT'!V:V,0,0,1)</f>
        <v>487294651.23330003</v>
      </c>
      <c r="AJ260" s="139">
        <f>+_xlfn.XLOOKUP(PROYECTOS[[#This Row],[MUNICIPIO]],'4.CAP_ENDMNT'!B:B,'4.CAP_ENDMNT'!Y:Y,0,0,1)</f>
        <v>2923767907.3998003</v>
      </c>
      <c r="AK260"/>
      <c r="AL260"/>
      <c r="AM260"/>
    </row>
    <row r="261" spans="1:39">
      <c r="A261" s="44">
        <v>279</v>
      </c>
      <c r="B261" s="37" t="s">
        <v>573</v>
      </c>
      <c r="C261" s="118">
        <v>45747</v>
      </c>
      <c r="D261" s="46" t="s">
        <v>574</v>
      </c>
      <c r="E261" s="47" t="str">
        <f>+_xlfn.XLOOKUP(PROYECTOS[[#This Row],[MUNICIPIO]],MUNICIPIOS!A:A,MUNICIPIOS!E:E,0,0,1)</f>
        <v>Occidente</v>
      </c>
      <c r="F261" s="44">
        <f>+_xlfn.XLOOKUP(PROYECTOS[[#This Row],[MUNICIPIO]],MUNICIPIOS!A:A,MUNICIPIOS!F:F,0,0,1)</f>
        <v>-75.906999999999996</v>
      </c>
      <c r="G261" s="44" t="str">
        <f>+_xlfn.XLOOKUP(PROYECTOS[[#This Row],[MUNICIPIO]],MUNICIPIOS!A:A,MUNICIPIOS!G:G,0,0,1)</f>
        <v>6,720759</v>
      </c>
      <c r="H261" s="44">
        <f>+_xlfn.XLOOKUP(PROYECTOS[[#This Row],[MUNICIPIO]],MUNICIPIOS!A:A,MUNICIPIOS!B:B,0,0,1)</f>
        <v>0</v>
      </c>
      <c r="I261" s="44">
        <f>+_xlfn.XLOOKUP(PROYECTOS[[#This Row],[MUNICIPIO]],MUNICIPIOS!A:A,MUNICIPIOS!C:C,0,0,1)</f>
        <v>0</v>
      </c>
      <c r="J261" s="3" t="str" cm="1">
        <f t="array" ref="J261">_xlfn.TEXTJOIN(" ", TRUE, IF(radicados[ID PROYECTOS]=A261, radicados[RADICADO], ""))</f>
        <v/>
      </c>
      <c r="K261" s="45">
        <v>1</v>
      </c>
      <c r="L261" s="48"/>
      <c r="M261" s="34" t="s">
        <v>407</v>
      </c>
      <c r="N261" s="40" t="s">
        <v>397</v>
      </c>
      <c r="O261" s="40" t="s">
        <v>56</v>
      </c>
      <c r="P261" s="37" t="s">
        <v>541</v>
      </c>
      <c r="Q261" s="45"/>
      <c r="R261" s="43"/>
      <c r="S261" s="43"/>
      <c r="T261" s="44">
        <f>+_xlfn.XLOOKUP(PROYECTOS[[#This Row],[MUNICIPIO]],'4.CAP_ENDMNT'!B:B,'4.CAP_ENDMNT'!C:C,0,0,1)</f>
        <v>6</v>
      </c>
      <c r="U261" s="139">
        <f>+_xlfn.XLOOKUP(PROYECTOS[[#This Row],[MUNICIPIO]],'4.CAP_ENDMNT'!B:B,'4.CAP_ENDMNT'!D:D,0,0,1)</f>
        <v>22970429632.738503</v>
      </c>
      <c r="V261" s="140">
        <f>+_xlfn.XLOOKUP(PROYECTOS[[#This Row],[MUNICIPIO]],'4.CAP_ENDMNT'!B:B,'4.CAP_ENDMNT'!E:E,0,0,1)</f>
        <v>4753029850.6400003</v>
      </c>
      <c r="W261" s="140">
        <f>+_xlfn.XLOOKUP(PROYECTOS[[#This Row],[MUNICIPIO]],'4.CAP_ENDMNT'!B:B,'4.CAP_ENDMNT'!F:F,0,0,1)</f>
        <v>18217399782.098503</v>
      </c>
      <c r="X261" s="140">
        <f>+_xlfn.XLOOKUP(PROYECTOS[[#This Row],[MUNICIPIO]],'4.CAP_ENDMNT'!B:B,'4.CAP_ENDMNT'!G:G,0,0,1)</f>
        <v>1226974981</v>
      </c>
      <c r="Y261" s="140">
        <f>+_xlfn.XLOOKUP(PROYECTOS[[#This Row],[MUNICIPIO]],'4.CAP_ENDMNT'!B:B,'4.CAP_ENDMNT'!H:H,0,0,1)</f>
        <v>868957450</v>
      </c>
      <c r="Z261" s="140">
        <f>+_xlfn.XLOOKUP(PROYECTOS[[#This Row],[MUNICIPIO]],'4.CAP_ENDMNT'!B:B,'4.CAP_ENDMNT'!I:I,0,0,1)</f>
        <v>2095932431</v>
      </c>
      <c r="AA261" s="134">
        <f>+_xlfn.XLOOKUP(PROYECTOS[[#This Row],[MUNICIPIO]],'4.CAP_ENDMNT'!B:B,'4.CAP_ENDMNT'!J:J,0,0,1)</f>
        <v>9.1244807542162021E-2</v>
      </c>
      <c r="AB261" s="140">
        <f>+_xlfn.XLOOKUP(PROYECTOS[[#This Row],[MUNICIPIO]],'4.CAP_ENDMNT'!B:B,'4.CAP_ENDMNT'!K:K,0,0,1)</f>
        <v>20874497201.738503</v>
      </c>
      <c r="AC261" s="140">
        <f>+_xlfn.XLOOKUP(PROYECTOS[[#This Row],[MUNICIPIO]],'4.CAP_ENDMNT'!B:B,'4.CAP_ENDMNT'!L:L,0,0,1)</f>
        <v>16699597761.390802</v>
      </c>
      <c r="AD261" s="140">
        <f>+_xlfn.XLOOKUP(PROYECTOS[[#This Row],[MUNICIPIO]],'4.CAP_ENDMNT'!B:B,'4.CAP_ENDMNT'!M:M,0,0,1)</f>
        <v>12524698321.0431</v>
      </c>
      <c r="AE261" s="134">
        <f>+_xlfn.XLOOKUP(PROYECTOS[[#This Row],[MUNICIPIO]],'4.CAP_ENDMNT'!B:B,'4.CAP_ENDMNT'!N:N,0,0,1)</f>
        <v>0.58540769867022491</v>
      </c>
      <c r="AF261" s="134">
        <f>+_xlfn.XLOOKUP(PROYECTOS[[#This Row],[MUNICIPIO]],'4.CAP_ENDMNT'!B:B,'4.CAP_ENDMNT'!O:O,0,0,1)</f>
        <v>0.40516346801716352</v>
      </c>
      <c r="AG261" s="134">
        <f>+_xlfn.XLOOKUP(PROYECTOS[[#This Row],[MUNICIPIO]],'4.CAP_ENDMNT'!B:B,'4.CAP_ENDMNT'!P:P,0,0,1)</f>
        <v>0.8</v>
      </c>
      <c r="AH261" s="44" t="str">
        <f>+_xlfn.XLOOKUP(PROYECTOS[[#This Row],[MUNICIPIO]],'4.CAP_ENDMNT'!B:B,'4.CAP_ENDMNT'!Q:Q,0,0,1)</f>
        <v>Cumple</v>
      </c>
      <c r="AI261" s="139">
        <f>+_xlfn.XLOOKUP(PROYECTOS[[#This Row],[MUNICIPIO]],'4.CAP_ENDMNT'!B:B,'4.CAP_ENDMNT'!V:V,0,0,1)</f>
        <v>2504939664.2086201</v>
      </c>
      <c r="AJ261" s="139">
        <f>+_xlfn.XLOOKUP(PROYECTOS[[#This Row],[MUNICIPIO]],'4.CAP_ENDMNT'!B:B,'4.CAP_ENDMNT'!Y:Y,0,0,1)</f>
        <v>13376602640.25172</v>
      </c>
      <c r="AK261"/>
      <c r="AL261"/>
      <c r="AM261"/>
    </row>
    <row r="262" spans="1:39">
      <c r="A262" s="44">
        <v>280</v>
      </c>
      <c r="B262" s="37" t="s">
        <v>575</v>
      </c>
      <c r="C262" s="118">
        <v>45747</v>
      </c>
      <c r="D262" s="46" t="s">
        <v>273</v>
      </c>
      <c r="E262" s="47" t="str">
        <f>+_xlfn.XLOOKUP(PROYECTOS[[#This Row],[MUNICIPIO]],MUNICIPIOS!A:A,MUNICIPIOS!E:E,0,0,1)</f>
        <v>Occidente</v>
      </c>
      <c r="F262" s="44">
        <f>+_xlfn.XLOOKUP(PROYECTOS[[#This Row],[MUNICIPIO]],MUNICIPIOS!A:A,MUNICIPIOS!F:F,0,0,1)</f>
        <v>-75.811773000000002</v>
      </c>
      <c r="G262" s="44" t="str">
        <f>+_xlfn.XLOOKUP(PROYECTOS[[#This Row],[MUNICIPIO]],MUNICIPIOS!A:A,MUNICIPIOS!G:G,0,0,1)</f>
        <v>6,626492</v>
      </c>
      <c r="H262" s="44">
        <f>+_xlfn.XLOOKUP(PROYECTOS[[#This Row],[MUNICIPIO]],MUNICIPIOS!A:A,MUNICIPIOS!B:B,0,0,1)</f>
        <v>0</v>
      </c>
      <c r="I262" s="44">
        <f>+_xlfn.XLOOKUP(PROYECTOS[[#This Row],[MUNICIPIO]],MUNICIPIOS!A:A,MUNICIPIOS!C:C,0,0,1)</f>
        <v>0</v>
      </c>
      <c r="J262" s="3" t="str" cm="1">
        <f t="array" ref="J262">_xlfn.TEXTJOIN(" ", TRUE, IF(radicados[ID PROYECTOS]=A262, radicados[RADICADO], ""))</f>
        <v/>
      </c>
      <c r="K262" s="45">
        <v>1</v>
      </c>
      <c r="L262" s="48"/>
      <c r="M262" s="34" t="s">
        <v>407</v>
      </c>
      <c r="N262" s="40" t="s">
        <v>397</v>
      </c>
      <c r="O262" s="40" t="s">
        <v>56</v>
      </c>
      <c r="P262" s="37" t="s">
        <v>541</v>
      </c>
      <c r="Q262" s="45"/>
      <c r="R262" s="43"/>
      <c r="S262" s="43"/>
      <c r="T262" s="44">
        <f>+_xlfn.XLOOKUP(PROYECTOS[[#This Row],[MUNICIPIO]],'4.CAP_ENDMNT'!B:B,'4.CAP_ENDMNT'!C:C,0,0,1)</f>
        <v>6</v>
      </c>
      <c r="U262" s="139">
        <f>+_xlfn.XLOOKUP(PROYECTOS[[#This Row],[MUNICIPIO]],'4.CAP_ENDMNT'!B:B,'4.CAP_ENDMNT'!D:D,0,0,1)</f>
        <v>4127448900.7750001</v>
      </c>
      <c r="V262" s="140">
        <f>+_xlfn.XLOOKUP(PROYECTOS[[#This Row],[MUNICIPIO]],'4.CAP_ENDMNT'!B:B,'4.CAP_ENDMNT'!E:E,0,0,1)</f>
        <v>1679484660.96</v>
      </c>
      <c r="W262" s="140">
        <f>+_xlfn.XLOOKUP(PROYECTOS[[#This Row],[MUNICIPIO]],'4.CAP_ENDMNT'!B:B,'4.CAP_ENDMNT'!F:F,0,0,1)</f>
        <v>2447964239.8150001</v>
      </c>
      <c r="X262" s="140">
        <f>+_xlfn.XLOOKUP(PROYECTOS[[#This Row],[MUNICIPIO]],'4.CAP_ENDMNT'!B:B,'4.CAP_ENDMNT'!G:G,0,0,1)</f>
        <v>2175868693</v>
      </c>
      <c r="Y262" s="140">
        <f>+_xlfn.XLOOKUP(PROYECTOS[[#This Row],[MUNICIPIO]],'4.CAP_ENDMNT'!B:B,'4.CAP_ENDMNT'!H:H,0,0,1)</f>
        <v>0</v>
      </c>
      <c r="Z262" s="140">
        <f>+_xlfn.XLOOKUP(PROYECTOS[[#This Row],[MUNICIPIO]],'4.CAP_ENDMNT'!B:B,'4.CAP_ENDMNT'!I:I,0,0,1)</f>
        <v>2175868693</v>
      </c>
      <c r="AA262" s="134">
        <f>+_xlfn.XLOOKUP(PROYECTOS[[#This Row],[MUNICIPIO]],'4.CAP_ENDMNT'!B:B,'4.CAP_ENDMNT'!J:J,0,0,1)</f>
        <v>0.52717035275504998</v>
      </c>
      <c r="AB262" s="140">
        <f>+_xlfn.XLOOKUP(PROYECTOS[[#This Row],[MUNICIPIO]],'4.CAP_ENDMNT'!B:B,'4.CAP_ENDMNT'!K:K,0,0,1)</f>
        <v>1951580207.7750001</v>
      </c>
      <c r="AC262" s="140">
        <f>+_xlfn.XLOOKUP(PROYECTOS[[#This Row],[MUNICIPIO]],'4.CAP_ENDMNT'!B:B,'4.CAP_ENDMNT'!L:L,0,0,1)</f>
        <v>1561264166.2200003</v>
      </c>
      <c r="AD262" s="140">
        <f>+_xlfn.XLOOKUP(PROYECTOS[[#This Row],[MUNICIPIO]],'4.CAP_ENDMNT'!B:B,'4.CAP_ENDMNT'!M:M,0,0,1)</f>
        <v>1170948124.665</v>
      </c>
      <c r="AE262" s="134">
        <f>+_xlfn.XLOOKUP(PROYECTOS[[#This Row],[MUNICIPIO]],'4.CAP_ENDMNT'!B:B,'4.CAP_ENDMNT'!N:N,0,0,1)</f>
        <v>1</v>
      </c>
      <c r="AF262" s="134">
        <f>+_xlfn.XLOOKUP(PROYECTOS[[#This Row],[MUNICIPIO]],'4.CAP_ENDMNT'!B:B,'4.CAP_ENDMNT'!O:O,0,0,1)</f>
        <v>0.89586302238809568</v>
      </c>
      <c r="AG262" s="134">
        <f>+_xlfn.XLOOKUP(PROYECTOS[[#This Row],[MUNICIPIO]],'4.CAP_ENDMNT'!B:B,'4.CAP_ENDMNT'!P:P,0,0,1)</f>
        <v>0.8</v>
      </c>
      <c r="AH262" s="44" t="str">
        <f>+_xlfn.XLOOKUP(PROYECTOS[[#This Row],[MUNICIPIO]],'4.CAP_ENDMNT'!B:B,'4.CAP_ENDMNT'!Q:Q,0,0,1)</f>
        <v>Incumple</v>
      </c>
      <c r="AI262" s="139">
        <f>+_xlfn.XLOOKUP(PROYECTOS[[#This Row],[MUNICIPIO]],'4.CAP_ENDMNT'!B:B,'4.CAP_ENDMNT'!V:V,0,0,1)</f>
        <v>234189624.933</v>
      </c>
      <c r="AJ262" s="139">
        <f>+_xlfn.XLOOKUP(PROYECTOS[[#This Row],[MUNICIPIO]],'4.CAP_ENDMNT'!B:B,'4.CAP_ENDMNT'!Y:Y,0,0,1)</f>
        <v>-5192738357.4020004</v>
      </c>
      <c r="AK262"/>
      <c r="AL262"/>
      <c r="AM262"/>
    </row>
    <row r="263" spans="1:39">
      <c r="A263" s="44">
        <v>281</v>
      </c>
      <c r="B263" s="37" t="s">
        <v>576</v>
      </c>
      <c r="C263" s="118">
        <v>45747</v>
      </c>
      <c r="D263" s="46" t="s">
        <v>214</v>
      </c>
      <c r="E263" s="47" t="str">
        <f>+_xlfn.XLOOKUP(PROYECTOS[[#This Row],[MUNICIPIO]],MUNICIPIOS!A:A,MUNICIPIOS!E:E,0,0,1)</f>
        <v>Occidente</v>
      </c>
      <c r="F263" s="44">
        <f>+_xlfn.XLOOKUP(PROYECTOS[[#This Row],[MUNICIPIO]],MUNICIPIOS!A:A,MUNICIPIOS!F:F,0,0,1)</f>
        <v>-75.812837999999999</v>
      </c>
      <c r="G263" s="44" t="str">
        <f>+_xlfn.XLOOKUP(PROYECTOS[[#This Row],[MUNICIPIO]],MUNICIPIOS!A:A,MUNICIPIOS!G:G,0,0,1)</f>
        <v>6,677316</v>
      </c>
      <c r="H263" s="44">
        <f>+_xlfn.XLOOKUP(PROYECTOS[[#This Row],[MUNICIPIO]],MUNICIPIOS!A:A,MUNICIPIOS!B:B,0,0,1)</f>
        <v>0</v>
      </c>
      <c r="I263" s="44">
        <f>+_xlfn.XLOOKUP(PROYECTOS[[#This Row],[MUNICIPIO]],MUNICIPIOS!A:A,MUNICIPIOS!C:C,0,0,1)</f>
        <v>0</v>
      </c>
      <c r="J263" s="3" t="str" cm="1">
        <f t="array" ref="J263">_xlfn.TEXTJOIN(" ", TRUE, IF(radicados[ID PROYECTOS]=A263, radicados[RADICADO], ""))</f>
        <v/>
      </c>
      <c r="K263" s="45">
        <v>1</v>
      </c>
      <c r="L263" s="48"/>
      <c r="M263" s="34" t="s">
        <v>407</v>
      </c>
      <c r="N263" s="40" t="s">
        <v>397</v>
      </c>
      <c r="O263" s="40" t="s">
        <v>56</v>
      </c>
      <c r="P263" s="37" t="s">
        <v>541</v>
      </c>
      <c r="Q263" s="45"/>
      <c r="R263" s="43"/>
      <c r="S263" s="43"/>
      <c r="T263" s="44">
        <f>+_xlfn.XLOOKUP(PROYECTOS[[#This Row],[MUNICIPIO]],'4.CAP_ENDMNT'!B:B,'4.CAP_ENDMNT'!C:C,0,0,1)</f>
        <v>6</v>
      </c>
      <c r="U263" s="139">
        <f>+_xlfn.XLOOKUP(PROYECTOS[[#This Row],[MUNICIPIO]],'4.CAP_ENDMNT'!B:B,'4.CAP_ENDMNT'!D:D,0,0,1)</f>
        <v>8030428413.9210014</v>
      </c>
      <c r="V263" s="140">
        <f>+_xlfn.XLOOKUP(PROYECTOS[[#This Row],[MUNICIPIO]],'4.CAP_ENDMNT'!B:B,'4.CAP_ENDMNT'!E:E,0,0,1)</f>
        <v>3080588699.4500003</v>
      </c>
      <c r="W263" s="140">
        <f>+_xlfn.XLOOKUP(PROYECTOS[[#This Row],[MUNICIPIO]],'4.CAP_ENDMNT'!B:B,'4.CAP_ENDMNT'!F:F,0,0,1)</f>
        <v>4949839714.4710007</v>
      </c>
      <c r="X263" s="140">
        <f>+_xlfn.XLOOKUP(PROYECTOS[[#This Row],[MUNICIPIO]],'4.CAP_ENDMNT'!B:B,'4.CAP_ENDMNT'!G:G,0,0,1)</f>
        <v>1577607418.01</v>
      </c>
      <c r="Y263" s="140">
        <f>+_xlfn.XLOOKUP(PROYECTOS[[#This Row],[MUNICIPIO]],'4.CAP_ENDMNT'!B:B,'4.CAP_ENDMNT'!H:H,0,0,1)</f>
        <v>1800000000</v>
      </c>
      <c r="Z263" s="140">
        <f>+_xlfn.XLOOKUP(PROYECTOS[[#This Row],[MUNICIPIO]],'4.CAP_ENDMNT'!B:B,'4.CAP_ENDMNT'!I:I,0,0,1)</f>
        <v>3377607418.0100002</v>
      </c>
      <c r="AA263" s="134">
        <f>+_xlfn.XLOOKUP(PROYECTOS[[#This Row],[MUNICIPIO]],'4.CAP_ENDMNT'!B:B,'4.CAP_ENDMNT'!J:J,0,0,1)</f>
        <v>0.42060114901900014</v>
      </c>
      <c r="AB263" s="140">
        <f>+_xlfn.XLOOKUP(PROYECTOS[[#This Row],[MUNICIPIO]],'4.CAP_ENDMNT'!B:B,'4.CAP_ENDMNT'!K:K,0,0,1)</f>
        <v>4652820995.9110012</v>
      </c>
      <c r="AC263" s="140">
        <f>+_xlfn.XLOOKUP(PROYECTOS[[#This Row],[MUNICIPIO]],'4.CAP_ENDMNT'!B:B,'4.CAP_ENDMNT'!L:L,0,0,1)</f>
        <v>3722256796.7288013</v>
      </c>
      <c r="AD263" s="140">
        <f>+_xlfn.XLOOKUP(PROYECTOS[[#This Row],[MUNICIPIO]],'4.CAP_ENDMNT'!B:B,'4.CAP_ENDMNT'!M:M,0,0,1)</f>
        <v>2791692597.5466008</v>
      </c>
      <c r="AE263" s="134">
        <f>+_xlfn.XLOOKUP(PROYECTOS[[#This Row],[MUNICIPIO]],'4.CAP_ENDMNT'!B:B,'4.CAP_ENDMNT'!N:N,0,0,1)</f>
        <v>0.46707838501239612</v>
      </c>
      <c r="AF263" s="134">
        <f>+_xlfn.XLOOKUP(PROYECTOS[[#This Row],[MUNICIPIO]],'4.CAP_ENDMNT'!B:B,'4.CAP_ENDMNT'!O:O,0,0,1)</f>
        <v>0.73590701114566914</v>
      </c>
      <c r="AG263" s="134">
        <f>+_xlfn.XLOOKUP(PROYECTOS[[#This Row],[MUNICIPIO]],'4.CAP_ENDMNT'!B:B,'4.CAP_ENDMNT'!P:P,0,0,1)</f>
        <v>0.8</v>
      </c>
      <c r="AH263" s="44" t="str">
        <f>+_xlfn.XLOOKUP(PROYECTOS[[#This Row],[MUNICIPIO]],'4.CAP_ENDMNT'!B:B,'4.CAP_ENDMNT'!Q:Q,0,0,1)</f>
        <v>Cumple</v>
      </c>
      <c r="AI263" s="139">
        <f>+_xlfn.XLOOKUP(PROYECTOS[[#This Row],[MUNICIPIO]],'4.CAP_ENDMNT'!B:B,'4.CAP_ENDMNT'!V:V,0,0,1)</f>
        <v>558338519.50932014</v>
      </c>
      <c r="AJ263" s="139">
        <f>+_xlfn.XLOOKUP(PROYECTOS[[#This Row],[MUNICIPIO]],'4.CAP_ENDMNT'!B:B,'4.CAP_ENDMNT'!Y:Y,0,0,1)</f>
        <v>-4580433251.9440784</v>
      </c>
      <c r="AK263"/>
      <c r="AL263"/>
      <c r="AM263"/>
    </row>
    <row r="264" spans="1:39">
      <c r="A264" s="44">
        <v>282</v>
      </c>
      <c r="B264" s="37" t="s">
        <v>577</v>
      </c>
      <c r="C264" s="118">
        <v>45747</v>
      </c>
      <c r="D264" s="46" t="s">
        <v>578</v>
      </c>
      <c r="E264" s="47" t="str">
        <f>+_xlfn.XLOOKUP(PROYECTOS[[#This Row],[MUNICIPIO]],MUNICIPIOS!A:A,MUNICIPIOS!E:E,0,0,1)</f>
        <v>Occidente</v>
      </c>
      <c r="F264" s="44">
        <f>+_xlfn.XLOOKUP(PROYECTOS[[#This Row],[MUNICIPIO]],MUNICIPIOS!A:A,MUNICIPIOS!F:F,0,0,1)</f>
        <v>-75.766413</v>
      </c>
      <c r="G264" s="44" t="str">
        <f>+_xlfn.XLOOKUP(PROYECTOS[[#This Row],[MUNICIPIO]],MUNICIPIOS!A:A,MUNICIPIOS!G:G,0,0,1)</f>
        <v>6,325615</v>
      </c>
      <c r="H264" s="44">
        <f>+_xlfn.XLOOKUP(PROYECTOS[[#This Row],[MUNICIPIO]],MUNICIPIOS!A:A,MUNICIPIOS!B:B,0,0,1)</f>
        <v>0</v>
      </c>
      <c r="I264" s="44">
        <f>+_xlfn.XLOOKUP(PROYECTOS[[#This Row],[MUNICIPIO]],MUNICIPIOS!A:A,MUNICIPIOS!C:C,0,0,1)</f>
        <v>0</v>
      </c>
      <c r="J264" s="3" t="str" cm="1">
        <f t="array" ref="J264">_xlfn.TEXTJOIN(" ", TRUE, IF(radicados[ID PROYECTOS]=A264, radicados[RADICADO], ""))</f>
        <v/>
      </c>
      <c r="K264" s="45">
        <v>1</v>
      </c>
      <c r="L264" s="48"/>
      <c r="M264" s="34" t="s">
        <v>407</v>
      </c>
      <c r="N264" s="40" t="s">
        <v>397</v>
      </c>
      <c r="O264" s="40" t="s">
        <v>56</v>
      </c>
      <c r="P264" s="37" t="s">
        <v>541</v>
      </c>
      <c r="Q264" s="45"/>
      <c r="R264" s="43"/>
      <c r="S264" s="43"/>
      <c r="T264" s="44">
        <f>+_xlfn.XLOOKUP(PROYECTOS[[#This Row],[MUNICIPIO]],'4.CAP_ENDMNT'!B:B,'4.CAP_ENDMNT'!C:C,0,0,1)</f>
        <v>6</v>
      </c>
      <c r="U264" s="139">
        <f>+_xlfn.XLOOKUP(PROYECTOS[[#This Row],[MUNICIPIO]],'4.CAP_ENDMNT'!B:B,'4.CAP_ENDMNT'!D:D,0,0,1)</f>
        <v>9001864307.6529999</v>
      </c>
      <c r="V264" s="140">
        <f>+_xlfn.XLOOKUP(PROYECTOS[[#This Row],[MUNICIPIO]],'4.CAP_ENDMNT'!B:B,'4.CAP_ENDMNT'!E:E,0,0,1)</f>
        <v>3627307640.0900002</v>
      </c>
      <c r="W264" s="140">
        <f>+_xlfn.XLOOKUP(PROYECTOS[[#This Row],[MUNICIPIO]],'4.CAP_ENDMNT'!B:B,'4.CAP_ENDMNT'!F:F,0,0,1)</f>
        <v>5374556667.5629997</v>
      </c>
      <c r="X264" s="140">
        <f>+_xlfn.XLOOKUP(PROYECTOS[[#This Row],[MUNICIPIO]],'4.CAP_ENDMNT'!B:B,'4.CAP_ENDMNT'!G:G,0,0,1)</f>
        <v>556835774</v>
      </c>
      <c r="Y264" s="140">
        <f>+_xlfn.XLOOKUP(PROYECTOS[[#This Row],[MUNICIPIO]],'4.CAP_ENDMNT'!B:B,'4.CAP_ENDMNT'!H:H,0,0,1)</f>
        <v>0</v>
      </c>
      <c r="Z264" s="140">
        <f>+_xlfn.XLOOKUP(PROYECTOS[[#This Row],[MUNICIPIO]],'4.CAP_ENDMNT'!B:B,'4.CAP_ENDMNT'!I:I,0,0,1)</f>
        <v>556835774</v>
      </c>
      <c r="AA264" s="134">
        <f>+_xlfn.XLOOKUP(PROYECTOS[[#This Row],[MUNICIPIO]],'4.CAP_ENDMNT'!B:B,'4.CAP_ENDMNT'!J:J,0,0,1)</f>
        <v>6.1857827997540693E-2</v>
      </c>
      <c r="AB264" s="140">
        <f>+_xlfn.XLOOKUP(PROYECTOS[[#This Row],[MUNICIPIO]],'4.CAP_ENDMNT'!B:B,'4.CAP_ENDMNT'!K:K,0,0,1)</f>
        <v>8445028533.6529999</v>
      </c>
      <c r="AC264" s="140">
        <f>+_xlfn.XLOOKUP(PROYECTOS[[#This Row],[MUNICIPIO]],'4.CAP_ENDMNT'!B:B,'4.CAP_ENDMNT'!L:L,0,0,1)</f>
        <v>6756022826.9224005</v>
      </c>
      <c r="AD264" s="140">
        <f>+_xlfn.XLOOKUP(PROYECTOS[[#This Row],[MUNICIPIO]],'4.CAP_ENDMNT'!B:B,'4.CAP_ENDMNT'!M:M,0,0,1)</f>
        <v>5067017120.1918001</v>
      </c>
      <c r="AE264" s="134">
        <f>+_xlfn.XLOOKUP(PROYECTOS[[#This Row],[MUNICIPIO]],'4.CAP_ENDMNT'!B:B,'4.CAP_ENDMNT'!N:N,0,0,1)</f>
        <v>1</v>
      </c>
      <c r="AF264" s="134">
        <f>+_xlfn.XLOOKUP(PROYECTOS[[#This Row],[MUNICIPIO]],'4.CAP_ENDMNT'!B:B,'4.CAP_ENDMNT'!O:O,0,0,1)</f>
        <v>0.55157730220974377</v>
      </c>
      <c r="AG264" s="134">
        <f>+_xlfn.XLOOKUP(PROYECTOS[[#This Row],[MUNICIPIO]],'4.CAP_ENDMNT'!B:B,'4.CAP_ENDMNT'!P:P,0,0,1)</f>
        <v>0.8</v>
      </c>
      <c r="AH264" s="44" t="str">
        <f>+_xlfn.XLOOKUP(PROYECTOS[[#This Row],[MUNICIPIO]],'4.CAP_ENDMNT'!B:B,'4.CAP_ENDMNT'!Q:Q,0,0,1)</f>
        <v>Cumple</v>
      </c>
      <c r="AI264" s="139">
        <f>+_xlfn.XLOOKUP(PROYECTOS[[#This Row],[MUNICIPIO]],'4.CAP_ENDMNT'!B:B,'4.CAP_ENDMNT'!V:V,0,0,1)</f>
        <v>1013403424.0383601</v>
      </c>
      <c r="AJ264" s="139">
        <f>+_xlfn.XLOOKUP(PROYECTOS[[#This Row],[MUNICIPIO]],'4.CAP_ENDMNT'!B:B,'4.CAP_ENDMNT'!Y:Y,0,0,1)</f>
        <v>3739073043.2301598</v>
      </c>
      <c r="AK264"/>
      <c r="AL264"/>
      <c r="AM264"/>
    </row>
    <row r="265" spans="1:39">
      <c r="A265" s="44">
        <v>283</v>
      </c>
      <c r="B265" s="37" t="s">
        <v>579</v>
      </c>
      <c r="C265" s="118">
        <v>45747</v>
      </c>
      <c r="D265" s="46" t="s">
        <v>580</v>
      </c>
      <c r="E265" s="47" t="str">
        <f>+_xlfn.XLOOKUP(PROYECTOS[[#This Row],[MUNICIPIO]],MUNICIPIOS!A:A,MUNICIPIOS!E:E,0,0,1)</f>
        <v>Valle de Aburrá</v>
      </c>
      <c r="F265" s="44">
        <f>+_xlfn.XLOOKUP(PROYECTOS[[#This Row],[MUNICIPIO]],MUNICIPIOS!A:A,MUNICIPIOS!F:F,0,0,1)</f>
        <v>-75.581774999999993</v>
      </c>
      <c r="G265" s="44" t="str">
        <f>+_xlfn.XLOOKUP(PROYECTOS[[#This Row],[MUNICIPIO]],MUNICIPIOS!A:A,MUNICIPIOS!G:G,0,0,1)</f>
        <v>6,246631</v>
      </c>
      <c r="H265" s="44">
        <f>+_xlfn.XLOOKUP(PROYECTOS[[#This Row],[MUNICIPIO]],MUNICIPIOS!A:A,MUNICIPIOS!B:B,0,0,1)</f>
        <v>0</v>
      </c>
      <c r="I265" s="44">
        <f>+_xlfn.XLOOKUP(PROYECTOS[[#This Row],[MUNICIPIO]],MUNICIPIOS!A:A,MUNICIPIOS!C:C,0,0,1)</f>
        <v>0</v>
      </c>
      <c r="J265" s="3" t="str" cm="1">
        <f t="array" ref="J265">_xlfn.TEXTJOIN(" ", TRUE, IF(radicados[ID PROYECTOS]=A265, radicados[RADICADO], ""))</f>
        <v/>
      </c>
      <c r="K265" s="45">
        <v>1</v>
      </c>
      <c r="L265" s="48"/>
      <c r="M265" s="34" t="s">
        <v>407</v>
      </c>
      <c r="N265" s="40" t="s">
        <v>397</v>
      </c>
      <c r="O265" s="40" t="s">
        <v>56</v>
      </c>
      <c r="P265" s="37" t="s">
        <v>541</v>
      </c>
      <c r="Q265" s="45"/>
      <c r="R265" s="43"/>
      <c r="S265" s="43"/>
      <c r="T265" s="44" t="str">
        <f>+_xlfn.XLOOKUP(PROYECTOS[[#This Row],[MUNICIPIO]],'4.CAP_ENDMNT'!B:B,'4.CAP_ENDMNT'!C:C,0,0,1)</f>
        <v>ESP</v>
      </c>
      <c r="U265" s="139">
        <f>+_xlfn.XLOOKUP(PROYECTOS[[#This Row],[MUNICIPIO]],'4.CAP_ENDMNT'!B:B,'4.CAP_ENDMNT'!D:D,0,0,1)</f>
        <v>3643253573623.1133</v>
      </c>
      <c r="V265" s="140">
        <f>+_xlfn.XLOOKUP(PROYECTOS[[#This Row],[MUNICIPIO]],'4.CAP_ENDMNT'!B:B,'4.CAP_ENDMNT'!E:E,0,0,1)</f>
        <v>1227432033091.78</v>
      </c>
      <c r="W265" s="140">
        <f>+_xlfn.XLOOKUP(PROYECTOS[[#This Row],[MUNICIPIO]],'4.CAP_ENDMNT'!B:B,'4.CAP_ENDMNT'!F:F,0,0,1)</f>
        <v>2415821540531.333</v>
      </c>
      <c r="X265" s="140">
        <f>+_xlfn.XLOOKUP(PROYECTOS[[#This Row],[MUNICIPIO]],'4.CAP_ENDMNT'!B:B,'4.CAP_ENDMNT'!G:G,0,0,1)</f>
        <v>180986901342</v>
      </c>
      <c r="Y265" s="140">
        <f>+_xlfn.XLOOKUP(PROYECTOS[[#This Row],[MUNICIPIO]],'4.CAP_ENDMNT'!B:B,'4.CAP_ENDMNT'!H:H,0,0,1)</f>
        <v>2084001890354</v>
      </c>
      <c r="Z265" s="140">
        <f>+_xlfn.XLOOKUP(PROYECTOS[[#This Row],[MUNICIPIO]],'4.CAP_ENDMNT'!B:B,'4.CAP_ENDMNT'!I:I,0,0,1)</f>
        <v>2264988791696</v>
      </c>
      <c r="AA265" s="134">
        <f>+_xlfn.XLOOKUP(PROYECTOS[[#This Row],[MUNICIPIO]],'4.CAP_ENDMNT'!B:B,'4.CAP_ENDMNT'!J:J,0,0,1)</f>
        <v>0.62169397378605529</v>
      </c>
      <c r="AB265" s="140">
        <f>+_xlfn.XLOOKUP(PROYECTOS[[#This Row],[MUNICIPIO]],'4.CAP_ENDMNT'!B:B,'4.CAP_ENDMNT'!K:K,0,0,1)</f>
        <v>1378264781927.1133</v>
      </c>
      <c r="AC265" s="140">
        <f>+_xlfn.XLOOKUP(PROYECTOS[[#This Row],[MUNICIPIO]],'4.CAP_ENDMNT'!B:B,'4.CAP_ENDMNT'!L:L,0,0,1)</f>
        <v>1102611825541.6907</v>
      </c>
      <c r="AD265" s="140">
        <f>+_xlfn.XLOOKUP(PROYECTOS[[#This Row],[MUNICIPIO]],'4.CAP_ENDMNT'!B:B,'4.CAP_ENDMNT'!M:M,0,0,1)</f>
        <v>826958869156.26794</v>
      </c>
      <c r="AE265" s="134">
        <f>+_xlfn.XLOOKUP(PROYECTOS[[#This Row],[MUNICIPIO]],'4.CAP_ENDMNT'!B:B,'4.CAP_ENDMNT'!N:N,0,0,1)</f>
        <v>7.9906312121959283E-2</v>
      </c>
      <c r="AF265" s="134">
        <f>+_xlfn.XLOOKUP(PROYECTOS[[#This Row],[MUNICIPIO]],'4.CAP_ENDMNT'!B:B,'4.CAP_ENDMNT'!O:O,0,0,1)</f>
        <v>0.31949631926682159</v>
      </c>
      <c r="AG265" s="134">
        <f>+_xlfn.XLOOKUP(PROYECTOS[[#This Row],[MUNICIPIO]],'4.CAP_ENDMNT'!B:B,'4.CAP_ENDMNT'!P:P,0,0,1)</f>
        <v>0.5</v>
      </c>
      <c r="AH265" s="44" t="str">
        <f>+_xlfn.XLOOKUP(PROYECTOS[[#This Row],[MUNICIPIO]],'4.CAP_ENDMNT'!B:B,'4.CAP_ENDMNT'!Q:Q,0,0,1)</f>
        <v>Cumple</v>
      </c>
      <c r="AI265" s="139">
        <f>+_xlfn.XLOOKUP(PROYECTOS[[#This Row],[MUNICIPIO]],'4.CAP_ENDMNT'!B:B,'4.CAP_ENDMNT'!V:V,0,0,1)</f>
        <v>165391773831.2536</v>
      </c>
      <c r="AJ265" s="139">
        <f>+_xlfn.XLOOKUP(PROYECTOS[[#This Row],[MUNICIPIO]],'4.CAP_ENDMNT'!B:B,'4.CAP_ENDMNT'!Y:Y,0,0,1)</f>
        <v>992350642987.52148</v>
      </c>
      <c r="AK265"/>
      <c r="AL265"/>
      <c r="AM265"/>
    </row>
    <row r="266" spans="1:39">
      <c r="A266" s="44">
        <v>284</v>
      </c>
      <c r="B266" s="37" t="s">
        <v>581</v>
      </c>
      <c r="C266" s="118">
        <v>45747</v>
      </c>
      <c r="D266" s="46" t="s">
        <v>182</v>
      </c>
      <c r="E266" s="47" t="str">
        <f>+_xlfn.XLOOKUP(PROYECTOS[[#This Row],[MUNICIPIO]],MUNICIPIOS!A:A,MUNICIPIOS!E:E,0,0,1)</f>
        <v>Occidente</v>
      </c>
      <c r="F266" s="44">
        <f>+_xlfn.XLOOKUP(PROYECTOS[[#This Row],[MUNICIPIO]],MUNICIPIOS!A:A,MUNICIPIOS!F:F,0,0,1)</f>
        <v>-76.028227999999999</v>
      </c>
      <c r="G266" s="44" t="str">
        <f>+_xlfn.XLOOKUP(PROYECTOS[[#This Row],[MUNICIPIO]],MUNICIPIOS!A:A,MUNICIPIOS!G:G,0,0,1)</f>
        <v>6,753859</v>
      </c>
      <c r="H266" s="44">
        <f>+_xlfn.XLOOKUP(PROYECTOS[[#This Row],[MUNICIPIO]],MUNICIPIOS!A:A,MUNICIPIOS!B:B,0,0,1)</f>
        <v>0</v>
      </c>
      <c r="I266" s="44">
        <f>+_xlfn.XLOOKUP(PROYECTOS[[#This Row],[MUNICIPIO]],MUNICIPIOS!A:A,MUNICIPIOS!C:C,0,0,1)</f>
        <v>0</v>
      </c>
      <c r="J266" s="3" t="str" cm="1">
        <f t="array" ref="J266">_xlfn.TEXTJOIN(" ", TRUE, IF(radicados[ID PROYECTOS]=A266, radicados[RADICADO], ""))</f>
        <v/>
      </c>
      <c r="K266" s="45">
        <v>1</v>
      </c>
      <c r="L266" s="48"/>
      <c r="M266" s="34" t="s">
        <v>407</v>
      </c>
      <c r="N266" s="40" t="s">
        <v>397</v>
      </c>
      <c r="O266" s="40" t="s">
        <v>56</v>
      </c>
      <c r="P266" s="37" t="s">
        <v>541</v>
      </c>
      <c r="Q266" s="45"/>
      <c r="R266" s="43"/>
      <c r="S266" s="43"/>
      <c r="T266" s="44">
        <f>+_xlfn.XLOOKUP(PROYECTOS[[#This Row],[MUNICIPIO]],'4.CAP_ENDMNT'!B:B,'4.CAP_ENDMNT'!C:C,0,0,1)</f>
        <v>6</v>
      </c>
      <c r="U266" s="139">
        <f>+_xlfn.XLOOKUP(PROYECTOS[[#This Row],[MUNICIPIO]],'4.CAP_ENDMNT'!B:B,'4.CAP_ENDMNT'!D:D,0,0,1)</f>
        <v>17304408242.457001</v>
      </c>
      <c r="V266" s="140">
        <f>+_xlfn.XLOOKUP(PROYECTOS[[#This Row],[MUNICIPIO]],'4.CAP_ENDMNT'!B:B,'4.CAP_ENDMNT'!E:E,0,0,1)</f>
        <v>4260885029.46</v>
      </c>
      <c r="W266" s="140">
        <f>+_xlfn.XLOOKUP(PROYECTOS[[#This Row],[MUNICIPIO]],'4.CAP_ENDMNT'!B:B,'4.CAP_ENDMNT'!F:F,0,0,1)</f>
        <v>13043523212.997002</v>
      </c>
      <c r="X266" s="140">
        <f>+_xlfn.XLOOKUP(PROYECTOS[[#This Row],[MUNICIPIO]],'4.CAP_ENDMNT'!B:B,'4.CAP_ENDMNT'!G:G,0,0,1)</f>
        <v>3210633884</v>
      </c>
      <c r="Y266" s="140">
        <f>+_xlfn.XLOOKUP(PROYECTOS[[#This Row],[MUNICIPIO]],'4.CAP_ENDMNT'!B:B,'4.CAP_ENDMNT'!H:H,0,0,1)</f>
        <v>0</v>
      </c>
      <c r="Z266" s="140">
        <f>+_xlfn.XLOOKUP(PROYECTOS[[#This Row],[MUNICIPIO]],'4.CAP_ENDMNT'!B:B,'4.CAP_ENDMNT'!I:I,0,0,1)</f>
        <v>3210633884</v>
      </c>
      <c r="AA266" s="134">
        <f>+_xlfn.XLOOKUP(PROYECTOS[[#This Row],[MUNICIPIO]],'4.CAP_ENDMNT'!B:B,'4.CAP_ENDMNT'!J:J,0,0,1)</f>
        <v>0.1855384962614666</v>
      </c>
      <c r="AB266" s="140">
        <f>+_xlfn.XLOOKUP(PROYECTOS[[#This Row],[MUNICIPIO]],'4.CAP_ENDMNT'!B:B,'4.CAP_ENDMNT'!K:K,0,0,1)</f>
        <v>14093774358.457001</v>
      </c>
      <c r="AC266" s="140">
        <f>+_xlfn.XLOOKUP(PROYECTOS[[#This Row],[MUNICIPIO]],'4.CAP_ENDMNT'!B:B,'4.CAP_ENDMNT'!L:L,0,0,1)</f>
        <v>11275019486.765602</v>
      </c>
      <c r="AD266" s="140">
        <f>+_xlfn.XLOOKUP(PROYECTOS[[#This Row],[MUNICIPIO]],'4.CAP_ENDMNT'!B:B,'4.CAP_ENDMNT'!M:M,0,0,1)</f>
        <v>8456264615.0741997</v>
      </c>
      <c r="AE266" s="134">
        <f>+_xlfn.XLOOKUP(PROYECTOS[[#This Row],[MUNICIPIO]],'4.CAP_ENDMNT'!B:B,'4.CAP_ENDMNT'!N:N,0,0,1)</f>
        <v>1</v>
      </c>
      <c r="AF266" s="134">
        <f>+_xlfn.XLOOKUP(PROYECTOS[[#This Row],[MUNICIPIO]],'4.CAP_ENDMNT'!B:B,'4.CAP_ENDMNT'!O:O,0,0,1)</f>
        <v>0.3794626866525494</v>
      </c>
      <c r="AG266" s="134">
        <f>+_xlfn.XLOOKUP(PROYECTOS[[#This Row],[MUNICIPIO]],'4.CAP_ENDMNT'!B:B,'4.CAP_ENDMNT'!P:P,0,0,1)</f>
        <v>0.8</v>
      </c>
      <c r="AH266" s="44" t="str">
        <f>+_xlfn.XLOOKUP(PROYECTOS[[#This Row],[MUNICIPIO]],'4.CAP_ENDMNT'!B:B,'4.CAP_ENDMNT'!Q:Q,0,0,1)</f>
        <v>Cumple</v>
      </c>
      <c r="AI266" s="139">
        <f>+_xlfn.XLOOKUP(PROYECTOS[[#This Row],[MUNICIPIO]],'4.CAP_ENDMNT'!B:B,'4.CAP_ENDMNT'!V:V,0,0,1)</f>
        <v>1691252923.0148401</v>
      </c>
      <c r="AJ266" s="139">
        <f>+_xlfn.XLOOKUP(PROYECTOS[[#This Row],[MUNICIPIO]],'4.CAP_ENDMNT'!B:B,'4.CAP_ENDMNT'!Y:Y,0,0,1)</f>
        <v>-145378147798.91095</v>
      </c>
      <c r="AK266"/>
      <c r="AL266"/>
      <c r="AM266"/>
    </row>
    <row r="267" spans="1:39">
      <c r="A267" s="44">
        <v>285</v>
      </c>
      <c r="B267" s="37" t="s">
        <v>582</v>
      </c>
      <c r="C267" s="118">
        <v>45747</v>
      </c>
      <c r="D267" s="46" t="s">
        <v>362</v>
      </c>
      <c r="E267" s="47" t="str">
        <f>+_xlfn.XLOOKUP(PROYECTOS[[#This Row],[MUNICIPIO]],MUNICIPIOS!A:A,MUNICIPIOS!E:E,0,0,1)</f>
        <v>Occidente</v>
      </c>
      <c r="F267" s="44">
        <f>+_xlfn.XLOOKUP(PROYECTOS[[#This Row],[MUNICIPIO]],MUNICIPIOS!A:A,MUNICIPIOS!F:F,0,0,1)</f>
        <v>-76.261613999999994</v>
      </c>
      <c r="G267" s="44" t="str">
        <f>+_xlfn.XLOOKUP(PROYECTOS[[#This Row],[MUNICIPIO]],MUNICIPIOS!A:A,MUNICIPIOS!G:G,0,0,1)</f>
        <v>6,998112</v>
      </c>
      <c r="H267" s="44">
        <f>+_xlfn.XLOOKUP(PROYECTOS[[#This Row],[MUNICIPIO]],MUNICIPIOS!A:A,MUNICIPIOS!B:B,0,0,1)</f>
        <v>1</v>
      </c>
      <c r="I267" s="44">
        <f>+_xlfn.XLOOKUP(PROYECTOS[[#This Row],[MUNICIPIO]],MUNICIPIOS!A:A,MUNICIPIOS!C:C,0,0,1)</f>
        <v>1</v>
      </c>
      <c r="J267" s="3" t="str" cm="1">
        <f t="array" ref="J267">_xlfn.TEXTJOIN(" ", TRUE, IF(radicados[ID PROYECTOS]=A267, radicados[RADICADO], ""))</f>
        <v/>
      </c>
      <c r="K267" s="45">
        <v>1</v>
      </c>
      <c r="L267" s="48"/>
      <c r="M267" s="34" t="s">
        <v>407</v>
      </c>
      <c r="N267" s="40" t="s">
        <v>397</v>
      </c>
      <c r="O267" s="40" t="s">
        <v>56</v>
      </c>
      <c r="P267" s="37" t="s">
        <v>541</v>
      </c>
      <c r="Q267" s="45"/>
      <c r="R267" s="43"/>
      <c r="S267" s="43"/>
      <c r="T267" s="44">
        <f>+_xlfn.XLOOKUP(PROYECTOS[[#This Row],[MUNICIPIO]],'4.CAP_ENDMNT'!B:B,'4.CAP_ENDMNT'!C:C,0,0,1)</f>
        <v>6</v>
      </c>
      <c r="U267" s="139">
        <f>+_xlfn.XLOOKUP(PROYECTOS[[#This Row],[MUNICIPIO]],'4.CAP_ENDMNT'!B:B,'4.CAP_ENDMNT'!D:D,0,0,1)</f>
        <v>24612921465.534</v>
      </c>
      <c r="V267" s="140">
        <f>+_xlfn.XLOOKUP(PROYECTOS[[#This Row],[MUNICIPIO]],'4.CAP_ENDMNT'!B:B,'4.CAP_ENDMNT'!E:E,0,0,1)</f>
        <v>6692367651.6599998</v>
      </c>
      <c r="W267" s="140">
        <f>+_xlfn.XLOOKUP(PROYECTOS[[#This Row],[MUNICIPIO]],'4.CAP_ENDMNT'!B:B,'4.CAP_ENDMNT'!F:F,0,0,1)</f>
        <v>17920553813.874001</v>
      </c>
      <c r="X267" s="140">
        <f>+_xlfn.XLOOKUP(PROYECTOS[[#This Row],[MUNICIPIO]],'4.CAP_ENDMNT'!B:B,'4.CAP_ENDMNT'!G:G,0,0,1)</f>
        <v>830923107</v>
      </c>
      <c r="Y267" s="140">
        <f>+_xlfn.XLOOKUP(PROYECTOS[[#This Row],[MUNICIPIO]],'4.CAP_ENDMNT'!B:B,'4.CAP_ENDMNT'!H:H,0,0,1)</f>
        <v>8409573820</v>
      </c>
      <c r="Z267" s="140">
        <f>+_xlfn.XLOOKUP(PROYECTOS[[#This Row],[MUNICIPIO]],'4.CAP_ENDMNT'!B:B,'4.CAP_ENDMNT'!I:I,0,0,1)</f>
        <v>9240496927</v>
      </c>
      <c r="AA267" s="134">
        <f>+_xlfn.XLOOKUP(PROYECTOS[[#This Row],[MUNICIPIO]],'4.CAP_ENDMNT'!B:B,'4.CAP_ENDMNT'!J:J,0,0,1)</f>
        <v>0.37543275551176097</v>
      </c>
      <c r="AB267" s="140">
        <f>+_xlfn.XLOOKUP(PROYECTOS[[#This Row],[MUNICIPIO]],'4.CAP_ENDMNT'!B:B,'4.CAP_ENDMNT'!K:K,0,0,1)</f>
        <v>15372424538.534</v>
      </c>
      <c r="AC267" s="140">
        <f>+_xlfn.XLOOKUP(PROYECTOS[[#This Row],[MUNICIPIO]],'4.CAP_ENDMNT'!B:B,'4.CAP_ENDMNT'!L:L,0,0,1)</f>
        <v>12297939630.827202</v>
      </c>
      <c r="AD267" s="140">
        <f>+_xlfn.XLOOKUP(PROYECTOS[[#This Row],[MUNICIPIO]],'4.CAP_ENDMNT'!B:B,'4.CAP_ENDMNT'!M:M,0,0,1)</f>
        <v>9223454723.1203995</v>
      </c>
      <c r="AE267" s="134">
        <f>+_xlfn.XLOOKUP(PROYECTOS[[#This Row],[MUNICIPIO]],'4.CAP_ENDMNT'!B:B,'4.CAP_ENDMNT'!N:N,0,0,1)</f>
        <v>8.9921907183596203E-2</v>
      </c>
      <c r="AF267" s="134">
        <f>+_xlfn.XLOOKUP(PROYECTOS[[#This Row],[MUNICIPIO]],'4.CAP_ENDMNT'!B:B,'4.CAP_ENDMNT'!O:O,0,0,1)</f>
        <v>0.49254696748300181</v>
      </c>
      <c r="AG267" s="134">
        <f>+_xlfn.XLOOKUP(PROYECTOS[[#This Row],[MUNICIPIO]],'4.CAP_ENDMNT'!B:B,'4.CAP_ENDMNT'!P:P,0,0,1)</f>
        <v>0.8</v>
      </c>
      <c r="AH267" s="44" t="str">
        <f>+_xlfn.XLOOKUP(PROYECTOS[[#This Row],[MUNICIPIO]],'4.CAP_ENDMNT'!B:B,'4.CAP_ENDMNT'!Q:Q,0,0,1)</f>
        <v>Cumple</v>
      </c>
      <c r="AI267" s="139">
        <f>+_xlfn.XLOOKUP(PROYECTOS[[#This Row],[MUNICIPIO]],'4.CAP_ENDMNT'!B:B,'4.CAP_ENDMNT'!V:V,0,0,1)</f>
        <v>1844690944.6240799</v>
      </c>
      <c r="AJ267" s="139">
        <f>+_xlfn.XLOOKUP(PROYECTOS[[#This Row],[MUNICIPIO]],'4.CAP_ENDMNT'!B:B,'4.CAP_ENDMNT'!Y:Y,0,0,1)</f>
        <v>10069545667.74448</v>
      </c>
      <c r="AK267"/>
      <c r="AL267"/>
      <c r="AM267"/>
    </row>
    <row r="268" spans="1:39">
      <c r="A268" s="44">
        <v>286</v>
      </c>
      <c r="B268" s="37" t="s">
        <v>583</v>
      </c>
      <c r="C268" s="118">
        <v>45747</v>
      </c>
      <c r="D268" s="46" t="s">
        <v>256</v>
      </c>
      <c r="E268" s="47" t="str">
        <f>+_xlfn.XLOOKUP(PROYECTOS[[#This Row],[MUNICIPIO]],MUNICIPIOS!A:A,MUNICIPIOS!E:E,0,0,1)</f>
        <v>Occidente</v>
      </c>
      <c r="F268" s="44">
        <f>+_xlfn.XLOOKUP(PROYECTOS[[#This Row],[MUNICIPIO]],MUNICIPIOS!A:A,MUNICIPIOS!F:F,0,0,1)</f>
        <v>-76.130764999999997</v>
      </c>
      <c r="G268" s="44" t="str">
        <f>+_xlfn.XLOOKUP(PROYECTOS[[#This Row],[MUNICIPIO]],MUNICIPIOS!A:A,MUNICIPIOS!G:G,0,0,1)</f>
        <v>6,776066</v>
      </c>
      <c r="H268" s="44">
        <f>+_xlfn.XLOOKUP(PROYECTOS[[#This Row],[MUNICIPIO]],MUNICIPIOS!A:A,MUNICIPIOS!B:B,0,0,1)</f>
        <v>0</v>
      </c>
      <c r="I268" s="44">
        <f>+_xlfn.XLOOKUP(PROYECTOS[[#This Row],[MUNICIPIO]],MUNICIPIOS!A:A,MUNICIPIOS!C:C,0,0,1)</f>
        <v>1</v>
      </c>
      <c r="J268" s="3" t="str" cm="1">
        <f t="array" ref="J268">_xlfn.TEXTJOIN(" ", TRUE, IF(radicados[ID PROYECTOS]=A268, radicados[RADICADO], ""))</f>
        <v/>
      </c>
      <c r="K268" s="45">
        <v>1</v>
      </c>
      <c r="L268" s="48"/>
      <c r="M268" s="34" t="s">
        <v>407</v>
      </c>
      <c r="N268" s="40" t="s">
        <v>397</v>
      </c>
      <c r="O268" s="40" t="s">
        <v>56</v>
      </c>
      <c r="P268" s="37" t="s">
        <v>541</v>
      </c>
      <c r="Q268" s="45"/>
      <c r="R268" s="43"/>
      <c r="S268" s="43"/>
      <c r="T268" s="44">
        <f>+_xlfn.XLOOKUP(PROYECTOS[[#This Row],[MUNICIPIO]],'4.CAP_ENDMNT'!B:B,'4.CAP_ENDMNT'!C:C,0,0,1)</f>
        <v>6</v>
      </c>
      <c r="U268" s="139">
        <f>+_xlfn.XLOOKUP(PROYECTOS[[#This Row],[MUNICIPIO]],'4.CAP_ENDMNT'!B:B,'4.CAP_ENDMNT'!D:D,0,0,1)</f>
        <v>15502017167.017002</v>
      </c>
      <c r="V268" s="140">
        <f>+_xlfn.XLOOKUP(PROYECTOS[[#This Row],[MUNICIPIO]],'4.CAP_ENDMNT'!B:B,'4.CAP_ENDMNT'!E:E,0,0,1)</f>
        <v>4560047682.8000002</v>
      </c>
      <c r="W268" s="140">
        <f>+_xlfn.XLOOKUP(PROYECTOS[[#This Row],[MUNICIPIO]],'4.CAP_ENDMNT'!B:B,'4.CAP_ENDMNT'!F:F,0,0,1)</f>
        <v>10941969484.217003</v>
      </c>
      <c r="X268" s="140">
        <f>+_xlfn.XLOOKUP(PROYECTOS[[#This Row],[MUNICIPIO]],'4.CAP_ENDMNT'!B:B,'4.CAP_ENDMNT'!G:G,0,0,1)</f>
        <v>1591148139</v>
      </c>
      <c r="Y268" s="140">
        <f>+_xlfn.XLOOKUP(PROYECTOS[[#This Row],[MUNICIPIO]],'4.CAP_ENDMNT'!B:B,'4.CAP_ENDMNT'!H:H,0,0,1)</f>
        <v>1671853559</v>
      </c>
      <c r="Z268" s="140">
        <f>+_xlfn.XLOOKUP(PROYECTOS[[#This Row],[MUNICIPIO]],'4.CAP_ENDMNT'!B:B,'4.CAP_ENDMNT'!I:I,0,0,1)</f>
        <v>3263001698</v>
      </c>
      <c r="AA268" s="134">
        <f>+_xlfn.XLOOKUP(PROYECTOS[[#This Row],[MUNICIPIO]],'4.CAP_ENDMNT'!B:B,'4.CAP_ENDMNT'!J:J,0,0,1)</f>
        <v>0.2104888456027873</v>
      </c>
      <c r="AB268" s="140">
        <f>+_xlfn.XLOOKUP(PROYECTOS[[#This Row],[MUNICIPIO]],'4.CAP_ENDMNT'!B:B,'4.CAP_ENDMNT'!K:K,0,0,1)</f>
        <v>12239015469.017002</v>
      </c>
      <c r="AC268" s="140">
        <f>+_xlfn.XLOOKUP(PROYECTOS[[#This Row],[MUNICIPIO]],'4.CAP_ENDMNT'!B:B,'4.CAP_ENDMNT'!L:L,0,0,1)</f>
        <v>9791212375.2136021</v>
      </c>
      <c r="AD268" s="140">
        <f>+_xlfn.XLOOKUP(PROYECTOS[[#This Row],[MUNICIPIO]],'4.CAP_ENDMNT'!B:B,'4.CAP_ENDMNT'!M:M,0,0,1)</f>
        <v>7343409281.4102011</v>
      </c>
      <c r="AE268" s="134">
        <f>+_xlfn.XLOOKUP(PROYECTOS[[#This Row],[MUNICIPIO]],'4.CAP_ENDMNT'!B:B,'4.CAP_ENDMNT'!N:N,0,0,1)</f>
        <v>0.4876332549796914</v>
      </c>
      <c r="AF268" s="134">
        <f>+_xlfn.XLOOKUP(PROYECTOS[[#This Row],[MUNICIPIO]],'4.CAP_ENDMNT'!B:B,'4.CAP_ENDMNT'!O:O,0,0,1)</f>
        <v>0.42560105953702715</v>
      </c>
      <c r="AG268" s="134">
        <f>+_xlfn.XLOOKUP(PROYECTOS[[#This Row],[MUNICIPIO]],'4.CAP_ENDMNT'!B:B,'4.CAP_ENDMNT'!P:P,0,0,1)</f>
        <v>0.8</v>
      </c>
      <c r="AH268" s="44" t="str">
        <f>+_xlfn.XLOOKUP(PROYECTOS[[#This Row],[MUNICIPIO]],'4.CAP_ENDMNT'!B:B,'4.CAP_ENDMNT'!Q:Q,0,0,1)</f>
        <v>Cumple</v>
      </c>
      <c r="AI268" s="139">
        <f>+_xlfn.XLOOKUP(PROYECTOS[[#This Row],[MUNICIPIO]],'4.CAP_ENDMNT'!B:B,'4.CAP_ENDMNT'!V:V,0,0,1)</f>
        <v>1468681856.2820404</v>
      </c>
      <c r="AJ268" s="139">
        <f>+_xlfn.XLOOKUP(PROYECTOS[[#This Row],[MUNICIPIO]],'4.CAP_ENDMNT'!B:B,'4.CAP_ENDMNT'!Y:Y,0,0,1)</f>
        <v>-10121554576.307758</v>
      </c>
      <c r="AK268"/>
      <c r="AL268"/>
      <c r="AM268"/>
    </row>
    <row r="269" spans="1:39">
      <c r="A269" s="44">
        <v>287</v>
      </c>
      <c r="B269" s="37" t="s">
        <v>584</v>
      </c>
      <c r="C269" s="118">
        <v>45747</v>
      </c>
      <c r="D269" s="46" t="s">
        <v>578</v>
      </c>
      <c r="E269" s="47" t="str">
        <f>+_xlfn.XLOOKUP(PROYECTOS[[#This Row],[MUNICIPIO]],MUNICIPIOS!A:A,MUNICIPIOS!E:E,0,0,1)</f>
        <v>Occidente</v>
      </c>
      <c r="F269" s="44">
        <f>+_xlfn.XLOOKUP(PROYECTOS[[#This Row],[MUNICIPIO]],MUNICIPIOS!A:A,MUNICIPIOS!F:F,0,0,1)</f>
        <v>-75.766413</v>
      </c>
      <c r="G269" s="44" t="str">
        <f>+_xlfn.XLOOKUP(PROYECTOS[[#This Row],[MUNICIPIO]],MUNICIPIOS!A:A,MUNICIPIOS!G:G,0,0,1)</f>
        <v>6,325615</v>
      </c>
      <c r="H269" s="44">
        <f>+_xlfn.XLOOKUP(PROYECTOS[[#This Row],[MUNICIPIO]],MUNICIPIOS!A:A,MUNICIPIOS!B:B,0,0,1)</f>
        <v>0</v>
      </c>
      <c r="I269" s="44">
        <f>+_xlfn.XLOOKUP(PROYECTOS[[#This Row],[MUNICIPIO]],MUNICIPIOS!A:A,MUNICIPIOS!C:C,0,0,1)</f>
        <v>0</v>
      </c>
      <c r="J269" s="3" t="str" cm="1">
        <f t="array" ref="J269">_xlfn.TEXTJOIN(" ", TRUE, IF(radicados[ID PROYECTOS]=A269, radicados[RADICADO], ""))</f>
        <v/>
      </c>
      <c r="K269" s="45">
        <v>1</v>
      </c>
      <c r="L269" s="48"/>
      <c r="M269" s="34" t="s">
        <v>407</v>
      </c>
      <c r="N269" s="40" t="s">
        <v>397</v>
      </c>
      <c r="O269" s="40" t="s">
        <v>56</v>
      </c>
      <c r="P269" s="37" t="s">
        <v>541</v>
      </c>
      <c r="Q269" s="45"/>
      <c r="R269" s="43"/>
      <c r="S269" s="43"/>
      <c r="T269" s="44">
        <f>+_xlfn.XLOOKUP(PROYECTOS[[#This Row],[MUNICIPIO]],'4.CAP_ENDMNT'!B:B,'4.CAP_ENDMNT'!C:C,0,0,1)</f>
        <v>6</v>
      </c>
      <c r="U269" s="139">
        <f>+_xlfn.XLOOKUP(PROYECTOS[[#This Row],[MUNICIPIO]],'4.CAP_ENDMNT'!B:B,'4.CAP_ENDMNT'!D:D,0,0,1)</f>
        <v>9001864307.6529999</v>
      </c>
      <c r="V269" s="140">
        <f>+_xlfn.XLOOKUP(PROYECTOS[[#This Row],[MUNICIPIO]],'4.CAP_ENDMNT'!B:B,'4.CAP_ENDMNT'!E:E,0,0,1)</f>
        <v>3627307640.0900002</v>
      </c>
      <c r="W269" s="140">
        <f>+_xlfn.XLOOKUP(PROYECTOS[[#This Row],[MUNICIPIO]],'4.CAP_ENDMNT'!B:B,'4.CAP_ENDMNT'!F:F,0,0,1)</f>
        <v>5374556667.5629997</v>
      </c>
      <c r="X269" s="140">
        <f>+_xlfn.XLOOKUP(PROYECTOS[[#This Row],[MUNICIPIO]],'4.CAP_ENDMNT'!B:B,'4.CAP_ENDMNT'!G:G,0,0,1)</f>
        <v>556835774</v>
      </c>
      <c r="Y269" s="140">
        <f>+_xlfn.XLOOKUP(PROYECTOS[[#This Row],[MUNICIPIO]],'4.CAP_ENDMNT'!B:B,'4.CAP_ENDMNT'!H:H,0,0,1)</f>
        <v>0</v>
      </c>
      <c r="Z269" s="140">
        <f>+_xlfn.XLOOKUP(PROYECTOS[[#This Row],[MUNICIPIO]],'4.CAP_ENDMNT'!B:B,'4.CAP_ENDMNT'!I:I,0,0,1)</f>
        <v>556835774</v>
      </c>
      <c r="AA269" s="134">
        <f>+_xlfn.XLOOKUP(PROYECTOS[[#This Row],[MUNICIPIO]],'4.CAP_ENDMNT'!B:B,'4.CAP_ENDMNT'!J:J,0,0,1)</f>
        <v>6.1857827997540693E-2</v>
      </c>
      <c r="AB269" s="140">
        <f>+_xlfn.XLOOKUP(PROYECTOS[[#This Row],[MUNICIPIO]],'4.CAP_ENDMNT'!B:B,'4.CAP_ENDMNT'!K:K,0,0,1)</f>
        <v>8445028533.6529999</v>
      </c>
      <c r="AC269" s="140">
        <f>+_xlfn.XLOOKUP(PROYECTOS[[#This Row],[MUNICIPIO]],'4.CAP_ENDMNT'!B:B,'4.CAP_ENDMNT'!L:L,0,0,1)</f>
        <v>6756022826.9224005</v>
      </c>
      <c r="AD269" s="140">
        <f>+_xlfn.XLOOKUP(PROYECTOS[[#This Row],[MUNICIPIO]],'4.CAP_ENDMNT'!B:B,'4.CAP_ENDMNT'!M:M,0,0,1)</f>
        <v>5067017120.1918001</v>
      </c>
      <c r="AE269" s="134">
        <f>+_xlfn.XLOOKUP(PROYECTOS[[#This Row],[MUNICIPIO]],'4.CAP_ENDMNT'!B:B,'4.CAP_ENDMNT'!N:N,0,0,1)</f>
        <v>1</v>
      </c>
      <c r="AF269" s="134">
        <f>+_xlfn.XLOOKUP(PROYECTOS[[#This Row],[MUNICIPIO]],'4.CAP_ENDMNT'!B:B,'4.CAP_ENDMNT'!O:O,0,0,1)</f>
        <v>0.55157730220974377</v>
      </c>
      <c r="AG269" s="134">
        <f>+_xlfn.XLOOKUP(PROYECTOS[[#This Row],[MUNICIPIO]],'4.CAP_ENDMNT'!B:B,'4.CAP_ENDMNT'!P:P,0,0,1)</f>
        <v>0.8</v>
      </c>
      <c r="AH269" s="44" t="str">
        <f>+_xlfn.XLOOKUP(PROYECTOS[[#This Row],[MUNICIPIO]],'4.CAP_ENDMNT'!B:B,'4.CAP_ENDMNT'!Q:Q,0,0,1)</f>
        <v>Cumple</v>
      </c>
      <c r="AI269" s="139">
        <f>+_xlfn.XLOOKUP(PROYECTOS[[#This Row],[MUNICIPIO]],'4.CAP_ENDMNT'!B:B,'4.CAP_ENDMNT'!V:V,0,0,1)</f>
        <v>1013403424.0383601</v>
      </c>
      <c r="AJ269" s="139">
        <f>+_xlfn.XLOOKUP(PROYECTOS[[#This Row],[MUNICIPIO]],'4.CAP_ENDMNT'!B:B,'4.CAP_ENDMNT'!Y:Y,0,0,1)</f>
        <v>3739073043.2301598</v>
      </c>
      <c r="AK269"/>
      <c r="AL269"/>
      <c r="AM269"/>
    </row>
    <row r="270" spans="1:39">
      <c r="A270" s="44">
        <v>288</v>
      </c>
      <c r="B270" s="37" t="s">
        <v>585</v>
      </c>
      <c r="C270" s="118">
        <v>45747</v>
      </c>
      <c r="D270" s="46" t="s">
        <v>256</v>
      </c>
      <c r="E270" s="47" t="str">
        <f>+_xlfn.XLOOKUP(PROYECTOS[[#This Row],[MUNICIPIO]],MUNICIPIOS!A:A,MUNICIPIOS!E:E,0,0,1)</f>
        <v>Occidente</v>
      </c>
      <c r="F270" s="44">
        <f>+_xlfn.XLOOKUP(PROYECTOS[[#This Row],[MUNICIPIO]],MUNICIPIOS!A:A,MUNICIPIOS!F:F,0,0,1)</f>
        <v>-76.130764999999997</v>
      </c>
      <c r="G270" s="44" t="str">
        <f>+_xlfn.XLOOKUP(PROYECTOS[[#This Row],[MUNICIPIO]],MUNICIPIOS!A:A,MUNICIPIOS!G:G,0,0,1)</f>
        <v>6,776066</v>
      </c>
      <c r="H270" s="44">
        <f>+_xlfn.XLOOKUP(PROYECTOS[[#This Row],[MUNICIPIO]],MUNICIPIOS!A:A,MUNICIPIOS!B:B,0,0,1)</f>
        <v>0</v>
      </c>
      <c r="I270" s="44">
        <f>+_xlfn.XLOOKUP(PROYECTOS[[#This Row],[MUNICIPIO]],MUNICIPIOS!A:A,MUNICIPIOS!C:C,0,0,1)</f>
        <v>1</v>
      </c>
      <c r="J270" s="3" t="str" cm="1">
        <f t="array" ref="J270">_xlfn.TEXTJOIN(" ", TRUE, IF(radicados[ID PROYECTOS]=A270, radicados[RADICADO], ""))</f>
        <v/>
      </c>
      <c r="K270" s="45">
        <v>1</v>
      </c>
      <c r="L270" s="48"/>
      <c r="M270" s="34" t="s">
        <v>407</v>
      </c>
      <c r="N270" s="40" t="s">
        <v>397</v>
      </c>
      <c r="O270" s="40" t="s">
        <v>56</v>
      </c>
      <c r="P270" s="37" t="s">
        <v>541</v>
      </c>
      <c r="Q270" s="45"/>
      <c r="R270" s="43"/>
      <c r="S270" s="43"/>
      <c r="T270" s="44">
        <f>+_xlfn.XLOOKUP(PROYECTOS[[#This Row],[MUNICIPIO]],'4.CAP_ENDMNT'!B:B,'4.CAP_ENDMNT'!C:C,0,0,1)</f>
        <v>6</v>
      </c>
      <c r="U270" s="139">
        <f>+_xlfn.XLOOKUP(PROYECTOS[[#This Row],[MUNICIPIO]],'4.CAP_ENDMNT'!B:B,'4.CAP_ENDMNT'!D:D,0,0,1)</f>
        <v>15502017167.017002</v>
      </c>
      <c r="V270" s="140">
        <f>+_xlfn.XLOOKUP(PROYECTOS[[#This Row],[MUNICIPIO]],'4.CAP_ENDMNT'!B:B,'4.CAP_ENDMNT'!E:E,0,0,1)</f>
        <v>4560047682.8000002</v>
      </c>
      <c r="W270" s="140">
        <f>+_xlfn.XLOOKUP(PROYECTOS[[#This Row],[MUNICIPIO]],'4.CAP_ENDMNT'!B:B,'4.CAP_ENDMNT'!F:F,0,0,1)</f>
        <v>10941969484.217003</v>
      </c>
      <c r="X270" s="140">
        <f>+_xlfn.XLOOKUP(PROYECTOS[[#This Row],[MUNICIPIO]],'4.CAP_ENDMNT'!B:B,'4.CAP_ENDMNT'!G:G,0,0,1)</f>
        <v>1591148139</v>
      </c>
      <c r="Y270" s="140">
        <f>+_xlfn.XLOOKUP(PROYECTOS[[#This Row],[MUNICIPIO]],'4.CAP_ENDMNT'!B:B,'4.CAP_ENDMNT'!H:H,0,0,1)</f>
        <v>1671853559</v>
      </c>
      <c r="Z270" s="140">
        <f>+_xlfn.XLOOKUP(PROYECTOS[[#This Row],[MUNICIPIO]],'4.CAP_ENDMNT'!B:B,'4.CAP_ENDMNT'!I:I,0,0,1)</f>
        <v>3263001698</v>
      </c>
      <c r="AA270" s="134">
        <f>+_xlfn.XLOOKUP(PROYECTOS[[#This Row],[MUNICIPIO]],'4.CAP_ENDMNT'!B:B,'4.CAP_ENDMNT'!J:J,0,0,1)</f>
        <v>0.2104888456027873</v>
      </c>
      <c r="AB270" s="140">
        <f>+_xlfn.XLOOKUP(PROYECTOS[[#This Row],[MUNICIPIO]],'4.CAP_ENDMNT'!B:B,'4.CAP_ENDMNT'!K:K,0,0,1)</f>
        <v>12239015469.017002</v>
      </c>
      <c r="AC270" s="140">
        <f>+_xlfn.XLOOKUP(PROYECTOS[[#This Row],[MUNICIPIO]],'4.CAP_ENDMNT'!B:B,'4.CAP_ENDMNT'!L:L,0,0,1)</f>
        <v>9791212375.2136021</v>
      </c>
      <c r="AD270" s="140">
        <f>+_xlfn.XLOOKUP(PROYECTOS[[#This Row],[MUNICIPIO]],'4.CAP_ENDMNT'!B:B,'4.CAP_ENDMNT'!M:M,0,0,1)</f>
        <v>7343409281.4102011</v>
      </c>
      <c r="AE270" s="134">
        <f>+_xlfn.XLOOKUP(PROYECTOS[[#This Row],[MUNICIPIO]],'4.CAP_ENDMNT'!B:B,'4.CAP_ENDMNT'!N:N,0,0,1)</f>
        <v>0.4876332549796914</v>
      </c>
      <c r="AF270" s="134">
        <f>+_xlfn.XLOOKUP(PROYECTOS[[#This Row],[MUNICIPIO]],'4.CAP_ENDMNT'!B:B,'4.CAP_ENDMNT'!O:O,0,0,1)</f>
        <v>0.42560105953702715</v>
      </c>
      <c r="AG270" s="134">
        <f>+_xlfn.XLOOKUP(PROYECTOS[[#This Row],[MUNICIPIO]],'4.CAP_ENDMNT'!B:B,'4.CAP_ENDMNT'!P:P,0,0,1)</f>
        <v>0.8</v>
      </c>
      <c r="AH270" s="44" t="str">
        <f>+_xlfn.XLOOKUP(PROYECTOS[[#This Row],[MUNICIPIO]],'4.CAP_ENDMNT'!B:B,'4.CAP_ENDMNT'!Q:Q,0,0,1)</f>
        <v>Cumple</v>
      </c>
      <c r="AI270" s="139">
        <f>+_xlfn.XLOOKUP(PROYECTOS[[#This Row],[MUNICIPIO]],'4.CAP_ENDMNT'!B:B,'4.CAP_ENDMNT'!V:V,0,0,1)</f>
        <v>1468681856.2820404</v>
      </c>
      <c r="AJ270" s="139">
        <f>+_xlfn.XLOOKUP(PROYECTOS[[#This Row],[MUNICIPIO]],'4.CAP_ENDMNT'!B:B,'4.CAP_ENDMNT'!Y:Y,0,0,1)</f>
        <v>-10121554576.307758</v>
      </c>
      <c r="AK270"/>
      <c r="AL270"/>
      <c r="AM270"/>
    </row>
    <row r="271" spans="1:39">
      <c r="A271" s="44">
        <v>289</v>
      </c>
      <c r="B271" s="37" t="s">
        <v>586</v>
      </c>
      <c r="C271" s="118">
        <v>45747</v>
      </c>
      <c r="D271" s="46" t="s">
        <v>256</v>
      </c>
      <c r="E271" s="47" t="str">
        <f>+_xlfn.XLOOKUP(PROYECTOS[[#This Row],[MUNICIPIO]],MUNICIPIOS!A:A,MUNICIPIOS!E:E,0,0,1)</f>
        <v>Occidente</v>
      </c>
      <c r="F271" s="44">
        <f>+_xlfn.XLOOKUP(PROYECTOS[[#This Row],[MUNICIPIO]],MUNICIPIOS!A:A,MUNICIPIOS!F:F,0,0,1)</f>
        <v>-76.130764999999997</v>
      </c>
      <c r="G271" s="44" t="str">
        <f>+_xlfn.XLOOKUP(PROYECTOS[[#This Row],[MUNICIPIO]],MUNICIPIOS!A:A,MUNICIPIOS!G:G,0,0,1)</f>
        <v>6,776066</v>
      </c>
      <c r="H271" s="44">
        <f>+_xlfn.XLOOKUP(PROYECTOS[[#This Row],[MUNICIPIO]],MUNICIPIOS!A:A,MUNICIPIOS!B:B,0,0,1)</f>
        <v>0</v>
      </c>
      <c r="I271" s="44">
        <f>+_xlfn.XLOOKUP(PROYECTOS[[#This Row],[MUNICIPIO]],MUNICIPIOS!A:A,MUNICIPIOS!C:C,0,0,1)</f>
        <v>1</v>
      </c>
      <c r="J271" s="3" t="str" cm="1">
        <f t="array" ref="J271">_xlfn.TEXTJOIN(" ", TRUE, IF(radicados[ID PROYECTOS]=A271, radicados[RADICADO], ""))</f>
        <v/>
      </c>
      <c r="K271" s="45">
        <v>1</v>
      </c>
      <c r="L271" s="48"/>
      <c r="M271" s="34" t="s">
        <v>407</v>
      </c>
      <c r="N271" s="40" t="s">
        <v>397</v>
      </c>
      <c r="O271" s="40" t="s">
        <v>56</v>
      </c>
      <c r="P271" s="37" t="s">
        <v>541</v>
      </c>
      <c r="Q271" s="45"/>
      <c r="R271" s="43"/>
      <c r="S271" s="43"/>
      <c r="T271" s="44">
        <f>+_xlfn.XLOOKUP(PROYECTOS[[#This Row],[MUNICIPIO]],'4.CAP_ENDMNT'!B:B,'4.CAP_ENDMNT'!C:C,0,0,1)</f>
        <v>6</v>
      </c>
      <c r="U271" s="139">
        <f>+_xlfn.XLOOKUP(PROYECTOS[[#This Row],[MUNICIPIO]],'4.CAP_ENDMNT'!B:B,'4.CAP_ENDMNT'!D:D,0,0,1)</f>
        <v>15502017167.017002</v>
      </c>
      <c r="V271" s="140">
        <f>+_xlfn.XLOOKUP(PROYECTOS[[#This Row],[MUNICIPIO]],'4.CAP_ENDMNT'!B:B,'4.CAP_ENDMNT'!E:E,0,0,1)</f>
        <v>4560047682.8000002</v>
      </c>
      <c r="W271" s="140">
        <f>+_xlfn.XLOOKUP(PROYECTOS[[#This Row],[MUNICIPIO]],'4.CAP_ENDMNT'!B:B,'4.CAP_ENDMNT'!F:F,0,0,1)</f>
        <v>10941969484.217003</v>
      </c>
      <c r="X271" s="140">
        <f>+_xlfn.XLOOKUP(PROYECTOS[[#This Row],[MUNICIPIO]],'4.CAP_ENDMNT'!B:B,'4.CAP_ENDMNT'!G:G,0,0,1)</f>
        <v>1591148139</v>
      </c>
      <c r="Y271" s="140">
        <f>+_xlfn.XLOOKUP(PROYECTOS[[#This Row],[MUNICIPIO]],'4.CAP_ENDMNT'!B:B,'4.CAP_ENDMNT'!H:H,0,0,1)</f>
        <v>1671853559</v>
      </c>
      <c r="Z271" s="140">
        <f>+_xlfn.XLOOKUP(PROYECTOS[[#This Row],[MUNICIPIO]],'4.CAP_ENDMNT'!B:B,'4.CAP_ENDMNT'!I:I,0,0,1)</f>
        <v>3263001698</v>
      </c>
      <c r="AA271" s="134">
        <f>+_xlfn.XLOOKUP(PROYECTOS[[#This Row],[MUNICIPIO]],'4.CAP_ENDMNT'!B:B,'4.CAP_ENDMNT'!J:J,0,0,1)</f>
        <v>0.2104888456027873</v>
      </c>
      <c r="AB271" s="140">
        <f>+_xlfn.XLOOKUP(PROYECTOS[[#This Row],[MUNICIPIO]],'4.CAP_ENDMNT'!B:B,'4.CAP_ENDMNT'!K:K,0,0,1)</f>
        <v>12239015469.017002</v>
      </c>
      <c r="AC271" s="140">
        <f>+_xlfn.XLOOKUP(PROYECTOS[[#This Row],[MUNICIPIO]],'4.CAP_ENDMNT'!B:B,'4.CAP_ENDMNT'!L:L,0,0,1)</f>
        <v>9791212375.2136021</v>
      </c>
      <c r="AD271" s="140">
        <f>+_xlfn.XLOOKUP(PROYECTOS[[#This Row],[MUNICIPIO]],'4.CAP_ENDMNT'!B:B,'4.CAP_ENDMNT'!M:M,0,0,1)</f>
        <v>7343409281.4102011</v>
      </c>
      <c r="AE271" s="134">
        <f>+_xlfn.XLOOKUP(PROYECTOS[[#This Row],[MUNICIPIO]],'4.CAP_ENDMNT'!B:B,'4.CAP_ENDMNT'!N:N,0,0,1)</f>
        <v>0.4876332549796914</v>
      </c>
      <c r="AF271" s="134">
        <f>+_xlfn.XLOOKUP(PROYECTOS[[#This Row],[MUNICIPIO]],'4.CAP_ENDMNT'!B:B,'4.CAP_ENDMNT'!O:O,0,0,1)</f>
        <v>0.42560105953702715</v>
      </c>
      <c r="AG271" s="134">
        <f>+_xlfn.XLOOKUP(PROYECTOS[[#This Row],[MUNICIPIO]],'4.CAP_ENDMNT'!B:B,'4.CAP_ENDMNT'!P:P,0,0,1)</f>
        <v>0.8</v>
      </c>
      <c r="AH271" s="44" t="str">
        <f>+_xlfn.XLOOKUP(PROYECTOS[[#This Row],[MUNICIPIO]],'4.CAP_ENDMNT'!B:B,'4.CAP_ENDMNT'!Q:Q,0,0,1)</f>
        <v>Cumple</v>
      </c>
      <c r="AI271" s="139">
        <f>+_xlfn.XLOOKUP(PROYECTOS[[#This Row],[MUNICIPIO]],'4.CAP_ENDMNT'!B:B,'4.CAP_ENDMNT'!V:V,0,0,1)</f>
        <v>1468681856.2820404</v>
      </c>
      <c r="AJ271" s="139">
        <f>+_xlfn.XLOOKUP(PROYECTOS[[#This Row],[MUNICIPIO]],'4.CAP_ENDMNT'!B:B,'4.CAP_ENDMNT'!Y:Y,0,0,1)</f>
        <v>-10121554576.307758</v>
      </c>
      <c r="AK271"/>
      <c r="AL271"/>
      <c r="AM271"/>
    </row>
    <row r="272" spans="1:39">
      <c r="A272" s="44">
        <v>290</v>
      </c>
      <c r="B272" s="37" t="s">
        <v>587</v>
      </c>
      <c r="C272" s="118">
        <v>45747</v>
      </c>
      <c r="D272" s="46" t="s">
        <v>95</v>
      </c>
      <c r="E272" s="47" t="str">
        <f>+_xlfn.XLOOKUP(PROYECTOS[[#This Row],[MUNICIPIO]],MUNICIPIOS!A:A,MUNICIPIOS!E:E,0,0,1)</f>
        <v>Occidente</v>
      </c>
      <c r="F272" s="44">
        <f>+_xlfn.XLOOKUP(PROYECTOS[[#This Row],[MUNICIPIO]],MUNICIPIOS!A:A,MUNICIPIOS!F:F,0,0,1)</f>
        <v>-75.747377999999998</v>
      </c>
      <c r="G272" s="44">
        <f>+_xlfn.XLOOKUP(PROYECTOS[[#This Row],[MUNICIPIO]],MUNICIPIOS!A:A,MUNICIPIOS!G:G,0,0,1)</f>
        <v>6.5007450000000002</v>
      </c>
      <c r="H272" s="44">
        <f>+_xlfn.XLOOKUP(PROYECTOS[[#This Row],[MUNICIPIO]],MUNICIPIOS!A:A,MUNICIPIOS!B:B,0,0,1)</f>
        <v>0</v>
      </c>
      <c r="I272" s="44">
        <f>+_xlfn.XLOOKUP(PROYECTOS[[#This Row],[MUNICIPIO]],MUNICIPIOS!A:A,MUNICIPIOS!C:C,0,0,1)</f>
        <v>0</v>
      </c>
      <c r="J272" s="3" t="str" cm="1">
        <f t="array" ref="J272">_xlfn.TEXTJOIN(" ", TRUE, IF(radicados[ID PROYECTOS]=A272, radicados[RADICADO], ""))</f>
        <v/>
      </c>
      <c r="K272" s="45">
        <v>1</v>
      </c>
      <c r="L272" s="48"/>
      <c r="M272" s="34" t="s">
        <v>407</v>
      </c>
      <c r="N272" s="40" t="s">
        <v>397</v>
      </c>
      <c r="O272" s="40" t="s">
        <v>56</v>
      </c>
      <c r="P272" s="37" t="s">
        <v>541</v>
      </c>
      <c r="Q272" s="45"/>
      <c r="R272" s="43"/>
      <c r="S272" s="43"/>
      <c r="T272" s="44">
        <f>+_xlfn.XLOOKUP(PROYECTOS[[#This Row],[MUNICIPIO]],'4.CAP_ENDMNT'!B:B,'4.CAP_ENDMNT'!C:C,0,0,1)</f>
        <v>6</v>
      </c>
      <c r="U272" s="139">
        <f>+_xlfn.XLOOKUP(PROYECTOS[[#This Row],[MUNICIPIO]],'4.CAP_ENDMNT'!B:B,'4.CAP_ENDMNT'!D:D,0,0,1)</f>
        <v>16347842057.745998</v>
      </c>
      <c r="V272" s="140">
        <f>+_xlfn.XLOOKUP(PROYECTOS[[#This Row],[MUNICIPIO]],'4.CAP_ENDMNT'!B:B,'4.CAP_ENDMNT'!E:E,0,0,1)</f>
        <v>7901643157.3299999</v>
      </c>
      <c r="W272" s="140">
        <f>+_xlfn.XLOOKUP(PROYECTOS[[#This Row],[MUNICIPIO]],'4.CAP_ENDMNT'!B:B,'4.CAP_ENDMNT'!F:F,0,0,1)</f>
        <v>8446198900.4159985</v>
      </c>
      <c r="X272" s="140">
        <f>+_xlfn.XLOOKUP(PROYECTOS[[#This Row],[MUNICIPIO]],'4.CAP_ENDMNT'!B:B,'4.CAP_ENDMNT'!G:G,0,0,1)</f>
        <v>1620905965.8499999</v>
      </c>
      <c r="Y272" s="140">
        <f>+_xlfn.XLOOKUP(PROYECTOS[[#This Row],[MUNICIPIO]],'4.CAP_ENDMNT'!B:B,'4.CAP_ENDMNT'!H:H,0,0,1)</f>
        <v>2416666620</v>
      </c>
      <c r="Z272" s="140">
        <f>+_xlfn.XLOOKUP(PROYECTOS[[#This Row],[MUNICIPIO]],'4.CAP_ENDMNT'!B:B,'4.CAP_ENDMNT'!I:I,0,0,1)</f>
        <v>4037572585.8499999</v>
      </c>
      <c r="AA272" s="134">
        <f>+_xlfn.XLOOKUP(PROYECTOS[[#This Row],[MUNICIPIO]],'4.CAP_ENDMNT'!B:B,'4.CAP_ENDMNT'!J:J,0,0,1)</f>
        <v>0.24697893285168493</v>
      </c>
      <c r="AB272" s="140">
        <f>+_xlfn.XLOOKUP(PROYECTOS[[#This Row],[MUNICIPIO]],'4.CAP_ENDMNT'!B:B,'4.CAP_ENDMNT'!K:K,0,0,1)</f>
        <v>12310269471.895998</v>
      </c>
      <c r="AC272" s="140">
        <f>+_xlfn.XLOOKUP(PROYECTOS[[#This Row],[MUNICIPIO]],'4.CAP_ENDMNT'!B:B,'4.CAP_ENDMNT'!L:L,0,0,1)</f>
        <v>9848215577.516798</v>
      </c>
      <c r="AD272" s="140">
        <f>+_xlfn.XLOOKUP(PROYECTOS[[#This Row],[MUNICIPIO]],'4.CAP_ENDMNT'!B:B,'4.CAP_ENDMNT'!M:M,0,0,1)</f>
        <v>7386161683.137599</v>
      </c>
      <c r="AE272" s="134">
        <f>+_xlfn.XLOOKUP(PROYECTOS[[#This Row],[MUNICIPIO]],'4.CAP_ENDMNT'!B:B,'4.CAP_ENDMNT'!N:N,0,0,1)</f>
        <v>0.40145556058375176</v>
      </c>
      <c r="AF272" s="134">
        <f>+_xlfn.XLOOKUP(PROYECTOS[[#This Row],[MUNICIPIO]],'4.CAP_ENDMNT'!B:B,'4.CAP_ENDMNT'!O:O,0,0,1)</f>
        <v>0.5852153455768756</v>
      </c>
      <c r="AG272" s="134">
        <f>+_xlfn.XLOOKUP(PROYECTOS[[#This Row],[MUNICIPIO]],'4.CAP_ENDMNT'!B:B,'4.CAP_ENDMNT'!P:P,0,0,1)</f>
        <v>0.8</v>
      </c>
      <c r="AH272" s="44" t="str">
        <f>+_xlfn.XLOOKUP(PROYECTOS[[#This Row],[MUNICIPIO]],'4.CAP_ENDMNT'!B:B,'4.CAP_ENDMNT'!Q:Q,0,0,1)</f>
        <v>Cumple</v>
      </c>
      <c r="AI272" s="139">
        <f>+_xlfn.XLOOKUP(PROYECTOS[[#This Row],[MUNICIPIO]],'4.CAP_ENDMNT'!B:B,'4.CAP_ENDMNT'!V:V,0,0,1)</f>
        <v>1477232336.6275198</v>
      </c>
      <c r="AJ272" s="139">
        <f>+_xlfn.XLOOKUP(PROYECTOS[[#This Row],[MUNICIPIO]],'4.CAP_ENDMNT'!B:B,'4.CAP_ENDMNT'!Y:Y,0,0,1)</f>
        <v>-11946219029.23488</v>
      </c>
      <c r="AK272"/>
      <c r="AL272"/>
      <c r="AM272"/>
    </row>
    <row r="273" spans="1:39">
      <c r="A273" s="44">
        <v>291</v>
      </c>
      <c r="B273" s="37" t="s">
        <v>588</v>
      </c>
      <c r="C273" s="118">
        <v>45747</v>
      </c>
      <c r="D273" s="46" t="s">
        <v>115</v>
      </c>
      <c r="E273" s="47" t="str">
        <f>+_xlfn.XLOOKUP(PROYECTOS[[#This Row],[MUNICIPIO]],MUNICIPIOS!A:A,MUNICIPIOS!E:E,0,0,1)</f>
        <v>Oriente</v>
      </c>
      <c r="F273" s="44">
        <f>+_xlfn.XLOOKUP(PROYECTOS[[#This Row],[MUNICIPIO]],MUNICIPIOS!A:A,MUNICIPIOS!F:F,0,0,1)</f>
        <v>-75.429433000000003</v>
      </c>
      <c r="G273" s="44" t="str">
        <f>+_xlfn.XLOOKUP(PROYECTOS[[#This Row],[MUNICIPIO]],MUNICIPIOS!A:A,MUNICIPIOS!G:G,0,0,1)</f>
        <v>6,028062</v>
      </c>
      <c r="H273" s="44">
        <f>+_xlfn.XLOOKUP(PROYECTOS[[#This Row],[MUNICIPIO]],MUNICIPIOS!A:A,MUNICIPIOS!B:B,0,0,1)</f>
        <v>0</v>
      </c>
      <c r="I273" s="44">
        <f>+_xlfn.XLOOKUP(PROYECTOS[[#This Row],[MUNICIPIO]],MUNICIPIOS!A:A,MUNICIPIOS!C:C,0,0,1)</f>
        <v>0</v>
      </c>
      <c r="J273" s="3" t="str" cm="1">
        <f t="array" ref="J273">_xlfn.TEXTJOIN(" ", TRUE, IF(radicados[ID PROYECTOS]=A273, radicados[RADICADO], ""))</f>
        <v/>
      </c>
      <c r="K273" s="45">
        <v>1</v>
      </c>
      <c r="L273" s="48"/>
      <c r="M273" s="34" t="s">
        <v>407</v>
      </c>
      <c r="N273" s="40" t="s">
        <v>397</v>
      </c>
      <c r="O273" s="40" t="s">
        <v>56</v>
      </c>
      <c r="P273" s="37" t="s">
        <v>541</v>
      </c>
      <c r="Q273" s="45"/>
      <c r="R273" s="43"/>
      <c r="S273" s="43"/>
      <c r="T273" s="44">
        <f>+_xlfn.XLOOKUP(PROYECTOS[[#This Row],[MUNICIPIO]],'4.CAP_ENDMNT'!B:B,'4.CAP_ENDMNT'!C:C,0,0,1)</f>
        <v>2</v>
      </c>
      <c r="U273" s="139">
        <f>+_xlfn.XLOOKUP(PROYECTOS[[#This Row],[MUNICIPIO]],'4.CAP_ENDMNT'!B:B,'4.CAP_ENDMNT'!D:D,0,0,1)</f>
        <v>102691614388.099</v>
      </c>
      <c r="V273" s="140">
        <f>+_xlfn.XLOOKUP(PROYECTOS[[#This Row],[MUNICIPIO]],'4.CAP_ENDMNT'!B:B,'4.CAP_ENDMNT'!E:E,0,0,1)</f>
        <v>29123622287.32</v>
      </c>
      <c r="W273" s="140">
        <f>+_xlfn.XLOOKUP(PROYECTOS[[#This Row],[MUNICIPIO]],'4.CAP_ENDMNT'!B:B,'4.CAP_ENDMNT'!F:F,0,0,1)</f>
        <v>73567992100.778992</v>
      </c>
      <c r="X273" s="140">
        <f>+_xlfn.XLOOKUP(PROYECTOS[[#This Row],[MUNICIPIO]],'4.CAP_ENDMNT'!B:B,'4.CAP_ENDMNT'!G:G,0,0,1)</f>
        <v>5166195556</v>
      </c>
      <c r="Y273" s="140">
        <f>+_xlfn.XLOOKUP(PROYECTOS[[#This Row],[MUNICIPIO]],'4.CAP_ENDMNT'!B:B,'4.CAP_ENDMNT'!H:H,0,0,1)</f>
        <v>27283390599</v>
      </c>
      <c r="Z273" s="140">
        <f>+_xlfn.XLOOKUP(PROYECTOS[[#This Row],[MUNICIPIO]],'4.CAP_ENDMNT'!B:B,'4.CAP_ENDMNT'!I:I,0,0,1)</f>
        <v>32449586155</v>
      </c>
      <c r="AA273" s="134">
        <f>+_xlfn.XLOOKUP(PROYECTOS[[#This Row],[MUNICIPIO]],'4.CAP_ENDMNT'!B:B,'4.CAP_ENDMNT'!J:J,0,0,1)</f>
        <v>0.3159906127521217</v>
      </c>
      <c r="AB273" s="140">
        <f>+_xlfn.XLOOKUP(PROYECTOS[[#This Row],[MUNICIPIO]],'4.CAP_ENDMNT'!B:B,'4.CAP_ENDMNT'!K:K,0,0,1)</f>
        <v>70242028233.098999</v>
      </c>
      <c r="AC273" s="140">
        <f>+_xlfn.XLOOKUP(PROYECTOS[[#This Row],[MUNICIPIO]],'4.CAP_ENDMNT'!B:B,'4.CAP_ENDMNT'!L:L,0,0,1)</f>
        <v>56193622586.479202</v>
      </c>
      <c r="AD273" s="140">
        <f>+_xlfn.XLOOKUP(PROYECTOS[[#This Row],[MUNICIPIO]],'4.CAP_ENDMNT'!B:B,'4.CAP_ENDMNT'!M:M,0,0,1)</f>
        <v>42145216939.859398</v>
      </c>
      <c r="AE273" s="134">
        <f>+_xlfn.XLOOKUP(PROYECTOS[[#This Row],[MUNICIPIO]],'4.CAP_ENDMNT'!B:B,'4.CAP_ENDMNT'!N:N,0,0,1)</f>
        <v>0.15920682412783146</v>
      </c>
      <c r="AF273" s="134">
        <f>+_xlfn.XLOOKUP(PROYECTOS[[#This Row],[MUNICIPIO]],'4.CAP_ENDMNT'!B:B,'4.CAP_ENDMNT'!O:O,0,0,1)</f>
        <v>0.28977187660096981</v>
      </c>
      <c r="AG273" s="134">
        <f>+_xlfn.XLOOKUP(PROYECTOS[[#This Row],[MUNICIPIO]],'4.CAP_ENDMNT'!B:B,'4.CAP_ENDMNT'!P:P,0,0,1)</f>
        <v>0.7</v>
      </c>
      <c r="AH273" s="44" t="str">
        <f>+_xlfn.XLOOKUP(PROYECTOS[[#This Row],[MUNICIPIO]],'4.CAP_ENDMNT'!B:B,'4.CAP_ENDMNT'!Q:Q,0,0,1)</f>
        <v>Cumple</v>
      </c>
      <c r="AI273" s="139">
        <f>+_xlfn.XLOOKUP(PROYECTOS[[#This Row],[MUNICIPIO]],'4.CAP_ENDMNT'!B:B,'4.CAP_ENDMNT'!V:V,0,0,1)</f>
        <v>8429043387.97188</v>
      </c>
      <c r="AJ273" s="139">
        <f>+_xlfn.XLOOKUP(PROYECTOS[[#This Row],[MUNICIPIO]],'4.CAP_ENDMNT'!B:B,'4.CAP_ENDMNT'!Y:Y,0,0,1)</f>
        <v>45609749252.831276</v>
      </c>
      <c r="AK273"/>
      <c r="AL273"/>
      <c r="AM273"/>
    </row>
    <row r="274" spans="1:39">
      <c r="A274" s="44">
        <v>292</v>
      </c>
      <c r="B274" s="37" t="s">
        <v>589</v>
      </c>
      <c r="C274" s="118">
        <v>45747</v>
      </c>
      <c r="D274" s="46" t="s">
        <v>32</v>
      </c>
      <c r="E274" s="47" t="str">
        <f>+_xlfn.XLOOKUP(PROYECTOS[[#This Row],[MUNICIPIO]],MUNICIPIOS!A:A,MUNICIPIOS!E:E,0,0,1)</f>
        <v>Oriente</v>
      </c>
      <c r="F274" s="44">
        <f>+_xlfn.XLOOKUP(PROYECTOS[[#This Row],[MUNICIPIO]],MUNICIPIOS!A:A,MUNICIPIOS!F:F,0,0,1)</f>
        <v>-75.428738999999993</v>
      </c>
      <c r="G274" s="44">
        <f>+_xlfn.XLOOKUP(PROYECTOS[[#This Row],[MUNICIPIO]],MUNICIPIOS!A:A,MUNICIPIOS!G:G,0,0,1)</f>
        <v>5.7893150000000002</v>
      </c>
      <c r="H274" s="44">
        <f>+_xlfn.XLOOKUP(PROYECTOS[[#This Row],[MUNICIPIO]],MUNICIPIOS!A:A,MUNICIPIOS!B:B,0,0,1)</f>
        <v>0</v>
      </c>
      <c r="I274" s="44">
        <f>+_xlfn.XLOOKUP(PROYECTOS[[#This Row],[MUNICIPIO]],MUNICIPIOS!A:A,MUNICIPIOS!C:C,0,0,1)</f>
        <v>1</v>
      </c>
      <c r="J274" s="3" t="str" cm="1">
        <f t="array" ref="J274">_xlfn.TEXTJOIN(" ", TRUE, IF(radicados[ID PROYECTOS]=A274, radicados[RADICADO], ""))</f>
        <v/>
      </c>
      <c r="K274" s="45">
        <v>1</v>
      </c>
      <c r="L274" s="48"/>
      <c r="M274" s="34" t="s">
        <v>407</v>
      </c>
      <c r="N274" s="40" t="s">
        <v>397</v>
      </c>
      <c r="O274" s="40" t="s">
        <v>56</v>
      </c>
      <c r="P274" s="37" t="s">
        <v>541</v>
      </c>
      <c r="Q274" s="45"/>
      <c r="R274" s="43"/>
      <c r="S274" s="43"/>
      <c r="T274" s="44">
        <f>+_xlfn.XLOOKUP(PROYECTOS[[#This Row],[MUNICIPIO]],'4.CAP_ENDMNT'!B:B,'4.CAP_ENDMNT'!C:C,0,0,1)</f>
        <v>6</v>
      </c>
      <c r="U274" s="139">
        <f>+_xlfn.XLOOKUP(PROYECTOS[[#This Row],[MUNICIPIO]],'4.CAP_ENDMNT'!B:B,'4.CAP_ENDMNT'!D:D,0,0,1)</f>
        <v>15030770872.282</v>
      </c>
      <c r="V274" s="140">
        <f>+_xlfn.XLOOKUP(PROYECTOS[[#This Row],[MUNICIPIO]],'4.CAP_ENDMNT'!B:B,'4.CAP_ENDMNT'!E:E,0,0,1)</f>
        <v>4409672661.8199997</v>
      </c>
      <c r="W274" s="140">
        <f>+_xlfn.XLOOKUP(PROYECTOS[[#This Row],[MUNICIPIO]],'4.CAP_ENDMNT'!B:B,'4.CAP_ENDMNT'!F:F,0,0,1)</f>
        <v>10621098210.462</v>
      </c>
      <c r="X274" s="140">
        <f>+_xlfn.XLOOKUP(PROYECTOS[[#This Row],[MUNICIPIO]],'4.CAP_ENDMNT'!B:B,'4.CAP_ENDMNT'!G:G,0,0,1)</f>
        <v>1969764886</v>
      </c>
      <c r="Y274" s="140">
        <f>+_xlfn.XLOOKUP(PROYECTOS[[#This Row],[MUNICIPIO]],'4.CAP_ENDMNT'!B:B,'4.CAP_ENDMNT'!H:H,0,0,1)</f>
        <v>0</v>
      </c>
      <c r="Z274" s="140">
        <f>+_xlfn.XLOOKUP(PROYECTOS[[#This Row],[MUNICIPIO]],'4.CAP_ENDMNT'!B:B,'4.CAP_ENDMNT'!I:I,0,0,1)</f>
        <v>1969764886</v>
      </c>
      <c r="AA274" s="134">
        <f>+_xlfn.XLOOKUP(PROYECTOS[[#This Row],[MUNICIPIO]],'4.CAP_ENDMNT'!B:B,'4.CAP_ENDMNT'!J:J,0,0,1)</f>
        <v>0.13104882661955891</v>
      </c>
      <c r="AB274" s="140">
        <f>+_xlfn.XLOOKUP(PROYECTOS[[#This Row],[MUNICIPIO]],'4.CAP_ENDMNT'!B:B,'4.CAP_ENDMNT'!K:K,0,0,1)</f>
        <v>13061005986.282</v>
      </c>
      <c r="AC274" s="140">
        <f>+_xlfn.XLOOKUP(PROYECTOS[[#This Row],[MUNICIPIO]],'4.CAP_ENDMNT'!B:B,'4.CAP_ENDMNT'!L:L,0,0,1)</f>
        <v>10448804789.0256</v>
      </c>
      <c r="AD274" s="140">
        <f>+_xlfn.XLOOKUP(PROYECTOS[[#This Row],[MUNICIPIO]],'4.CAP_ENDMNT'!B:B,'4.CAP_ENDMNT'!M:M,0,0,1)</f>
        <v>7836603591.7691994</v>
      </c>
      <c r="AE274" s="134">
        <f>+_xlfn.XLOOKUP(PROYECTOS[[#This Row],[MUNICIPIO]],'4.CAP_ENDMNT'!B:B,'4.CAP_ENDMNT'!N:N,0,0,1)</f>
        <v>1</v>
      </c>
      <c r="AF274" s="134">
        <f>+_xlfn.XLOOKUP(PROYECTOS[[#This Row],[MUNICIPIO]],'4.CAP_ENDMNT'!B:B,'4.CAP_ENDMNT'!O:O,0,0,1)</f>
        <v>0.39507659260977307</v>
      </c>
      <c r="AG274" s="134">
        <f>+_xlfn.XLOOKUP(PROYECTOS[[#This Row],[MUNICIPIO]],'4.CAP_ENDMNT'!B:B,'4.CAP_ENDMNT'!P:P,0,0,1)</f>
        <v>0.8</v>
      </c>
      <c r="AH274" s="44" t="str">
        <f>+_xlfn.XLOOKUP(PROYECTOS[[#This Row],[MUNICIPIO]],'4.CAP_ENDMNT'!B:B,'4.CAP_ENDMNT'!Q:Q,0,0,1)</f>
        <v>Cumple</v>
      </c>
      <c r="AI274" s="139">
        <f>+_xlfn.XLOOKUP(PROYECTOS[[#This Row],[MUNICIPIO]],'4.CAP_ENDMNT'!B:B,'4.CAP_ENDMNT'!V:V,0,0,1)</f>
        <v>1567320718.3538399</v>
      </c>
      <c r="AJ274" s="139">
        <f>+_xlfn.XLOOKUP(PROYECTOS[[#This Row],[MUNICIPIO]],'4.CAP_ENDMNT'!B:B,'4.CAP_ENDMNT'!Y:Y,0,0,1)</f>
        <v>4201171682.1230392</v>
      </c>
      <c r="AK274"/>
      <c r="AL274"/>
      <c r="AM274"/>
    </row>
    <row r="275" spans="1:39">
      <c r="A275" s="44">
        <v>293</v>
      </c>
      <c r="B275" s="37" t="s">
        <v>590</v>
      </c>
      <c r="C275" s="118">
        <v>45747</v>
      </c>
      <c r="D275" s="46" t="s">
        <v>32</v>
      </c>
      <c r="E275" s="47" t="str">
        <f>+_xlfn.XLOOKUP(PROYECTOS[[#This Row],[MUNICIPIO]],MUNICIPIOS!A:A,MUNICIPIOS!E:E,0,0,1)</f>
        <v>Oriente</v>
      </c>
      <c r="F275" s="44">
        <f>+_xlfn.XLOOKUP(PROYECTOS[[#This Row],[MUNICIPIO]],MUNICIPIOS!A:A,MUNICIPIOS!F:F,0,0,1)</f>
        <v>-75.428738999999993</v>
      </c>
      <c r="G275" s="44">
        <f>+_xlfn.XLOOKUP(PROYECTOS[[#This Row],[MUNICIPIO]],MUNICIPIOS!A:A,MUNICIPIOS!G:G,0,0,1)</f>
        <v>5.7893150000000002</v>
      </c>
      <c r="H275" s="44">
        <f>+_xlfn.XLOOKUP(PROYECTOS[[#This Row],[MUNICIPIO]],MUNICIPIOS!A:A,MUNICIPIOS!B:B,0,0,1)</f>
        <v>0</v>
      </c>
      <c r="I275" s="44">
        <f>+_xlfn.XLOOKUP(PROYECTOS[[#This Row],[MUNICIPIO]],MUNICIPIOS!A:A,MUNICIPIOS!C:C,0,0,1)</f>
        <v>1</v>
      </c>
      <c r="J275" s="3" t="str" cm="1">
        <f t="array" ref="J275">_xlfn.TEXTJOIN(" ", TRUE, IF(radicados[ID PROYECTOS]=A275, radicados[RADICADO], ""))</f>
        <v/>
      </c>
      <c r="K275" s="45">
        <v>1</v>
      </c>
      <c r="L275" s="48"/>
      <c r="M275" s="34" t="s">
        <v>407</v>
      </c>
      <c r="N275" s="40" t="s">
        <v>397</v>
      </c>
      <c r="O275" s="40" t="s">
        <v>56</v>
      </c>
      <c r="P275" s="37" t="s">
        <v>541</v>
      </c>
      <c r="Q275" s="45"/>
      <c r="R275" s="43"/>
      <c r="S275" s="43"/>
      <c r="T275" s="44">
        <f>+_xlfn.XLOOKUP(PROYECTOS[[#This Row],[MUNICIPIO]],'4.CAP_ENDMNT'!B:B,'4.CAP_ENDMNT'!C:C,0,0,1)</f>
        <v>6</v>
      </c>
      <c r="U275" s="139">
        <f>+_xlfn.XLOOKUP(PROYECTOS[[#This Row],[MUNICIPIO]],'4.CAP_ENDMNT'!B:B,'4.CAP_ENDMNT'!D:D,0,0,1)</f>
        <v>15030770872.282</v>
      </c>
      <c r="V275" s="140">
        <f>+_xlfn.XLOOKUP(PROYECTOS[[#This Row],[MUNICIPIO]],'4.CAP_ENDMNT'!B:B,'4.CAP_ENDMNT'!E:E,0,0,1)</f>
        <v>4409672661.8199997</v>
      </c>
      <c r="W275" s="140">
        <f>+_xlfn.XLOOKUP(PROYECTOS[[#This Row],[MUNICIPIO]],'4.CAP_ENDMNT'!B:B,'4.CAP_ENDMNT'!F:F,0,0,1)</f>
        <v>10621098210.462</v>
      </c>
      <c r="X275" s="140">
        <f>+_xlfn.XLOOKUP(PROYECTOS[[#This Row],[MUNICIPIO]],'4.CAP_ENDMNT'!B:B,'4.CAP_ENDMNT'!G:G,0,0,1)</f>
        <v>1969764886</v>
      </c>
      <c r="Y275" s="140">
        <f>+_xlfn.XLOOKUP(PROYECTOS[[#This Row],[MUNICIPIO]],'4.CAP_ENDMNT'!B:B,'4.CAP_ENDMNT'!H:H,0,0,1)</f>
        <v>0</v>
      </c>
      <c r="Z275" s="140">
        <f>+_xlfn.XLOOKUP(PROYECTOS[[#This Row],[MUNICIPIO]],'4.CAP_ENDMNT'!B:B,'4.CAP_ENDMNT'!I:I,0,0,1)</f>
        <v>1969764886</v>
      </c>
      <c r="AA275" s="134">
        <f>+_xlfn.XLOOKUP(PROYECTOS[[#This Row],[MUNICIPIO]],'4.CAP_ENDMNT'!B:B,'4.CAP_ENDMNT'!J:J,0,0,1)</f>
        <v>0.13104882661955891</v>
      </c>
      <c r="AB275" s="140">
        <f>+_xlfn.XLOOKUP(PROYECTOS[[#This Row],[MUNICIPIO]],'4.CAP_ENDMNT'!B:B,'4.CAP_ENDMNT'!K:K,0,0,1)</f>
        <v>13061005986.282</v>
      </c>
      <c r="AC275" s="140">
        <f>+_xlfn.XLOOKUP(PROYECTOS[[#This Row],[MUNICIPIO]],'4.CAP_ENDMNT'!B:B,'4.CAP_ENDMNT'!L:L,0,0,1)</f>
        <v>10448804789.0256</v>
      </c>
      <c r="AD275" s="140">
        <f>+_xlfn.XLOOKUP(PROYECTOS[[#This Row],[MUNICIPIO]],'4.CAP_ENDMNT'!B:B,'4.CAP_ENDMNT'!M:M,0,0,1)</f>
        <v>7836603591.7691994</v>
      </c>
      <c r="AE275" s="134">
        <f>+_xlfn.XLOOKUP(PROYECTOS[[#This Row],[MUNICIPIO]],'4.CAP_ENDMNT'!B:B,'4.CAP_ENDMNT'!N:N,0,0,1)</f>
        <v>1</v>
      </c>
      <c r="AF275" s="134">
        <f>+_xlfn.XLOOKUP(PROYECTOS[[#This Row],[MUNICIPIO]],'4.CAP_ENDMNT'!B:B,'4.CAP_ENDMNT'!O:O,0,0,1)</f>
        <v>0.39507659260977307</v>
      </c>
      <c r="AG275" s="134">
        <f>+_xlfn.XLOOKUP(PROYECTOS[[#This Row],[MUNICIPIO]],'4.CAP_ENDMNT'!B:B,'4.CAP_ENDMNT'!P:P,0,0,1)</f>
        <v>0.8</v>
      </c>
      <c r="AH275" s="44" t="str">
        <f>+_xlfn.XLOOKUP(PROYECTOS[[#This Row],[MUNICIPIO]],'4.CAP_ENDMNT'!B:B,'4.CAP_ENDMNT'!Q:Q,0,0,1)</f>
        <v>Cumple</v>
      </c>
      <c r="AI275" s="139">
        <f>+_xlfn.XLOOKUP(PROYECTOS[[#This Row],[MUNICIPIO]],'4.CAP_ENDMNT'!B:B,'4.CAP_ENDMNT'!V:V,0,0,1)</f>
        <v>1567320718.3538399</v>
      </c>
      <c r="AJ275" s="139">
        <f>+_xlfn.XLOOKUP(PROYECTOS[[#This Row],[MUNICIPIO]],'4.CAP_ENDMNT'!B:B,'4.CAP_ENDMNT'!Y:Y,0,0,1)</f>
        <v>4201171682.1230392</v>
      </c>
      <c r="AK275"/>
      <c r="AL275"/>
      <c r="AM275"/>
    </row>
    <row r="276" spans="1:39">
      <c r="A276" s="44">
        <v>294</v>
      </c>
      <c r="B276" s="37" t="s">
        <v>591</v>
      </c>
      <c r="C276" s="118">
        <v>45747</v>
      </c>
      <c r="D276" s="46" t="s">
        <v>84</v>
      </c>
      <c r="E276" s="47" t="str">
        <f>+_xlfn.XLOOKUP(PROYECTOS[[#This Row],[MUNICIPIO]],MUNICIPIOS!A:A,MUNICIPIOS!E:E,0,0,1)</f>
        <v>Oriente</v>
      </c>
      <c r="F276" s="44">
        <f>+_xlfn.XLOOKUP(PROYECTOS[[#This Row],[MUNICIPIO]],MUNICIPIOS!A:A,MUNICIPIOS!F:F,0,0,1)</f>
        <v>-75.309595999999999</v>
      </c>
      <c r="G276" s="44" t="str">
        <f>+_xlfn.XLOOKUP(PROYECTOS[[#This Row],[MUNICIPIO]],MUNICIPIOS!A:A,MUNICIPIOS!G:G,0,0,1)</f>
        <v>5,714851</v>
      </c>
      <c r="H276" s="44">
        <f>+_xlfn.XLOOKUP(PROYECTOS[[#This Row],[MUNICIPIO]],MUNICIPIOS!A:A,MUNICIPIOS!B:B,0,0,1)</f>
        <v>0</v>
      </c>
      <c r="I276" s="44">
        <f>+_xlfn.XLOOKUP(PROYECTOS[[#This Row],[MUNICIPIO]],MUNICIPIOS!A:A,MUNICIPIOS!C:C,0,0,1)</f>
        <v>1</v>
      </c>
      <c r="J276" s="3" t="str" cm="1">
        <f t="array" ref="J276">_xlfn.TEXTJOIN(" ", TRUE, IF(radicados[ID PROYECTOS]=A276, radicados[RADICADO], ""))</f>
        <v/>
      </c>
      <c r="K276" s="45">
        <v>1</v>
      </c>
      <c r="L276" s="48"/>
      <c r="M276" s="34" t="s">
        <v>407</v>
      </c>
      <c r="N276" s="40" t="s">
        <v>397</v>
      </c>
      <c r="O276" s="40" t="s">
        <v>56</v>
      </c>
      <c r="P276" s="37" t="s">
        <v>541</v>
      </c>
      <c r="Q276" s="45"/>
      <c r="R276" s="43"/>
      <c r="S276" s="43"/>
      <c r="T276" s="44">
        <f>+_xlfn.XLOOKUP(PROYECTOS[[#This Row],[MUNICIPIO]],'4.CAP_ENDMNT'!B:B,'4.CAP_ENDMNT'!C:C,0,0,1)</f>
        <v>5</v>
      </c>
      <c r="U276" s="139">
        <f>+_xlfn.XLOOKUP(PROYECTOS[[#This Row],[MUNICIPIO]],'4.CAP_ENDMNT'!B:B,'4.CAP_ENDMNT'!D:D,0,0,1)</f>
        <v>35695767669.016502</v>
      </c>
      <c r="V276" s="140">
        <f>+_xlfn.XLOOKUP(PROYECTOS[[#This Row],[MUNICIPIO]],'4.CAP_ENDMNT'!B:B,'4.CAP_ENDMNT'!E:E,0,0,1)</f>
        <v>13532488388.23</v>
      </c>
      <c r="W276" s="140">
        <f>+_xlfn.XLOOKUP(PROYECTOS[[#This Row],[MUNICIPIO]],'4.CAP_ENDMNT'!B:B,'4.CAP_ENDMNT'!F:F,0,0,1)</f>
        <v>22163279280.786503</v>
      </c>
      <c r="X276" s="140">
        <f>+_xlfn.XLOOKUP(PROYECTOS[[#This Row],[MUNICIPIO]],'4.CAP_ENDMNT'!B:B,'4.CAP_ENDMNT'!G:G,0,0,1)</f>
        <v>1067761948</v>
      </c>
      <c r="Y276" s="140">
        <f>+_xlfn.XLOOKUP(PROYECTOS[[#This Row],[MUNICIPIO]],'4.CAP_ENDMNT'!B:B,'4.CAP_ENDMNT'!H:H,0,0,1)</f>
        <v>4932032890</v>
      </c>
      <c r="Z276" s="140">
        <f>+_xlfn.XLOOKUP(PROYECTOS[[#This Row],[MUNICIPIO]],'4.CAP_ENDMNT'!B:B,'4.CAP_ENDMNT'!I:I,0,0,1)</f>
        <v>5999794838</v>
      </c>
      <c r="AA276" s="134">
        <f>+_xlfn.XLOOKUP(PROYECTOS[[#This Row],[MUNICIPIO]],'4.CAP_ENDMNT'!B:B,'4.CAP_ENDMNT'!J:J,0,0,1)</f>
        <v>0.16808140655867587</v>
      </c>
      <c r="AB276" s="140">
        <f>+_xlfn.XLOOKUP(PROYECTOS[[#This Row],[MUNICIPIO]],'4.CAP_ENDMNT'!B:B,'4.CAP_ENDMNT'!K:K,0,0,1)</f>
        <v>29695972831.016502</v>
      </c>
      <c r="AC276" s="140">
        <f>+_xlfn.XLOOKUP(PROYECTOS[[#This Row],[MUNICIPIO]],'4.CAP_ENDMNT'!B:B,'4.CAP_ENDMNT'!L:L,0,0,1)</f>
        <v>23756778264.813202</v>
      </c>
      <c r="AD276" s="140">
        <f>+_xlfn.XLOOKUP(PROYECTOS[[#This Row],[MUNICIPIO]],'4.CAP_ENDMNT'!B:B,'4.CAP_ENDMNT'!M:M,0,0,1)</f>
        <v>17817583698.609901</v>
      </c>
      <c r="AE276" s="134">
        <f>+_xlfn.XLOOKUP(PROYECTOS[[#This Row],[MUNICIPIO]],'4.CAP_ENDMNT'!B:B,'4.CAP_ENDMNT'!N:N,0,0,1)</f>
        <v>0.17796640999076777</v>
      </c>
      <c r="AF276" s="134">
        <f>+_xlfn.XLOOKUP(PROYECTOS[[#This Row],[MUNICIPIO]],'4.CAP_ENDMNT'!B:B,'4.CAP_ENDMNT'!O:O,0,0,1)</f>
        <v>0.4016729815979605</v>
      </c>
      <c r="AG276" s="134">
        <f>+_xlfn.XLOOKUP(PROYECTOS[[#This Row],[MUNICIPIO]],'4.CAP_ENDMNT'!B:B,'4.CAP_ENDMNT'!P:P,0,0,1)</f>
        <v>0.8</v>
      </c>
      <c r="AH276" s="44" t="str">
        <f>+_xlfn.XLOOKUP(PROYECTOS[[#This Row],[MUNICIPIO]],'4.CAP_ENDMNT'!B:B,'4.CAP_ENDMNT'!Q:Q,0,0,1)</f>
        <v>Cumple</v>
      </c>
      <c r="AI276" s="139">
        <f>+_xlfn.XLOOKUP(PROYECTOS[[#This Row],[MUNICIPIO]],'4.CAP_ENDMNT'!B:B,'4.CAP_ENDMNT'!V:V,0,0,1)</f>
        <v>3563516739.7219806</v>
      </c>
      <c r="AJ276" s="139">
        <f>+_xlfn.XLOOKUP(PROYECTOS[[#This Row],[MUNICIPIO]],'4.CAP_ENDMNT'!B:B,'4.CAP_ENDMNT'!Y:Y,0,0,1)</f>
        <v>-46557238264.668121</v>
      </c>
      <c r="AK276"/>
      <c r="AL276"/>
      <c r="AM276"/>
    </row>
    <row r="277" spans="1:39">
      <c r="A277" s="44">
        <v>295</v>
      </c>
      <c r="B277" s="37" t="s">
        <v>592</v>
      </c>
      <c r="C277" s="118">
        <v>45747</v>
      </c>
      <c r="D277" s="46" t="s">
        <v>141</v>
      </c>
      <c r="E277" s="47" t="str">
        <f>+_xlfn.XLOOKUP(PROYECTOS[[#This Row],[MUNICIPIO]],MUNICIPIOS!A:A,MUNICIPIOS!E:E,0,0,1)</f>
        <v>Oriente</v>
      </c>
      <c r="F277" s="44">
        <f>+_xlfn.XLOOKUP(PROYECTOS[[#This Row],[MUNICIPIO]],MUNICIPIOS!A:A,MUNICIPIOS!F:F,0,0,1)</f>
        <v>-75.141069999999999</v>
      </c>
      <c r="G277" s="44" t="str">
        <f>+_xlfn.XLOOKUP(PROYECTOS[[#This Row],[MUNICIPIO]],MUNICIPIOS!A:A,MUNICIPIOS!G:G,0,0,1)</f>
        <v>5,731474</v>
      </c>
      <c r="H277" s="44">
        <f>+_xlfn.XLOOKUP(PROYECTOS[[#This Row],[MUNICIPIO]],MUNICIPIOS!A:A,MUNICIPIOS!B:B,0,0,1)</f>
        <v>0</v>
      </c>
      <c r="I277" s="44">
        <f>+_xlfn.XLOOKUP(PROYECTOS[[#This Row],[MUNICIPIO]],MUNICIPIOS!A:A,MUNICIPIOS!C:C,0,0,1)</f>
        <v>1</v>
      </c>
      <c r="J277" s="3" t="str" cm="1">
        <f t="array" ref="J277">_xlfn.TEXTJOIN(" ", TRUE, IF(radicados[ID PROYECTOS]=A277, radicados[RADICADO], ""))</f>
        <v/>
      </c>
      <c r="K277" s="45">
        <v>1</v>
      </c>
      <c r="L277" s="48"/>
      <c r="M277" s="34" t="s">
        <v>407</v>
      </c>
      <c r="N277" s="40" t="s">
        <v>397</v>
      </c>
      <c r="O277" s="40" t="s">
        <v>56</v>
      </c>
      <c r="P277" s="37" t="s">
        <v>541</v>
      </c>
      <c r="Q277" s="45"/>
      <c r="R277" s="43"/>
      <c r="S277" s="43"/>
      <c r="T277" s="44">
        <f>+_xlfn.XLOOKUP(PROYECTOS[[#This Row],[MUNICIPIO]],'4.CAP_ENDMNT'!B:B,'4.CAP_ENDMNT'!C:C,0,0,1)</f>
        <v>6</v>
      </c>
      <c r="U277" s="139">
        <f>+_xlfn.XLOOKUP(PROYECTOS[[#This Row],[MUNICIPIO]],'4.CAP_ENDMNT'!B:B,'4.CAP_ENDMNT'!D:D,0,0,1)</f>
        <v>7397887197.3409996</v>
      </c>
      <c r="V277" s="140">
        <f>+_xlfn.XLOOKUP(PROYECTOS[[#This Row],[MUNICIPIO]],'4.CAP_ENDMNT'!B:B,'4.CAP_ENDMNT'!E:E,0,0,1)</f>
        <v>2145550795.75</v>
      </c>
      <c r="W277" s="140">
        <f>+_xlfn.XLOOKUP(PROYECTOS[[#This Row],[MUNICIPIO]],'4.CAP_ENDMNT'!B:B,'4.CAP_ENDMNT'!F:F,0,0,1)</f>
        <v>5252336401.5909996</v>
      </c>
      <c r="X277" s="140">
        <f>+_xlfn.XLOOKUP(PROYECTOS[[#This Row],[MUNICIPIO]],'4.CAP_ENDMNT'!B:B,'4.CAP_ENDMNT'!G:G,0,0,1)</f>
        <v>913988424</v>
      </c>
      <c r="Y277" s="140">
        <f>+_xlfn.XLOOKUP(PROYECTOS[[#This Row],[MUNICIPIO]],'4.CAP_ENDMNT'!B:B,'4.CAP_ENDMNT'!H:H,0,0,1)</f>
        <v>0</v>
      </c>
      <c r="Z277" s="140">
        <f>+_xlfn.XLOOKUP(PROYECTOS[[#This Row],[MUNICIPIO]],'4.CAP_ENDMNT'!B:B,'4.CAP_ENDMNT'!I:I,0,0,1)</f>
        <v>913988424</v>
      </c>
      <c r="AA277" s="134">
        <f>+_xlfn.XLOOKUP(PROYECTOS[[#This Row],[MUNICIPIO]],'4.CAP_ENDMNT'!B:B,'4.CAP_ENDMNT'!J:J,0,0,1)</f>
        <v>0.12354722363548773</v>
      </c>
      <c r="AB277" s="140">
        <f>+_xlfn.XLOOKUP(PROYECTOS[[#This Row],[MUNICIPIO]],'4.CAP_ENDMNT'!B:B,'4.CAP_ENDMNT'!K:K,0,0,1)</f>
        <v>6483898773.3409996</v>
      </c>
      <c r="AC277" s="140">
        <f>+_xlfn.XLOOKUP(PROYECTOS[[#This Row],[MUNICIPIO]],'4.CAP_ENDMNT'!B:B,'4.CAP_ENDMNT'!L:L,0,0,1)</f>
        <v>5187119018.6728001</v>
      </c>
      <c r="AD277" s="140">
        <f>+_xlfn.XLOOKUP(PROYECTOS[[#This Row],[MUNICIPIO]],'4.CAP_ENDMNT'!B:B,'4.CAP_ENDMNT'!M:M,0,0,1)</f>
        <v>3890339264.0045996</v>
      </c>
      <c r="AE277" s="134">
        <f>+_xlfn.XLOOKUP(PROYECTOS[[#This Row],[MUNICIPIO]],'4.CAP_ENDMNT'!B:B,'4.CAP_ENDMNT'!N:N,0,0,1)</f>
        <v>1</v>
      </c>
      <c r="AF277" s="134">
        <f>+_xlfn.XLOOKUP(PROYECTOS[[#This Row],[MUNICIPIO]],'4.CAP_ENDMNT'!B:B,'4.CAP_ENDMNT'!O:O,0,0,1)</f>
        <v>0.55936476249157852</v>
      </c>
      <c r="AG277" s="134">
        <f>+_xlfn.XLOOKUP(PROYECTOS[[#This Row],[MUNICIPIO]],'4.CAP_ENDMNT'!B:B,'4.CAP_ENDMNT'!P:P,0,0,1)</f>
        <v>0.8</v>
      </c>
      <c r="AH277" s="44" t="str">
        <f>+_xlfn.XLOOKUP(PROYECTOS[[#This Row],[MUNICIPIO]],'4.CAP_ENDMNT'!B:B,'4.CAP_ENDMNT'!Q:Q,0,0,1)</f>
        <v>Cumple</v>
      </c>
      <c r="AI277" s="139">
        <f>+_xlfn.XLOOKUP(PROYECTOS[[#This Row],[MUNICIPIO]],'4.CAP_ENDMNT'!B:B,'4.CAP_ENDMNT'!V:V,0,0,1)</f>
        <v>778067852.80092001</v>
      </c>
      <c r="AJ277" s="139">
        <f>+_xlfn.XLOOKUP(PROYECTOS[[#This Row],[MUNICIPIO]],'4.CAP_ENDMNT'!B:B,'4.CAP_ENDMNT'!Y:Y,0,0,1)</f>
        <v>-57612554588.194481</v>
      </c>
      <c r="AK277"/>
      <c r="AL277"/>
      <c r="AM277"/>
    </row>
    <row r="278" spans="1:39">
      <c r="A278" s="44">
        <v>296</v>
      </c>
      <c r="B278" s="37" t="s">
        <v>593</v>
      </c>
      <c r="C278" s="118">
        <v>45747</v>
      </c>
      <c r="D278" s="46" t="s">
        <v>163</v>
      </c>
      <c r="E278" s="47" t="str">
        <f>+_xlfn.XLOOKUP(PROYECTOS[[#This Row],[MUNICIPIO]],MUNICIPIOS!A:A,MUNICIPIOS!E:E,0,0,1)</f>
        <v>Oriente</v>
      </c>
      <c r="F278" s="44">
        <f>+_xlfn.XLOOKUP(PROYECTOS[[#This Row],[MUNICIPIO]],MUNICIPIOS!A:A,MUNICIPIOS!F:F,0,0,1)</f>
        <v>-75.441612000000006</v>
      </c>
      <c r="G278" s="44" t="str">
        <f>+_xlfn.XLOOKUP(PROYECTOS[[#This Row],[MUNICIPIO]],MUNICIPIOS!A:A,MUNICIPIOS!G:G,0,0,1)</f>
        <v>6,27787</v>
      </c>
      <c r="H278" s="44">
        <f>+_xlfn.XLOOKUP(PROYECTOS[[#This Row],[MUNICIPIO]],MUNICIPIOS!A:A,MUNICIPIOS!B:B,0,0,1)</f>
        <v>0</v>
      </c>
      <c r="I278" s="44">
        <f>+_xlfn.XLOOKUP(PROYECTOS[[#This Row],[MUNICIPIO]],MUNICIPIOS!A:A,MUNICIPIOS!C:C,0,0,1)</f>
        <v>0</v>
      </c>
      <c r="J278" s="3" t="str" cm="1">
        <f t="array" ref="J278">_xlfn.TEXTJOIN(" ", TRUE, IF(radicados[ID PROYECTOS]=A278, radicados[RADICADO], ""))</f>
        <v/>
      </c>
      <c r="K278" s="45">
        <v>1</v>
      </c>
      <c r="L278" s="48"/>
      <c r="M278" s="34" t="s">
        <v>407</v>
      </c>
      <c r="N278" s="40" t="s">
        <v>397</v>
      </c>
      <c r="O278" s="40" t="s">
        <v>56</v>
      </c>
      <c r="P278" s="37" t="s">
        <v>541</v>
      </c>
      <c r="Q278" s="45"/>
      <c r="R278" s="43"/>
      <c r="S278" s="43"/>
      <c r="T278" s="44">
        <f>+_xlfn.XLOOKUP(PROYECTOS[[#This Row],[MUNICIPIO]],'4.CAP_ENDMNT'!B:B,'4.CAP_ENDMNT'!C:C,0,0,1)</f>
        <v>2</v>
      </c>
      <c r="U278" s="139">
        <f>+_xlfn.XLOOKUP(PROYECTOS[[#This Row],[MUNICIPIO]],'4.CAP_ENDMNT'!B:B,'4.CAP_ENDMNT'!D:D,0,0,1)</f>
        <v>94297942873.182495</v>
      </c>
      <c r="V278" s="140">
        <f>+_xlfn.XLOOKUP(PROYECTOS[[#This Row],[MUNICIPIO]],'4.CAP_ENDMNT'!B:B,'4.CAP_ENDMNT'!E:E,0,0,1)</f>
        <v>31502477356.16</v>
      </c>
      <c r="W278" s="140">
        <f>+_xlfn.XLOOKUP(PROYECTOS[[#This Row],[MUNICIPIO]],'4.CAP_ENDMNT'!B:B,'4.CAP_ENDMNT'!F:F,0,0,1)</f>
        <v>62795465517.022491</v>
      </c>
      <c r="X278" s="140">
        <f>+_xlfn.XLOOKUP(PROYECTOS[[#This Row],[MUNICIPIO]],'4.CAP_ENDMNT'!B:B,'4.CAP_ENDMNT'!G:G,0,0,1)</f>
        <v>12269275368</v>
      </c>
      <c r="Y278" s="140">
        <f>+_xlfn.XLOOKUP(PROYECTOS[[#This Row],[MUNICIPIO]],'4.CAP_ENDMNT'!B:B,'4.CAP_ENDMNT'!H:H,0,0,1)</f>
        <v>1587282296.6800001</v>
      </c>
      <c r="Z278" s="140">
        <f>+_xlfn.XLOOKUP(PROYECTOS[[#This Row],[MUNICIPIO]],'4.CAP_ENDMNT'!B:B,'4.CAP_ENDMNT'!I:I,0,0,1)</f>
        <v>13856557664.68</v>
      </c>
      <c r="AA278" s="134">
        <f>+_xlfn.XLOOKUP(PROYECTOS[[#This Row],[MUNICIPIO]],'4.CAP_ENDMNT'!B:B,'4.CAP_ENDMNT'!J:J,0,0,1)</f>
        <v>0.14694443211041333</v>
      </c>
      <c r="AB278" s="140">
        <f>+_xlfn.XLOOKUP(PROYECTOS[[#This Row],[MUNICIPIO]],'4.CAP_ENDMNT'!B:B,'4.CAP_ENDMNT'!K:K,0,0,1)</f>
        <v>80441385208.502502</v>
      </c>
      <c r="AC278" s="140">
        <f>+_xlfn.XLOOKUP(PROYECTOS[[#This Row],[MUNICIPIO]],'4.CAP_ENDMNT'!B:B,'4.CAP_ENDMNT'!L:L,0,0,1)</f>
        <v>64353108166.802002</v>
      </c>
      <c r="AD278" s="140">
        <f>+_xlfn.XLOOKUP(PROYECTOS[[#This Row],[MUNICIPIO]],'4.CAP_ENDMNT'!B:B,'4.CAP_ENDMNT'!M:M,0,0,1)</f>
        <v>48264831125.101501</v>
      </c>
      <c r="AE278" s="134">
        <f>+_xlfn.XLOOKUP(PROYECTOS[[#This Row],[MUNICIPIO]],'4.CAP_ENDMNT'!B:B,'4.CAP_ENDMNT'!N:N,0,0,1)</f>
        <v>0.88544901734678727</v>
      </c>
      <c r="AF278" s="134">
        <f>+_xlfn.XLOOKUP(PROYECTOS[[#This Row],[MUNICIPIO]],'4.CAP_ENDMNT'!B:B,'4.CAP_ENDMNT'!O:O,0,0,1)</f>
        <v>0.32613717500698253</v>
      </c>
      <c r="AG278" s="134">
        <f>+_xlfn.XLOOKUP(PROYECTOS[[#This Row],[MUNICIPIO]],'4.CAP_ENDMNT'!B:B,'4.CAP_ENDMNT'!P:P,0,0,1)</f>
        <v>0.7</v>
      </c>
      <c r="AH278" s="44" t="str">
        <f>+_xlfn.XLOOKUP(PROYECTOS[[#This Row],[MUNICIPIO]],'4.CAP_ENDMNT'!B:B,'4.CAP_ENDMNT'!Q:Q,0,0,1)</f>
        <v>Cumple</v>
      </c>
      <c r="AI278" s="139">
        <f>+_xlfn.XLOOKUP(PROYECTOS[[#This Row],[MUNICIPIO]],'4.CAP_ENDMNT'!B:B,'4.CAP_ENDMNT'!V:V,0,0,1)</f>
        <v>9652966225.0202999</v>
      </c>
      <c r="AJ278" s="139">
        <f>+_xlfn.XLOOKUP(PROYECTOS[[#This Row],[MUNICIPIO]],'4.CAP_ENDMNT'!B:B,'4.CAP_ENDMNT'!Y:Y,0,0,1)</f>
        <v>-17638221041.878197</v>
      </c>
      <c r="AK278"/>
      <c r="AL278"/>
      <c r="AM278"/>
    </row>
    <row r="279" spans="1:39">
      <c r="A279" s="44">
        <v>297</v>
      </c>
      <c r="B279" s="37" t="s">
        <v>594</v>
      </c>
      <c r="C279" s="118">
        <v>45747</v>
      </c>
      <c r="D279" s="46" t="s">
        <v>163</v>
      </c>
      <c r="E279" s="47" t="str">
        <f>+_xlfn.XLOOKUP(PROYECTOS[[#This Row],[MUNICIPIO]],MUNICIPIOS!A:A,MUNICIPIOS!E:E,0,0,1)</f>
        <v>Oriente</v>
      </c>
      <c r="F279" s="44">
        <f>+_xlfn.XLOOKUP(PROYECTOS[[#This Row],[MUNICIPIO]],MUNICIPIOS!A:A,MUNICIPIOS!F:F,0,0,1)</f>
        <v>-75.441612000000006</v>
      </c>
      <c r="G279" s="44" t="str">
        <f>+_xlfn.XLOOKUP(PROYECTOS[[#This Row],[MUNICIPIO]],MUNICIPIOS!A:A,MUNICIPIOS!G:G,0,0,1)</f>
        <v>6,27787</v>
      </c>
      <c r="H279" s="44">
        <f>+_xlfn.XLOOKUP(PROYECTOS[[#This Row],[MUNICIPIO]],MUNICIPIOS!A:A,MUNICIPIOS!B:B,0,0,1)</f>
        <v>0</v>
      </c>
      <c r="I279" s="44">
        <f>+_xlfn.XLOOKUP(PROYECTOS[[#This Row],[MUNICIPIO]],MUNICIPIOS!A:A,MUNICIPIOS!C:C,0,0,1)</f>
        <v>0</v>
      </c>
      <c r="J279" s="3" t="str" cm="1">
        <f t="array" ref="J279">_xlfn.TEXTJOIN(" ", TRUE, IF(radicados[ID PROYECTOS]=A279, radicados[RADICADO], ""))</f>
        <v/>
      </c>
      <c r="K279" s="45">
        <v>1</v>
      </c>
      <c r="L279" s="48"/>
      <c r="M279" s="34" t="s">
        <v>407</v>
      </c>
      <c r="N279" s="40" t="s">
        <v>397</v>
      </c>
      <c r="O279" s="40" t="s">
        <v>56</v>
      </c>
      <c r="P279" s="37" t="s">
        <v>541</v>
      </c>
      <c r="Q279" s="45"/>
      <c r="R279" s="43"/>
      <c r="S279" s="43"/>
      <c r="T279" s="44">
        <f>+_xlfn.XLOOKUP(PROYECTOS[[#This Row],[MUNICIPIO]],'4.CAP_ENDMNT'!B:B,'4.CAP_ENDMNT'!C:C,0,0,1)</f>
        <v>2</v>
      </c>
      <c r="U279" s="139">
        <f>+_xlfn.XLOOKUP(PROYECTOS[[#This Row],[MUNICIPIO]],'4.CAP_ENDMNT'!B:B,'4.CAP_ENDMNT'!D:D,0,0,1)</f>
        <v>94297942873.182495</v>
      </c>
      <c r="V279" s="140">
        <f>+_xlfn.XLOOKUP(PROYECTOS[[#This Row],[MUNICIPIO]],'4.CAP_ENDMNT'!B:B,'4.CAP_ENDMNT'!E:E,0,0,1)</f>
        <v>31502477356.16</v>
      </c>
      <c r="W279" s="140">
        <f>+_xlfn.XLOOKUP(PROYECTOS[[#This Row],[MUNICIPIO]],'4.CAP_ENDMNT'!B:B,'4.CAP_ENDMNT'!F:F,0,0,1)</f>
        <v>62795465517.022491</v>
      </c>
      <c r="X279" s="140">
        <f>+_xlfn.XLOOKUP(PROYECTOS[[#This Row],[MUNICIPIO]],'4.CAP_ENDMNT'!B:B,'4.CAP_ENDMNT'!G:G,0,0,1)</f>
        <v>12269275368</v>
      </c>
      <c r="Y279" s="140">
        <f>+_xlfn.XLOOKUP(PROYECTOS[[#This Row],[MUNICIPIO]],'4.CAP_ENDMNT'!B:B,'4.CAP_ENDMNT'!H:H,0,0,1)</f>
        <v>1587282296.6800001</v>
      </c>
      <c r="Z279" s="140">
        <f>+_xlfn.XLOOKUP(PROYECTOS[[#This Row],[MUNICIPIO]],'4.CAP_ENDMNT'!B:B,'4.CAP_ENDMNT'!I:I,0,0,1)</f>
        <v>13856557664.68</v>
      </c>
      <c r="AA279" s="134">
        <f>+_xlfn.XLOOKUP(PROYECTOS[[#This Row],[MUNICIPIO]],'4.CAP_ENDMNT'!B:B,'4.CAP_ENDMNT'!J:J,0,0,1)</f>
        <v>0.14694443211041333</v>
      </c>
      <c r="AB279" s="140">
        <f>+_xlfn.XLOOKUP(PROYECTOS[[#This Row],[MUNICIPIO]],'4.CAP_ENDMNT'!B:B,'4.CAP_ENDMNT'!K:K,0,0,1)</f>
        <v>80441385208.502502</v>
      </c>
      <c r="AC279" s="140">
        <f>+_xlfn.XLOOKUP(PROYECTOS[[#This Row],[MUNICIPIO]],'4.CAP_ENDMNT'!B:B,'4.CAP_ENDMNT'!L:L,0,0,1)</f>
        <v>64353108166.802002</v>
      </c>
      <c r="AD279" s="140">
        <f>+_xlfn.XLOOKUP(PROYECTOS[[#This Row],[MUNICIPIO]],'4.CAP_ENDMNT'!B:B,'4.CAP_ENDMNT'!M:M,0,0,1)</f>
        <v>48264831125.101501</v>
      </c>
      <c r="AE279" s="134">
        <f>+_xlfn.XLOOKUP(PROYECTOS[[#This Row],[MUNICIPIO]],'4.CAP_ENDMNT'!B:B,'4.CAP_ENDMNT'!N:N,0,0,1)</f>
        <v>0.88544901734678727</v>
      </c>
      <c r="AF279" s="134">
        <f>+_xlfn.XLOOKUP(PROYECTOS[[#This Row],[MUNICIPIO]],'4.CAP_ENDMNT'!B:B,'4.CAP_ENDMNT'!O:O,0,0,1)</f>
        <v>0.32613717500698253</v>
      </c>
      <c r="AG279" s="134">
        <f>+_xlfn.XLOOKUP(PROYECTOS[[#This Row],[MUNICIPIO]],'4.CAP_ENDMNT'!B:B,'4.CAP_ENDMNT'!P:P,0,0,1)</f>
        <v>0.7</v>
      </c>
      <c r="AH279" s="44" t="str">
        <f>+_xlfn.XLOOKUP(PROYECTOS[[#This Row],[MUNICIPIO]],'4.CAP_ENDMNT'!B:B,'4.CAP_ENDMNT'!Q:Q,0,0,1)</f>
        <v>Cumple</v>
      </c>
      <c r="AI279" s="139">
        <f>+_xlfn.XLOOKUP(PROYECTOS[[#This Row],[MUNICIPIO]],'4.CAP_ENDMNT'!B:B,'4.CAP_ENDMNT'!V:V,0,0,1)</f>
        <v>9652966225.0202999</v>
      </c>
      <c r="AJ279" s="139">
        <f>+_xlfn.XLOOKUP(PROYECTOS[[#This Row],[MUNICIPIO]],'4.CAP_ENDMNT'!B:B,'4.CAP_ENDMNT'!Y:Y,0,0,1)</f>
        <v>-17638221041.878197</v>
      </c>
      <c r="AK279"/>
      <c r="AL279"/>
      <c r="AM279"/>
    </row>
    <row r="280" spans="1:39">
      <c r="A280" s="44">
        <v>298</v>
      </c>
      <c r="B280" s="37" t="s">
        <v>595</v>
      </c>
      <c r="C280" s="118">
        <v>45747</v>
      </c>
      <c r="D280" s="46" t="s">
        <v>596</v>
      </c>
      <c r="E280" s="47" t="str">
        <f>+_xlfn.XLOOKUP(PROYECTOS[[#This Row],[MUNICIPIO]],MUNICIPIOS!A:A,MUNICIPIOS!E:E,0,0,1)</f>
        <v>Oriente</v>
      </c>
      <c r="F280" s="44">
        <f>+_xlfn.XLOOKUP(PROYECTOS[[#This Row],[MUNICIPIO]],MUNICIPIOS!A:A,MUNICIPIOS!F:F,0,0,1)</f>
        <v>-75.332616000000002</v>
      </c>
      <c r="G280" s="44" t="str">
        <f>+_xlfn.XLOOKUP(PROYECTOS[[#This Row],[MUNICIPIO]],MUNICIPIOS!A:A,MUNICIPIOS!G:G,0,0,1)</f>
        <v>6,282164</v>
      </c>
      <c r="H280" s="44">
        <f>+_xlfn.XLOOKUP(PROYECTOS[[#This Row],[MUNICIPIO]],MUNICIPIOS!A:A,MUNICIPIOS!B:B,0,0,1)</f>
        <v>0</v>
      </c>
      <c r="I280" s="44">
        <f>+_xlfn.XLOOKUP(PROYECTOS[[#This Row],[MUNICIPIO]],MUNICIPIOS!A:A,MUNICIPIOS!C:C,0,0,1)</f>
        <v>0</v>
      </c>
      <c r="J280" s="3" t="str" cm="1">
        <f t="array" ref="J280">_xlfn.TEXTJOIN(" ", TRUE, IF(radicados[ID PROYECTOS]=A280, radicados[RADICADO], ""))</f>
        <v/>
      </c>
      <c r="K280" s="45">
        <v>1</v>
      </c>
      <c r="L280" s="48"/>
      <c r="M280" s="34" t="s">
        <v>407</v>
      </c>
      <c r="N280" s="40" t="s">
        <v>397</v>
      </c>
      <c r="O280" s="40" t="s">
        <v>56</v>
      </c>
      <c r="P280" s="37" t="s">
        <v>541</v>
      </c>
      <c r="Q280" s="45"/>
      <c r="R280" s="43"/>
      <c r="S280" s="43"/>
      <c r="T280" s="44">
        <f>+_xlfn.XLOOKUP(PROYECTOS[[#This Row],[MUNICIPIO]],'4.CAP_ENDMNT'!B:B,'4.CAP_ENDMNT'!C:C,0,0,1)</f>
        <v>6</v>
      </c>
      <c r="U280" s="139">
        <f>+_xlfn.XLOOKUP(PROYECTOS[[#This Row],[MUNICIPIO]],'4.CAP_ENDMNT'!B:B,'4.CAP_ENDMNT'!D:D,0,0,1)</f>
        <v>18910688140.249004</v>
      </c>
      <c r="V280" s="140">
        <f>+_xlfn.XLOOKUP(PROYECTOS[[#This Row],[MUNICIPIO]],'4.CAP_ENDMNT'!B:B,'4.CAP_ENDMNT'!E:E,0,0,1)</f>
        <v>5456011434.4000006</v>
      </c>
      <c r="W280" s="140">
        <f>+_xlfn.XLOOKUP(PROYECTOS[[#This Row],[MUNICIPIO]],'4.CAP_ENDMNT'!B:B,'4.CAP_ENDMNT'!F:F,0,0,1)</f>
        <v>13454676705.849003</v>
      </c>
      <c r="X280" s="140">
        <f>+_xlfn.XLOOKUP(PROYECTOS[[#This Row],[MUNICIPIO]],'4.CAP_ENDMNT'!B:B,'4.CAP_ENDMNT'!G:G,0,0,1)</f>
        <v>5580933878</v>
      </c>
      <c r="Y280" s="140">
        <f>+_xlfn.XLOOKUP(PROYECTOS[[#This Row],[MUNICIPIO]],'4.CAP_ENDMNT'!B:B,'4.CAP_ENDMNT'!H:H,0,0,1)</f>
        <v>4737487939</v>
      </c>
      <c r="Z280" s="140">
        <f>+_xlfn.XLOOKUP(PROYECTOS[[#This Row],[MUNICIPIO]],'4.CAP_ENDMNT'!B:B,'4.CAP_ENDMNT'!I:I,0,0,1)</f>
        <v>10318421817</v>
      </c>
      <c r="AA280" s="134">
        <f>+_xlfn.XLOOKUP(PROYECTOS[[#This Row],[MUNICIPIO]],'4.CAP_ENDMNT'!B:B,'4.CAP_ENDMNT'!J:J,0,0,1)</f>
        <v>0.5456396795544709</v>
      </c>
      <c r="AB280" s="140">
        <f>+_xlfn.XLOOKUP(PROYECTOS[[#This Row],[MUNICIPIO]],'4.CAP_ENDMNT'!B:B,'4.CAP_ENDMNT'!K:K,0,0,1)</f>
        <v>8592266323.2490044</v>
      </c>
      <c r="AC280" s="140">
        <f>+_xlfn.XLOOKUP(PROYECTOS[[#This Row],[MUNICIPIO]],'4.CAP_ENDMNT'!B:B,'4.CAP_ENDMNT'!L:L,0,0,1)</f>
        <v>6873813058.5992041</v>
      </c>
      <c r="AD280" s="140">
        <f>+_xlfn.XLOOKUP(PROYECTOS[[#This Row],[MUNICIPIO]],'4.CAP_ENDMNT'!B:B,'4.CAP_ENDMNT'!M:M,0,0,1)</f>
        <v>5155359793.9494028</v>
      </c>
      <c r="AE280" s="134">
        <f>+_xlfn.XLOOKUP(PROYECTOS[[#This Row],[MUNICIPIO]],'4.CAP_ENDMNT'!B:B,'4.CAP_ENDMNT'!N:N,0,0,1)</f>
        <v>0.54087087899480857</v>
      </c>
      <c r="AF280" s="134">
        <f>+_xlfn.XLOOKUP(PROYECTOS[[#This Row],[MUNICIPIO]],'4.CAP_ENDMNT'!B:B,'4.CAP_ENDMNT'!O:O,0,0,1)</f>
        <v>0.45745893515208286</v>
      </c>
      <c r="AG280" s="134">
        <f>+_xlfn.XLOOKUP(PROYECTOS[[#This Row],[MUNICIPIO]],'4.CAP_ENDMNT'!B:B,'4.CAP_ENDMNT'!P:P,0,0,1)</f>
        <v>0.8</v>
      </c>
      <c r="AH280" s="44" t="str">
        <f>+_xlfn.XLOOKUP(PROYECTOS[[#This Row],[MUNICIPIO]],'4.CAP_ENDMNT'!B:B,'4.CAP_ENDMNT'!Q:Q,0,0,1)</f>
        <v>Cumple</v>
      </c>
      <c r="AI280" s="139">
        <f>+_xlfn.XLOOKUP(PROYECTOS[[#This Row],[MUNICIPIO]],'4.CAP_ENDMNT'!B:B,'4.CAP_ENDMNT'!V:V,0,0,1)</f>
        <v>1031071958.7898806</v>
      </c>
      <c r="AJ280" s="139">
        <f>+_xlfn.XLOOKUP(PROYECTOS[[#This Row],[MUNICIPIO]],'4.CAP_ENDMNT'!B:B,'4.CAP_ENDMNT'!Y:Y,0,0,1)</f>
        <v>-1865703790.2607164</v>
      </c>
      <c r="AK280"/>
      <c r="AL280"/>
      <c r="AM280"/>
    </row>
    <row r="281" spans="1:39">
      <c r="A281" s="44">
        <v>299</v>
      </c>
      <c r="B281" s="37" t="s">
        <v>597</v>
      </c>
      <c r="C281" s="118">
        <v>45747</v>
      </c>
      <c r="D281" s="46" t="s">
        <v>596</v>
      </c>
      <c r="E281" s="47" t="str">
        <f>+_xlfn.XLOOKUP(PROYECTOS[[#This Row],[MUNICIPIO]],MUNICIPIOS!A:A,MUNICIPIOS!E:E,0,0,1)</f>
        <v>Oriente</v>
      </c>
      <c r="F281" s="44">
        <f>+_xlfn.XLOOKUP(PROYECTOS[[#This Row],[MUNICIPIO]],MUNICIPIOS!A:A,MUNICIPIOS!F:F,0,0,1)</f>
        <v>-75.332616000000002</v>
      </c>
      <c r="G281" s="44" t="str">
        <f>+_xlfn.XLOOKUP(PROYECTOS[[#This Row],[MUNICIPIO]],MUNICIPIOS!A:A,MUNICIPIOS!G:G,0,0,1)</f>
        <v>6,282164</v>
      </c>
      <c r="H281" s="44">
        <f>+_xlfn.XLOOKUP(PROYECTOS[[#This Row],[MUNICIPIO]],MUNICIPIOS!A:A,MUNICIPIOS!B:B,0,0,1)</f>
        <v>0</v>
      </c>
      <c r="I281" s="44">
        <f>+_xlfn.XLOOKUP(PROYECTOS[[#This Row],[MUNICIPIO]],MUNICIPIOS!A:A,MUNICIPIOS!C:C,0,0,1)</f>
        <v>0</v>
      </c>
      <c r="J281" s="3" t="str" cm="1">
        <f t="array" ref="J281">_xlfn.TEXTJOIN(" ", TRUE, IF(radicados[ID PROYECTOS]=A281, radicados[RADICADO], ""))</f>
        <v/>
      </c>
      <c r="K281" s="45">
        <v>1</v>
      </c>
      <c r="L281" s="48"/>
      <c r="M281" s="34" t="s">
        <v>407</v>
      </c>
      <c r="N281" s="40" t="s">
        <v>397</v>
      </c>
      <c r="O281" s="40" t="s">
        <v>56</v>
      </c>
      <c r="P281" s="37" t="s">
        <v>541</v>
      </c>
      <c r="Q281" s="45"/>
      <c r="R281" s="43"/>
      <c r="S281" s="43"/>
      <c r="T281" s="44">
        <f>+_xlfn.XLOOKUP(PROYECTOS[[#This Row],[MUNICIPIO]],'4.CAP_ENDMNT'!B:B,'4.CAP_ENDMNT'!C:C,0,0,1)</f>
        <v>6</v>
      </c>
      <c r="U281" s="139">
        <f>+_xlfn.XLOOKUP(PROYECTOS[[#This Row],[MUNICIPIO]],'4.CAP_ENDMNT'!B:B,'4.CAP_ENDMNT'!D:D,0,0,1)</f>
        <v>18910688140.249004</v>
      </c>
      <c r="V281" s="140">
        <f>+_xlfn.XLOOKUP(PROYECTOS[[#This Row],[MUNICIPIO]],'4.CAP_ENDMNT'!B:B,'4.CAP_ENDMNT'!E:E,0,0,1)</f>
        <v>5456011434.4000006</v>
      </c>
      <c r="W281" s="140">
        <f>+_xlfn.XLOOKUP(PROYECTOS[[#This Row],[MUNICIPIO]],'4.CAP_ENDMNT'!B:B,'4.CAP_ENDMNT'!F:F,0,0,1)</f>
        <v>13454676705.849003</v>
      </c>
      <c r="X281" s="140">
        <f>+_xlfn.XLOOKUP(PROYECTOS[[#This Row],[MUNICIPIO]],'4.CAP_ENDMNT'!B:B,'4.CAP_ENDMNT'!G:G,0,0,1)</f>
        <v>5580933878</v>
      </c>
      <c r="Y281" s="140">
        <f>+_xlfn.XLOOKUP(PROYECTOS[[#This Row],[MUNICIPIO]],'4.CAP_ENDMNT'!B:B,'4.CAP_ENDMNT'!H:H,0,0,1)</f>
        <v>4737487939</v>
      </c>
      <c r="Z281" s="140">
        <f>+_xlfn.XLOOKUP(PROYECTOS[[#This Row],[MUNICIPIO]],'4.CAP_ENDMNT'!B:B,'4.CAP_ENDMNT'!I:I,0,0,1)</f>
        <v>10318421817</v>
      </c>
      <c r="AA281" s="134">
        <f>+_xlfn.XLOOKUP(PROYECTOS[[#This Row],[MUNICIPIO]],'4.CAP_ENDMNT'!B:B,'4.CAP_ENDMNT'!J:J,0,0,1)</f>
        <v>0.5456396795544709</v>
      </c>
      <c r="AB281" s="140">
        <f>+_xlfn.XLOOKUP(PROYECTOS[[#This Row],[MUNICIPIO]],'4.CAP_ENDMNT'!B:B,'4.CAP_ENDMNT'!K:K,0,0,1)</f>
        <v>8592266323.2490044</v>
      </c>
      <c r="AC281" s="140">
        <f>+_xlfn.XLOOKUP(PROYECTOS[[#This Row],[MUNICIPIO]],'4.CAP_ENDMNT'!B:B,'4.CAP_ENDMNT'!L:L,0,0,1)</f>
        <v>6873813058.5992041</v>
      </c>
      <c r="AD281" s="140">
        <f>+_xlfn.XLOOKUP(PROYECTOS[[#This Row],[MUNICIPIO]],'4.CAP_ENDMNT'!B:B,'4.CAP_ENDMNT'!M:M,0,0,1)</f>
        <v>5155359793.9494028</v>
      </c>
      <c r="AE281" s="134">
        <f>+_xlfn.XLOOKUP(PROYECTOS[[#This Row],[MUNICIPIO]],'4.CAP_ENDMNT'!B:B,'4.CAP_ENDMNT'!N:N,0,0,1)</f>
        <v>0.54087087899480857</v>
      </c>
      <c r="AF281" s="134">
        <f>+_xlfn.XLOOKUP(PROYECTOS[[#This Row],[MUNICIPIO]],'4.CAP_ENDMNT'!B:B,'4.CAP_ENDMNT'!O:O,0,0,1)</f>
        <v>0.45745893515208286</v>
      </c>
      <c r="AG281" s="134">
        <f>+_xlfn.XLOOKUP(PROYECTOS[[#This Row],[MUNICIPIO]],'4.CAP_ENDMNT'!B:B,'4.CAP_ENDMNT'!P:P,0,0,1)</f>
        <v>0.8</v>
      </c>
      <c r="AH281" s="44" t="str">
        <f>+_xlfn.XLOOKUP(PROYECTOS[[#This Row],[MUNICIPIO]],'4.CAP_ENDMNT'!B:B,'4.CAP_ENDMNT'!Q:Q,0,0,1)</f>
        <v>Cumple</v>
      </c>
      <c r="AI281" s="139">
        <f>+_xlfn.XLOOKUP(PROYECTOS[[#This Row],[MUNICIPIO]],'4.CAP_ENDMNT'!B:B,'4.CAP_ENDMNT'!V:V,0,0,1)</f>
        <v>1031071958.7898806</v>
      </c>
      <c r="AJ281" s="139">
        <f>+_xlfn.XLOOKUP(PROYECTOS[[#This Row],[MUNICIPIO]],'4.CAP_ENDMNT'!B:B,'4.CAP_ENDMNT'!Y:Y,0,0,1)</f>
        <v>-1865703790.2607164</v>
      </c>
      <c r="AK281"/>
      <c r="AL281"/>
      <c r="AM281"/>
    </row>
    <row r="282" spans="1:39">
      <c r="A282" s="44">
        <v>300</v>
      </c>
      <c r="B282" s="37" t="s">
        <v>598</v>
      </c>
      <c r="C282" s="118">
        <v>45747</v>
      </c>
      <c r="D282" s="46" t="s">
        <v>177</v>
      </c>
      <c r="E282" s="47" t="str">
        <f>+_xlfn.XLOOKUP(PROYECTOS[[#This Row],[MUNICIPIO]],MUNICIPIOS!A:A,MUNICIPIOS!E:E,0,0,1)</f>
        <v>Oriente</v>
      </c>
      <c r="F282" s="44">
        <f>+_xlfn.XLOOKUP(PROYECTOS[[#This Row],[MUNICIPIO]],MUNICIPIOS!A:A,MUNICIPIOS!F:F,0,0,1)</f>
        <v>-75.339344999999994</v>
      </c>
      <c r="G282" s="44" t="str">
        <f>+_xlfn.XLOOKUP(PROYECTOS[[#This Row],[MUNICIPIO]],MUNICIPIOS!A:A,MUNICIPIOS!G:G,0,0,1)</f>
        <v>6,173995</v>
      </c>
      <c r="H282" s="44">
        <f>+_xlfn.XLOOKUP(PROYECTOS[[#This Row],[MUNICIPIO]],MUNICIPIOS!A:A,MUNICIPIOS!B:B,0,0,1)</f>
        <v>0</v>
      </c>
      <c r="I282" s="44">
        <f>+_xlfn.XLOOKUP(PROYECTOS[[#This Row],[MUNICIPIO]],MUNICIPIOS!A:A,MUNICIPIOS!C:C,0,0,1)</f>
        <v>0</v>
      </c>
      <c r="J282" s="3" t="str" cm="1">
        <f t="array" ref="J282">_xlfn.TEXTJOIN(" ", TRUE, IF(radicados[ID PROYECTOS]=A282, radicados[RADICADO], ""))</f>
        <v/>
      </c>
      <c r="K282" s="45">
        <v>1</v>
      </c>
      <c r="L282" s="48"/>
      <c r="M282" s="34" t="s">
        <v>407</v>
      </c>
      <c r="N282" s="40" t="s">
        <v>397</v>
      </c>
      <c r="O282" s="40" t="s">
        <v>56</v>
      </c>
      <c r="P282" s="37" t="s">
        <v>541</v>
      </c>
      <c r="Q282" s="45"/>
      <c r="R282" s="43"/>
      <c r="S282" s="43"/>
      <c r="T282" s="44">
        <f>+_xlfn.XLOOKUP(PROYECTOS[[#This Row],[MUNICIPIO]],'4.CAP_ENDMNT'!B:B,'4.CAP_ENDMNT'!C:C,0,0,1)</f>
        <v>4</v>
      </c>
      <c r="U282" s="139">
        <f>+_xlfn.XLOOKUP(PROYECTOS[[#This Row],[MUNICIPIO]],'4.CAP_ENDMNT'!B:B,'4.CAP_ENDMNT'!D:D,0,0,1)</f>
        <v>62016835956.019493</v>
      </c>
      <c r="V282" s="140">
        <f>+_xlfn.XLOOKUP(PROYECTOS[[#This Row],[MUNICIPIO]],'4.CAP_ENDMNT'!B:B,'4.CAP_ENDMNT'!E:E,0,0,1)</f>
        <v>25368005936.310001</v>
      </c>
      <c r="W282" s="140">
        <f>+_xlfn.XLOOKUP(PROYECTOS[[#This Row],[MUNICIPIO]],'4.CAP_ENDMNT'!B:B,'4.CAP_ENDMNT'!F:F,0,0,1)</f>
        <v>36648830019.709488</v>
      </c>
      <c r="X282" s="140">
        <f>+_xlfn.XLOOKUP(PROYECTOS[[#This Row],[MUNICIPIO]],'4.CAP_ENDMNT'!B:B,'4.CAP_ENDMNT'!G:G,0,0,1)</f>
        <v>25635932166</v>
      </c>
      <c r="Y282" s="140">
        <f>+_xlfn.XLOOKUP(PROYECTOS[[#This Row],[MUNICIPIO]],'4.CAP_ENDMNT'!B:B,'4.CAP_ENDMNT'!H:H,0,0,1)</f>
        <v>7522176280</v>
      </c>
      <c r="Z282" s="140">
        <f>+_xlfn.XLOOKUP(PROYECTOS[[#This Row],[MUNICIPIO]],'4.CAP_ENDMNT'!B:B,'4.CAP_ENDMNT'!I:I,0,0,1)</f>
        <v>33158108446</v>
      </c>
      <c r="AA282" s="134">
        <f>+_xlfn.XLOOKUP(PROYECTOS[[#This Row],[MUNICIPIO]],'4.CAP_ENDMNT'!B:B,'4.CAP_ENDMNT'!J:J,0,0,1)</f>
        <v>0.53466301424204787</v>
      </c>
      <c r="AB282" s="140">
        <f>+_xlfn.XLOOKUP(PROYECTOS[[#This Row],[MUNICIPIO]],'4.CAP_ENDMNT'!B:B,'4.CAP_ENDMNT'!K:K,0,0,1)</f>
        <v>28858727510.019493</v>
      </c>
      <c r="AC282" s="140">
        <f>+_xlfn.XLOOKUP(PROYECTOS[[#This Row],[MUNICIPIO]],'4.CAP_ENDMNT'!B:B,'4.CAP_ENDMNT'!L:L,0,0,1)</f>
        <v>23086982008.015594</v>
      </c>
      <c r="AD282" s="140">
        <f>+_xlfn.XLOOKUP(PROYECTOS[[#This Row],[MUNICIPIO]],'4.CAP_ENDMNT'!B:B,'4.CAP_ENDMNT'!M:M,0,0,1)</f>
        <v>17315236506.011696</v>
      </c>
      <c r="AE282" s="134">
        <f>+_xlfn.XLOOKUP(PROYECTOS[[#This Row],[MUNICIPIO]],'4.CAP_ENDMNT'!B:B,'4.CAP_ENDMNT'!N:N,0,0,1)</f>
        <v>0.77314217750839676</v>
      </c>
      <c r="AF282" s="134">
        <f>+_xlfn.XLOOKUP(PROYECTOS[[#This Row],[MUNICIPIO]],'4.CAP_ENDMNT'!B:B,'4.CAP_ENDMNT'!O:O,0,0,1)</f>
        <v>0.52777286703387605</v>
      </c>
      <c r="AG282" s="134">
        <f>+_xlfn.XLOOKUP(PROYECTOS[[#This Row],[MUNICIPIO]],'4.CAP_ENDMNT'!B:B,'4.CAP_ENDMNT'!P:P,0,0,1)</f>
        <v>0.8</v>
      </c>
      <c r="AH282" s="44" t="str">
        <f>+_xlfn.XLOOKUP(PROYECTOS[[#This Row],[MUNICIPIO]],'4.CAP_ENDMNT'!B:B,'4.CAP_ENDMNT'!Q:Q,0,0,1)</f>
        <v>Cumple</v>
      </c>
      <c r="AI282" s="139">
        <f>+_xlfn.XLOOKUP(PROYECTOS[[#This Row],[MUNICIPIO]],'4.CAP_ENDMNT'!B:B,'4.CAP_ENDMNT'!V:V,0,0,1)</f>
        <v>3463047301.2023392</v>
      </c>
      <c r="AJ282" s="139">
        <f>+_xlfn.XLOOKUP(PROYECTOS[[#This Row],[MUNICIPIO]],'4.CAP_ENDMNT'!B:B,'4.CAP_ENDMNT'!Y:Y,0,0,1)</f>
        <v>-1514260574754.7859</v>
      </c>
      <c r="AK282"/>
      <c r="AL282"/>
      <c r="AM282"/>
    </row>
    <row r="283" spans="1:39">
      <c r="A283" s="44">
        <v>301</v>
      </c>
      <c r="B283" s="37" t="s">
        <v>599</v>
      </c>
      <c r="C283" s="118">
        <v>45747</v>
      </c>
      <c r="D283" s="46" t="s">
        <v>332</v>
      </c>
      <c r="E283" s="47" t="str">
        <f>+_xlfn.XLOOKUP(PROYECTOS[[#This Row],[MUNICIPIO]],MUNICIPIOS!A:A,MUNICIPIOS!E:E,0,0,1)</f>
        <v>Oriente</v>
      </c>
      <c r="F283" s="44">
        <f>+_xlfn.XLOOKUP(PROYECTOS[[#This Row],[MUNICIPIO]],MUNICIPIOS!A:A,MUNICIPIOS!F:F,0,0,1)</f>
        <v>-75.242693000000003</v>
      </c>
      <c r="G283" s="44" t="str">
        <f>+_xlfn.XLOOKUP(PROYECTOS[[#This Row],[MUNICIPIO]],MUNICIPIOS!A:A,MUNICIPIOS!G:G,0,0,1)</f>
        <v>6,219349</v>
      </c>
      <c r="H283" s="44">
        <f>+_xlfn.XLOOKUP(PROYECTOS[[#This Row],[MUNICIPIO]],MUNICIPIOS!A:A,MUNICIPIOS!B:B,0,0,1)</f>
        <v>0</v>
      </c>
      <c r="I283" s="44">
        <f>+_xlfn.XLOOKUP(PROYECTOS[[#This Row],[MUNICIPIO]],MUNICIPIOS!A:A,MUNICIPIOS!C:C,0,0,1)</f>
        <v>0</v>
      </c>
      <c r="J283" s="3" t="str" cm="1">
        <f t="array" ref="J283">_xlfn.TEXTJOIN(" ", TRUE, IF(radicados[ID PROYECTOS]=A283, radicados[RADICADO], ""))</f>
        <v/>
      </c>
      <c r="K283" s="45">
        <v>1</v>
      </c>
      <c r="L283" s="48"/>
      <c r="M283" s="34" t="s">
        <v>407</v>
      </c>
      <c r="N283" s="40" t="s">
        <v>397</v>
      </c>
      <c r="O283" s="40" t="s">
        <v>56</v>
      </c>
      <c r="P283" s="37" t="s">
        <v>541</v>
      </c>
      <c r="Q283" s="45"/>
      <c r="R283" s="43"/>
      <c r="S283" s="43"/>
      <c r="T283" s="44">
        <f>+_xlfn.XLOOKUP(PROYECTOS[[#This Row],[MUNICIPIO]],'4.CAP_ENDMNT'!B:B,'4.CAP_ENDMNT'!C:C,0,0,1)</f>
        <v>6</v>
      </c>
      <c r="U283" s="139">
        <f>+_xlfn.XLOOKUP(PROYECTOS[[#This Row],[MUNICIPIO]],'4.CAP_ENDMNT'!B:B,'4.CAP_ENDMNT'!D:D,0,0,1)</f>
        <v>28258567441.100002</v>
      </c>
      <c r="V283" s="140">
        <f>+_xlfn.XLOOKUP(PROYECTOS[[#This Row],[MUNICIPIO]],'4.CAP_ENDMNT'!B:B,'4.CAP_ENDMNT'!E:E,0,0,1)</f>
        <v>6469994311.25</v>
      </c>
      <c r="W283" s="140">
        <f>+_xlfn.XLOOKUP(PROYECTOS[[#This Row],[MUNICIPIO]],'4.CAP_ENDMNT'!B:B,'4.CAP_ENDMNT'!F:F,0,0,1)</f>
        <v>21788573129.850002</v>
      </c>
      <c r="X283" s="140">
        <f>+_xlfn.XLOOKUP(PROYECTOS[[#This Row],[MUNICIPIO]],'4.CAP_ENDMNT'!B:B,'4.CAP_ENDMNT'!G:G,0,0,1)</f>
        <v>1548230438</v>
      </c>
      <c r="Y283" s="140">
        <f>+_xlfn.XLOOKUP(PROYECTOS[[#This Row],[MUNICIPIO]],'4.CAP_ENDMNT'!B:B,'4.CAP_ENDMNT'!H:H,0,0,1)</f>
        <v>3356151670</v>
      </c>
      <c r="Z283" s="140">
        <f>+_xlfn.XLOOKUP(PROYECTOS[[#This Row],[MUNICIPIO]],'4.CAP_ENDMNT'!B:B,'4.CAP_ENDMNT'!I:I,0,0,1)</f>
        <v>4904382108</v>
      </c>
      <c r="AA283" s="134">
        <f>+_xlfn.XLOOKUP(PROYECTOS[[#This Row],[MUNICIPIO]],'4.CAP_ENDMNT'!B:B,'4.CAP_ENDMNT'!J:J,0,0,1)</f>
        <v>0.17355381224551877</v>
      </c>
      <c r="AB283" s="140">
        <f>+_xlfn.XLOOKUP(PROYECTOS[[#This Row],[MUNICIPIO]],'4.CAP_ENDMNT'!B:B,'4.CAP_ENDMNT'!K:K,0,0,1)</f>
        <v>23354185333.100002</v>
      </c>
      <c r="AC283" s="140">
        <f>+_xlfn.XLOOKUP(PROYECTOS[[#This Row],[MUNICIPIO]],'4.CAP_ENDMNT'!B:B,'4.CAP_ENDMNT'!L:L,0,0,1)</f>
        <v>18683348266.480003</v>
      </c>
      <c r="AD283" s="140">
        <f>+_xlfn.XLOOKUP(PROYECTOS[[#This Row],[MUNICIPIO]],'4.CAP_ENDMNT'!B:B,'4.CAP_ENDMNT'!M:M,0,0,1)</f>
        <v>14012511199.860001</v>
      </c>
      <c r="AE283" s="134">
        <f>+_xlfn.XLOOKUP(PROYECTOS[[#This Row],[MUNICIPIO]],'4.CAP_ENDMNT'!B:B,'4.CAP_ENDMNT'!N:N,0,0,1)</f>
        <v>0.31568307768567533</v>
      </c>
      <c r="AF283" s="134">
        <f>+_xlfn.XLOOKUP(PROYECTOS[[#This Row],[MUNICIPIO]],'4.CAP_ENDMNT'!B:B,'4.CAP_ENDMNT'!O:O,0,0,1)</f>
        <v>0.29902452385532635</v>
      </c>
      <c r="AG283" s="134">
        <f>+_xlfn.XLOOKUP(PROYECTOS[[#This Row],[MUNICIPIO]],'4.CAP_ENDMNT'!B:B,'4.CAP_ENDMNT'!P:P,0,0,1)</f>
        <v>0.8</v>
      </c>
      <c r="AH283" s="44" t="str">
        <f>+_xlfn.XLOOKUP(PROYECTOS[[#This Row],[MUNICIPIO]],'4.CAP_ENDMNT'!B:B,'4.CAP_ENDMNT'!Q:Q,0,0,1)</f>
        <v>Cumple</v>
      </c>
      <c r="AI283" s="139">
        <f>+_xlfn.XLOOKUP(PROYECTOS[[#This Row],[MUNICIPIO]],'4.CAP_ENDMNT'!B:B,'4.CAP_ENDMNT'!V:V,0,0,1)</f>
        <v>2802502239.9720001</v>
      </c>
      <c r="AJ283" s="139">
        <f>+_xlfn.XLOOKUP(PROYECTOS[[#This Row],[MUNICIPIO]],'4.CAP_ENDMNT'!B:B,'4.CAP_ENDMNT'!Y:Y,0,0,1)</f>
        <v>6184360283.8320007</v>
      </c>
      <c r="AK283"/>
      <c r="AL283"/>
      <c r="AM283"/>
    </row>
    <row r="284" spans="1:39">
      <c r="A284" s="44">
        <v>302</v>
      </c>
      <c r="B284" s="37" t="s">
        <v>600</v>
      </c>
      <c r="C284" s="118">
        <v>45747</v>
      </c>
      <c r="D284" s="46" t="s">
        <v>601</v>
      </c>
      <c r="E284" s="47" t="str">
        <f>+_xlfn.XLOOKUP(PROYECTOS[[#This Row],[MUNICIPIO]],MUNICIPIOS!A:A,MUNICIPIOS!E:E,0,0,1)</f>
        <v>Oriente</v>
      </c>
      <c r="F284" s="44">
        <f>+_xlfn.XLOOKUP(PROYECTOS[[#This Row],[MUNICIPIO]],MUNICIPIOS!A:A,MUNICIPIOS!F:F,0,0,1)</f>
        <v>-75.160041000000007</v>
      </c>
      <c r="G284" s="44" t="str">
        <f>+_xlfn.XLOOKUP(PROYECTOS[[#This Row],[MUNICIPIO]],MUNICIPIOS!A:A,MUNICIPIOS!G:G,0,0,1)</f>
        <v>6,232461</v>
      </c>
      <c r="H284" s="44">
        <f>+_xlfn.XLOOKUP(PROYECTOS[[#This Row],[MUNICIPIO]],MUNICIPIOS!A:A,MUNICIPIOS!B:B,0,0,1)</f>
        <v>0</v>
      </c>
      <c r="I284" s="44">
        <f>+_xlfn.XLOOKUP(PROYECTOS[[#This Row],[MUNICIPIO]],MUNICIPIOS!A:A,MUNICIPIOS!C:C,0,0,1)</f>
        <v>0</v>
      </c>
      <c r="J284" s="3" t="str" cm="1">
        <f t="array" ref="J284">_xlfn.TEXTJOIN(" ", TRUE, IF(radicados[ID PROYECTOS]=A284, radicados[RADICADO], ""))</f>
        <v/>
      </c>
      <c r="K284" s="45">
        <v>1</v>
      </c>
      <c r="L284" s="48"/>
      <c r="M284" s="34" t="s">
        <v>407</v>
      </c>
      <c r="N284" s="40" t="s">
        <v>397</v>
      </c>
      <c r="O284" s="40" t="s">
        <v>56</v>
      </c>
      <c r="P284" s="37" t="s">
        <v>541</v>
      </c>
      <c r="Q284" s="45"/>
      <c r="R284" s="43"/>
      <c r="S284" s="43"/>
      <c r="T284" s="44">
        <f>+_xlfn.XLOOKUP(PROYECTOS[[#This Row],[MUNICIPIO]],'4.CAP_ENDMNT'!B:B,'4.CAP_ENDMNT'!C:C,0,0,1)</f>
        <v>6</v>
      </c>
      <c r="U284" s="139">
        <f>+_xlfn.XLOOKUP(PROYECTOS[[#This Row],[MUNICIPIO]],'4.CAP_ENDMNT'!B:B,'4.CAP_ENDMNT'!D:D,0,0,1)</f>
        <v>21077944175.9025</v>
      </c>
      <c r="V284" s="140">
        <f>+_xlfn.XLOOKUP(PROYECTOS[[#This Row],[MUNICIPIO]],'4.CAP_ENDMNT'!B:B,'4.CAP_ENDMNT'!E:E,0,0,1)</f>
        <v>7240492267.29</v>
      </c>
      <c r="W284" s="140">
        <f>+_xlfn.XLOOKUP(PROYECTOS[[#This Row],[MUNICIPIO]],'4.CAP_ENDMNT'!B:B,'4.CAP_ENDMNT'!F:F,0,0,1)</f>
        <v>13837451908.612499</v>
      </c>
      <c r="X284" s="140">
        <f>+_xlfn.XLOOKUP(PROYECTOS[[#This Row],[MUNICIPIO]],'4.CAP_ENDMNT'!B:B,'4.CAP_ENDMNT'!G:G,0,0,1)</f>
        <v>6499961675</v>
      </c>
      <c r="Y284" s="140">
        <f>+_xlfn.XLOOKUP(PROYECTOS[[#This Row],[MUNICIPIO]],'4.CAP_ENDMNT'!B:B,'4.CAP_ENDMNT'!H:H,0,0,1)</f>
        <v>4615945782.0699997</v>
      </c>
      <c r="Z284" s="140">
        <f>+_xlfn.XLOOKUP(PROYECTOS[[#This Row],[MUNICIPIO]],'4.CAP_ENDMNT'!B:B,'4.CAP_ENDMNT'!I:I,0,0,1)</f>
        <v>11115907457.07</v>
      </c>
      <c r="AA284" s="134">
        <f>+_xlfn.XLOOKUP(PROYECTOS[[#This Row],[MUNICIPIO]],'4.CAP_ENDMNT'!B:B,'4.CAP_ENDMNT'!J:J,0,0,1)</f>
        <v>0.52737151993116738</v>
      </c>
      <c r="AB284" s="140">
        <f>+_xlfn.XLOOKUP(PROYECTOS[[#This Row],[MUNICIPIO]],'4.CAP_ENDMNT'!B:B,'4.CAP_ENDMNT'!K:K,0,0,1)</f>
        <v>9962036718.8325005</v>
      </c>
      <c r="AC284" s="140">
        <f>+_xlfn.XLOOKUP(PROYECTOS[[#This Row],[MUNICIPIO]],'4.CAP_ENDMNT'!B:B,'4.CAP_ENDMNT'!L:L,0,0,1)</f>
        <v>7969629375.0660009</v>
      </c>
      <c r="AD284" s="140">
        <f>+_xlfn.XLOOKUP(PROYECTOS[[#This Row],[MUNICIPIO]],'4.CAP_ENDMNT'!B:B,'4.CAP_ENDMNT'!M:M,0,0,1)</f>
        <v>5977222031.2995005</v>
      </c>
      <c r="AE284" s="134">
        <f>+_xlfn.XLOOKUP(PROYECTOS[[#This Row],[MUNICIPIO]],'4.CAP_ENDMNT'!B:B,'4.CAP_ENDMNT'!N:N,0,0,1)</f>
        <v>0.58474413358541044</v>
      </c>
      <c r="AF284" s="134">
        <f>+_xlfn.XLOOKUP(PROYECTOS[[#This Row],[MUNICIPIO]],'4.CAP_ENDMNT'!B:B,'4.CAP_ENDMNT'!O:O,0,0,1)</f>
        <v>0.56956931049455672</v>
      </c>
      <c r="AG284" s="134">
        <f>+_xlfn.XLOOKUP(PROYECTOS[[#This Row],[MUNICIPIO]],'4.CAP_ENDMNT'!B:B,'4.CAP_ENDMNT'!P:P,0,0,1)</f>
        <v>0.8</v>
      </c>
      <c r="AH284" s="44" t="str">
        <f>+_xlfn.XLOOKUP(PROYECTOS[[#This Row],[MUNICIPIO]],'4.CAP_ENDMNT'!B:B,'4.CAP_ENDMNT'!Q:Q,0,0,1)</f>
        <v>Cumple</v>
      </c>
      <c r="AI284" s="139">
        <f>+_xlfn.XLOOKUP(PROYECTOS[[#This Row],[MUNICIPIO]],'4.CAP_ENDMNT'!B:B,'4.CAP_ENDMNT'!V:V,0,0,1)</f>
        <v>1195444406.2599001</v>
      </c>
      <c r="AJ284" s="139">
        <f>+_xlfn.XLOOKUP(PROYECTOS[[#This Row],[MUNICIPIO]],'4.CAP_ENDMNT'!B:B,'4.CAP_ENDMNT'!Y:Y,0,0,1)</f>
        <v>7172666437.5594006</v>
      </c>
      <c r="AK284"/>
      <c r="AL284"/>
      <c r="AM284"/>
    </row>
    <row r="285" spans="1:39">
      <c r="A285" s="44">
        <v>303</v>
      </c>
      <c r="B285" s="37" t="s">
        <v>602</v>
      </c>
      <c r="C285" s="118">
        <v>45747</v>
      </c>
      <c r="D285" s="46" t="s">
        <v>470</v>
      </c>
      <c r="E285" s="47" t="str">
        <f>+_xlfn.XLOOKUP(PROYECTOS[[#This Row],[MUNICIPIO]],MUNICIPIOS!A:A,MUNICIPIOS!E:E,0,0,1)</f>
        <v>Oriente</v>
      </c>
      <c r="F285" s="44">
        <f>+_xlfn.XLOOKUP(PROYECTOS[[#This Row],[MUNICIPIO]],MUNICIPIOS!A:A,MUNICIPIOS!F:F,0,0,1)</f>
        <v>-75.028490000000005</v>
      </c>
      <c r="G285" s="44" t="str">
        <f>+_xlfn.XLOOKUP(PROYECTOS[[#This Row],[MUNICIPIO]],MUNICIPIOS!A:A,MUNICIPIOS!G:G,0,0,1)</f>
        <v>6,293759</v>
      </c>
      <c r="H285" s="44">
        <f>+_xlfn.XLOOKUP(PROYECTOS[[#This Row],[MUNICIPIO]],MUNICIPIOS!A:A,MUNICIPIOS!B:B,0,0,1)</f>
        <v>0</v>
      </c>
      <c r="I285" s="44">
        <f>+_xlfn.XLOOKUP(PROYECTOS[[#This Row],[MUNICIPIO]],MUNICIPIOS!A:A,MUNICIPIOS!C:C,0,0,1)</f>
        <v>1</v>
      </c>
      <c r="J285" s="3" t="str" cm="1">
        <f t="array" ref="J285">_xlfn.TEXTJOIN(" ", TRUE, IF(radicados[ID PROYECTOS]=A285, radicados[RADICADO], ""))</f>
        <v/>
      </c>
      <c r="K285" s="45">
        <v>1</v>
      </c>
      <c r="L285" s="48"/>
      <c r="M285" s="34" t="s">
        <v>407</v>
      </c>
      <c r="N285" s="40" t="s">
        <v>397</v>
      </c>
      <c r="O285" s="40" t="s">
        <v>56</v>
      </c>
      <c r="P285" s="37" t="s">
        <v>541</v>
      </c>
      <c r="Q285" s="45"/>
      <c r="R285" s="43"/>
      <c r="S285" s="43"/>
      <c r="T285" s="44">
        <f>+_xlfn.XLOOKUP(PROYECTOS[[#This Row],[MUNICIPIO]],'4.CAP_ENDMNT'!B:B,'4.CAP_ENDMNT'!C:C,0,0,1)</f>
        <v>6</v>
      </c>
      <c r="U285" s="139">
        <f>+_xlfn.XLOOKUP(PROYECTOS[[#This Row],[MUNICIPIO]],'4.CAP_ENDMNT'!B:B,'4.CAP_ENDMNT'!D:D,0,0,1)</f>
        <v>17565923370.843998</v>
      </c>
      <c r="V285" s="140">
        <f>+_xlfn.XLOOKUP(PROYECTOS[[#This Row],[MUNICIPIO]],'4.CAP_ENDMNT'!B:B,'4.CAP_ENDMNT'!E:E,0,0,1)</f>
        <v>4463335582.5100002</v>
      </c>
      <c r="W285" s="140">
        <f>+_xlfn.XLOOKUP(PROYECTOS[[#This Row],[MUNICIPIO]],'4.CAP_ENDMNT'!B:B,'4.CAP_ENDMNT'!F:F,0,0,1)</f>
        <v>13102587788.333998</v>
      </c>
      <c r="X285" s="140">
        <f>+_xlfn.XLOOKUP(PROYECTOS[[#This Row],[MUNICIPIO]],'4.CAP_ENDMNT'!B:B,'4.CAP_ENDMNT'!G:G,0,0,1)</f>
        <v>2561424191</v>
      </c>
      <c r="Y285" s="140">
        <f>+_xlfn.XLOOKUP(PROYECTOS[[#This Row],[MUNICIPIO]],'4.CAP_ENDMNT'!B:B,'4.CAP_ENDMNT'!H:H,0,0,1)</f>
        <v>0</v>
      </c>
      <c r="Z285" s="140">
        <f>+_xlfn.XLOOKUP(PROYECTOS[[#This Row],[MUNICIPIO]],'4.CAP_ENDMNT'!B:B,'4.CAP_ENDMNT'!I:I,0,0,1)</f>
        <v>2561424191</v>
      </c>
      <c r="AA285" s="134">
        <f>+_xlfn.XLOOKUP(PROYECTOS[[#This Row],[MUNICIPIO]],'4.CAP_ENDMNT'!B:B,'4.CAP_ENDMNT'!J:J,0,0,1)</f>
        <v>0.14581779374328047</v>
      </c>
      <c r="AB285" s="140">
        <f>+_xlfn.XLOOKUP(PROYECTOS[[#This Row],[MUNICIPIO]],'4.CAP_ENDMNT'!B:B,'4.CAP_ENDMNT'!K:K,0,0,1)</f>
        <v>15004499179.843998</v>
      </c>
      <c r="AC285" s="140">
        <f>+_xlfn.XLOOKUP(PROYECTOS[[#This Row],[MUNICIPIO]],'4.CAP_ENDMNT'!B:B,'4.CAP_ENDMNT'!L:L,0,0,1)</f>
        <v>12003599343.875198</v>
      </c>
      <c r="AD285" s="140">
        <f>+_xlfn.XLOOKUP(PROYECTOS[[#This Row],[MUNICIPIO]],'4.CAP_ENDMNT'!B:B,'4.CAP_ENDMNT'!M:M,0,0,1)</f>
        <v>9002699507.9063988</v>
      </c>
      <c r="AE285" s="134">
        <f>+_xlfn.XLOOKUP(PROYECTOS[[#This Row],[MUNICIPIO]],'4.CAP_ENDMNT'!B:B,'4.CAP_ENDMNT'!N:N,0,0,1)</f>
        <v>1</v>
      </c>
      <c r="AF285" s="134">
        <f>+_xlfn.XLOOKUP(PROYECTOS[[#This Row],[MUNICIPIO]],'4.CAP_ENDMNT'!B:B,'4.CAP_ENDMNT'!O:O,0,0,1)</f>
        <v>0.64471709259563048</v>
      </c>
      <c r="AG285" s="134">
        <f>+_xlfn.XLOOKUP(PROYECTOS[[#This Row],[MUNICIPIO]],'4.CAP_ENDMNT'!B:B,'4.CAP_ENDMNT'!P:P,0,0,1)</f>
        <v>0.8</v>
      </c>
      <c r="AH285" s="44" t="str">
        <f>+_xlfn.XLOOKUP(PROYECTOS[[#This Row],[MUNICIPIO]],'4.CAP_ENDMNT'!B:B,'4.CAP_ENDMNT'!Q:Q,0,0,1)</f>
        <v>Cumple</v>
      </c>
      <c r="AI285" s="139">
        <f>+_xlfn.XLOOKUP(PROYECTOS[[#This Row],[MUNICIPIO]],'4.CAP_ENDMNT'!B:B,'4.CAP_ENDMNT'!V:V,0,0,1)</f>
        <v>1800539901.5812798</v>
      </c>
      <c r="AJ285" s="139">
        <f>+_xlfn.XLOOKUP(PROYECTOS[[#This Row],[MUNICIPIO]],'4.CAP_ENDMNT'!B:B,'4.CAP_ENDMNT'!Y:Y,0,0,1)</f>
        <v>3805966446.4876785</v>
      </c>
      <c r="AK285"/>
      <c r="AL285"/>
      <c r="AM285"/>
    </row>
    <row r="286" spans="1:39">
      <c r="A286" s="44">
        <v>304</v>
      </c>
      <c r="B286" s="37" t="s">
        <v>603</v>
      </c>
      <c r="C286" s="118">
        <v>45747</v>
      </c>
      <c r="D286" s="46" t="s">
        <v>227</v>
      </c>
      <c r="E286" s="47" t="str">
        <f>+_xlfn.XLOOKUP(PROYECTOS[[#This Row],[MUNICIPIO]],MUNICIPIOS!A:A,MUNICIPIOS!E:E,0,0,1)</f>
        <v>Oriente</v>
      </c>
      <c r="F286" s="44">
        <f>+_xlfn.XLOOKUP(PROYECTOS[[#This Row],[MUNICIPIO]],MUNICIPIOS!A:A,MUNICIPIOS!F:F,0,0,1)</f>
        <v>-75.184445999999994</v>
      </c>
      <c r="G286" s="44" t="str">
        <f>+_xlfn.XLOOKUP(PROYECTOS[[#This Row],[MUNICIPIO]],MUNICIPIOS!A:A,MUNICIPIOS!G:G,0,0,1)</f>
        <v>6,142892</v>
      </c>
      <c r="H286" s="44">
        <f>+_xlfn.XLOOKUP(PROYECTOS[[#This Row],[MUNICIPIO]],MUNICIPIOS!A:A,MUNICIPIOS!B:B,0,0,1)</f>
        <v>0</v>
      </c>
      <c r="I286" s="44">
        <f>+_xlfn.XLOOKUP(PROYECTOS[[#This Row],[MUNICIPIO]],MUNICIPIOS!A:A,MUNICIPIOS!C:C,0,0,1)</f>
        <v>1</v>
      </c>
      <c r="J286" s="3" t="str" cm="1">
        <f t="array" ref="J286">_xlfn.TEXTJOIN(" ", TRUE, IF(radicados[ID PROYECTOS]=A286, radicados[RADICADO], ""))</f>
        <v/>
      </c>
      <c r="K286" s="45">
        <v>1</v>
      </c>
      <c r="L286" s="48"/>
      <c r="M286" s="34" t="s">
        <v>407</v>
      </c>
      <c r="N286" s="40" t="s">
        <v>397</v>
      </c>
      <c r="O286" s="40" t="s">
        <v>56</v>
      </c>
      <c r="P286" s="37" t="s">
        <v>541</v>
      </c>
      <c r="Q286" s="45"/>
      <c r="R286" s="43"/>
      <c r="S286" s="43"/>
      <c r="T286" s="44">
        <f>+_xlfn.XLOOKUP(PROYECTOS[[#This Row],[MUNICIPIO]],'4.CAP_ENDMNT'!B:B,'4.CAP_ENDMNT'!C:C,0,0,1)</f>
        <v>6</v>
      </c>
      <c r="U286" s="139">
        <f>+_xlfn.XLOOKUP(PROYECTOS[[#This Row],[MUNICIPIO]],'4.CAP_ENDMNT'!B:B,'4.CAP_ENDMNT'!D:D,0,0,1)</f>
        <v>9100976268.0305004</v>
      </c>
      <c r="V286" s="140">
        <f>+_xlfn.XLOOKUP(PROYECTOS[[#This Row],[MUNICIPIO]],'4.CAP_ENDMNT'!B:B,'4.CAP_ENDMNT'!E:E,0,0,1)</f>
        <v>3221460794.1700001</v>
      </c>
      <c r="W286" s="140">
        <f>+_xlfn.XLOOKUP(PROYECTOS[[#This Row],[MUNICIPIO]],'4.CAP_ENDMNT'!B:B,'4.CAP_ENDMNT'!F:F,0,0,1)</f>
        <v>5879515473.8605003</v>
      </c>
      <c r="X286" s="140">
        <f>+_xlfn.XLOOKUP(PROYECTOS[[#This Row],[MUNICIPIO]],'4.CAP_ENDMNT'!B:B,'4.CAP_ENDMNT'!G:G,0,0,1)</f>
        <v>1026722956</v>
      </c>
      <c r="Y286" s="140">
        <f>+_xlfn.XLOOKUP(PROYECTOS[[#This Row],[MUNICIPIO]],'4.CAP_ENDMNT'!B:B,'4.CAP_ENDMNT'!H:H,0,0,1)</f>
        <v>190000000</v>
      </c>
      <c r="Z286" s="140">
        <f>+_xlfn.XLOOKUP(PROYECTOS[[#This Row],[MUNICIPIO]],'4.CAP_ENDMNT'!B:B,'4.CAP_ENDMNT'!I:I,0,0,1)</f>
        <v>1216722956</v>
      </c>
      <c r="AA286" s="134">
        <f>+_xlfn.XLOOKUP(PROYECTOS[[#This Row],[MUNICIPIO]],'4.CAP_ENDMNT'!B:B,'4.CAP_ENDMNT'!J:J,0,0,1)</f>
        <v>0.13369147662477152</v>
      </c>
      <c r="AB286" s="140">
        <f>+_xlfn.XLOOKUP(PROYECTOS[[#This Row],[MUNICIPIO]],'4.CAP_ENDMNT'!B:B,'4.CAP_ENDMNT'!K:K,0,0,1)</f>
        <v>7884253312.0305004</v>
      </c>
      <c r="AC286" s="140">
        <f>+_xlfn.XLOOKUP(PROYECTOS[[#This Row],[MUNICIPIO]],'4.CAP_ENDMNT'!B:B,'4.CAP_ENDMNT'!L:L,0,0,1)</f>
        <v>6307402649.6244011</v>
      </c>
      <c r="AD286" s="140">
        <f>+_xlfn.XLOOKUP(PROYECTOS[[#This Row],[MUNICIPIO]],'4.CAP_ENDMNT'!B:B,'4.CAP_ENDMNT'!M:M,0,0,1)</f>
        <v>4730551987.2182999</v>
      </c>
      <c r="AE286" s="134">
        <f>+_xlfn.XLOOKUP(PROYECTOS[[#This Row],[MUNICIPIO]],'4.CAP_ENDMNT'!B:B,'4.CAP_ENDMNT'!N:N,0,0,1)</f>
        <v>0.84384284108140062</v>
      </c>
      <c r="AF286" s="134">
        <f>+_xlfn.XLOOKUP(PROYECTOS[[#This Row],[MUNICIPIO]],'4.CAP_ENDMNT'!B:B,'4.CAP_ENDMNT'!O:O,0,0,1)</f>
        <v>0.65864601932480682</v>
      </c>
      <c r="AG286" s="134">
        <f>+_xlfn.XLOOKUP(PROYECTOS[[#This Row],[MUNICIPIO]],'4.CAP_ENDMNT'!B:B,'4.CAP_ENDMNT'!P:P,0,0,1)</f>
        <v>0.8</v>
      </c>
      <c r="AH286" s="44" t="str">
        <f>+_xlfn.XLOOKUP(PROYECTOS[[#This Row],[MUNICIPIO]],'4.CAP_ENDMNT'!B:B,'4.CAP_ENDMNT'!Q:Q,0,0,1)</f>
        <v>Cumple</v>
      </c>
      <c r="AI286" s="139">
        <f>+_xlfn.XLOOKUP(PROYECTOS[[#This Row],[MUNICIPIO]],'4.CAP_ENDMNT'!B:B,'4.CAP_ENDMNT'!V:V,0,0,1)</f>
        <v>946110397.44366002</v>
      </c>
      <c r="AJ286" s="139">
        <f>+_xlfn.XLOOKUP(PROYECTOS[[#This Row],[MUNICIPIO]],'4.CAP_ENDMNT'!B:B,'4.CAP_ENDMNT'!Y:Y,0,0,1)</f>
        <v>-37054965217.338043</v>
      </c>
      <c r="AK286"/>
      <c r="AL286"/>
      <c r="AM286"/>
    </row>
    <row r="287" spans="1:39">
      <c r="A287" s="44">
        <v>305</v>
      </c>
      <c r="B287" s="37" t="s">
        <v>604</v>
      </c>
      <c r="C287" s="118">
        <v>45747</v>
      </c>
      <c r="D287" s="46" t="s">
        <v>227</v>
      </c>
      <c r="E287" s="47" t="str">
        <f>+_xlfn.XLOOKUP(PROYECTOS[[#This Row],[MUNICIPIO]],MUNICIPIOS!A:A,MUNICIPIOS!E:E,0,0,1)</f>
        <v>Oriente</v>
      </c>
      <c r="F287" s="44">
        <f>+_xlfn.XLOOKUP(PROYECTOS[[#This Row],[MUNICIPIO]],MUNICIPIOS!A:A,MUNICIPIOS!F:F,0,0,1)</f>
        <v>-75.184445999999994</v>
      </c>
      <c r="G287" s="44" t="str">
        <f>+_xlfn.XLOOKUP(PROYECTOS[[#This Row],[MUNICIPIO]],MUNICIPIOS!A:A,MUNICIPIOS!G:G,0,0,1)</f>
        <v>6,142892</v>
      </c>
      <c r="H287" s="44">
        <f>+_xlfn.XLOOKUP(PROYECTOS[[#This Row],[MUNICIPIO]],MUNICIPIOS!A:A,MUNICIPIOS!B:B,0,0,1)</f>
        <v>0</v>
      </c>
      <c r="I287" s="44">
        <f>+_xlfn.XLOOKUP(PROYECTOS[[#This Row],[MUNICIPIO]],MUNICIPIOS!A:A,MUNICIPIOS!C:C,0,0,1)</f>
        <v>1</v>
      </c>
      <c r="J287" s="3" t="str" cm="1">
        <f t="array" ref="J287">_xlfn.TEXTJOIN(" ", TRUE, IF(radicados[ID PROYECTOS]=A287, radicados[RADICADO], ""))</f>
        <v/>
      </c>
      <c r="K287" s="45">
        <v>1</v>
      </c>
      <c r="L287" s="48"/>
      <c r="M287" s="34" t="s">
        <v>407</v>
      </c>
      <c r="N287" s="40" t="s">
        <v>397</v>
      </c>
      <c r="O287" s="40" t="s">
        <v>56</v>
      </c>
      <c r="P287" s="37" t="s">
        <v>541</v>
      </c>
      <c r="Q287" s="45"/>
      <c r="R287" s="43"/>
      <c r="S287" s="43"/>
      <c r="T287" s="44">
        <f>+_xlfn.XLOOKUP(PROYECTOS[[#This Row],[MUNICIPIO]],'4.CAP_ENDMNT'!B:B,'4.CAP_ENDMNT'!C:C,0,0,1)</f>
        <v>6</v>
      </c>
      <c r="U287" s="139">
        <f>+_xlfn.XLOOKUP(PROYECTOS[[#This Row],[MUNICIPIO]],'4.CAP_ENDMNT'!B:B,'4.CAP_ENDMNT'!D:D,0,0,1)</f>
        <v>9100976268.0305004</v>
      </c>
      <c r="V287" s="140">
        <f>+_xlfn.XLOOKUP(PROYECTOS[[#This Row],[MUNICIPIO]],'4.CAP_ENDMNT'!B:B,'4.CAP_ENDMNT'!E:E,0,0,1)</f>
        <v>3221460794.1700001</v>
      </c>
      <c r="W287" s="140">
        <f>+_xlfn.XLOOKUP(PROYECTOS[[#This Row],[MUNICIPIO]],'4.CAP_ENDMNT'!B:B,'4.CAP_ENDMNT'!F:F,0,0,1)</f>
        <v>5879515473.8605003</v>
      </c>
      <c r="X287" s="140">
        <f>+_xlfn.XLOOKUP(PROYECTOS[[#This Row],[MUNICIPIO]],'4.CAP_ENDMNT'!B:B,'4.CAP_ENDMNT'!G:G,0,0,1)</f>
        <v>1026722956</v>
      </c>
      <c r="Y287" s="140">
        <f>+_xlfn.XLOOKUP(PROYECTOS[[#This Row],[MUNICIPIO]],'4.CAP_ENDMNT'!B:B,'4.CAP_ENDMNT'!H:H,0,0,1)</f>
        <v>190000000</v>
      </c>
      <c r="Z287" s="140">
        <f>+_xlfn.XLOOKUP(PROYECTOS[[#This Row],[MUNICIPIO]],'4.CAP_ENDMNT'!B:B,'4.CAP_ENDMNT'!I:I,0,0,1)</f>
        <v>1216722956</v>
      </c>
      <c r="AA287" s="134">
        <f>+_xlfn.XLOOKUP(PROYECTOS[[#This Row],[MUNICIPIO]],'4.CAP_ENDMNT'!B:B,'4.CAP_ENDMNT'!J:J,0,0,1)</f>
        <v>0.13369147662477152</v>
      </c>
      <c r="AB287" s="140">
        <f>+_xlfn.XLOOKUP(PROYECTOS[[#This Row],[MUNICIPIO]],'4.CAP_ENDMNT'!B:B,'4.CAP_ENDMNT'!K:K,0,0,1)</f>
        <v>7884253312.0305004</v>
      </c>
      <c r="AC287" s="140">
        <f>+_xlfn.XLOOKUP(PROYECTOS[[#This Row],[MUNICIPIO]],'4.CAP_ENDMNT'!B:B,'4.CAP_ENDMNT'!L:L,0,0,1)</f>
        <v>6307402649.6244011</v>
      </c>
      <c r="AD287" s="140">
        <f>+_xlfn.XLOOKUP(PROYECTOS[[#This Row],[MUNICIPIO]],'4.CAP_ENDMNT'!B:B,'4.CAP_ENDMNT'!M:M,0,0,1)</f>
        <v>4730551987.2182999</v>
      </c>
      <c r="AE287" s="134">
        <f>+_xlfn.XLOOKUP(PROYECTOS[[#This Row],[MUNICIPIO]],'4.CAP_ENDMNT'!B:B,'4.CAP_ENDMNT'!N:N,0,0,1)</f>
        <v>0.84384284108140062</v>
      </c>
      <c r="AF287" s="134">
        <f>+_xlfn.XLOOKUP(PROYECTOS[[#This Row],[MUNICIPIO]],'4.CAP_ENDMNT'!B:B,'4.CAP_ENDMNT'!O:O,0,0,1)</f>
        <v>0.65864601932480682</v>
      </c>
      <c r="AG287" s="134">
        <f>+_xlfn.XLOOKUP(PROYECTOS[[#This Row],[MUNICIPIO]],'4.CAP_ENDMNT'!B:B,'4.CAP_ENDMNT'!P:P,0,0,1)</f>
        <v>0.8</v>
      </c>
      <c r="AH287" s="44" t="str">
        <f>+_xlfn.XLOOKUP(PROYECTOS[[#This Row],[MUNICIPIO]],'4.CAP_ENDMNT'!B:B,'4.CAP_ENDMNT'!Q:Q,0,0,1)</f>
        <v>Cumple</v>
      </c>
      <c r="AI287" s="139">
        <f>+_xlfn.XLOOKUP(PROYECTOS[[#This Row],[MUNICIPIO]],'4.CAP_ENDMNT'!B:B,'4.CAP_ENDMNT'!V:V,0,0,1)</f>
        <v>946110397.44366002</v>
      </c>
      <c r="AJ287" s="139">
        <f>+_xlfn.XLOOKUP(PROYECTOS[[#This Row],[MUNICIPIO]],'4.CAP_ENDMNT'!B:B,'4.CAP_ENDMNT'!Y:Y,0,0,1)</f>
        <v>-37054965217.338043</v>
      </c>
      <c r="AK287"/>
      <c r="AL287"/>
      <c r="AM287"/>
    </row>
    <row r="288" spans="1:39">
      <c r="A288" s="44">
        <v>306</v>
      </c>
      <c r="B288" s="37" t="s">
        <v>605</v>
      </c>
      <c r="C288" s="118">
        <v>45747</v>
      </c>
      <c r="D288" s="46" t="s">
        <v>125</v>
      </c>
      <c r="E288" s="47" t="str">
        <f>+_xlfn.XLOOKUP(PROYECTOS[[#This Row],[MUNICIPIO]],MUNICIPIOS!A:A,MUNICIPIOS!E:E,0,0,1)</f>
        <v>Oriente</v>
      </c>
      <c r="F288" s="44">
        <f>+_xlfn.XLOOKUP(PROYECTOS[[#This Row],[MUNICIPIO]],MUNICIPIOS!A:A,MUNICIPIOS!F:F,0,0,1)</f>
        <v>-75.185483000000005</v>
      </c>
      <c r="G288" s="44" t="str">
        <f>+_xlfn.XLOOKUP(PROYECTOS[[#This Row],[MUNICIPIO]],MUNICIPIOS!A:A,MUNICIPIOS!G:G,0,0,1)</f>
        <v>6,058295</v>
      </c>
      <c r="H288" s="44">
        <f>+_xlfn.XLOOKUP(PROYECTOS[[#This Row],[MUNICIPIO]],MUNICIPIOS!A:A,MUNICIPIOS!B:B,0,0,1)</f>
        <v>0</v>
      </c>
      <c r="I288" s="44">
        <f>+_xlfn.XLOOKUP(PROYECTOS[[#This Row],[MUNICIPIO]],MUNICIPIOS!A:A,MUNICIPIOS!C:C,0,0,1)</f>
        <v>1</v>
      </c>
      <c r="J288" s="3" t="str" cm="1">
        <f t="array" ref="J288">_xlfn.TEXTJOIN(" ", TRUE, IF(radicados[ID PROYECTOS]=A288, radicados[RADICADO], ""))</f>
        <v/>
      </c>
      <c r="K288" s="45">
        <v>1</v>
      </c>
      <c r="L288" s="48"/>
      <c r="M288" s="34" t="s">
        <v>407</v>
      </c>
      <c r="N288" s="40" t="s">
        <v>397</v>
      </c>
      <c r="O288" s="40" t="s">
        <v>56</v>
      </c>
      <c r="P288" s="37" t="s">
        <v>541</v>
      </c>
      <c r="Q288" s="45"/>
      <c r="R288" s="43"/>
      <c r="S288" s="43"/>
      <c r="T288" s="44">
        <f>+_xlfn.XLOOKUP(PROYECTOS[[#This Row],[MUNICIPIO]],'4.CAP_ENDMNT'!B:B,'4.CAP_ENDMNT'!C:C,0,0,1)</f>
        <v>6</v>
      </c>
      <c r="U288" s="139">
        <f>+_xlfn.XLOOKUP(PROYECTOS[[#This Row],[MUNICIPIO]],'4.CAP_ENDMNT'!B:B,'4.CAP_ENDMNT'!D:D,0,0,1)</f>
        <v>12327690626.8465</v>
      </c>
      <c r="V288" s="140">
        <f>+_xlfn.XLOOKUP(PROYECTOS[[#This Row],[MUNICIPIO]],'4.CAP_ENDMNT'!B:B,'4.CAP_ENDMNT'!E:E,0,0,1)</f>
        <v>4723680091.2799997</v>
      </c>
      <c r="W288" s="140">
        <f>+_xlfn.XLOOKUP(PROYECTOS[[#This Row],[MUNICIPIO]],'4.CAP_ENDMNT'!B:B,'4.CAP_ENDMNT'!F:F,0,0,1)</f>
        <v>7604010535.5665007</v>
      </c>
      <c r="X288" s="140">
        <f>+_xlfn.XLOOKUP(PROYECTOS[[#This Row],[MUNICIPIO]],'4.CAP_ENDMNT'!B:B,'4.CAP_ENDMNT'!G:G,0,0,1)</f>
        <v>445297438</v>
      </c>
      <c r="Y288" s="140">
        <f>+_xlfn.XLOOKUP(PROYECTOS[[#This Row],[MUNICIPIO]],'4.CAP_ENDMNT'!B:B,'4.CAP_ENDMNT'!H:H,0,0,1)</f>
        <v>33508702</v>
      </c>
      <c r="Z288" s="140">
        <f>+_xlfn.XLOOKUP(PROYECTOS[[#This Row],[MUNICIPIO]],'4.CAP_ENDMNT'!B:B,'4.CAP_ENDMNT'!I:I,0,0,1)</f>
        <v>478806140</v>
      </c>
      <c r="AA288" s="134">
        <f>+_xlfn.XLOOKUP(PROYECTOS[[#This Row],[MUNICIPIO]],'4.CAP_ENDMNT'!B:B,'4.CAP_ENDMNT'!J:J,0,0,1)</f>
        <v>3.8839889359105498E-2</v>
      </c>
      <c r="AB288" s="140">
        <f>+_xlfn.XLOOKUP(PROYECTOS[[#This Row],[MUNICIPIO]],'4.CAP_ENDMNT'!B:B,'4.CAP_ENDMNT'!K:K,0,0,1)</f>
        <v>11848884486.8465</v>
      </c>
      <c r="AC288" s="140">
        <f>+_xlfn.XLOOKUP(PROYECTOS[[#This Row],[MUNICIPIO]],'4.CAP_ENDMNT'!B:B,'4.CAP_ENDMNT'!L:L,0,0,1)</f>
        <v>9479107589.4772015</v>
      </c>
      <c r="AD288" s="140">
        <f>+_xlfn.XLOOKUP(PROYECTOS[[#This Row],[MUNICIPIO]],'4.CAP_ENDMNT'!B:B,'4.CAP_ENDMNT'!M:M,0,0,1)</f>
        <v>7109330692.1078997</v>
      </c>
      <c r="AE288" s="134">
        <f>+_xlfn.XLOOKUP(PROYECTOS[[#This Row],[MUNICIPIO]],'4.CAP_ENDMNT'!B:B,'4.CAP_ENDMNT'!N:N,0,0,1)</f>
        <v>0.93001613972619479</v>
      </c>
      <c r="AF288" s="134">
        <f>+_xlfn.XLOOKUP(PROYECTOS[[#This Row],[MUNICIPIO]],'4.CAP_ENDMNT'!B:B,'4.CAP_ENDMNT'!O:O,0,0,1)</f>
        <v>0.63996045822337311</v>
      </c>
      <c r="AG288" s="134">
        <f>+_xlfn.XLOOKUP(PROYECTOS[[#This Row],[MUNICIPIO]],'4.CAP_ENDMNT'!B:B,'4.CAP_ENDMNT'!P:P,0,0,1)</f>
        <v>0.8</v>
      </c>
      <c r="AH288" s="44" t="str">
        <f>+_xlfn.XLOOKUP(PROYECTOS[[#This Row],[MUNICIPIO]],'4.CAP_ENDMNT'!B:B,'4.CAP_ENDMNT'!Q:Q,0,0,1)</f>
        <v>Cumple</v>
      </c>
      <c r="AI288" s="139">
        <f>+_xlfn.XLOOKUP(PROYECTOS[[#This Row],[MUNICIPIO]],'4.CAP_ENDMNT'!B:B,'4.CAP_ENDMNT'!V:V,0,0,1)</f>
        <v>1421866138.4215801</v>
      </c>
      <c r="AJ288" s="139">
        <f>+_xlfn.XLOOKUP(PROYECTOS[[#This Row],[MUNICIPIO]],'4.CAP_ENDMNT'!B:B,'4.CAP_ENDMNT'!Y:Y,0,0,1)</f>
        <v>4809429397.52948</v>
      </c>
      <c r="AK288"/>
      <c r="AL288"/>
      <c r="AM288"/>
    </row>
    <row r="289" spans="1:39">
      <c r="A289" s="44">
        <v>307</v>
      </c>
      <c r="B289" s="37" t="s">
        <v>606</v>
      </c>
      <c r="C289" s="118">
        <v>45747</v>
      </c>
      <c r="D289" s="46" t="s">
        <v>125</v>
      </c>
      <c r="E289" s="47" t="str">
        <f>+_xlfn.XLOOKUP(PROYECTOS[[#This Row],[MUNICIPIO]],MUNICIPIOS!A:A,MUNICIPIOS!E:E,0,0,1)</f>
        <v>Oriente</v>
      </c>
      <c r="F289" s="44">
        <f>+_xlfn.XLOOKUP(PROYECTOS[[#This Row],[MUNICIPIO]],MUNICIPIOS!A:A,MUNICIPIOS!F:F,0,0,1)</f>
        <v>-75.185483000000005</v>
      </c>
      <c r="G289" s="44" t="str">
        <f>+_xlfn.XLOOKUP(PROYECTOS[[#This Row],[MUNICIPIO]],MUNICIPIOS!A:A,MUNICIPIOS!G:G,0,0,1)</f>
        <v>6,058295</v>
      </c>
      <c r="H289" s="44">
        <f>+_xlfn.XLOOKUP(PROYECTOS[[#This Row],[MUNICIPIO]],MUNICIPIOS!A:A,MUNICIPIOS!B:B,0,0,1)</f>
        <v>0</v>
      </c>
      <c r="I289" s="44">
        <f>+_xlfn.XLOOKUP(PROYECTOS[[#This Row],[MUNICIPIO]],MUNICIPIOS!A:A,MUNICIPIOS!C:C,0,0,1)</f>
        <v>1</v>
      </c>
      <c r="J289" s="3" t="str" cm="1">
        <f t="array" ref="J289">_xlfn.TEXTJOIN(" ", TRUE, IF(radicados[ID PROYECTOS]=A289, radicados[RADICADO], ""))</f>
        <v/>
      </c>
      <c r="K289" s="45">
        <v>1</v>
      </c>
      <c r="L289" s="48"/>
      <c r="M289" s="34" t="s">
        <v>407</v>
      </c>
      <c r="N289" s="40" t="s">
        <v>397</v>
      </c>
      <c r="O289" s="40" t="s">
        <v>56</v>
      </c>
      <c r="P289" s="37" t="s">
        <v>541</v>
      </c>
      <c r="Q289" s="45"/>
      <c r="R289" s="43"/>
      <c r="S289" s="43"/>
      <c r="T289" s="44">
        <f>+_xlfn.XLOOKUP(PROYECTOS[[#This Row],[MUNICIPIO]],'4.CAP_ENDMNT'!B:B,'4.CAP_ENDMNT'!C:C,0,0,1)</f>
        <v>6</v>
      </c>
      <c r="U289" s="139">
        <f>+_xlfn.XLOOKUP(PROYECTOS[[#This Row],[MUNICIPIO]],'4.CAP_ENDMNT'!B:B,'4.CAP_ENDMNT'!D:D,0,0,1)</f>
        <v>12327690626.8465</v>
      </c>
      <c r="V289" s="140">
        <f>+_xlfn.XLOOKUP(PROYECTOS[[#This Row],[MUNICIPIO]],'4.CAP_ENDMNT'!B:B,'4.CAP_ENDMNT'!E:E,0,0,1)</f>
        <v>4723680091.2799997</v>
      </c>
      <c r="W289" s="140">
        <f>+_xlfn.XLOOKUP(PROYECTOS[[#This Row],[MUNICIPIO]],'4.CAP_ENDMNT'!B:B,'4.CAP_ENDMNT'!F:F,0,0,1)</f>
        <v>7604010535.5665007</v>
      </c>
      <c r="X289" s="140">
        <f>+_xlfn.XLOOKUP(PROYECTOS[[#This Row],[MUNICIPIO]],'4.CAP_ENDMNT'!B:B,'4.CAP_ENDMNT'!G:G,0,0,1)</f>
        <v>445297438</v>
      </c>
      <c r="Y289" s="140">
        <f>+_xlfn.XLOOKUP(PROYECTOS[[#This Row],[MUNICIPIO]],'4.CAP_ENDMNT'!B:B,'4.CAP_ENDMNT'!H:H,0,0,1)</f>
        <v>33508702</v>
      </c>
      <c r="Z289" s="140">
        <f>+_xlfn.XLOOKUP(PROYECTOS[[#This Row],[MUNICIPIO]],'4.CAP_ENDMNT'!B:B,'4.CAP_ENDMNT'!I:I,0,0,1)</f>
        <v>478806140</v>
      </c>
      <c r="AA289" s="134">
        <f>+_xlfn.XLOOKUP(PROYECTOS[[#This Row],[MUNICIPIO]],'4.CAP_ENDMNT'!B:B,'4.CAP_ENDMNT'!J:J,0,0,1)</f>
        <v>3.8839889359105498E-2</v>
      </c>
      <c r="AB289" s="140">
        <f>+_xlfn.XLOOKUP(PROYECTOS[[#This Row],[MUNICIPIO]],'4.CAP_ENDMNT'!B:B,'4.CAP_ENDMNT'!K:K,0,0,1)</f>
        <v>11848884486.8465</v>
      </c>
      <c r="AC289" s="140">
        <f>+_xlfn.XLOOKUP(PROYECTOS[[#This Row],[MUNICIPIO]],'4.CAP_ENDMNT'!B:B,'4.CAP_ENDMNT'!L:L,0,0,1)</f>
        <v>9479107589.4772015</v>
      </c>
      <c r="AD289" s="140">
        <f>+_xlfn.XLOOKUP(PROYECTOS[[#This Row],[MUNICIPIO]],'4.CAP_ENDMNT'!B:B,'4.CAP_ENDMNT'!M:M,0,0,1)</f>
        <v>7109330692.1078997</v>
      </c>
      <c r="AE289" s="134">
        <f>+_xlfn.XLOOKUP(PROYECTOS[[#This Row],[MUNICIPIO]],'4.CAP_ENDMNT'!B:B,'4.CAP_ENDMNT'!N:N,0,0,1)</f>
        <v>0.93001613972619479</v>
      </c>
      <c r="AF289" s="134">
        <f>+_xlfn.XLOOKUP(PROYECTOS[[#This Row],[MUNICIPIO]],'4.CAP_ENDMNT'!B:B,'4.CAP_ENDMNT'!O:O,0,0,1)</f>
        <v>0.63996045822337311</v>
      </c>
      <c r="AG289" s="134">
        <f>+_xlfn.XLOOKUP(PROYECTOS[[#This Row],[MUNICIPIO]],'4.CAP_ENDMNT'!B:B,'4.CAP_ENDMNT'!P:P,0,0,1)</f>
        <v>0.8</v>
      </c>
      <c r="AH289" s="44" t="str">
        <f>+_xlfn.XLOOKUP(PROYECTOS[[#This Row],[MUNICIPIO]],'4.CAP_ENDMNT'!B:B,'4.CAP_ENDMNT'!Q:Q,0,0,1)</f>
        <v>Cumple</v>
      </c>
      <c r="AI289" s="139">
        <f>+_xlfn.XLOOKUP(PROYECTOS[[#This Row],[MUNICIPIO]],'4.CAP_ENDMNT'!B:B,'4.CAP_ENDMNT'!V:V,0,0,1)</f>
        <v>1421866138.4215801</v>
      </c>
      <c r="AJ289" s="139">
        <f>+_xlfn.XLOOKUP(PROYECTOS[[#This Row],[MUNICIPIO]],'4.CAP_ENDMNT'!B:B,'4.CAP_ENDMNT'!Y:Y,0,0,1)</f>
        <v>4809429397.52948</v>
      </c>
      <c r="AK289"/>
      <c r="AL289"/>
      <c r="AM289"/>
    </row>
    <row r="290" spans="1:39">
      <c r="A290" s="44">
        <v>308</v>
      </c>
      <c r="B290" s="37" t="s">
        <v>607</v>
      </c>
      <c r="C290" s="118">
        <v>45747</v>
      </c>
      <c r="D290" s="46" t="s">
        <v>113</v>
      </c>
      <c r="E290" s="47" t="str">
        <f>+_xlfn.XLOOKUP(PROYECTOS[[#This Row],[MUNICIPIO]],MUNICIPIOS!A:A,MUNICIPIOS!E:E,0,0,1)</f>
        <v>Oriente</v>
      </c>
      <c r="F290" s="44">
        <f>+_xlfn.XLOOKUP(PROYECTOS[[#This Row],[MUNICIPIO]],MUNICIPIOS!A:A,MUNICIPIOS!F:F,0,0,1)</f>
        <v>-75.101562000000001</v>
      </c>
      <c r="G290" s="44" t="str">
        <f>+_xlfn.XLOOKUP(PROYECTOS[[#This Row],[MUNICIPIO]],MUNICIPIOS!A:A,MUNICIPIOS!G:G,0,0,1)</f>
        <v>5,963476</v>
      </c>
      <c r="H290" s="44">
        <f>+_xlfn.XLOOKUP(PROYECTOS[[#This Row],[MUNICIPIO]],MUNICIPIOS!A:A,MUNICIPIOS!B:B,0,0,1)</f>
        <v>0</v>
      </c>
      <c r="I290" s="44">
        <f>+_xlfn.XLOOKUP(PROYECTOS[[#This Row],[MUNICIPIO]],MUNICIPIOS!A:A,MUNICIPIOS!C:C,0,0,1)</f>
        <v>1</v>
      </c>
      <c r="J290" s="3" t="str" cm="1">
        <f t="array" ref="J290">_xlfn.TEXTJOIN(" ", TRUE, IF(radicados[ID PROYECTOS]=A290, radicados[RADICADO], ""))</f>
        <v/>
      </c>
      <c r="K290" s="45">
        <v>1</v>
      </c>
      <c r="L290" s="48"/>
      <c r="M290" s="34" t="s">
        <v>407</v>
      </c>
      <c r="N290" s="40" t="s">
        <v>397</v>
      </c>
      <c r="O290" s="40" t="s">
        <v>56</v>
      </c>
      <c r="P290" s="37" t="s">
        <v>541</v>
      </c>
      <c r="Q290" s="45"/>
      <c r="R290" s="43"/>
      <c r="S290" s="43"/>
      <c r="T290" s="44">
        <f>+_xlfn.XLOOKUP(PROYECTOS[[#This Row],[MUNICIPIO]],'4.CAP_ENDMNT'!B:B,'4.CAP_ENDMNT'!C:C,0,0,1)</f>
        <v>6</v>
      </c>
      <c r="U290" s="139">
        <f>+_xlfn.XLOOKUP(PROYECTOS[[#This Row],[MUNICIPIO]],'4.CAP_ENDMNT'!B:B,'4.CAP_ENDMNT'!D:D,0,0,1)</f>
        <v>7763487077.335</v>
      </c>
      <c r="V290" s="140">
        <f>+_xlfn.XLOOKUP(PROYECTOS[[#This Row],[MUNICIPIO]],'4.CAP_ENDMNT'!B:B,'4.CAP_ENDMNT'!E:E,0,0,1)</f>
        <v>2329929022.3600001</v>
      </c>
      <c r="W290" s="140">
        <f>+_xlfn.XLOOKUP(PROYECTOS[[#This Row],[MUNICIPIO]],'4.CAP_ENDMNT'!B:B,'4.CAP_ENDMNT'!F:F,0,0,1)</f>
        <v>5433558054.9750004</v>
      </c>
      <c r="X290" s="140">
        <f>+_xlfn.XLOOKUP(PROYECTOS[[#This Row],[MUNICIPIO]],'4.CAP_ENDMNT'!B:B,'4.CAP_ENDMNT'!G:G,0,0,1)</f>
        <v>1217107364.4400001</v>
      </c>
      <c r="Y290" s="140">
        <f>+_xlfn.XLOOKUP(PROYECTOS[[#This Row],[MUNICIPIO]],'4.CAP_ENDMNT'!B:B,'4.CAP_ENDMNT'!H:H,0,0,1)</f>
        <v>0</v>
      </c>
      <c r="Z290" s="140">
        <f>+_xlfn.XLOOKUP(PROYECTOS[[#This Row],[MUNICIPIO]],'4.CAP_ENDMNT'!B:B,'4.CAP_ENDMNT'!I:I,0,0,1)</f>
        <v>1217107364.4400001</v>
      </c>
      <c r="AA290" s="134">
        <f>+_xlfn.XLOOKUP(PROYECTOS[[#This Row],[MUNICIPIO]],'4.CAP_ENDMNT'!B:B,'4.CAP_ENDMNT'!J:J,0,0,1)</f>
        <v>0.15677328400446064</v>
      </c>
      <c r="AB290" s="140">
        <f>+_xlfn.XLOOKUP(PROYECTOS[[#This Row],[MUNICIPIO]],'4.CAP_ENDMNT'!B:B,'4.CAP_ENDMNT'!K:K,0,0,1)</f>
        <v>6546379712.8950005</v>
      </c>
      <c r="AC290" s="140">
        <f>+_xlfn.XLOOKUP(PROYECTOS[[#This Row],[MUNICIPIO]],'4.CAP_ENDMNT'!B:B,'4.CAP_ENDMNT'!L:L,0,0,1)</f>
        <v>5237103770.3160009</v>
      </c>
      <c r="AD290" s="140">
        <f>+_xlfn.XLOOKUP(PROYECTOS[[#This Row],[MUNICIPIO]],'4.CAP_ENDMNT'!B:B,'4.CAP_ENDMNT'!M:M,0,0,1)</f>
        <v>3927827827.737</v>
      </c>
      <c r="AE290" s="134">
        <f>+_xlfn.XLOOKUP(PROYECTOS[[#This Row],[MUNICIPIO]],'4.CAP_ENDMNT'!B:B,'4.CAP_ENDMNT'!N:N,0,0,1)</f>
        <v>1</v>
      </c>
      <c r="AF290" s="134">
        <f>+_xlfn.XLOOKUP(PROYECTOS[[#This Row],[MUNICIPIO]],'4.CAP_ENDMNT'!B:B,'4.CAP_ENDMNT'!O:O,0,0,1)</f>
        <v>0.68141761997590633</v>
      </c>
      <c r="AG290" s="134">
        <f>+_xlfn.XLOOKUP(PROYECTOS[[#This Row],[MUNICIPIO]],'4.CAP_ENDMNT'!B:B,'4.CAP_ENDMNT'!P:P,0,0,1)</f>
        <v>0.8</v>
      </c>
      <c r="AH290" s="44" t="str">
        <f>+_xlfn.XLOOKUP(PROYECTOS[[#This Row],[MUNICIPIO]],'4.CAP_ENDMNT'!B:B,'4.CAP_ENDMNT'!Q:Q,0,0,1)</f>
        <v>Cumple</v>
      </c>
      <c r="AI290" s="139">
        <f>+_xlfn.XLOOKUP(PROYECTOS[[#This Row],[MUNICIPIO]],'4.CAP_ENDMNT'!B:B,'4.CAP_ENDMNT'!V:V,0,0,1)</f>
        <v>785565565.5474</v>
      </c>
      <c r="AJ290" s="139">
        <f>+_xlfn.XLOOKUP(PROYECTOS[[#This Row],[MUNICIPIO]],'4.CAP_ENDMNT'!B:B,'4.CAP_ENDMNT'!Y:Y,0,0,1)</f>
        <v>-10352204929.605598</v>
      </c>
      <c r="AK290"/>
      <c r="AL290"/>
      <c r="AM290"/>
    </row>
    <row r="291" spans="1:39">
      <c r="A291" s="44">
        <v>309</v>
      </c>
      <c r="B291" s="37" t="s">
        <v>608</v>
      </c>
      <c r="C291" s="118">
        <v>45747</v>
      </c>
      <c r="D291" s="46" t="s">
        <v>270</v>
      </c>
      <c r="E291" s="47" t="str">
        <f>+_xlfn.XLOOKUP(PROYECTOS[[#This Row],[MUNICIPIO]],MUNICIPIOS!A:A,MUNICIPIOS!E:E,0,0,1)</f>
        <v>Oriente</v>
      </c>
      <c r="F291" s="44">
        <f>+_xlfn.XLOOKUP(PROYECTOS[[#This Row],[MUNICIPIO]],MUNICIPIOS!A:A,MUNICIPIOS!F:F,0,0,1)</f>
        <v>-74.993618999999995</v>
      </c>
      <c r="G291" s="44" t="str">
        <f>+_xlfn.XLOOKUP(PROYECTOS[[#This Row],[MUNICIPIO]],MUNICIPIOS!A:A,MUNICIPIOS!G:G,0,0,1)</f>
        <v>6,043017</v>
      </c>
      <c r="H291" s="44">
        <f>+_xlfn.XLOOKUP(PROYECTOS[[#This Row],[MUNICIPIO]],MUNICIPIOS!A:A,MUNICIPIOS!B:B,0,0,1)</f>
        <v>0</v>
      </c>
      <c r="I291" s="44">
        <f>+_xlfn.XLOOKUP(PROYECTOS[[#This Row],[MUNICIPIO]],MUNICIPIOS!A:A,MUNICIPIOS!C:C,0,0,1)</f>
        <v>1</v>
      </c>
      <c r="J291" s="3" t="str" cm="1">
        <f t="array" ref="J291">_xlfn.TEXTJOIN(" ", TRUE, IF(radicados[ID PROYECTOS]=A291, radicados[RADICADO], ""))</f>
        <v/>
      </c>
      <c r="K291" s="45">
        <v>1</v>
      </c>
      <c r="L291" s="48"/>
      <c r="M291" s="34" t="s">
        <v>407</v>
      </c>
      <c r="N291" s="40" t="s">
        <v>397</v>
      </c>
      <c r="O291" s="40" t="s">
        <v>56</v>
      </c>
      <c r="P291" s="37" t="s">
        <v>541</v>
      </c>
      <c r="Q291" s="45"/>
      <c r="R291" s="43"/>
      <c r="S291" s="43"/>
      <c r="T291" s="44">
        <f>+_xlfn.XLOOKUP(PROYECTOS[[#This Row],[MUNICIPIO]],'4.CAP_ENDMNT'!B:B,'4.CAP_ENDMNT'!C:C,0,0,1)</f>
        <v>6</v>
      </c>
      <c r="U291" s="139">
        <f>+_xlfn.XLOOKUP(PROYECTOS[[#This Row],[MUNICIPIO]],'4.CAP_ENDMNT'!B:B,'4.CAP_ENDMNT'!D:D,0,0,1)</f>
        <v>10860999220.161499</v>
      </c>
      <c r="V291" s="140">
        <f>+_xlfn.XLOOKUP(PROYECTOS[[#This Row],[MUNICIPIO]],'4.CAP_ENDMNT'!B:B,'4.CAP_ENDMNT'!E:E,0,0,1)</f>
        <v>3903981787.4000001</v>
      </c>
      <c r="W291" s="140">
        <f>+_xlfn.XLOOKUP(PROYECTOS[[#This Row],[MUNICIPIO]],'4.CAP_ENDMNT'!B:B,'4.CAP_ENDMNT'!F:F,0,0,1)</f>
        <v>6957017432.7614994</v>
      </c>
      <c r="X291" s="140">
        <f>+_xlfn.XLOOKUP(PROYECTOS[[#This Row],[MUNICIPIO]],'4.CAP_ENDMNT'!B:B,'4.CAP_ENDMNT'!G:G,0,0,1)</f>
        <v>1425530293</v>
      </c>
      <c r="Y291" s="140">
        <f>+_xlfn.XLOOKUP(PROYECTOS[[#This Row],[MUNICIPIO]],'4.CAP_ENDMNT'!B:B,'4.CAP_ENDMNT'!H:H,0,0,1)</f>
        <v>0</v>
      </c>
      <c r="Z291" s="140">
        <f>+_xlfn.XLOOKUP(PROYECTOS[[#This Row],[MUNICIPIO]],'4.CAP_ENDMNT'!B:B,'4.CAP_ENDMNT'!I:I,0,0,1)</f>
        <v>1425530293</v>
      </c>
      <c r="AA291" s="134">
        <f>+_xlfn.XLOOKUP(PROYECTOS[[#This Row],[MUNICIPIO]],'4.CAP_ENDMNT'!B:B,'4.CAP_ENDMNT'!J:J,0,0,1)</f>
        <v>0.13125222312453153</v>
      </c>
      <c r="AB291" s="140">
        <f>+_xlfn.XLOOKUP(PROYECTOS[[#This Row],[MUNICIPIO]],'4.CAP_ENDMNT'!B:B,'4.CAP_ENDMNT'!K:K,0,0,1)</f>
        <v>9435468927.161499</v>
      </c>
      <c r="AC291" s="140">
        <f>+_xlfn.XLOOKUP(PROYECTOS[[#This Row],[MUNICIPIO]],'4.CAP_ENDMNT'!B:B,'4.CAP_ENDMNT'!L:L,0,0,1)</f>
        <v>7548375141.7291994</v>
      </c>
      <c r="AD291" s="140">
        <f>+_xlfn.XLOOKUP(PROYECTOS[[#This Row],[MUNICIPIO]],'4.CAP_ENDMNT'!B:B,'4.CAP_ENDMNT'!M:M,0,0,1)</f>
        <v>5661281356.2968988</v>
      </c>
      <c r="AE291" s="134">
        <f>+_xlfn.XLOOKUP(PROYECTOS[[#This Row],[MUNICIPIO]],'4.CAP_ENDMNT'!B:B,'4.CAP_ENDMNT'!N:N,0,0,1)</f>
        <v>1</v>
      </c>
      <c r="AF291" s="134">
        <f>+_xlfn.XLOOKUP(PROYECTOS[[#This Row],[MUNICIPIO]],'4.CAP_ENDMNT'!B:B,'4.CAP_ENDMNT'!O:O,0,0,1)</f>
        <v>0.63270124114427018</v>
      </c>
      <c r="AG291" s="134">
        <f>+_xlfn.XLOOKUP(PROYECTOS[[#This Row],[MUNICIPIO]],'4.CAP_ENDMNT'!B:B,'4.CAP_ENDMNT'!P:P,0,0,1)</f>
        <v>0.8</v>
      </c>
      <c r="AH291" s="44" t="str">
        <f>+_xlfn.XLOOKUP(PROYECTOS[[#This Row],[MUNICIPIO]],'4.CAP_ENDMNT'!B:B,'4.CAP_ENDMNT'!Q:Q,0,0,1)</f>
        <v>Cumple</v>
      </c>
      <c r="AI291" s="139">
        <f>+_xlfn.XLOOKUP(PROYECTOS[[#This Row],[MUNICIPIO]],'4.CAP_ENDMNT'!B:B,'4.CAP_ENDMNT'!V:V,0,0,1)</f>
        <v>1132256271.2593799</v>
      </c>
      <c r="AJ291" s="139">
        <f>+_xlfn.XLOOKUP(PROYECTOS[[#This Row],[MUNICIPIO]],'4.CAP_ENDMNT'!B:B,'4.CAP_ENDMNT'!Y:Y,0,0,1)</f>
        <v>-72218731181.443726</v>
      </c>
      <c r="AK291"/>
      <c r="AL291"/>
      <c r="AM291"/>
    </row>
    <row r="292" spans="1:39">
      <c r="A292" s="44">
        <v>310</v>
      </c>
      <c r="B292" s="37" t="s">
        <v>609</v>
      </c>
      <c r="C292" s="118">
        <v>45747</v>
      </c>
      <c r="D292" s="46" t="s">
        <v>103</v>
      </c>
      <c r="E292" s="47" t="str">
        <f>+_xlfn.XLOOKUP(PROYECTOS[[#This Row],[MUNICIPIO]],MUNICIPIOS!A:A,MUNICIPIOS!E:E,0,0,1)</f>
        <v>Oriente</v>
      </c>
      <c r="F292" s="44">
        <f>+_xlfn.XLOOKUP(PROYECTOS[[#This Row],[MUNICIPIO]],MUNICIPIOS!A:A,MUNICIPIOS!F:F,0,0,1)</f>
        <v>-75.257587000000001</v>
      </c>
      <c r="G292" s="44" t="str">
        <f>+_xlfn.XLOOKUP(PROYECTOS[[#This Row],[MUNICIPIO]],MUNICIPIOS!A:A,MUNICIPIOS!G:G,0,0,1)</f>
        <v>6,394348</v>
      </c>
      <c r="H292" s="44">
        <f>+_xlfn.XLOOKUP(PROYECTOS[[#This Row],[MUNICIPIO]],MUNICIPIOS!A:A,MUNICIPIOS!B:B,0,0,1)</f>
        <v>0</v>
      </c>
      <c r="I292" s="44">
        <f>+_xlfn.XLOOKUP(PROYECTOS[[#This Row],[MUNICIPIO]],MUNICIPIOS!A:A,MUNICIPIOS!C:C,0,0,1)</f>
        <v>1</v>
      </c>
      <c r="J292" s="3" t="str" cm="1">
        <f t="array" ref="J292">_xlfn.TEXTJOIN(" ", TRUE, IF(radicados[ID PROYECTOS]=A292, radicados[RADICADO], ""))</f>
        <v/>
      </c>
      <c r="K292" s="45">
        <v>1</v>
      </c>
      <c r="L292" s="48"/>
      <c r="M292" s="34" t="s">
        <v>407</v>
      </c>
      <c r="N292" s="40" t="s">
        <v>397</v>
      </c>
      <c r="O292" s="40" t="s">
        <v>56</v>
      </c>
      <c r="P292" s="37" t="s">
        <v>541</v>
      </c>
      <c r="Q292" s="45"/>
      <c r="R292" s="43"/>
      <c r="S292" s="43"/>
      <c r="T292" s="44">
        <f>+_xlfn.XLOOKUP(PROYECTOS[[#This Row],[MUNICIPIO]],'4.CAP_ENDMNT'!B:B,'4.CAP_ENDMNT'!C:C,0,0,1)</f>
        <v>6</v>
      </c>
      <c r="U292" s="139">
        <f>+_xlfn.XLOOKUP(PROYECTOS[[#This Row],[MUNICIPIO]],'4.CAP_ENDMNT'!B:B,'4.CAP_ENDMNT'!D:D,0,0,1)</f>
        <v>8725724060.9459991</v>
      </c>
      <c r="V292" s="140">
        <f>+_xlfn.XLOOKUP(PROYECTOS[[#This Row],[MUNICIPIO]],'4.CAP_ENDMNT'!B:B,'4.CAP_ENDMNT'!E:E,0,0,1)</f>
        <v>1935290211.05</v>
      </c>
      <c r="W292" s="140">
        <f>+_xlfn.XLOOKUP(PROYECTOS[[#This Row],[MUNICIPIO]],'4.CAP_ENDMNT'!B:B,'4.CAP_ENDMNT'!F:F,0,0,1)</f>
        <v>6790433849.895999</v>
      </c>
      <c r="X292" s="140">
        <f>+_xlfn.XLOOKUP(PROYECTOS[[#This Row],[MUNICIPIO]],'4.CAP_ENDMNT'!B:B,'4.CAP_ENDMNT'!G:G,0,0,1)</f>
        <v>661232494</v>
      </c>
      <c r="Y292" s="140">
        <f>+_xlfn.XLOOKUP(PROYECTOS[[#This Row],[MUNICIPIO]],'4.CAP_ENDMNT'!B:B,'4.CAP_ENDMNT'!H:H,0,0,1)</f>
        <v>0</v>
      </c>
      <c r="Z292" s="140">
        <f>+_xlfn.XLOOKUP(PROYECTOS[[#This Row],[MUNICIPIO]],'4.CAP_ENDMNT'!B:B,'4.CAP_ENDMNT'!I:I,0,0,1)</f>
        <v>661232494</v>
      </c>
      <c r="AA292" s="134">
        <f>+_xlfn.XLOOKUP(PROYECTOS[[#This Row],[MUNICIPIO]],'4.CAP_ENDMNT'!B:B,'4.CAP_ENDMNT'!J:J,0,0,1)</f>
        <v>7.5779670475657063E-2</v>
      </c>
      <c r="AB292" s="140">
        <f>+_xlfn.XLOOKUP(PROYECTOS[[#This Row],[MUNICIPIO]],'4.CAP_ENDMNT'!B:B,'4.CAP_ENDMNT'!K:K,0,0,1)</f>
        <v>8064491566.9459991</v>
      </c>
      <c r="AC292" s="140">
        <f>+_xlfn.XLOOKUP(PROYECTOS[[#This Row],[MUNICIPIO]],'4.CAP_ENDMNT'!B:B,'4.CAP_ENDMNT'!L:L,0,0,1)</f>
        <v>6451593253.5567999</v>
      </c>
      <c r="AD292" s="140">
        <f>+_xlfn.XLOOKUP(PROYECTOS[[#This Row],[MUNICIPIO]],'4.CAP_ENDMNT'!B:B,'4.CAP_ENDMNT'!M:M,0,0,1)</f>
        <v>4838694940.1675997</v>
      </c>
      <c r="AE292" s="134">
        <f>+_xlfn.XLOOKUP(PROYECTOS[[#This Row],[MUNICIPIO]],'4.CAP_ENDMNT'!B:B,'4.CAP_ENDMNT'!N:N,0,0,1)</f>
        <v>1</v>
      </c>
      <c r="AF292" s="134">
        <f>+_xlfn.XLOOKUP(PROYECTOS[[#This Row],[MUNICIPIO]],'4.CAP_ENDMNT'!B:B,'4.CAP_ENDMNT'!O:O,0,0,1)</f>
        <v>0.53402239411083863</v>
      </c>
      <c r="AG292" s="134">
        <f>+_xlfn.XLOOKUP(PROYECTOS[[#This Row],[MUNICIPIO]],'4.CAP_ENDMNT'!B:B,'4.CAP_ENDMNT'!P:P,0,0,1)</f>
        <v>0.8</v>
      </c>
      <c r="AH292" s="44" t="str">
        <f>+_xlfn.XLOOKUP(PROYECTOS[[#This Row],[MUNICIPIO]],'4.CAP_ENDMNT'!B:B,'4.CAP_ENDMNT'!Q:Q,0,0,1)</f>
        <v>Cumple</v>
      </c>
      <c r="AI292" s="139">
        <f>+_xlfn.XLOOKUP(PROYECTOS[[#This Row],[MUNICIPIO]],'4.CAP_ENDMNT'!B:B,'4.CAP_ENDMNT'!V:V,0,0,1)</f>
        <v>967738988.03351998</v>
      </c>
      <c r="AJ292" s="139">
        <f>+_xlfn.XLOOKUP(PROYECTOS[[#This Row],[MUNICIPIO]],'4.CAP_ENDMNT'!B:B,'4.CAP_ENDMNT'!Y:Y,0,0,1)</f>
        <v>5806433928.2011194</v>
      </c>
      <c r="AK292"/>
      <c r="AL292"/>
      <c r="AM292"/>
    </row>
    <row r="293" spans="1:39">
      <c r="A293" s="44">
        <v>311</v>
      </c>
      <c r="B293" s="37" t="s">
        <v>610</v>
      </c>
      <c r="C293" s="118">
        <v>45747</v>
      </c>
      <c r="D293" s="46" t="s">
        <v>103</v>
      </c>
      <c r="E293" s="47" t="str">
        <f>+_xlfn.XLOOKUP(PROYECTOS[[#This Row],[MUNICIPIO]],MUNICIPIOS!A:A,MUNICIPIOS!E:E,0,0,1)</f>
        <v>Oriente</v>
      </c>
      <c r="F293" s="44">
        <f>+_xlfn.XLOOKUP(PROYECTOS[[#This Row],[MUNICIPIO]],MUNICIPIOS!A:A,MUNICIPIOS!F:F,0,0,1)</f>
        <v>-75.257587000000001</v>
      </c>
      <c r="G293" s="44" t="str">
        <f>+_xlfn.XLOOKUP(PROYECTOS[[#This Row],[MUNICIPIO]],MUNICIPIOS!A:A,MUNICIPIOS!G:G,0,0,1)</f>
        <v>6,394348</v>
      </c>
      <c r="H293" s="44">
        <f>+_xlfn.XLOOKUP(PROYECTOS[[#This Row],[MUNICIPIO]],MUNICIPIOS!A:A,MUNICIPIOS!B:B,0,0,1)</f>
        <v>0</v>
      </c>
      <c r="I293" s="44">
        <f>+_xlfn.XLOOKUP(PROYECTOS[[#This Row],[MUNICIPIO]],MUNICIPIOS!A:A,MUNICIPIOS!C:C,0,0,1)</f>
        <v>1</v>
      </c>
      <c r="J293" s="3" t="str" cm="1">
        <f t="array" ref="J293">_xlfn.TEXTJOIN(" ", TRUE, IF(radicados[ID PROYECTOS]=A293, radicados[RADICADO], ""))</f>
        <v/>
      </c>
      <c r="K293" s="45">
        <v>1</v>
      </c>
      <c r="L293" s="48"/>
      <c r="M293" s="34" t="s">
        <v>407</v>
      </c>
      <c r="N293" s="40" t="s">
        <v>397</v>
      </c>
      <c r="O293" s="40" t="s">
        <v>56</v>
      </c>
      <c r="P293" s="37" t="s">
        <v>541</v>
      </c>
      <c r="Q293" s="45"/>
      <c r="R293" s="43"/>
      <c r="S293" s="43"/>
      <c r="T293" s="44">
        <f>+_xlfn.XLOOKUP(PROYECTOS[[#This Row],[MUNICIPIO]],'4.CAP_ENDMNT'!B:B,'4.CAP_ENDMNT'!C:C,0,0,1)</f>
        <v>6</v>
      </c>
      <c r="U293" s="139">
        <f>+_xlfn.XLOOKUP(PROYECTOS[[#This Row],[MUNICIPIO]],'4.CAP_ENDMNT'!B:B,'4.CAP_ENDMNT'!D:D,0,0,1)</f>
        <v>8725724060.9459991</v>
      </c>
      <c r="V293" s="140">
        <f>+_xlfn.XLOOKUP(PROYECTOS[[#This Row],[MUNICIPIO]],'4.CAP_ENDMNT'!B:B,'4.CAP_ENDMNT'!E:E,0,0,1)</f>
        <v>1935290211.05</v>
      </c>
      <c r="W293" s="140">
        <f>+_xlfn.XLOOKUP(PROYECTOS[[#This Row],[MUNICIPIO]],'4.CAP_ENDMNT'!B:B,'4.CAP_ENDMNT'!F:F,0,0,1)</f>
        <v>6790433849.895999</v>
      </c>
      <c r="X293" s="140">
        <f>+_xlfn.XLOOKUP(PROYECTOS[[#This Row],[MUNICIPIO]],'4.CAP_ENDMNT'!B:B,'4.CAP_ENDMNT'!G:G,0,0,1)</f>
        <v>661232494</v>
      </c>
      <c r="Y293" s="140">
        <f>+_xlfn.XLOOKUP(PROYECTOS[[#This Row],[MUNICIPIO]],'4.CAP_ENDMNT'!B:B,'4.CAP_ENDMNT'!H:H,0,0,1)</f>
        <v>0</v>
      </c>
      <c r="Z293" s="140">
        <f>+_xlfn.XLOOKUP(PROYECTOS[[#This Row],[MUNICIPIO]],'4.CAP_ENDMNT'!B:B,'4.CAP_ENDMNT'!I:I,0,0,1)</f>
        <v>661232494</v>
      </c>
      <c r="AA293" s="134">
        <f>+_xlfn.XLOOKUP(PROYECTOS[[#This Row],[MUNICIPIO]],'4.CAP_ENDMNT'!B:B,'4.CAP_ENDMNT'!J:J,0,0,1)</f>
        <v>7.5779670475657063E-2</v>
      </c>
      <c r="AB293" s="140">
        <f>+_xlfn.XLOOKUP(PROYECTOS[[#This Row],[MUNICIPIO]],'4.CAP_ENDMNT'!B:B,'4.CAP_ENDMNT'!K:K,0,0,1)</f>
        <v>8064491566.9459991</v>
      </c>
      <c r="AC293" s="140">
        <f>+_xlfn.XLOOKUP(PROYECTOS[[#This Row],[MUNICIPIO]],'4.CAP_ENDMNT'!B:B,'4.CAP_ENDMNT'!L:L,0,0,1)</f>
        <v>6451593253.5567999</v>
      </c>
      <c r="AD293" s="140">
        <f>+_xlfn.XLOOKUP(PROYECTOS[[#This Row],[MUNICIPIO]],'4.CAP_ENDMNT'!B:B,'4.CAP_ENDMNT'!M:M,0,0,1)</f>
        <v>4838694940.1675997</v>
      </c>
      <c r="AE293" s="134">
        <f>+_xlfn.XLOOKUP(PROYECTOS[[#This Row],[MUNICIPIO]],'4.CAP_ENDMNT'!B:B,'4.CAP_ENDMNT'!N:N,0,0,1)</f>
        <v>1</v>
      </c>
      <c r="AF293" s="134">
        <f>+_xlfn.XLOOKUP(PROYECTOS[[#This Row],[MUNICIPIO]],'4.CAP_ENDMNT'!B:B,'4.CAP_ENDMNT'!O:O,0,0,1)</f>
        <v>0.53402239411083863</v>
      </c>
      <c r="AG293" s="134">
        <f>+_xlfn.XLOOKUP(PROYECTOS[[#This Row],[MUNICIPIO]],'4.CAP_ENDMNT'!B:B,'4.CAP_ENDMNT'!P:P,0,0,1)</f>
        <v>0.8</v>
      </c>
      <c r="AH293" s="44" t="str">
        <f>+_xlfn.XLOOKUP(PROYECTOS[[#This Row],[MUNICIPIO]],'4.CAP_ENDMNT'!B:B,'4.CAP_ENDMNT'!Q:Q,0,0,1)</f>
        <v>Cumple</v>
      </c>
      <c r="AI293" s="139">
        <f>+_xlfn.XLOOKUP(PROYECTOS[[#This Row],[MUNICIPIO]],'4.CAP_ENDMNT'!B:B,'4.CAP_ENDMNT'!V:V,0,0,1)</f>
        <v>967738988.03351998</v>
      </c>
      <c r="AJ293" s="139">
        <f>+_xlfn.XLOOKUP(PROYECTOS[[#This Row],[MUNICIPIO]],'4.CAP_ENDMNT'!B:B,'4.CAP_ENDMNT'!Y:Y,0,0,1)</f>
        <v>5806433928.2011194</v>
      </c>
      <c r="AK293"/>
      <c r="AL293"/>
      <c r="AM293"/>
    </row>
    <row r="294" spans="1:39">
      <c r="A294" s="44">
        <v>312</v>
      </c>
      <c r="B294" s="37" t="s">
        <v>611</v>
      </c>
      <c r="C294" s="118">
        <v>45747</v>
      </c>
      <c r="D294" s="46" t="s">
        <v>103</v>
      </c>
      <c r="E294" s="47" t="str">
        <f>+_xlfn.XLOOKUP(PROYECTOS[[#This Row],[MUNICIPIO]],MUNICIPIOS!A:A,MUNICIPIOS!E:E,0,0,1)</f>
        <v>Oriente</v>
      </c>
      <c r="F294" s="44">
        <f>+_xlfn.XLOOKUP(PROYECTOS[[#This Row],[MUNICIPIO]],MUNICIPIOS!A:A,MUNICIPIOS!F:F,0,0,1)</f>
        <v>-75.257587000000001</v>
      </c>
      <c r="G294" s="44" t="str">
        <f>+_xlfn.XLOOKUP(PROYECTOS[[#This Row],[MUNICIPIO]],MUNICIPIOS!A:A,MUNICIPIOS!G:G,0,0,1)</f>
        <v>6,394348</v>
      </c>
      <c r="H294" s="44">
        <f>+_xlfn.XLOOKUP(PROYECTOS[[#This Row],[MUNICIPIO]],MUNICIPIOS!A:A,MUNICIPIOS!B:B,0,0,1)</f>
        <v>0</v>
      </c>
      <c r="I294" s="44">
        <f>+_xlfn.XLOOKUP(PROYECTOS[[#This Row],[MUNICIPIO]],MUNICIPIOS!A:A,MUNICIPIOS!C:C,0,0,1)</f>
        <v>1</v>
      </c>
      <c r="J294" s="3" t="str" cm="1">
        <f t="array" ref="J294">_xlfn.TEXTJOIN(" ", TRUE, IF(radicados[ID PROYECTOS]=A294, radicados[RADICADO], ""))</f>
        <v/>
      </c>
      <c r="K294" s="45">
        <v>1</v>
      </c>
      <c r="L294" s="48"/>
      <c r="M294" s="34" t="s">
        <v>407</v>
      </c>
      <c r="N294" s="40" t="s">
        <v>397</v>
      </c>
      <c r="O294" s="40" t="s">
        <v>56</v>
      </c>
      <c r="P294" s="37" t="s">
        <v>541</v>
      </c>
      <c r="Q294" s="45"/>
      <c r="R294" s="43"/>
      <c r="S294" s="43"/>
      <c r="T294" s="44">
        <f>+_xlfn.XLOOKUP(PROYECTOS[[#This Row],[MUNICIPIO]],'4.CAP_ENDMNT'!B:B,'4.CAP_ENDMNT'!C:C,0,0,1)</f>
        <v>6</v>
      </c>
      <c r="U294" s="139">
        <f>+_xlfn.XLOOKUP(PROYECTOS[[#This Row],[MUNICIPIO]],'4.CAP_ENDMNT'!B:B,'4.CAP_ENDMNT'!D:D,0,0,1)</f>
        <v>8725724060.9459991</v>
      </c>
      <c r="V294" s="140">
        <f>+_xlfn.XLOOKUP(PROYECTOS[[#This Row],[MUNICIPIO]],'4.CAP_ENDMNT'!B:B,'4.CAP_ENDMNT'!E:E,0,0,1)</f>
        <v>1935290211.05</v>
      </c>
      <c r="W294" s="140">
        <f>+_xlfn.XLOOKUP(PROYECTOS[[#This Row],[MUNICIPIO]],'4.CAP_ENDMNT'!B:B,'4.CAP_ENDMNT'!F:F,0,0,1)</f>
        <v>6790433849.895999</v>
      </c>
      <c r="X294" s="140">
        <f>+_xlfn.XLOOKUP(PROYECTOS[[#This Row],[MUNICIPIO]],'4.CAP_ENDMNT'!B:B,'4.CAP_ENDMNT'!G:G,0,0,1)</f>
        <v>661232494</v>
      </c>
      <c r="Y294" s="140">
        <f>+_xlfn.XLOOKUP(PROYECTOS[[#This Row],[MUNICIPIO]],'4.CAP_ENDMNT'!B:B,'4.CAP_ENDMNT'!H:H,0,0,1)</f>
        <v>0</v>
      </c>
      <c r="Z294" s="140">
        <f>+_xlfn.XLOOKUP(PROYECTOS[[#This Row],[MUNICIPIO]],'4.CAP_ENDMNT'!B:B,'4.CAP_ENDMNT'!I:I,0,0,1)</f>
        <v>661232494</v>
      </c>
      <c r="AA294" s="134">
        <f>+_xlfn.XLOOKUP(PROYECTOS[[#This Row],[MUNICIPIO]],'4.CAP_ENDMNT'!B:B,'4.CAP_ENDMNT'!J:J,0,0,1)</f>
        <v>7.5779670475657063E-2</v>
      </c>
      <c r="AB294" s="140">
        <f>+_xlfn.XLOOKUP(PROYECTOS[[#This Row],[MUNICIPIO]],'4.CAP_ENDMNT'!B:B,'4.CAP_ENDMNT'!K:K,0,0,1)</f>
        <v>8064491566.9459991</v>
      </c>
      <c r="AC294" s="140">
        <f>+_xlfn.XLOOKUP(PROYECTOS[[#This Row],[MUNICIPIO]],'4.CAP_ENDMNT'!B:B,'4.CAP_ENDMNT'!L:L,0,0,1)</f>
        <v>6451593253.5567999</v>
      </c>
      <c r="AD294" s="140">
        <f>+_xlfn.XLOOKUP(PROYECTOS[[#This Row],[MUNICIPIO]],'4.CAP_ENDMNT'!B:B,'4.CAP_ENDMNT'!M:M,0,0,1)</f>
        <v>4838694940.1675997</v>
      </c>
      <c r="AE294" s="134">
        <f>+_xlfn.XLOOKUP(PROYECTOS[[#This Row],[MUNICIPIO]],'4.CAP_ENDMNT'!B:B,'4.CAP_ENDMNT'!N:N,0,0,1)</f>
        <v>1</v>
      </c>
      <c r="AF294" s="134">
        <f>+_xlfn.XLOOKUP(PROYECTOS[[#This Row],[MUNICIPIO]],'4.CAP_ENDMNT'!B:B,'4.CAP_ENDMNT'!O:O,0,0,1)</f>
        <v>0.53402239411083863</v>
      </c>
      <c r="AG294" s="134">
        <f>+_xlfn.XLOOKUP(PROYECTOS[[#This Row],[MUNICIPIO]],'4.CAP_ENDMNT'!B:B,'4.CAP_ENDMNT'!P:P,0,0,1)</f>
        <v>0.8</v>
      </c>
      <c r="AH294" s="44" t="str">
        <f>+_xlfn.XLOOKUP(PROYECTOS[[#This Row],[MUNICIPIO]],'4.CAP_ENDMNT'!B:B,'4.CAP_ENDMNT'!Q:Q,0,0,1)</f>
        <v>Cumple</v>
      </c>
      <c r="AI294" s="139">
        <f>+_xlfn.XLOOKUP(PROYECTOS[[#This Row],[MUNICIPIO]],'4.CAP_ENDMNT'!B:B,'4.CAP_ENDMNT'!V:V,0,0,1)</f>
        <v>967738988.03351998</v>
      </c>
      <c r="AJ294" s="139">
        <f>+_xlfn.XLOOKUP(PROYECTOS[[#This Row],[MUNICIPIO]],'4.CAP_ENDMNT'!B:B,'4.CAP_ENDMNT'!Y:Y,0,0,1)</f>
        <v>5806433928.2011194</v>
      </c>
      <c r="AK294"/>
      <c r="AL294"/>
      <c r="AM294"/>
    </row>
    <row r="295" spans="1:39">
      <c r="A295" s="44">
        <v>313</v>
      </c>
      <c r="B295" s="37" t="s">
        <v>612</v>
      </c>
      <c r="C295" s="118">
        <v>45747</v>
      </c>
      <c r="D295" s="46" t="s">
        <v>327</v>
      </c>
      <c r="E295" s="47" t="str">
        <f>+_xlfn.XLOOKUP(PROYECTOS[[#This Row],[MUNICIPIO]],MUNICIPIOS!A:A,MUNICIPIOS!E:E,0,0,1)</f>
        <v>Nordeste</v>
      </c>
      <c r="F295" s="44">
        <f>+_xlfn.XLOOKUP(PROYECTOS[[#This Row],[MUNICIPIO]],MUNICIPIOS!A:A,MUNICIPIOS!F:F,0,0,1)</f>
        <v>-75.019109</v>
      </c>
      <c r="G295" s="44" t="str">
        <f>+_xlfn.XLOOKUP(PROYECTOS[[#This Row],[MUNICIPIO]],MUNICIPIOS!A:A,MUNICIPIOS!G:G,0,0,1)</f>
        <v>6,485939</v>
      </c>
      <c r="H295" s="44">
        <f>+_xlfn.XLOOKUP(PROYECTOS[[#This Row],[MUNICIPIO]],MUNICIPIOS!A:A,MUNICIPIOS!B:B,0,0,1)</f>
        <v>0</v>
      </c>
      <c r="I295" s="44">
        <f>+_xlfn.XLOOKUP(PROYECTOS[[#This Row],[MUNICIPIO]],MUNICIPIOS!A:A,MUNICIPIOS!C:C,0,0,1)</f>
        <v>0</v>
      </c>
      <c r="J295" s="3" t="str" cm="1">
        <f t="array" ref="J295">_xlfn.TEXTJOIN(" ", TRUE, IF(radicados[ID PROYECTOS]=A295, radicados[RADICADO], ""))</f>
        <v/>
      </c>
      <c r="K295" s="45">
        <v>1</v>
      </c>
      <c r="L295" s="48"/>
      <c r="M295" s="34" t="s">
        <v>407</v>
      </c>
      <c r="N295" s="40" t="s">
        <v>397</v>
      </c>
      <c r="O295" s="40" t="s">
        <v>56</v>
      </c>
      <c r="P295" s="37" t="s">
        <v>541</v>
      </c>
      <c r="Q295" s="45"/>
      <c r="R295" s="43"/>
      <c r="S295" s="43"/>
      <c r="T295" s="44">
        <f>+_xlfn.XLOOKUP(PROYECTOS[[#This Row],[MUNICIPIO]],'4.CAP_ENDMNT'!B:B,'4.CAP_ENDMNT'!C:C,0,0,1)</f>
        <v>6</v>
      </c>
      <c r="U295" s="139">
        <f>+_xlfn.XLOOKUP(PROYECTOS[[#This Row],[MUNICIPIO]],'4.CAP_ENDMNT'!B:B,'4.CAP_ENDMNT'!D:D,0,0,1)</f>
        <v>13645854382.4415</v>
      </c>
      <c r="V295" s="140">
        <f>+_xlfn.XLOOKUP(PROYECTOS[[#This Row],[MUNICIPIO]],'4.CAP_ENDMNT'!B:B,'4.CAP_ENDMNT'!E:E,0,0,1)</f>
        <v>5036095672.2200003</v>
      </c>
      <c r="W295" s="140">
        <f>+_xlfn.XLOOKUP(PROYECTOS[[#This Row],[MUNICIPIO]],'4.CAP_ENDMNT'!B:B,'4.CAP_ENDMNT'!F:F,0,0,1)</f>
        <v>8609758710.2215004</v>
      </c>
      <c r="X295" s="140">
        <f>+_xlfn.XLOOKUP(PROYECTOS[[#This Row],[MUNICIPIO]],'4.CAP_ENDMNT'!B:B,'4.CAP_ENDMNT'!G:G,0,0,1)</f>
        <v>2357809963</v>
      </c>
      <c r="Y295" s="140">
        <f>+_xlfn.XLOOKUP(PROYECTOS[[#This Row],[MUNICIPIO]],'4.CAP_ENDMNT'!B:B,'4.CAP_ENDMNT'!H:H,0,0,1)</f>
        <v>1093248488</v>
      </c>
      <c r="Z295" s="140">
        <f>+_xlfn.XLOOKUP(PROYECTOS[[#This Row],[MUNICIPIO]],'4.CAP_ENDMNT'!B:B,'4.CAP_ENDMNT'!I:I,0,0,1)</f>
        <v>3451058451</v>
      </c>
      <c r="AA295" s="134">
        <f>+_xlfn.XLOOKUP(PROYECTOS[[#This Row],[MUNICIPIO]],'4.CAP_ENDMNT'!B:B,'4.CAP_ENDMNT'!J:J,0,0,1)</f>
        <v>0.25290160324739891</v>
      </c>
      <c r="AB295" s="140">
        <f>+_xlfn.XLOOKUP(PROYECTOS[[#This Row],[MUNICIPIO]],'4.CAP_ENDMNT'!B:B,'4.CAP_ENDMNT'!K:K,0,0,1)</f>
        <v>10194795931.4415</v>
      </c>
      <c r="AC295" s="140">
        <f>+_xlfn.XLOOKUP(PROYECTOS[[#This Row],[MUNICIPIO]],'4.CAP_ENDMNT'!B:B,'4.CAP_ENDMNT'!L:L,0,0,1)</f>
        <v>8155836745.1532001</v>
      </c>
      <c r="AD295" s="140">
        <f>+_xlfn.XLOOKUP(PROYECTOS[[#This Row],[MUNICIPIO]],'4.CAP_ENDMNT'!B:B,'4.CAP_ENDMNT'!M:M,0,0,1)</f>
        <v>6116877558.8648996</v>
      </c>
      <c r="AE295" s="134">
        <f>+_xlfn.XLOOKUP(PROYECTOS[[#This Row],[MUNICIPIO]],'4.CAP_ENDMNT'!B:B,'4.CAP_ENDMNT'!N:N,0,0,1)</f>
        <v>0.68321356954032075</v>
      </c>
      <c r="AF295" s="134">
        <f>+_xlfn.XLOOKUP(PROYECTOS[[#This Row],[MUNICIPIO]],'4.CAP_ENDMNT'!B:B,'4.CAP_ENDMNT'!O:O,0,0,1)</f>
        <v>0.58815143933117542</v>
      </c>
      <c r="AG295" s="134">
        <f>+_xlfn.XLOOKUP(PROYECTOS[[#This Row],[MUNICIPIO]],'4.CAP_ENDMNT'!B:B,'4.CAP_ENDMNT'!P:P,0,0,1)</f>
        <v>0.8</v>
      </c>
      <c r="AH295" s="44" t="str">
        <f>+_xlfn.XLOOKUP(PROYECTOS[[#This Row],[MUNICIPIO]],'4.CAP_ENDMNT'!B:B,'4.CAP_ENDMNT'!Q:Q,0,0,1)</f>
        <v>Cumple</v>
      </c>
      <c r="AI295" s="139">
        <f>+_xlfn.XLOOKUP(PROYECTOS[[#This Row],[MUNICIPIO]],'4.CAP_ENDMNT'!B:B,'4.CAP_ENDMNT'!V:V,0,0,1)</f>
        <v>1223375511.77298</v>
      </c>
      <c r="AJ295" s="139">
        <f>+_xlfn.XLOOKUP(PROYECTOS[[#This Row],[MUNICIPIO]],'4.CAP_ENDMNT'!B:B,'4.CAP_ENDMNT'!Y:Y,0,0,1)</f>
        <v>-3684666242.3621206</v>
      </c>
      <c r="AK295"/>
      <c r="AL295"/>
      <c r="AM295"/>
    </row>
    <row r="296" spans="1:39">
      <c r="A296" s="44">
        <v>314</v>
      </c>
      <c r="B296" s="37" t="s">
        <v>613</v>
      </c>
      <c r="C296" s="118">
        <v>45747</v>
      </c>
      <c r="D296" s="46" t="s">
        <v>70</v>
      </c>
      <c r="E296" s="47" t="str">
        <f>+_xlfn.XLOOKUP(PROYECTOS[[#This Row],[MUNICIPIO]],MUNICIPIOS!A:A,MUNICIPIOS!E:E,0,0,1)</f>
        <v>Oriente</v>
      </c>
      <c r="F296" s="44">
        <f>+_xlfn.XLOOKUP(PROYECTOS[[#This Row],[MUNICIPIO]],MUNICIPIOS!A:A,MUNICIPIOS!F:F,0,0,1)</f>
        <v>-75.141345999999999</v>
      </c>
      <c r="G296" s="44" t="str">
        <f>+_xlfn.XLOOKUP(PROYECTOS[[#This Row],[MUNICIPIO]],MUNICIPIOS!A:A,MUNICIPIOS!G:G,0,0,1)</f>
        <v>6,376061</v>
      </c>
      <c r="H296" s="44">
        <f>+_xlfn.XLOOKUP(PROYECTOS[[#This Row],[MUNICIPIO]],MUNICIPIOS!A:A,MUNICIPIOS!B:B,0,0,1)</f>
        <v>0</v>
      </c>
      <c r="I296" s="44">
        <f>+_xlfn.XLOOKUP(PROYECTOS[[#This Row],[MUNICIPIO]],MUNICIPIOS!A:A,MUNICIPIOS!C:C,0,0,1)</f>
        <v>1</v>
      </c>
      <c r="J296" s="3" t="str" cm="1">
        <f t="array" ref="J296">_xlfn.TEXTJOIN(" ", TRUE, IF(radicados[ID PROYECTOS]=A296, radicados[RADICADO], ""))</f>
        <v/>
      </c>
      <c r="K296" s="45">
        <v>1</v>
      </c>
      <c r="L296" s="48"/>
      <c r="M296" s="34" t="s">
        <v>407</v>
      </c>
      <c r="N296" s="40" t="s">
        <v>397</v>
      </c>
      <c r="O296" s="40" t="s">
        <v>56</v>
      </c>
      <c r="P296" s="37" t="s">
        <v>541</v>
      </c>
      <c r="Q296" s="45"/>
      <c r="R296" s="43"/>
      <c r="S296" s="43"/>
      <c r="T296" s="44">
        <f>+_xlfn.XLOOKUP(PROYECTOS[[#This Row],[MUNICIPIO]],'4.CAP_ENDMNT'!B:B,'4.CAP_ENDMNT'!C:C,0,0,1)</f>
        <v>6</v>
      </c>
      <c r="U296" s="139">
        <f>+_xlfn.XLOOKUP(PROYECTOS[[#This Row],[MUNICIPIO]],'4.CAP_ENDMNT'!B:B,'4.CAP_ENDMNT'!D:D,0,0,1)</f>
        <v>8362831920.7600002</v>
      </c>
      <c r="V296" s="140">
        <f>+_xlfn.XLOOKUP(PROYECTOS[[#This Row],[MUNICIPIO]],'4.CAP_ENDMNT'!B:B,'4.CAP_ENDMNT'!E:E,0,0,1)</f>
        <v>2199279418.0799999</v>
      </c>
      <c r="W296" s="140">
        <f>+_xlfn.XLOOKUP(PROYECTOS[[#This Row],[MUNICIPIO]],'4.CAP_ENDMNT'!B:B,'4.CAP_ENDMNT'!F:F,0,0,1)</f>
        <v>6163552502.6800003</v>
      </c>
      <c r="X296" s="140">
        <f>+_xlfn.XLOOKUP(PROYECTOS[[#This Row],[MUNICIPIO]],'4.CAP_ENDMNT'!B:B,'4.CAP_ENDMNT'!G:G,0,0,1)</f>
        <v>284104325</v>
      </c>
      <c r="Y296" s="140">
        <f>+_xlfn.XLOOKUP(PROYECTOS[[#This Row],[MUNICIPIO]],'4.CAP_ENDMNT'!B:B,'4.CAP_ENDMNT'!H:H,0,0,1)</f>
        <v>209000000</v>
      </c>
      <c r="Z296" s="140">
        <f>+_xlfn.XLOOKUP(PROYECTOS[[#This Row],[MUNICIPIO]],'4.CAP_ENDMNT'!B:B,'4.CAP_ENDMNT'!I:I,0,0,1)</f>
        <v>493104325</v>
      </c>
      <c r="AA296" s="134">
        <f>+_xlfn.XLOOKUP(PROYECTOS[[#This Row],[MUNICIPIO]],'4.CAP_ENDMNT'!B:B,'4.CAP_ENDMNT'!J:J,0,0,1)</f>
        <v>5.8963797152961017E-2</v>
      </c>
      <c r="AB296" s="140">
        <f>+_xlfn.XLOOKUP(PROYECTOS[[#This Row],[MUNICIPIO]],'4.CAP_ENDMNT'!B:B,'4.CAP_ENDMNT'!K:K,0,0,1)</f>
        <v>7869727595.7600002</v>
      </c>
      <c r="AC296" s="140">
        <f>+_xlfn.XLOOKUP(PROYECTOS[[#This Row],[MUNICIPIO]],'4.CAP_ENDMNT'!B:B,'4.CAP_ENDMNT'!L:L,0,0,1)</f>
        <v>6295782076.6080008</v>
      </c>
      <c r="AD296" s="140">
        <f>+_xlfn.XLOOKUP(PROYECTOS[[#This Row],[MUNICIPIO]],'4.CAP_ENDMNT'!B:B,'4.CAP_ENDMNT'!M:M,0,0,1)</f>
        <v>4721836557.4560003</v>
      </c>
      <c r="AE296" s="134">
        <f>+_xlfn.XLOOKUP(PROYECTOS[[#This Row],[MUNICIPIO]],'4.CAP_ENDMNT'!B:B,'4.CAP_ENDMNT'!N:N,0,0,1)</f>
        <v>0.57615459973911198</v>
      </c>
      <c r="AF296" s="134">
        <f>+_xlfn.XLOOKUP(PROYECTOS[[#This Row],[MUNICIPIO]],'4.CAP_ENDMNT'!B:B,'4.CAP_ENDMNT'!O:O,0,0,1)</f>
        <v>0.61308928502962989</v>
      </c>
      <c r="AG296" s="134">
        <f>+_xlfn.XLOOKUP(PROYECTOS[[#This Row],[MUNICIPIO]],'4.CAP_ENDMNT'!B:B,'4.CAP_ENDMNT'!P:P,0,0,1)</f>
        <v>0.8</v>
      </c>
      <c r="AH296" s="44" t="str">
        <f>+_xlfn.XLOOKUP(PROYECTOS[[#This Row],[MUNICIPIO]],'4.CAP_ENDMNT'!B:B,'4.CAP_ENDMNT'!Q:Q,0,0,1)</f>
        <v>Cumple</v>
      </c>
      <c r="AI296" s="139">
        <f>+_xlfn.XLOOKUP(PROYECTOS[[#This Row],[MUNICIPIO]],'4.CAP_ENDMNT'!B:B,'4.CAP_ENDMNT'!V:V,0,0,1)</f>
        <v>944367311.49120009</v>
      </c>
      <c r="AJ296" s="139">
        <f>+_xlfn.XLOOKUP(PROYECTOS[[#This Row],[MUNICIPIO]],'4.CAP_ENDMNT'!B:B,'4.CAP_ENDMNT'!Y:Y,0,0,1)</f>
        <v>-7856322705.0527992</v>
      </c>
      <c r="AK296"/>
      <c r="AL296"/>
      <c r="AM296"/>
    </row>
    <row r="297" spans="1:39">
      <c r="A297" s="44">
        <v>315</v>
      </c>
      <c r="B297" s="37" t="s">
        <v>614</v>
      </c>
      <c r="C297" s="118">
        <v>45747</v>
      </c>
      <c r="D297" s="46" t="s">
        <v>70</v>
      </c>
      <c r="E297" s="47" t="str">
        <f>+_xlfn.XLOOKUP(PROYECTOS[[#This Row],[MUNICIPIO]],MUNICIPIOS!A:A,MUNICIPIOS!E:E,0,0,1)</f>
        <v>Oriente</v>
      </c>
      <c r="F297" s="44">
        <f>+_xlfn.XLOOKUP(PROYECTOS[[#This Row],[MUNICIPIO]],MUNICIPIOS!A:A,MUNICIPIOS!F:F,0,0,1)</f>
        <v>-75.141345999999999</v>
      </c>
      <c r="G297" s="44" t="str">
        <f>+_xlfn.XLOOKUP(PROYECTOS[[#This Row],[MUNICIPIO]],MUNICIPIOS!A:A,MUNICIPIOS!G:G,0,0,1)</f>
        <v>6,376061</v>
      </c>
      <c r="H297" s="44">
        <f>+_xlfn.XLOOKUP(PROYECTOS[[#This Row],[MUNICIPIO]],MUNICIPIOS!A:A,MUNICIPIOS!B:B,0,0,1)</f>
        <v>0</v>
      </c>
      <c r="I297" s="44">
        <f>+_xlfn.XLOOKUP(PROYECTOS[[#This Row],[MUNICIPIO]],MUNICIPIOS!A:A,MUNICIPIOS!C:C,0,0,1)</f>
        <v>1</v>
      </c>
      <c r="J297" s="3" t="str" cm="1">
        <f t="array" ref="J297">_xlfn.TEXTJOIN(" ", TRUE, IF(radicados[ID PROYECTOS]=A297, radicados[RADICADO], ""))</f>
        <v/>
      </c>
      <c r="K297" s="45">
        <v>1</v>
      </c>
      <c r="L297" s="48"/>
      <c r="M297" s="34" t="s">
        <v>407</v>
      </c>
      <c r="N297" s="40" t="s">
        <v>397</v>
      </c>
      <c r="O297" s="40" t="s">
        <v>56</v>
      </c>
      <c r="P297" s="37" t="s">
        <v>541</v>
      </c>
      <c r="Q297" s="45"/>
      <c r="R297" s="43"/>
      <c r="S297" s="43"/>
      <c r="T297" s="44">
        <f>+_xlfn.XLOOKUP(PROYECTOS[[#This Row],[MUNICIPIO]],'4.CAP_ENDMNT'!B:B,'4.CAP_ENDMNT'!C:C,0,0,1)</f>
        <v>6</v>
      </c>
      <c r="U297" s="139">
        <f>+_xlfn.XLOOKUP(PROYECTOS[[#This Row],[MUNICIPIO]],'4.CAP_ENDMNT'!B:B,'4.CAP_ENDMNT'!D:D,0,0,1)</f>
        <v>8362831920.7600002</v>
      </c>
      <c r="V297" s="140">
        <f>+_xlfn.XLOOKUP(PROYECTOS[[#This Row],[MUNICIPIO]],'4.CAP_ENDMNT'!B:B,'4.CAP_ENDMNT'!E:E,0,0,1)</f>
        <v>2199279418.0799999</v>
      </c>
      <c r="W297" s="140">
        <f>+_xlfn.XLOOKUP(PROYECTOS[[#This Row],[MUNICIPIO]],'4.CAP_ENDMNT'!B:B,'4.CAP_ENDMNT'!F:F,0,0,1)</f>
        <v>6163552502.6800003</v>
      </c>
      <c r="X297" s="140">
        <f>+_xlfn.XLOOKUP(PROYECTOS[[#This Row],[MUNICIPIO]],'4.CAP_ENDMNT'!B:B,'4.CAP_ENDMNT'!G:G,0,0,1)</f>
        <v>284104325</v>
      </c>
      <c r="Y297" s="140">
        <f>+_xlfn.XLOOKUP(PROYECTOS[[#This Row],[MUNICIPIO]],'4.CAP_ENDMNT'!B:B,'4.CAP_ENDMNT'!H:H,0,0,1)</f>
        <v>209000000</v>
      </c>
      <c r="Z297" s="140">
        <f>+_xlfn.XLOOKUP(PROYECTOS[[#This Row],[MUNICIPIO]],'4.CAP_ENDMNT'!B:B,'4.CAP_ENDMNT'!I:I,0,0,1)</f>
        <v>493104325</v>
      </c>
      <c r="AA297" s="134">
        <f>+_xlfn.XLOOKUP(PROYECTOS[[#This Row],[MUNICIPIO]],'4.CAP_ENDMNT'!B:B,'4.CAP_ENDMNT'!J:J,0,0,1)</f>
        <v>5.8963797152961017E-2</v>
      </c>
      <c r="AB297" s="140">
        <f>+_xlfn.XLOOKUP(PROYECTOS[[#This Row],[MUNICIPIO]],'4.CAP_ENDMNT'!B:B,'4.CAP_ENDMNT'!K:K,0,0,1)</f>
        <v>7869727595.7600002</v>
      </c>
      <c r="AC297" s="140">
        <f>+_xlfn.XLOOKUP(PROYECTOS[[#This Row],[MUNICIPIO]],'4.CAP_ENDMNT'!B:B,'4.CAP_ENDMNT'!L:L,0,0,1)</f>
        <v>6295782076.6080008</v>
      </c>
      <c r="AD297" s="140">
        <f>+_xlfn.XLOOKUP(PROYECTOS[[#This Row],[MUNICIPIO]],'4.CAP_ENDMNT'!B:B,'4.CAP_ENDMNT'!M:M,0,0,1)</f>
        <v>4721836557.4560003</v>
      </c>
      <c r="AE297" s="134">
        <f>+_xlfn.XLOOKUP(PROYECTOS[[#This Row],[MUNICIPIO]],'4.CAP_ENDMNT'!B:B,'4.CAP_ENDMNT'!N:N,0,0,1)</f>
        <v>0.57615459973911198</v>
      </c>
      <c r="AF297" s="134">
        <f>+_xlfn.XLOOKUP(PROYECTOS[[#This Row],[MUNICIPIO]],'4.CAP_ENDMNT'!B:B,'4.CAP_ENDMNT'!O:O,0,0,1)</f>
        <v>0.61308928502962989</v>
      </c>
      <c r="AG297" s="134">
        <f>+_xlfn.XLOOKUP(PROYECTOS[[#This Row],[MUNICIPIO]],'4.CAP_ENDMNT'!B:B,'4.CAP_ENDMNT'!P:P,0,0,1)</f>
        <v>0.8</v>
      </c>
      <c r="AH297" s="44" t="str">
        <f>+_xlfn.XLOOKUP(PROYECTOS[[#This Row],[MUNICIPIO]],'4.CAP_ENDMNT'!B:B,'4.CAP_ENDMNT'!Q:Q,0,0,1)</f>
        <v>Cumple</v>
      </c>
      <c r="AI297" s="139">
        <f>+_xlfn.XLOOKUP(PROYECTOS[[#This Row],[MUNICIPIO]],'4.CAP_ENDMNT'!B:B,'4.CAP_ENDMNT'!V:V,0,0,1)</f>
        <v>944367311.49120009</v>
      </c>
      <c r="AJ297" s="139">
        <f>+_xlfn.XLOOKUP(PROYECTOS[[#This Row],[MUNICIPIO]],'4.CAP_ENDMNT'!B:B,'4.CAP_ENDMNT'!Y:Y,0,0,1)</f>
        <v>-7856322705.0527992</v>
      </c>
      <c r="AK297"/>
      <c r="AL297"/>
      <c r="AM297"/>
    </row>
    <row r="298" spans="1:39">
      <c r="A298" s="44">
        <v>316</v>
      </c>
      <c r="B298" s="37" t="s">
        <v>615</v>
      </c>
      <c r="C298" s="118">
        <v>45747</v>
      </c>
      <c r="D298" s="46" t="s">
        <v>616</v>
      </c>
      <c r="E298" s="47" t="str">
        <f>+_xlfn.XLOOKUP(PROYECTOS[[#This Row],[MUNICIPIO]],MUNICIPIOS!A:A,MUNICIPIOS!E:E,0,0,1)</f>
        <v>Oriente</v>
      </c>
      <c r="F298" s="44">
        <f>+_xlfn.XLOOKUP(PROYECTOS[[#This Row],[MUNICIPIO]],MUNICIPIOS!A:A,MUNICIPIOS!F:F,0,0,1)</f>
        <v>-75.176261999999994</v>
      </c>
      <c r="G298" s="44" t="str">
        <f>+_xlfn.XLOOKUP(PROYECTOS[[#This Row],[MUNICIPIO]],MUNICIPIOS!A:A,MUNICIPIOS!G:G,0,0,1)</f>
        <v>5,610777</v>
      </c>
      <c r="H298" s="44">
        <f>+_xlfn.XLOOKUP(PROYECTOS[[#This Row],[MUNICIPIO]],MUNICIPIOS!A:A,MUNICIPIOS!B:B,0,0,1)</f>
        <v>0</v>
      </c>
      <c r="I298" s="44">
        <f>+_xlfn.XLOOKUP(PROYECTOS[[#This Row],[MUNICIPIO]],MUNICIPIOS!A:A,MUNICIPIOS!C:C,0,0,1)</f>
        <v>1</v>
      </c>
      <c r="J298" s="3" t="str" cm="1">
        <f t="array" ref="J298">_xlfn.TEXTJOIN(" ", TRUE, IF(radicados[ID PROYECTOS]=A298, radicados[RADICADO], ""))</f>
        <v/>
      </c>
      <c r="K298" s="45">
        <v>1</v>
      </c>
      <c r="L298" s="48"/>
      <c r="M298" s="34" t="s">
        <v>407</v>
      </c>
      <c r="N298" s="40" t="s">
        <v>397</v>
      </c>
      <c r="O298" s="40" t="s">
        <v>56</v>
      </c>
      <c r="P298" s="37" t="s">
        <v>541</v>
      </c>
      <c r="Q298" s="45"/>
      <c r="R298" s="43"/>
      <c r="S298" s="43"/>
      <c r="T298" s="44">
        <f>+_xlfn.XLOOKUP(PROYECTOS[[#This Row],[MUNICIPIO]],'4.CAP_ENDMNT'!B:B,'4.CAP_ENDMNT'!C:C,0,0,1)</f>
        <v>6</v>
      </c>
      <c r="U298" s="139">
        <f>+_xlfn.XLOOKUP(PROYECTOS[[#This Row],[MUNICIPIO]],'4.CAP_ENDMNT'!B:B,'4.CAP_ENDMNT'!D:D,0,0,1)</f>
        <v>8540444993.8640003</v>
      </c>
      <c r="V298" s="140">
        <f>+_xlfn.XLOOKUP(PROYECTOS[[#This Row],[MUNICIPIO]],'4.CAP_ENDMNT'!B:B,'4.CAP_ENDMNT'!E:E,0,0,1)</f>
        <v>2695571158.3099999</v>
      </c>
      <c r="W298" s="140">
        <f>+_xlfn.XLOOKUP(PROYECTOS[[#This Row],[MUNICIPIO]],'4.CAP_ENDMNT'!B:B,'4.CAP_ENDMNT'!F:F,0,0,1)</f>
        <v>5844873835.5540009</v>
      </c>
      <c r="X298" s="140">
        <f>+_xlfn.XLOOKUP(PROYECTOS[[#This Row],[MUNICIPIO]],'4.CAP_ENDMNT'!B:B,'4.CAP_ENDMNT'!G:G,0,0,1)</f>
        <v>0</v>
      </c>
      <c r="Y298" s="140">
        <f>+_xlfn.XLOOKUP(PROYECTOS[[#This Row],[MUNICIPIO]],'4.CAP_ENDMNT'!B:B,'4.CAP_ENDMNT'!H:H,0,0,1)</f>
        <v>0</v>
      </c>
      <c r="Z298" s="140">
        <f>+_xlfn.XLOOKUP(PROYECTOS[[#This Row],[MUNICIPIO]],'4.CAP_ENDMNT'!B:B,'4.CAP_ENDMNT'!I:I,0,0,1)</f>
        <v>0</v>
      </c>
      <c r="AA298" s="134">
        <f>+_xlfn.XLOOKUP(PROYECTOS[[#This Row],[MUNICIPIO]],'4.CAP_ENDMNT'!B:B,'4.CAP_ENDMNT'!J:J,0,0,1)</f>
        <v>0</v>
      </c>
      <c r="AB298" s="140">
        <f>+_xlfn.XLOOKUP(PROYECTOS[[#This Row],[MUNICIPIO]],'4.CAP_ENDMNT'!B:B,'4.CAP_ENDMNT'!K:K,0,0,1)</f>
        <v>8540444993.8640003</v>
      </c>
      <c r="AC298" s="140">
        <f>+_xlfn.XLOOKUP(PROYECTOS[[#This Row],[MUNICIPIO]],'4.CAP_ENDMNT'!B:B,'4.CAP_ENDMNT'!L:L,0,0,1)</f>
        <v>6832355995.0912008</v>
      </c>
      <c r="AD298" s="140">
        <f>+_xlfn.XLOOKUP(PROYECTOS[[#This Row],[MUNICIPIO]],'4.CAP_ENDMNT'!B:B,'4.CAP_ENDMNT'!M:M,0,0,1)</f>
        <v>5124266996.3184004</v>
      </c>
      <c r="AE298" s="134">
        <f>+_xlfn.XLOOKUP(PROYECTOS[[#This Row],[MUNICIPIO]],'4.CAP_ENDMNT'!B:B,'4.CAP_ENDMNT'!N:N,0,0,1)</f>
        <v>0</v>
      </c>
      <c r="AF298" s="134">
        <f>+_xlfn.XLOOKUP(PROYECTOS[[#This Row],[MUNICIPIO]],'4.CAP_ENDMNT'!B:B,'4.CAP_ENDMNT'!O:O,0,0,1)</f>
        <v>0.54404764708917908</v>
      </c>
      <c r="AG298" s="134">
        <f>+_xlfn.XLOOKUP(PROYECTOS[[#This Row],[MUNICIPIO]],'4.CAP_ENDMNT'!B:B,'4.CAP_ENDMNT'!P:P,0,0,1)</f>
        <v>0.8</v>
      </c>
      <c r="AH298" s="44" t="str">
        <f>+_xlfn.XLOOKUP(PROYECTOS[[#This Row],[MUNICIPIO]],'4.CAP_ENDMNT'!B:B,'4.CAP_ENDMNT'!Q:Q,0,0,1)</f>
        <v>Cumple</v>
      </c>
      <c r="AI298" s="139">
        <f>+_xlfn.XLOOKUP(PROYECTOS[[#This Row],[MUNICIPIO]],'4.CAP_ENDMNT'!B:B,'4.CAP_ENDMNT'!V:V,0,0,1)</f>
        <v>1024853399.2636801</v>
      </c>
      <c r="AJ298" s="139">
        <f>+_xlfn.XLOOKUP(PROYECTOS[[#This Row],[MUNICIPIO]],'4.CAP_ENDMNT'!B:B,'4.CAP_ENDMNT'!Y:Y,0,0,1)</f>
        <v>4386642530.5820808</v>
      </c>
      <c r="AK298"/>
      <c r="AL298"/>
      <c r="AM298"/>
    </row>
    <row r="299" spans="1:39">
      <c r="A299" s="44">
        <v>317</v>
      </c>
      <c r="B299" s="37" t="s">
        <v>617</v>
      </c>
      <c r="C299" s="118">
        <v>45747</v>
      </c>
      <c r="D299" s="46" t="s">
        <v>113</v>
      </c>
      <c r="E299" s="47" t="str">
        <f>+_xlfn.XLOOKUP(PROYECTOS[[#This Row],[MUNICIPIO]],MUNICIPIOS!A:A,MUNICIPIOS!E:E,0,0,1)</f>
        <v>Oriente</v>
      </c>
      <c r="F299" s="44">
        <f>+_xlfn.XLOOKUP(PROYECTOS[[#This Row],[MUNICIPIO]],MUNICIPIOS!A:A,MUNICIPIOS!F:F,0,0,1)</f>
        <v>-75.101562000000001</v>
      </c>
      <c r="G299" s="44" t="str">
        <f>+_xlfn.XLOOKUP(PROYECTOS[[#This Row],[MUNICIPIO]],MUNICIPIOS!A:A,MUNICIPIOS!G:G,0,0,1)</f>
        <v>5,963476</v>
      </c>
      <c r="H299" s="44">
        <f>+_xlfn.XLOOKUP(PROYECTOS[[#This Row],[MUNICIPIO]],MUNICIPIOS!A:A,MUNICIPIOS!B:B,0,0,1)</f>
        <v>0</v>
      </c>
      <c r="I299" s="44">
        <f>+_xlfn.XLOOKUP(PROYECTOS[[#This Row],[MUNICIPIO]],MUNICIPIOS!A:A,MUNICIPIOS!C:C,0,0,1)</f>
        <v>1</v>
      </c>
      <c r="J299" s="3" t="str" cm="1">
        <f t="array" ref="J299">_xlfn.TEXTJOIN(" ", TRUE, IF(radicados[ID PROYECTOS]=A299, radicados[RADICADO], ""))</f>
        <v/>
      </c>
      <c r="K299" s="45">
        <v>1</v>
      </c>
      <c r="L299" s="48"/>
      <c r="M299" s="34" t="s">
        <v>407</v>
      </c>
      <c r="N299" s="40" t="s">
        <v>397</v>
      </c>
      <c r="O299" s="40" t="s">
        <v>56</v>
      </c>
      <c r="P299" s="37" t="s">
        <v>541</v>
      </c>
      <c r="Q299" s="45"/>
      <c r="R299" s="43"/>
      <c r="S299" s="43"/>
      <c r="T299" s="44">
        <f>+_xlfn.XLOOKUP(PROYECTOS[[#This Row],[MUNICIPIO]],'4.CAP_ENDMNT'!B:B,'4.CAP_ENDMNT'!C:C,0,0,1)</f>
        <v>6</v>
      </c>
      <c r="U299" s="139">
        <f>+_xlfn.XLOOKUP(PROYECTOS[[#This Row],[MUNICIPIO]],'4.CAP_ENDMNT'!B:B,'4.CAP_ENDMNT'!D:D,0,0,1)</f>
        <v>7763487077.335</v>
      </c>
      <c r="V299" s="140">
        <f>+_xlfn.XLOOKUP(PROYECTOS[[#This Row],[MUNICIPIO]],'4.CAP_ENDMNT'!B:B,'4.CAP_ENDMNT'!E:E,0,0,1)</f>
        <v>2329929022.3600001</v>
      </c>
      <c r="W299" s="140">
        <f>+_xlfn.XLOOKUP(PROYECTOS[[#This Row],[MUNICIPIO]],'4.CAP_ENDMNT'!B:B,'4.CAP_ENDMNT'!F:F,0,0,1)</f>
        <v>5433558054.9750004</v>
      </c>
      <c r="X299" s="140">
        <f>+_xlfn.XLOOKUP(PROYECTOS[[#This Row],[MUNICIPIO]],'4.CAP_ENDMNT'!B:B,'4.CAP_ENDMNT'!G:G,0,0,1)</f>
        <v>1217107364.4400001</v>
      </c>
      <c r="Y299" s="140">
        <f>+_xlfn.XLOOKUP(PROYECTOS[[#This Row],[MUNICIPIO]],'4.CAP_ENDMNT'!B:B,'4.CAP_ENDMNT'!H:H,0,0,1)</f>
        <v>0</v>
      </c>
      <c r="Z299" s="140">
        <f>+_xlfn.XLOOKUP(PROYECTOS[[#This Row],[MUNICIPIO]],'4.CAP_ENDMNT'!B:B,'4.CAP_ENDMNT'!I:I,0,0,1)</f>
        <v>1217107364.4400001</v>
      </c>
      <c r="AA299" s="134">
        <f>+_xlfn.XLOOKUP(PROYECTOS[[#This Row],[MUNICIPIO]],'4.CAP_ENDMNT'!B:B,'4.CAP_ENDMNT'!J:J,0,0,1)</f>
        <v>0.15677328400446064</v>
      </c>
      <c r="AB299" s="140">
        <f>+_xlfn.XLOOKUP(PROYECTOS[[#This Row],[MUNICIPIO]],'4.CAP_ENDMNT'!B:B,'4.CAP_ENDMNT'!K:K,0,0,1)</f>
        <v>6546379712.8950005</v>
      </c>
      <c r="AC299" s="140">
        <f>+_xlfn.XLOOKUP(PROYECTOS[[#This Row],[MUNICIPIO]],'4.CAP_ENDMNT'!B:B,'4.CAP_ENDMNT'!L:L,0,0,1)</f>
        <v>5237103770.3160009</v>
      </c>
      <c r="AD299" s="140">
        <f>+_xlfn.XLOOKUP(PROYECTOS[[#This Row],[MUNICIPIO]],'4.CAP_ENDMNT'!B:B,'4.CAP_ENDMNT'!M:M,0,0,1)</f>
        <v>3927827827.737</v>
      </c>
      <c r="AE299" s="134">
        <f>+_xlfn.XLOOKUP(PROYECTOS[[#This Row],[MUNICIPIO]],'4.CAP_ENDMNT'!B:B,'4.CAP_ENDMNT'!N:N,0,0,1)</f>
        <v>1</v>
      </c>
      <c r="AF299" s="134">
        <f>+_xlfn.XLOOKUP(PROYECTOS[[#This Row],[MUNICIPIO]],'4.CAP_ENDMNT'!B:B,'4.CAP_ENDMNT'!O:O,0,0,1)</f>
        <v>0.68141761997590633</v>
      </c>
      <c r="AG299" s="134">
        <f>+_xlfn.XLOOKUP(PROYECTOS[[#This Row],[MUNICIPIO]],'4.CAP_ENDMNT'!B:B,'4.CAP_ENDMNT'!P:P,0,0,1)</f>
        <v>0.8</v>
      </c>
      <c r="AH299" s="44" t="str">
        <f>+_xlfn.XLOOKUP(PROYECTOS[[#This Row],[MUNICIPIO]],'4.CAP_ENDMNT'!B:B,'4.CAP_ENDMNT'!Q:Q,0,0,1)</f>
        <v>Cumple</v>
      </c>
      <c r="AI299" s="139">
        <f>+_xlfn.XLOOKUP(PROYECTOS[[#This Row],[MUNICIPIO]],'4.CAP_ENDMNT'!B:B,'4.CAP_ENDMNT'!V:V,0,0,1)</f>
        <v>785565565.5474</v>
      </c>
      <c r="AJ299" s="139">
        <f>+_xlfn.XLOOKUP(PROYECTOS[[#This Row],[MUNICIPIO]],'4.CAP_ENDMNT'!B:B,'4.CAP_ENDMNT'!Y:Y,0,0,1)</f>
        <v>-10352204929.605598</v>
      </c>
      <c r="AK299"/>
      <c r="AL299"/>
      <c r="AM299"/>
    </row>
    <row r="300" spans="1:39">
      <c r="A300" s="44">
        <v>318</v>
      </c>
      <c r="B300" s="37" t="s">
        <v>618</v>
      </c>
      <c r="C300" s="118">
        <v>45747</v>
      </c>
      <c r="D300" s="46" t="s">
        <v>146</v>
      </c>
      <c r="E300" s="47" t="str">
        <f>+_xlfn.XLOOKUP(PROYECTOS[[#This Row],[MUNICIPIO]],MUNICIPIOS!A:A,MUNICIPIOS!E:E,0,0,1)</f>
        <v>Suroeste</v>
      </c>
      <c r="F300" s="44">
        <f>+_xlfn.XLOOKUP(PROYECTOS[[#This Row],[MUNICIPIO]],MUNICIPIOS!A:A,MUNICIPIOS!F:F,0,0,1)</f>
        <v>-75.791887000000003</v>
      </c>
      <c r="G300" s="44">
        <f>+_xlfn.XLOOKUP(PROYECTOS[[#This Row],[MUNICIPIO]],MUNICIPIOS!A:A,MUNICIPIOS!G:G,0,0,1)</f>
        <v>6.0623909999999999</v>
      </c>
      <c r="H300" s="44">
        <f>+_xlfn.XLOOKUP(PROYECTOS[[#This Row],[MUNICIPIO]],MUNICIPIOS!A:A,MUNICIPIOS!B:B,0,0,1)</f>
        <v>0</v>
      </c>
      <c r="I300" s="44">
        <f>+_xlfn.XLOOKUP(PROYECTOS[[#This Row],[MUNICIPIO]],MUNICIPIOS!A:A,MUNICIPIOS!C:C,0,0,1)</f>
        <v>0</v>
      </c>
      <c r="J300" s="3" t="str" cm="1">
        <f t="array" ref="J300">_xlfn.TEXTJOIN(" ", TRUE, IF(radicados[ID PROYECTOS]=A300, radicados[RADICADO], ""))</f>
        <v/>
      </c>
      <c r="K300" s="45">
        <v>1</v>
      </c>
      <c r="L300" s="48"/>
      <c r="M300" s="34" t="s">
        <v>407</v>
      </c>
      <c r="N300" s="40" t="s">
        <v>397</v>
      </c>
      <c r="O300" s="40" t="s">
        <v>56</v>
      </c>
      <c r="P300" s="37" t="s">
        <v>541</v>
      </c>
      <c r="Q300" s="45"/>
      <c r="R300" s="43"/>
      <c r="S300" s="43"/>
      <c r="T300" s="44">
        <f>+_xlfn.XLOOKUP(PROYECTOS[[#This Row],[MUNICIPIO]],'4.CAP_ENDMNT'!B:B,'4.CAP_ENDMNT'!C:C,0,0,1)</f>
        <v>6</v>
      </c>
      <c r="U300" s="139">
        <f>+_xlfn.XLOOKUP(PROYECTOS[[#This Row],[MUNICIPIO]],'4.CAP_ENDMNT'!B:B,'4.CAP_ENDMNT'!D:D,0,0,1)</f>
        <v>11592686445.107998</v>
      </c>
      <c r="V300" s="140">
        <f>+_xlfn.XLOOKUP(PROYECTOS[[#This Row],[MUNICIPIO]],'4.CAP_ENDMNT'!B:B,'4.CAP_ENDMNT'!E:E,0,0,1)</f>
        <v>5670743725.9899998</v>
      </c>
      <c r="W300" s="140">
        <f>+_xlfn.XLOOKUP(PROYECTOS[[#This Row],[MUNICIPIO]],'4.CAP_ENDMNT'!B:B,'4.CAP_ENDMNT'!F:F,0,0,1)</f>
        <v>5921942719.1179981</v>
      </c>
      <c r="X300" s="140">
        <f>+_xlfn.XLOOKUP(PROYECTOS[[#This Row],[MUNICIPIO]],'4.CAP_ENDMNT'!B:B,'4.CAP_ENDMNT'!G:G,0,0,1)</f>
        <v>1149558272.3800001</v>
      </c>
      <c r="Y300" s="140">
        <f>+_xlfn.XLOOKUP(PROYECTOS[[#This Row],[MUNICIPIO]],'4.CAP_ENDMNT'!B:B,'4.CAP_ENDMNT'!H:H,0,0,1)</f>
        <v>1133660976</v>
      </c>
      <c r="Z300" s="140">
        <f>+_xlfn.XLOOKUP(PROYECTOS[[#This Row],[MUNICIPIO]],'4.CAP_ENDMNT'!B:B,'4.CAP_ENDMNT'!I:I,0,0,1)</f>
        <v>2283219248.3800001</v>
      </c>
      <c r="AA300" s="134">
        <f>+_xlfn.XLOOKUP(PROYECTOS[[#This Row],[MUNICIPIO]],'4.CAP_ENDMNT'!B:B,'4.CAP_ENDMNT'!J:J,0,0,1)</f>
        <v>0.19695342052001213</v>
      </c>
      <c r="AB300" s="140">
        <f>+_xlfn.XLOOKUP(PROYECTOS[[#This Row],[MUNICIPIO]],'4.CAP_ENDMNT'!B:B,'4.CAP_ENDMNT'!K:K,0,0,1)</f>
        <v>9309467196.7279968</v>
      </c>
      <c r="AC300" s="140">
        <f>+_xlfn.XLOOKUP(PROYECTOS[[#This Row],[MUNICIPIO]],'4.CAP_ENDMNT'!B:B,'4.CAP_ENDMNT'!L:L,0,0,1)</f>
        <v>7447573757.3823977</v>
      </c>
      <c r="AD300" s="140">
        <f>+_xlfn.XLOOKUP(PROYECTOS[[#This Row],[MUNICIPIO]],'4.CAP_ENDMNT'!B:B,'4.CAP_ENDMNT'!M:M,0,0,1)</f>
        <v>5585680318.0367975</v>
      </c>
      <c r="AE300" s="134">
        <f>+_xlfn.XLOOKUP(PROYECTOS[[#This Row],[MUNICIPIO]],'4.CAP_ENDMNT'!B:B,'4.CAP_ENDMNT'!N:N,0,0,1)</f>
        <v>0.50348133373334159</v>
      </c>
      <c r="AF300" s="134">
        <f>+_xlfn.XLOOKUP(PROYECTOS[[#This Row],[MUNICIPIO]],'4.CAP_ENDMNT'!B:B,'4.CAP_ENDMNT'!O:O,0,0,1)</f>
        <v>0.69203788539600963</v>
      </c>
      <c r="AG300" s="134">
        <f>+_xlfn.XLOOKUP(PROYECTOS[[#This Row],[MUNICIPIO]],'4.CAP_ENDMNT'!B:B,'4.CAP_ENDMNT'!P:P,0,0,1)</f>
        <v>0.8</v>
      </c>
      <c r="AH300" s="44" t="str">
        <f>+_xlfn.XLOOKUP(PROYECTOS[[#This Row],[MUNICIPIO]],'4.CAP_ENDMNT'!B:B,'4.CAP_ENDMNT'!Q:Q,0,0,1)</f>
        <v>Cumple</v>
      </c>
      <c r="AI300" s="139">
        <f>+_xlfn.XLOOKUP(PROYECTOS[[#This Row],[MUNICIPIO]],'4.CAP_ENDMNT'!B:B,'4.CAP_ENDMNT'!V:V,0,0,1)</f>
        <v>1117136063.6073596</v>
      </c>
      <c r="AJ300" s="139">
        <f>+_xlfn.XLOOKUP(PROYECTOS[[#This Row],[MUNICIPIO]],'4.CAP_ENDMNT'!B:B,'4.CAP_ENDMNT'!Y:Y,0,0,1)</f>
        <v>-9756872913.3558426</v>
      </c>
      <c r="AK300"/>
      <c r="AL300"/>
      <c r="AM300"/>
    </row>
    <row r="301" spans="1:39">
      <c r="A301" s="44">
        <v>319</v>
      </c>
      <c r="B301" s="37" t="s">
        <v>619</v>
      </c>
      <c r="C301" s="118">
        <v>45747</v>
      </c>
      <c r="D301" s="46" t="s">
        <v>337</v>
      </c>
      <c r="E301" s="47" t="str">
        <f>+_xlfn.XLOOKUP(PROYECTOS[[#This Row],[MUNICIPIO]],MUNICIPIOS!A:A,MUNICIPIOS!E:E,0,0,1)</f>
        <v>Suroeste</v>
      </c>
      <c r="F301" s="44">
        <f>+_xlfn.XLOOKUP(PROYECTOS[[#This Row],[MUNICIPIO]],MUNICIPIOS!A:A,MUNICIPIOS!F:F,0,0,1)</f>
        <v>-75.984452000000005</v>
      </c>
      <c r="G301" s="44" t="str">
        <f>+_xlfn.XLOOKUP(PROYECTOS[[#This Row],[MUNICIPIO]],MUNICIPIOS!A:A,MUNICIPIOS!G:G,0,0,1)</f>
        <v>6,115208</v>
      </c>
      <c r="H301" s="44">
        <f>+_xlfn.XLOOKUP(PROYECTOS[[#This Row],[MUNICIPIO]],MUNICIPIOS!A:A,MUNICIPIOS!B:B,0,0,1)</f>
        <v>0</v>
      </c>
      <c r="I301" s="44">
        <f>+_xlfn.XLOOKUP(PROYECTOS[[#This Row],[MUNICIPIO]],MUNICIPIOS!A:A,MUNICIPIOS!C:C,0,0,1)</f>
        <v>0</v>
      </c>
      <c r="J301" s="3" t="str" cm="1">
        <f t="array" ref="J301">_xlfn.TEXTJOIN(" ", TRUE, IF(radicados[ID PROYECTOS]=A301, radicados[RADICADO], ""))</f>
        <v/>
      </c>
      <c r="K301" s="45">
        <v>1</v>
      </c>
      <c r="L301" s="48"/>
      <c r="M301" s="34" t="s">
        <v>407</v>
      </c>
      <c r="N301" s="40" t="s">
        <v>397</v>
      </c>
      <c r="O301" s="40" t="s">
        <v>56</v>
      </c>
      <c r="P301" s="37" t="s">
        <v>541</v>
      </c>
      <c r="Q301" s="45"/>
      <c r="R301" s="43"/>
      <c r="S301" s="43"/>
      <c r="T301" s="44">
        <f>+_xlfn.XLOOKUP(PROYECTOS[[#This Row],[MUNICIPIO]],'4.CAP_ENDMNT'!B:B,'4.CAP_ENDMNT'!C:C,0,0,1)</f>
        <v>6</v>
      </c>
      <c r="U301" s="139">
        <f>+_xlfn.XLOOKUP(PROYECTOS[[#This Row],[MUNICIPIO]],'4.CAP_ENDMNT'!B:B,'4.CAP_ENDMNT'!D:D,0,0,1)</f>
        <v>12058979368.9545</v>
      </c>
      <c r="V301" s="140">
        <f>+_xlfn.XLOOKUP(PROYECTOS[[#This Row],[MUNICIPIO]],'4.CAP_ENDMNT'!B:B,'4.CAP_ENDMNT'!E:E,0,0,1)</f>
        <v>3567680920.52</v>
      </c>
      <c r="W301" s="140">
        <f>+_xlfn.XLOOKUP(PROYECTOS[[#This Row],[MUNICIPIO]],'4.CAP_ENDMNT'!B:B,'4.CAP_ENDMNT'!F:F,0,0,1)</f>
        <v>8491298448.4344997</v>
      </c>
      <c r="X301" s="140">
        <f>+_xlfn.XLOOKUP(PROYECTOS[[#This Row],[MUNICIPIO]],'4.CAP_ENDMNT'!B:B,'4.CAP_ENDMNT'!G:G,0,0,1)</f>
        <v>914830553</v>
      </c>
      <c r="Y301" s="140">
        <f>+_xlfn.XLOOKUP(PROYECTOS[[#This Row],[MUNICIPIO]],'4.CAP_ENDMNT'!B:B,'4.CAP_ENDMNT'!H:H,0,0,1)</f>
        <v>0</v>
      </c>
      <c r="Z301" s="140">
        <f>+_xlfn.XLOOKUP(PROYECTOS[[#This Row],[MUNICIPIO]],'4.CAP_ENDMNT'!B:B,'4.CAP_ENDMNT'!I:I,0,0,1)</f>
        <v>914830553</v>
      </c>
      <c r="AA301" s="134">
        <f>+_xlfn.XLOOKUP(PROYECTOS[[#This Row],[MUNICIPIO]],'4.CAP_ENDMNT'!B:B,'4.CAP_ENDMNT'!J:J,0,0,1)</f>
        <v>7.586301667910679E-2</v>
      </c>
      <c r="AB301" s="140">
        <f>+_xlfn.XLOOKUP(PROYECTOS[[#This Row],[MUNICIPIO]],'4.CAP_ENDMNT'!B:B,'4.CAP_ENDMNT'!K:K,0,0,1)</f>
        <v>11144148815.9545</v>
      </c>
      <c r="AC301" s="140">
        <f>+_xlfn.XLOOKUP(PROYECTOS[[#This Row],[MUNICIPIO]],'4.CAP_ENDMNT'!B:B,'4.CAP_ENDMNT'!L:L,0,0,1)</f>
        <v>8915319052.7636013</v>
      </c>
      <c r="AD301" s="140">
        <f>+_xlfn.XLOOKUP(PROYECTOS[[#This Row],[MUNICIPIO]],'4.CAP_ENDMNT'!B:B,'4.CAP_ENDMNT'!M:M,0,0,1)</f>
        <v>6686489289.5726995</v>
      </c>
      <c r="AE301" s="134">
        <f>+_xlfn.XLOOKUP(PROYECTOS[[#This Row],[MUNICIPIO]],'4.CAP_ENDMNT'!B:B,'4.CAP_ENDMNT'!N:N,0,0,1)</f>
        <v>1</v>
      </c>
      <c r="AF301" s="134">
        <f>+_xlfn.XLOOKUP(PROYECTOS[[#This Row],[MUNICIPIO]],'4.CAP_ENDMNT'!B:B,'4.CAP_ENDMNT'!O:O,0,0,1)</f>
        <v>0.60206976758564179</v>
      </c>
      <c r="AG301" s="134">
        <f>+_xlfn.XLOOKUP(PROYECTOS[[#This Row],[MUNICIPIO]],'4.CAP_ENDMNT'!B:B,'4.CAP_ENDMNT'!P:P,0,0,1)</f>
        <v>0.8</v>
      </c>
      <c r="AH301" s="44" t="str">
        <f>+_xlfn.XLOOKUP(PROYECTOS[[#This Row],[MUNICIPIO]],'4.CAP_ENDMNT'!B:B,'4.CAP_ENDMNT'!Q:Q,0,0,1)</f>
        <v>Cumple</v>
      </c>
      <c r="AI301" s="139">
        <f>+_xlfn.XLOOKUP(PROYECTOS[[#This Row],[MUNICIPIO]],'4.CAP_ENDMNT'!B:B,'4.CAP_ENDMNT'!V:V,0,0,1)</f>
        <v>1337297857.9145401</v>
      </c>
      <c r="AJ301" s="139">
        <f>+_xlfn.XLOOKUP(PROYECTOS[[#This Row],[MUNICIPIO]],'4.CAP_ENDMNT'!B:B,'4.CAP_ENDMNT'!Y:Y,0,0,1)</f>
        <v>7897388974.4872398</v>
      </c>
      <c r="AK301"/>
      <c r="AL301"/>
      <c r="AM301"/>
    </row>
    <row r="302" spans="1:39">
      <c r="A302" s="44">
        <v>320</v>
      </c>
      <c r="B302" s="37" t="s">
        <v>620</v>
      </c>
      <c r="C302" s="118">
        <v>45747</v>
      </c>
      <c r="D302" s="46" t="s">
        <v>337</v>
      </c>
      <c r="E302" s="47" t="str">
        <f>+_xlfn.XLOOKUP(PROYECTOS[[#This Row],[MUNICIPIO]],MUNICIPIOS!A:A,MUNICIPIOS!E:E,0,0,1)</f>
        <v>Suroeste</v>
      </c>
      <c r="F302" s="44">
        <f>+_xlfn.XLOOKUP(PROYECTOS[[#This Row],[MUNICIPIO]],MUNICIPIOS!A:A,MUNICIPIOS!F:F,0,0,1)</f>
        <v>-75.984452000000005</v>
      </c>
      <c r="G302" s="44" t="str">
        <f>+_xlfn.XLOOKUP(PROYECTOS[[#This Row],[MUNICIPIO]],MUNICIPIOS!A:A,MUNICIPIOS!G:G,0,0,1)</f>
        <v>6,115208</v>
      </c>
      <c r="H302" s="44">
        <f>+_xlfn.XLOOKUP(PROYECTOS[[#This Row],[MUNICIPIO]],MUNICIPIOS!A:A,MUNICIPIOS!B:B,0,0,1)</f>
        <v>0</v>
      </c>
      <c r="I302" s="44">
        <f>+_xlfn.XLOOKUP(PROYECTOS[[#This Row],[MUNICIPIO]],MUNICIPIOS!A:A,MUNICIPIOS!C:C,0,0,1)</f>
        <v>0</v>
      </c>
      <c r="J302" s="3" t="str" cm="1">
        <f t="array" ref="J302">_xlfn.TEXTJOIN(" ", TRUE, IF(radicados[ID PROYECTOS]=A302, radicados[RADICADO], ""))</f>
        <v/>
      </c>
      <c r="K302" s="45">
        <v>1</v>
      </c>
      <c r="L302" s="48"/>
      <c r="M302" s="34" t="s">
        <v>407</v>
      </c>
      <c r="N302" s="40" t="s">
        <v>397</v>
      </c>
      <c r="O302" s="40" t="s">
        <v>56</v>
      </c>
      <c r="P302" s="37" t="s">
        <v>541</v>
      </c>
      <c r="Q302" s="45"/>
      <c r="R302" s="43"/>
      <c r="S302" s="43"/>
      <c r="T302" s="44">
        <f>+_xlfn.XLOOKUP(PROYECTOS[[#This Row],[MUNICIPIO]],'4.CAP_ENDMNT'!B:B,'4.CAP_ENDMNT'!C:C,0,0,1)</f>
        <v>6</v>
      </c>
      <c r="U302" s="139">
        <f>+_xlfn.XLOOKUP(PROYECTOS[[#This Row],[MUNICIPIO]],'4.CAP_ENDMNT'!B:B,'4.CAP_ENDMNT'!D:D,0,0,1)</f>
        <v>12058979368.9545</v>
      </c>
      <c r="V302" s="140">
        <f>+_xlfn.XLOOKUP(PROYECTOS[[#This Row],[MUNICIPIO]],'4.CAP_ENDMNT'!B:B,'4.CAP_ENDMNT'!E:E,0,0,1)</f>
        <v>3567680920.52</v>
      </c>
      <c r="W302" s="140">
        <f>+_xlfn.XLOOKUP(PROYECTOS[[#This Row],[MUNICIPIO]],'4.CAP_ENDMNT'!B:B,'4.CAP_ENDMNT'!F:F,0,0,1)</f>
        <v>8491298448.4344997</v>
      </c>
      <c r="X302" s="140">
        <f>+_xlfn.XLOOKUP(PROYECTOS[[#This Row],[MUNICIPIO]],'4.CAP_ENDMNT'!B:B,'4.CAP_ENDMNT'!G:G,0,0,1)</f>
        <v>914830553</v>
      </c>
      <c r="Y302" s="140">
        <f>+_xlfn.XLOOKUP(PROYECTOS[[#This Row],[MUNICIPIO]],'4.CAP_ENDMNT'!B:B,'4.CAP_ENDMNT'!H:H,0,0,1)</f>
        <v>0</v>
      </c>
      <c r="Z302" s="140">
        <f>+_xlfn.XLOOKUP(PROYECTOS[[#This Row],[MUNICIPIO]],'4.CAP_ENDMNT'!B:B,'4.CAP_ENDMNT'!I:I,0,0,1)</f>
        <v>914830553</v>
      </c>
      <c r="AA302" s="134">
        <f>+_xlfn.XLOOKUP(PROYECTOS[[#This Row],[MUNICIPIO]],'4.CAP_ENDMNT'!B:B,'4.CAP_ENDMNT'!J:J,0,0,1)</f>
        <v>7.586301667910679E-2</v>
      </c>
      <c r="AB302" s="140">
        <f>+_xlfn.XLOOKUP(PROYECTOS[[#This Row],[MUNICIPIO]],'4.CAP_ENDMNT'!B:B,'4.CAP_ENDMNT'!K:K,0,0,1)</f>
        <v>11144148815.9545</v>
      </c>
      <c r="AC302" s="140">
        <f>+_xlfn.XLOOKUP(PROYECTOS[[#This Row],[MUNICIPIO]],'4.CAP_ENDMNT'!B:B,'4.CAP_ENDMNT'!L:L,0,0,1)</f>
        <v>8915319052.7636013</v>
      </c>
      <c r="AD302" s="140">
        <f>+_xlfn.XLOOKUP(PROYECTOS[[#This Row],[MUNICIPIO]],'4.CAP_ENDMNT'!B:B,'4.CAP_ENDMNT'!M:M,0,0,1)</f>
        <v>6686489289.5726995</v>
      </c>
      <c r="AE302" s="134">
        <f>+_xlfn.XLOOKUP(PROYECTOS[[#This Row],[MUNICIPIO]],'4.CAP_ENDMNT'!B:B,'4.CAP_ENDMNT'!N:N,0,0,1)</f>
        <v>1</v>
      </c>
      <c r="AF302" s="134">
        <f>+_xlfn.XLOOKUP(PROYECTOS[[#This Row],[MUNICIPIO]],'4.CAP_ENDMNT'!B:B,'4.CAP_ENDMNT'!O:O,0,0,1)</f>
        <v>0.60206976758564179</v>
      </c>
      <c r="AG302" s="134">
        <f>+_xlfn.XLOOKUP(PROYECTOS[[#This Row],[MUNICIPIO]],'4.CAP_ENDMNT'!B:B,'4.CAP_ENDMNT'!P:P,0,0,1)</f>
        <v>0.8</v>
      </c>
      <c r="AH302" s="44" t="str">
        <f>+_xlfn.XLOOKUP(PROYECTOS[[#This Row],[MUNICIPIO]],'4.CAP_ENDMNT'!B:B,'4.CAP_ENDMNT'!Q:Q,0,0,1)</f>
        <v>Cumple</v>
      </c>
      <c r="AI302" s="139">
        <f>+_xlfn.XLOOKUP(PROYECTOS[[#This Row],[MUNICIPIO]],'4.CAP_ENDMNT'!B:B,'4.CAP_ENDMNT'!V:V,0,0,1)</f>
        <v>1337297857.9145401</v>
      </c>
      <c r="AJ302" s="139">
        <f>+_xlfn.XLOOKUP(PROYECTOS[[#This Row],[MUNICIPIO]],'4.CAP_ENDMNT'!B:B,'4.CAP_ENDMNT'!Y:Y,0,0,1)</f>
        <v>7897388974.4872398</v>
      </c>
      <c r="AK302"/>
      <c r="AL302"/>
      <c r="AM302"/>
    </row>
    <row r="303" spans="1:39">
      <c r="A303" s="44">
        <v>321</v>
      </c>
      <c r="B303" s="37" t="s">
        <v>621</v>
      </c>
      <c r="C303" s="118">
        <v>45747</v>
      </c>
      <c r="D303" s="46" t="s">
        <v>492</v>
      </c>
      <c r="E303" s="47" t="str">
        <f>+_xlfn.XLOOKUP(PROYECTOS[[#This Row],[MUNICIPIO]],MUNICIPIOS!A:A,MUNICIPIOS!E:E,0,0,1)</f>
        <v>Suroeste</v>
      </c>
      <c r="F303" s="44">
        <f>+_xlfn.XLOOKUP(PROYECTOS[[#This Row],[MUNICIPIO]],MUNICIPIOS!A:A,MUNICIPIOS!F:F,0,0,1)</f>
        <v>-75.976806999999994</v>
      </c>
      <c r="G303" s="44" t="str">
        <f>+_xlfn.XLOOKUP(PROYECTOS[[#This Row],[MUNICIPIO]],MUNICIPIOS!A:A,MUNICIPIOS!G:G,0,0,1)</f>
        <v>5,964198</v>
      </c>
      <c r="H303" s="44">
        <f>+_xlfn.XLOOKUP(PROYECTOS[[#This Row],[MUNICIPIO]],MUNICIPIOS!A:A,MUNICIPIOS!B:B,0,0,1)</f>
        <v>0</v>
      </c>
      <c r="I303" s="44">
        <f>+_xlfn.XLOOKUP(PROYECTOS[[#This Row],[MUNICIPIO]],MUNICIPIOS!A:A,MUNICIPIOS!C:C,0,0,1)</f>
        <v>1</v>
      </c>
      <c r="J303" s="3" t="str" cm="1">
        <f t="array" ref="J303">_xlfn.TEXTJOIN(" ", TRUE, IF(radicados[ID PROYECTOS]=A303, radicados[RADICADO], ""))</f>
        <v/>
      </c>
      <c r="K303" s="45">
        <v>1</v>
      </c>
      <c r="L303" s="48"/>
      <c r="M303" s="34" t="s">
        <v>407</v>
      </c>
      <c r="N303" s="40" t="s">
        <v>397</v>
      </c>
      <c r="O303" s="40" t="s">
        <v>56</v>
      </c>
      <c r="P303" s="37" t="s">
        <v>541</v>
      </c>
      <c r="Q303" s="45"/>
      <c r="R303" s="43"/>
      <c r="S303" s="43"/>
      <c r="T303" s="44">
        <f>+_xlfn.XLOOKUP(PROYECTOS[[#This Row],[MUNICIPIO]],'4.CAP_ENDMNT'!B:B,'4.CAP_ENDMNT'!C:C,0,0,1)</f>
        <v>6</v>
      </c>
      <c r="U303" s="139">
        <f>+_xlfn.XLOOKUP(PROYECTOS[[#This Row],[MUNICIPIO]],'4.CAP_ENDMNT'!B:B,'4.CAP_ENDMNT'!D:D,0,0,1)</f>
        <v>13308978307.0145</v>
      </c>
      <c r="V303" s="140">
        <f>+_xlfn.XLOOKUP(PROYECTOS[[#This Row],[MUNICIPIO]],'4.CAP_ENDMNT'!B:B,'4.CAP_ENDMNT'!E:E,0,0,1)</f>
        <v>4910718349.54</v>
      </c>
      <c r="W303" s="140">
        <f>+_xlfn.XLOOKUP(PROYECTOS[[#This Row],[MUNICIPIO]],'4.CAP_ENDMNT'!B:B,'4.CAP_ENDMNT'!F:F,0,0,1)</f>
        <v>8398259957.4744997</v>
      </c>
      <c r="X303" s="140">
        <f>+_xlfn.XLOOKUP(PROYECTOS[[#This Row],[MUNICIPIO]],'4.CAP_ENDMNT'!B:B,'4.CAP_ENDMNT'!G:G,0,0,1)</f>
        <v>0</v>
      </c>
      <c r="Y303" s="140">
        <f>+_xlfn.XLOOKUP(PROYECTOS[[#This Row],[MUNICIPIO]],'4.CAP_ENDMNT'!B:B,'4.CAP_ENDMNT'!H:H,0,0,1)</f>
        <v>3987177539</v>
      </c>
      <c r="Z303" s="140">
        <f>+_xlfn.XLOOKUP(PROYECTOS[[#This Row],[MUNICIPIO]],'4.CAP_ENDMNT'!B:B,'4.CAP_ENDMNT'!I:I,0,0,1)</f>
        <v>3987177539</v>
      </c>
      <c r="AA303" s="134">
        <f>+_xlfn.XLOOKUP(PROYECTOS[[#This Row],[MUNICIPIO]],'4.CAP_ENDMNT'!B:B,'4.CAP_ENDMNT'!J:J,0,0,1)</f>
        <v>0.29958554646516761</v>
      </c>
      <c r="AB303" s="140">
        <f>+_xlfn.XLOOKUP(PROYECTOS[[#This Row],[MUNICIPIO]],'4.CAP_ENDMNT'!B:B,'4.CAP_ENDMNT'!K:K,0,0,1)</f>
        <v>9321800768.0144997</v>
      </c>
      <c r="AC303" s="140">
        <f>+_xlfn.XLOOKUP(PROYECTOS[[#This Row],[MUNICIPIO]],'4.CAP_ENDMNT'!B:B,'4.CAP_ENDMNT'!L:L,0,0,1)</f>
        <v>7457440614.4116001</v>
      </c>
      <c r="AD303" s="140">
        <f>+_xlfn.XLOOKUP(PROYECTOS[[#This Row],[MUNICIPIO]],'4.CAP_ENDMNT'!B:B,'4.CAP_ENDMNT'!M:M,0,0,1)</f>
        <v>5593080460.8086996</v>
      </c>
      <c r="AE303" s="134">
        <f>+_xlfn.XLOOKUP(PROYECTOS[[#This Row],[MUNICIPIO]],'4.CAP_ENDMNT'!B:B,'4.CAP_ENDMNT'!N:N,0,0,1)</f>
        <v>0</v>
      </c>
      <c r="AF303" s="134">
        <f>+_xlfn.XLOOKUP(PROYECTOS[[#This Row],[MUNICIPIO]],'4.CAP_ENDMNT'!B:B,'4.CAP_ENDMNT'!O:O,0,0,1)</f>
        <v>0.65348583125551507</v>
      </c>
      <c r="AG303" s="134">
        <f>+_xlfn.XLOOKUP(PROYECTOS[[#This Row],[MUNICIPIO]],'4.CAP_ENDMNT'!B:B,'4.CAP_ENDMNT'!P:P,0,0,1)</f>
        <v>0.8</v>
      </c>
      <c r="AH303" s="44" t="str">
        <f>+_xlfn.XLOOKUP(PROYECTOS[[#This Row],[MUNICIPIO]],'4.CAP_ENDMNT'!B:B,'4.CAP_ENDMNT'!Q:Q,0,0,1)</f>
        <v>Cumple</v>
      </c>
      <c r="AI303" s="139">
        <f>+_xlfn.XLOOKUP(PROYECTOS[[#This Row],[MUNICIPIO]],'4.CAP_ENDMNT'!B:B,'4.CAP_ENDMNT'!V:V,0,0,1)</f>
        <v>1118616092.1617401</v>
      </c>
      <c r="AJ303" s="139">
        <f>+_xlfn.XLOOKUP(PROYECTOS[[#This Row],[MUNICIPIO]],'4.CAP_ENDMNT'!B:B,'4.CAP_ENDMNT'!Y:Y,0,0,1)</f>
        <v>6154776552.9704399</v>
      </c>
      <c r="AK303"/>
      <c r="AL303"/>
      <c r="AM303"/>
    </row>
    <row r="304" spans="1:39">
      <c r="A304" s="44">
        <v>322</v>
      </c>
      <c r="B304" s="59" t="s">
        <v>622</v>
      </c>
      <c r="C304" s="118">
        <v>45747</v>
      </c>
      <c r="D304" s="46" t="s">
        <v>88</v>
      </c>
      <c r="E304" s="47" t="str">
        <f>+_xlfn.XLOOKUP(PROYECTOS[[#This Row],[MUNICIPIO]],MUNICIPIOS!A:A,MUNICIPIOS!E:E,0,0,1)</f>
        <v>Suroeste</v>
      </c>
      <c r="F304" s="44">
        <f>+_xlfn.XLOOKUP(PROYECTOS[[#This Row],[MUNICIPIO]],MUNICIPIOS!A:A,MUNICIPIOS!F:F,0,0,1)</f>
        <v>-75.839903000000007</v>
      </c>
      <c r="G304" s="44" t="str">
        <f>+_xlfn.XLOOKUP(PROYECTOS[[#This Row],[MUNICIPIO]],MUNICIPIOS!A:A,MUNICIPIOS!G:G,0,0,1)</f>
        <v>5,79158</v>
      </c>
      <c r="H304" s="44">
        <f>+_xlfn.XLOOKUP(PROYECTOS[[#This Row],[MUNICIPIO]],MUNICIPIOS!A:A,MUNICIPIOS!B:B,0,0,1)</f>
        <v>0</v>
      </c>
      <c r="I304" s="44">
        <f>+_xlfn.XLOOKUP(PROYECTOS[[#This Row],[MUNICIPIO]],MUNICIPIOS!A:A,MUNICIPIOS!C:C,0,0,1)</f>
        <v>0</v>
      </c>
      <c r="J304" s="3" t="str" cm="1">
        <f t="array" ref="J304">_xlfn.TEXTJOIN(" ", TRUE, IF(radicados[ID PROYECTOS]=A304, radicados[RADICADO], ""))</f>
        <v/>
      </c>
      <c r="K304" s="45">
        <v>1</v>
      </c>
      <c r="L304" s="48"/>
      <c r="M304" s="34" t="s">
        <v>407</v>
      </c>
      <c r="N304" s="40" t="s">
        <v>397</v>
      </c>
      <c r="O304" s="40" t="s">
        <v>56</v>
      </c>
      <c r="P304" s="37" t="s">
        <v>541</v>
      </c>
      <c r="Q304" s="45"/>
      <c r="R304" s="43"/>
      <c r="S304" s="43"/>
      <c r="T304" s="44">
        <f>+_xlfn.XLOOKUP(PROYECTOS[[#This Row],[MUNICIPIO]],'4.CAP_ENDMNT'!B:B,'4.CAP_ENDMNT'!C:C,0,0,1)</f>
        <v>6</v>
      </c>
      <c r="U304" s="139">
        <f>+_xlfn.XLOOKUP(PROYECTOS[[#This Row],[MUNICIPIO]],'4.CAP_ENDMNT'!B:B,'4.CAP_ENDMNT'!D:D,0,0,1)</f>
        <v>7408957946.4439993</v>
      </c>
      <c r="V304" s="140">
        <f>+_xlfn.XLOOKUP(PROYECTOS[[#This Row],[MUNICIPIO]],'4.CAP_ENDMNT'!B:B,'4.CAP_ENDMNT'!E:E,0,0,1)</f>
        <v>2726179218.2000003</v>
      </c>
      <c r="W304" s="140">
        <f>+_xlfn.XLOOKUP(PROYECTOS[[#This Row],[MUNICIPIO]],'4.CAP_ENDMNT'!B:B,'4.CAP_ENDMNT'!F:F,0,0,1)</f>
        <v>4682778728.2439995</v>
      </c>
      <c r="X304" s="140">
        <f>+_xlfn.XLOOKUP(PROYECTOS[[#This Row],[MUNICIPIO]],'4.CAP_ENDMNT'!B:B,'4.CAP_ENDMNT'!G:G,0,0,1)</f>
        <v>1117539497</v>
      </c>
      <c r="Y304" s="140">
        <f>+_xlfn.XLOOKUP(PROYECTOS[[#This Row],[MUNICIPIO]],'4.CAP_ENDMNT'!B:B,'4.CAP_ENDMNT'!H:H,0,0,1)</f>
        <v>0</v>
      </c>
      <c r="Z304" s="140">
        <f>+_xlfn.XLOOKUP(PROYECTOS[[#This Row],[MUNICIPIO]],'4.CAP_ENDMNT'!B:B,'4.CAP_ENDMNT'!I:I,0,0,1)</f>
        <v>1117539497</v>
      </c>
      <c r="AA304" s="134">
        <f>+_xlfn.XLOOKUP(PROYECTOS[[#This Row],[MUNICIPIO]],'4.CAP_ENDMNT'!B:B,'4.CAP_ENDMNT'!J:J,0,0,1)</f>
        <v>0.15083625863153588</v>
      </c>
      <c r="AB304" s="140">
        <f>+_xlfn.XLOOKUP(PROYECTOS[[#This Row],[MUNICIPIO]],'4.CAP_ENDMNT'!B:B,'4.CAP_ENDMNT'!K:K,0,0,1)</f>
        <v>6291418449.4439993</v>
      </c>
      <c r="AC304" s="140">
        <f>+_xlfn.XLOOKUP(PROYECTOS[[#This Row],[MUNICIPIO]],'4.CAP_ENDMNT'!B:B,'4.CAP_ENDMNT'!L:L,0,0,1)</f>
        <v>5033134759.5551996</v>
      </c>
      <c r="AD304" s="140">
        <f>+_xlfn.XLOOKUP(PROYECTOS[[#This Row],[MUNICIPIO]],'4.CAP_ENDMNT'!B:B,'4.CAP_ENDMNT'!M:M,0,0,1)</f>
        <v>3774851069.6663995</v>
      </c>
      <c r="AE304" s="134">
        <f>+_xlfn.XLOOKUP(PROYECTOS[[#This Row],[MUNICIPIO]],'4.CAP_ENDMNT'!B:B,'4.CAP_ENDMNT'!N:N,0,0,1)</f>
        <v>1</v>
      </c>
      <c r="AF304" s="134">
        <f>+_xlfn.XLOOKUP(PROYECTOS[[#This Row],[MUNICIPIO]],'4.CAP_ENDMNT'!B:B,'4.CAP_ENDMNT'!O:O,0,0,1)</f>
        <v>0.78495373596781126</v>
      </c>
      <c r="AG304" s="134">
        <f>+_xlfn.XLOOKUP(PROYECTOS[[#This Row],[MUNICIPIO]],'4.CAP_ENDMNT'!B:B,'4.CAP_ENDMNT'!P:P,0,0,1)</f>
        <v>0.8</v>
      </c>
      <c r="AH304" s="44" t="str">
        <f>+_xlfn.XLOOKUP(PROYECTOS[[#This Row],[MUNICIPIO]],'4.CAP_ENDMNT'!B:B,'4.CAP_ENDMNT'!Q:Q,0,0,1)</f>
        <v>Riesgo</v>
      </c>
      <c r="AI304" s="139">
        <f>+_xlfn.XLOOKUP(PROYECTOS[[#This Row],[MUNICIPIO]],'4.CAP_ENDMNT'!B:B,'4.CAP_ENDMNT'!V:V,0,0,1)</f>
        <v>754970213.93327999</v>
      </c>
      <c r="AJ304" s="139">
        <f>+_xlfn.XLOOKUP(PROYECTOS[[#This Row],[MUNICIPIO]],'4.CAP_ENDMNT'!B:B,'4.CAP_ENDMNT'!Y:Y,0,0,1)</f>
        <v>-4520144590.4003201</v>
      </c>
      <c r="AK304"/>
      <c r="AL304"/>
      <c r="AM304"/>
    </row>
    <row r="305" spans="1:39">
      <c r="A305" s="44">
        <v>323</v>
      </c>
      <c r="B305" s="37" t="s">
        <v>623</v>
      </c>
      <c r="C305" s="118">
        <v>45747</v>
      </c>
      <c r="D305" s="46" t="s">
        <v>232</v>
      </c>
      <c r="E305" s="47" t="str">
        <f>+_xlfn.XLOOKUP(PROYECTOS[[#This Row],[MUNICIPIO]],MUNICIPIOS!A:A,MUNICIPIOS!E:E,0,0,1)</f>
        <v>Suroeste</v>
      </c>
      <c r="F305" s="44">
        <f>+_xlfn.XLOOKUP(PROYECTOS[[#This Row],[MUNICIPIO]],MUNICIPIOS!A:A,MUNICIPIOS!F:F,0,0,1)</f>
        <v>-75.523454999999998</v>
      </c>
      <c r="G305" s="44" t="str">
        <f>+_xlfn.XLOOKUP(PROYECTOS[[#This Row],[MUNICIPIO]],MUNICIPIOS!A:A,MUNICIPIOS!G:G,0,0,1)</f>
        <v>5,946313</v>
      </c>
      <c r="H305" s="44">
        <f>+_xlfn.XLOOKUP(PROYECTOS[[#This Row],[MUNICIPIO]],MUNICIPIOS!A:A,MUNICIPIOS!B:B,0,0,1)</f>
        <v>0</v>
      </c>
      <c r="I305" s="44">
        <f>+_xlfn.XLOOKUP(PROYECTOS[[#This Row],[MUNICIPIO]],MUNICIPIOS!A:A,MUNICIPIOS!C:C,0,0,1)</f>
        <v>1</v>
      </c>
      <c r="J305" s="3" t="str" cm="1">
        <f t="array" ref="J305">_xlfn.TEXTJOIN(" ", TRUE, IF(radicados[ID PROYECTOS]=A305, radicados[RADICADO], ""))</f>
        <v/>
      </c>
      <c r="K305" s="45">
        <v>1</v>
      </c>
      <c r="L305" s="48"/>
      <c r="M305" s="34" t="s">
        <v>407</v>
      </c>
      <c r="N305" s="40" t="s">
        <v>397</v>
      </c>
      <c r="O305" s="40" t="s">
        <v>56</v>
      </c>
      <c r="P305" s="37" t="s">
        <v>541</v>
      </c>
      <c r="Q305" s="45"/>
      <c r="R305" s="43"/>
      <c r="S305" s="43"/>
      <c r="T305" s="44">
        <f>+_xlfn.XLOOKUP(PROYECTOS[[#This Row],[MUNICIPIO]],'4.CAP_ENDMNT'!B:B,'4.CAP_ENDMNT'!C:C,0,0,1)</f>
        <v>6</v>
      </c>
      <c r="U305" s="139">
        <f>+_xlfn.XLOOKUP(PROYECTOS[[#This Row],[MUNICIPIO]],'4.CAP_ENDMNT'!B:B,'4.CAP_ENDMNT'!D:D,0,0,1)</f>
        <v>6527267076.0299997</v>
      </c>
      <c r="V305" s="140">
        <f>+_xlfn.XLOOKUP(PROYECTOS[[#This Row],[MUNICIPIO]],'4.CAP_ENDMNT'!B:B,'4.CAP_ENDMNT'!E:E,0,0,1)</f>
        <v>2852468155.77</v>
      </c>
      <c r="W305" s="140">
        <f>+_xlfn.XLOOKUP(PROYECTOS[[#This Row],[MUNICIPIO]],'4.CAP_ENDMNT'!B:B,'4.CAP_ENDMNT'!F:F,0,0,1)</f>
        <v>3674798920.2599998</v>
      </c>
      <c r="X305" s="140">
        <f>+_xlfn.XLOOKUP(PROYECTOS[[#This Row],[MUNICIPIO]],'4.CAP_ENDMNT'!B:B,'4.CAP_ENDMNT'!G:G,0,0,1)</f>
        <v>1320825426</v>
      </c>
      <c r="Y305" s="140">
        <f>+_xlfn.XLOOKUP(PROYECTOS[[#This Row],[MUNICIPIO]],'4.CAP_ENDMNT'!B:B,'4.CAP_ENDMNT'!H:H,0,0,1)</f>
        <v>0</v>
      </c>
      <c r="Z305" s="140">
        <f>+_xlfn.XLOOKUP(PROYECTOS[[#This Row],[MUNICIPIO]],'4.CAP_ENDMNT'!B:B,'4.CAP_ENDMNT'!I:I,0,0,1)</f>
        <v>1320825426</v>
      </c>
      <c r="AA305" s="134">
        <f>+_xlfn.XLOOKUP(PROYECTOS[[#This Row],[MUNICIPIO]],'4.CAP_ENDMNT'!B:B,'4.CAP_ENDMNT'!J:J,0,0,1)</f>
        <v>0.2023550454753798</v>
      </c>
      <c r="AB305" s="140">
        <f>+_xlfn.XLOOKUP(PROYECTOS[[#This Row],[MUNICIPIO]],'4.CAP_ENDMNT'!B:B,'4.CAP_ENDMNT'!K:K,0,0,1)</f>
        <v>5206441650.0299997</v>
      </c>
      <c r="AC305" s="140">
        <f>+_xlfn.XLOOKUP(PROYECTOS[[#This Row],[MUNICIPIO]],'4.CAP_ENDMNT'!B:B,'4.CAP_ENDMNT'!L:L,0,0,1)</f>
        <v>4165153320.0240002</v>
      </c>
      <c r="AD305" s="140">
        <f>+_xlfn.XLOOKUP(PROYECTOS[[#This Row],[MUNICIPIO]],'4.CAP_ENDMNT'!B:B,'4.CAP_ENDMNT'!M:M,0,0,1)</f>
        <v>3123864990.0179996</v>
      </c>
      <c r="AE305" s="134">
        <f>+_xlfn.XLOOKUP(PROYECTOS[[#This Row],[MUNICIPIO]],'4.CAP_ENDMNT'!B:B,'4.CAP_ENDMNT'!N:N,0,0,1)</f>
        <v>1</v>
      </c>
      <c r="AF305" s="134">
        <f>+_xlfn.XLOOKUP(PROYECTOS[[#This Row],[MUNICIPIO]],'4.CAP_ENDMNT'!B:B,'4.CAP_ENDMNT'!O:O,0,0,1)</f>
        <v>0.63926485007667311</v>
      </c>
      <c r="AG305" s="134">
        <f>+_xlfn.XLOOKUP(PROYECTOS[[#This Row],[MUNICIPIO]],'4.CAP_ENDMNT'!B:B,'4.CAP_ENDMNT'!P:P,0,0,1)</f>
        <v>0.8</v>
      </c>
      <c r="AH305" s="44" t="str">
        <f>+_xlfn.XLOOKUP(PROYECTOS[[#This Row],[MUNICIPIO]],'4.CAP_ENDMNT'!B:B,'4.CAP_ENDMNT'!Q:Q,0,0,1)</f>
        <v>Cumple</v>
      </c>
      <c r="AI305" s="139">
        <f>+_xlfn.XLOOKUP(PROYECTOS[[#This Row],[MUNICIPIO]],'4.CAP_ENDMNT'!B:B,'4.CAP_ENDMNT'!V:V,0,0,1)</f>
        <v>624772998.0036</v>
      </c>
      <c r="AJ305" s="139">
        <f>+_xlfn.XLOOKUP(PROYECTOS[[#This Row],[MUNICIPIO]],'4.CAP_ENDMNT'!B:B,'4.CAP_ENDMNT'!Y:Y,0,0,1)</f>
        <v>3748637988.0215998</v>
      </c>
      <c r="AK305"/>
      <c r="AL305"/>
      <c r="AM305"/>
    </row>
    <row r="306" spans="1:39">
      <c r="A306" s="44">
        <v>324</v>
      </c>
      <c r="B306" s="37" t="s">
        <v>624</v>
      </c>
      <c r="C306" s="118">
        <v>45747</v>
      </c>
      <c r="D306" s="46" t="s">
        <v>61</v>
      </c>
      <c r="E306" s="47" t="str">
        <f>+_xlfn.XLOOKUP(PROYECTOS[[#This Row],[MUNICIPIO]],MUNICIPIOS!A:A,MUNICIPIOS!E:E,0,0,1)</f>
        <v>Suroeste</v>
      </c>
      <c r="F306" s="44">
        <f>+_xlfn.XLOOKUP(PROYECTOS[[#This Row],[MUNICIPIO]],MUNICIPIOS!A:A,MUNICIPIOS!F:F,0,0,1)</f>
        <v>-75.675072</v>
      </c>
      <c r="G306" s="44" t="str">
        <f>+_xlfn.XLOOKUP(PROYECTOS[[#This Row],[MUNICIPIO]],MUNICIPIOS!A:A,MUNICIPIOS!G:G,0,0,1)</f>
        <v>5,928039</v>
      </c>
      <c r="H306" s="44">
        <f>+_xlfn.XLOOKUP(PROYECTOS[[#This Row],[MUNICIPIO]],MUNICIPIOS!A:A,MUNICIPIOS!B:B,0,0,1)</f>
        <v>0</v>
      </c>
      <c r="I306" s="44">
        <f>+_xlfn.XLOOKUP(PROYECTOS[[#This Row],[MUNICIPIO]],MUNICIPIOS!A:A,MUNICIPIOS!C:C,0,0,1)</f>
        <v>0</v>
      </c>
      <c r="J306" s="3" t="str" cm="1">
        <f t="array" ref="J306">_xlfn.TEXTJOIN(" ", TRUE, IF(radicados[ID PROYECTOS]=A306, radicados[RADICADO], ""))</f>
        <v/>
      </c>
      <c r="K306" s="45">
        <v>1</v>
      </c>
      <c r="L306" s="48"/>
      <c r="M306" s="34" t="s">
        <v>407</v>
      </c>
      <c r="N306" s="40" t="s">
        <v>397</v>
      </c>
      <c r="O306" s="40" t="s">
        <v>56</v>
      </c>
      <c r="P306" s="37" t="s">
        <v>541</v>
      </c>
      <c r="Q306" s="45"/>
      <c r="R306" s="43"/>
      <c r="S306" s="43"/>
      <c r="T306" s="44">
        <f>+_xlfn.XLOOKUP(PROYECTOS[[#This Row],[MUNICIPIO]],'4.CAP_ENDMNT'!B:B,'4.CAP_ENDMNT'!C:C,0,0,1)</f>
        <v>6</v>
      </c>
      <c r="U306" s="139">
        <f>+_xlfn.XLOOKUP(PROYECTOS[[#This Row],[MUNICIPIO]],'4.CAP_ENDMNT'!B:B,'4.CAP_ENDMNT'!D:D,0,0,1)</f>
        <v>17515986067.273998</v>
      </c>
      <c r="V306" s="140">
        <f>+_xlfn.XLOOKUP(PROYECTOS[[#This Row],[MUNICIPIO]],'4.CAP_ENDMNT'!B:B,'4.CAP_ENDMNT'!E:E,0,0,1)</f>
        <v>8346764868.3600006</v>
      </c>
      <c r="W306" s="140">
        <f>+_xlfn.XLOOKUP(PROYECTOS[[#This Row],[MUNICIPIO]],'4.CAP_ENDMNT'!B:B,'4.CAP_ENDMNT'!F:F,0,0,1)</f>
        <v>9169221198.9139977</v>
      </c>
      <c r="X306" s="140">
        <f>+_xlfn.XLOOKUP(PROYECTOS[[#This Row],[MUNICIPIO]],'4.CAP_ENDMNT'!B:B,'4.CAP_ENDMNT'!G:G,0,0,1)</f>
        <v>0</v>
      </c>
      <c r="Y306" s="140">
        <f>+_xlfn.XLOOKUP(PROYECTOS[[#This Row],[MUNICIPIO]],'4.CAP_ENDMNT'!B:B,'4.CAP_ENDMNT'!H:H,0,0,1)</f>
        <v>6328650461</v>
      </c>
      <c r="Z306" s="140">
        <f>+_xlfn.XLOOKUP(PROYECTOS[[#This Row],[MUNICIPIO]],'4.CAP_ENDMNT'!B:B,'4.CAP_ENDMNT'!I:I,0,0,1)</f>
        <v>6328650461</v>
      </c>
      <c r="AA306" s="134">
        <f>+_xlfn.XLOOKUP(PROYECTOS[[#This Row],[MUNICIPIO]],'4.CAP_ENDMNT'!B:B,'4.CAP_ENDMNT'!J:J,0,0,1)</f>
        <v>0.36130711891945022</v>
      </c>
      <c r="AB306" s="140">
        <f>+_xlfn.XLOOKUP(PROYECTOS[[#This Row],[MUNICIPIO]],'4.CAP_ENDMNT'!B:B,'4.CAP_ENDMNT'!K:K,0,0,1)</f>
        <v>11187335606.273998</v>
      </c>
      <c r="AC306" s="140">
        <f>+_xlfn.XLOOKUP(PROYECTOS[[#This Row],[MUNICIPIO]],'4.CAP_ENDMNT'!B:B,'4.CAP_ENDMNT'!L:L,0,0,1)</f>
        <v>8949868485.0191994</v>
      </c>
      <c r="AD306" s="140">
        <f>+_xlfn.XLOOKUP(PROYECTOS[[#This Row],[MUNICIPIO]],'4.CAP_ENDMNT'!B:B,'4.CAP_ENDMNT'!M:M,0,0,1)</f>
        <v>6712401363.7643986</v>
      </c>
      <c r="AE306" s="134">
        <f>+_xlfn.XLOOKUP(PROYECTOS[[#This Row],[MUNICIPIO]],'4.CAP_ENDMNT'!B:B,'4.CAP_ENDMNT'!N:N,0,0,1)</f>
        <v>0</v>
      </c>
      <c r="AF306" s="134">
        <f>+_xlfn.XLOOKUP(PROYECTOS[[#This Row],[MUNICIPIO]],'4.CAP_ENDMNT'!B:B,'4.CAP_ENDMNT'!O:O,0,0,1)</f>
        <v>0.67376313277740918</v>
      </c>
      <c r="AG306" s="134">
        <f>+_xlfn.XLOOKUP(PROYECTOS[[#This Row],[MUNICIPIO]],'4.CAP_ENDMNT'!B:B,'4.CAP_ENDMNT'!P:P,0,0,1)</f>
        <v>0.8</v>
      </c>
      <c r="AH306" s="44" t="str">
        <f>+_xlfn.XLOOKUP(PROYECTOS[[#This Row],[MUNICIPIO]],'4.CAP_ENDMNT'!B:B,'4.CAP_ENDMNT'!Q:Q,0,0,1)</f>
        <v>Cumple</v>
      </c>
      <c r="AI306" s="139">
        <f>+_xlfn.XLOOKUP(PROYECTOS[[#This Row],[MUNICIPIO]],'4.CAP_ENDMNT'!B:B,'4.CAP_ENDMNT'!V:V,0,0,1)</f>
        <v>1342480272.7528799</v>
      </c>
      <c r="AJ306" s="139">
        <f>+_xlfn.XLOOKUP(PROYECTOS[[#This Row],[MUNICIPIO]],'4.CAP_ENDMNT'!B:B,'4.CAP_ENDMNT'!Y:Y,0,0,1)</f>
        <v>3280962216.5172787</v>
      </c>
      <c r="AK306"/>
      <c r="AL306"/>
      <c r="AM306"/>
    </row>
    <row r="307" spans="1:39">
      <c r="A307" s="44">
        <v>325</v>
      </c>
      <c r="B307" s="37" t="s">
        <v>625</v>
      </c>
      <c r="C307" s="118">
        <v>45747</v>
      </c>
      <c r="D307" s="46" t="s">
        <v>281</v>
      </c>
      <c r="E307" s="47" t="str">
        <f>+_xlfn.XLOOKUP(PROYECTOS[[#This Row],[MUNICIPIO]],MUNICIPIOS!A:A,MUNICIPIOS!E:E,0,0,1)</f>
        <v>Suroeste</v>
      </c>
      <c r="F307" s="44">
        <f>+_xlfn.XLOOKUP(PROYECTOS[[#This Row],[MUNICIPIO]],MUNICIPIOS!A:A,MUNICIPIOS!F:F,0,0,1)</f>
        <v>-75.735544000000004</v>
      </c>
      <c r="G307" s="44">
        <f>+_xlfn.XLOOKUP(PROYECTOS[[#This Row],[MUNICIPIO]],MUNICIPIOS!A:A,MUNICIPIOS!G:G,0,0,1)</f>
        <v>5.9646929999999996</v>
      </c>
      <c r="H307" s="44">
        <f>+_xlfn.XLOOKUP(PROYECTOS[[#This Row],[MUNICIPIO]],MUNICIPIOS!A:A,MUNICIPIOS!B:B,0,0,1)</f>
        <v>0</v>
      </c>
      <c r="I307" s="44">
        <f>+_xlfn.XLOOKUP(PROYECTOS[[#This Row],[MUNICIPIO]],MUNICIPIOS!A:A,MUNICIPIOS!C:C,0,0,1)</f>
        <v>0</v>
      </c>
      <c r="J307" s="3" t="str" cm="1">
        <f t="array" ref="J307">_xlfn.TEXTJOIN(" ", TRUE, IF(radicados[ID PROYECTOS]=A307, radicados[RADICADO], ""))</f>
        <v/>
      </c>
      <c r="K307" s="45">
        <v>1</v>
      </c>
      <c r="L307" s="48"/>
      <c r="M307" s="34" t="s">
        <v>407</v>
      </c>
      <c r="N307" s="40" t="s">
        <v>397</v>
      </c>
      <c r="O307" s="40" t="s">
        <v>56</v>
      </c>
      <c r="P307" s="37" t="s">
        <v>541</v>
      </c>
      <c r="Q307" s="45"/>
      <c r="R307" s="43"/>
      <c r="S307" s="43"/>
      <c r="T307" s="44">
        <f>+_xlfn.XLOOKUP(PROYECTOS[[#This Row],[MUNICIPIO]],'4.CAP_ENDMNT'!B:B,'4.CAP_ENDMNT'!C:C,0,0,1)</f>
        <v>6</v>
      </c>
      <c r="U307" s="139">
        <f>+_xlfn.XLOOKUP(PROYECTOS[[#This Row],[MUNICIPIO]],'4.CAP_ENDMNT'!B:B,'4.CAP_ENDMNT'!D:D,0,0,1)</f>
        <v>12522207884.799</v>
      </c>
      <c r="V307" s="140">
        <f>+_xlfn.XLOOKUP(PROYECTOS[[#This Row],[MUNICIPIO]],'4.CAP_ENDMNT'!B:B,'4.CAP_ENDMNT'!E:E,0,0,1)</f>
        <v>6810462569.46</v>
      </c>
      <c r="W307" s="140">
        <f>+_xlfn.XLOOKUP(PROYECTOS[[#This Row],[MUNICIPIO]],'4.CAP_ENDMNT'!B:B,'4.CAP_ENDMNT'!F:F,0,0,1)</f>
        <v>5711745315.3389997</v>
      </c>
      <c r="X307" s="140">
        <f>+_xlfn.XLOOKUP(PROYECTOS[[#This Row],[MUNICIPIO]],'4.CAP_ENDMNT'!B:B,'4.CAP_ENDMNT'!G:G,0,0,1)</f>
        <v>0</v>
      </c>
      <c r="Y307" s="140">
        <f>+_xlfn.XLOOKUP(PROYECTOS[[#This Row],[MUNICIPIO]],'4.CAP_ENDMNT'!B:B,'4.CAP_ENDMNT'!H:H,0,0,1)</f>
        <v>0</v>
      </c>
      <c r="Z307" s="140">
        <f>+_xlfn.XLOOKUP(PROYECTOS[[#This Row],[MUNICIPIO]],'4.CAP_ENDMNT'!B:B,'4.CAP_ENDMNT'!I:I,0,0,1)</f>
        <v>0</v>
      </c>
      <c r="AA307" s="134">
        <f>+_xlfn.XLOOKUP(PROYECTOS[[#This Row],[MUNICIPIO]],'4.CAP_ENDMNT'!B:B,'4.CAP_ENDMNT'!J:J,0,0,1)</f>
        <v>0</v>
      </c>
      <c r="AB307" s="140">
        <f>+_xlfn.XLOOKUP(PROYECTOS[[#This Row],[MUNICIPIO]],'4.CAP_ENDMNT'!B:B,'4.CAP_ENDMNT'!K:K,0,0,1)</f>
        <v>12522207884.799</v>
      </c>
      <c r="AC307" s="140">
        <f>+_xlfn.XLOOKUP(PROYECTOS[[#This Row],[MUNICIPIO]],'4.CAP_ENDMNT'!B:B,'4.CAP_ENDMNT'!L:L,0,0,1)</f>
        <v>10017766307.839201</v>
      </c>
      <c r="AD307" s="140">
        <f>+_xlfn.XLOOKUP(PROYECTOS[[#This Row],[MUNICIPIO]],'4.CAP_ENDMNT'!B:B,'4.CAP_ENDMNT'!M:M,0,0,1)</f>
        <v>7513324730.8793993</v>
      </c>
      <c r="AE307" s="134">
        <f>+_xlfn.XLOOKUP(PROYECTOS[[#This Row],[MUNICIPIO]],'4.CAP_ENDMNT'!B:B,'4.CAP_ENDMNT'!N:N,0,0,1)</f>
        <v>0</v>
      </c>
      <c r="AF307" s="134">
        <f>+_xlfn.XLOOKUP(PROYECTOS[[#This Row],[MUNICIPIO]],'4.CAP_ENDMNT'!B:B,'4.CAP_ENDMNT'!O:O,0,0,1)</f>
        <v>0.68767493145996073</v>
      </c>
      <c r="AG307" s="134">
        <f>+_xlfn.XLOOKUP(PROYECTOS[[#This Row],[MUNICIPIO]],'4.CAP_ENDMNT'!B:B,'4.CAP_ENDMNT'!P:P,0,0,1)</f>
        <v>0.8</v>
      </c>
      <c r="AH307" s="44" t="str">
        <f>+_xlfn.XLOOKUP(PROYECTOS[[#This Row],[MUNICIPIO]],'4.CAP_ENDMNT'!B:B,'4.CAP_ENDMNT'!Q:Q,0,0,1)</f>
        <v>Cumple</v>
      </c>
      <c r="AI307" s="139">
        <f>+_xlfn.XLOOKUP(PROYECTOS[[#This Row],[MUNICIPIO]],'4.CAP_ENDMNT'!B:B,'4.CAP_ENDMNT'!V:V,0,0,1)</f>
        <v>1502664946.17588</v>
      </c>
      <c r="AJ307" s="139">
        <f>+_xlfn.XLOOKUP(PROYECTOS[[#This Row],[MUNICIPIO]],'4.CAP_ENDMNT'!B:B,'4.CAP_ENDMNT'!Y:Y,0,0,1)</f>
        <v>-30486452994.944721</v>
      </c>
      <c r="AK307"/>
      <c r="AL307"/>
      <c r="AM307"/>
    </row>
    <row r="308" spans="1:39">
      <c r="A308" s="44">
        <v>326</v>
      </c>
      <c r="B308" s="37" t="s">
        <v>626</v>
      </c>
      <c r="C308" s="118">
        <v>45747</v>
      </c>
      <c r="D308" s="46" t="s">
        <v>88</v>
      </c>
      <c r="E308" s="47" t="str">
        <f>+_xlfn.XLOOKUP(PROYECTOS[[#This Row],[MUNICIPIO]],MUNICIPIOS!A:A,MUNICIPIOS!E:E,0,0,1)</f>
        <v>Suroeste</v>
      </c>
      <c r="F308" s="44">
        <f>+_xlfn.XLOOKUP(PROYECTOS[[#This Row],[MUNICIPIO]],MUNICIPIOS!A:A,MUNICIPIOS!F:F,0,0,1)</f>
        <v>-75.839903000000007</v>
      </c>
      <c r="G308" s="44" t="str">
        <f>+_xlfn.XLOOKUP(PROYECTOS[[#This Row],[MUNICIPIO]],MUNICIPIOS!A:A,MUNICIPIOS!G:G,0,0,1)</f>
        <v>5,79158</v>
      </c>
      <c r="H308" s="44">
        <f>+_xlfn.XLOOKUP(PROYECTOS[[#This Row],[MUNICIPIO]],MUNICIPIOS!A:A,MUNICIPIOS!B:B,0,0,1)</f>
        <v>0</v>
      </c>
      <c r="I308" s="44">
        <f>+_xlfn.XLOOKUP(PROYECTOS[[#This Row],[MUNICIPIO]],MUNICIPIOS!A:A,MUNICIPIOS!C:C,0,0,1)</f>
        <v>0</v>
      </c>
      <c r="J308" s="3" t="str" cm="1">
        <f t="array" ref="J308">_xlfn.TEXTJOIN(" ", TRUE, IF(radicados[ID PROYECTOS]=A308, radicados[RADICADO], ""))</f>
        <v/>
      </c>
      <c r="K308" s="45">
        <v>1</v>
      </c>
      <c r="L308" s="48"/>
      <c r="M308" s="34" t="s">
        <v>407</v>
      </c>
      <c r="N308" s="40" t="s">
        <v>397</v>
      </c>
      <c r="O308" s="40" t="s">
        <v>56</v>
      </c>
      <c r="P308" s="37" t="s">
        <v>541</v>
      </c>
      <c r="Q308" s="45"/>
      <c r="R308" s="43"/>
      <c r="S308" s="43"/>
      <c r="T308" s="44">
        <f>+_xlfn.XLOOKUP(PROYECTOS[[#This Row],[MUNICIPIO]],'4.CAP_ENDMNT'!B:B,'4.CAP_ENDMNT'!C:C,0,0,1)</f>
        <v>6</v>
      </c>
      <c r="U308" s="139">
        <f>+_xlfn.XLOOKUP(PROYECTOS[[#This Row],[MUNICIPIO]],'4.CAP_ENDMNT'!B:B,'4.CAP_ENDMNT'!D:D,0,0,1)</f>
        <v>7408957946.4439993</v>
      </c>
      <c r="V308" s="140">
        <f>+_xlfn.XLOOKUP(PROYECTOS[[#This Row],[MUNICIPIO]],'4.CAP_ENDMNT'!B:B,'4.CAP_ENDMNT'!E:E,0,0,1)</f>
        <v>2726179218.2000003</v>
      </c>
      <c r="W308" s="140">
        <f>+_xlfn.XLOOKUP(PROYECTOS[[#This Row],[MUNICIPIO]],'4.CAP_ENDMNT'!B:B,'4.CAP_ENDMNT'!F:F,0,0,1)</f>
        <v>4682778728.2439995</v>
      </c>
      <c r="X308" s="140">
        <f>+_xlfn.XLOOKUP(PROYECTOS[[#This Row],[MUNICIPIO]],'4.CAP_ENDMNT'!B:B,'4.CAP_ENDMNT'!G:G,0,0,1)</f>
        <v>1117539497</v>
      </c>
      <c r="Y308" s="140">
        <f>+_xlfn.XLOOKUP(PROYECTOS[[#This Row],[MUNICIPIO]],'4.CAP_ENDMNT'!B:B,'4.CAP_ENDMNT'!H:H,0,0,1)</f>
        <v>0</v>
      </c>
      <c r="Z308" s="140">
        <f>+_xlfn.XLOOKUP(PROYECTOS[[#This Row],[MUNICIPIO]],'4.CAP_ENDMNT'!B:B,'4.CAP_ENDMNT'!I:I,0,0,1)</f>
        <v>1117539497</v>
      </c>
      <c r="AA308" s="134">
        <f>+_xlfn.XLOOKUP(PROYECTOS[[#This Row],[MUNICIPIO]],'4.CAP_ENDMNT'!B:B,'4.CAP_ENDMNT'!J:J,0,0,1)</f>
        <v>0.15083625863153588</v>
      </c>
      <c r="AB308" s="140">
        <f>+_xlfn.XLOOKUP(PROYECTOS[[#This Row],[MUNICIPIO]],'4.CAP_ENDMNT'!B:B,'4.CAP_ENDMNT'!K:K,0,0,1)</f>
        <v>6291418449.4439993</v>
      </c>
      <c r="AC308" s="140">
        <f>+_xlfn.XLOOKUP(PROYECTOS[[#This Row],[MUNICIPIO]],'4.CAP_ENDMNT'!B:B,'4.CAP_ENDMNT'!L:L,0,0,1)</f>
        <v>5033134759.5551996</v>
      </c>
      <c r="AD308" s="140">
        <f>+_xlfn.XLOOKUP(PROYECTOS[[#This Row],[MUNICIPIO]],'4.CAP_ENDMNT'!B:B,'4.CAP_ENDMNT'!M:M,0,0,1)</f>
        <v>3774851069.6663995</v>
      </c>
      <c r="AE308" s="134">
        <f>+_xlfn.XLOOKUP(PROYECTOS[[#This Row],[MUNICIPIO]],'4.CAP_ENDMNT'!B:B,'4.CAP_ENDMNT'!N:N,0,0,1)</f>
        <v>1</v>
      </c>
      <c r="AF308" s="134">
        <f>+_xlfn.XLOOKUP(PROYECTOS[[#This Row],[MUNICIPIO]],'4.CAP_ENDMNT'!B:B,'4.CAP_ENDMNT'!O:O,0,0,1)</f>
        <v>0.78495373596781126</v>
      </c>
      <c r="AG308" s="134">
        <f>+_xlfn.XLOOKUP(PROYECTOS[[#This Row],[MUNICIPIO]],'4.CAP_ENDMNT'!B:B,'4.CAP_ENDMNT'!P:P,0,0,1)</f>
        <v>0.8</v>
      </c>
      <c r="AH308" s="44" t="str">
        <f>+_xlfn.XLOOKUP(PROYECTOS[[#This Row],[MUNICIPIO]],'4.CAP_ENDMNT'!B:B,'4.CAP_ENDMNT'!Q:Q,0,0,1)</f>
        <v>Riesgo</v>
      </c>
      <c r="AI308" s="139">
        <f>+_xlfn.XLOOKUP(PROYECTOS[[#This Row],[MUNICIPIO]],'4.CAP_ENDMNT'!B:B,'4.CAP_ENDMNT'!V:V,0,0,1)</f>
        <v>754970213.93327999</v>
      </c>
      <c r="AJ308" s="139">
        <f>+_xlfn.XLOOKUP(PROYECTOS[[#This Row],[MUNICIPIO]],'4.CAP_ENDMNT'!B:B,'4.CAP_ENDMNT'!Y:Y,0,0,1)</f>
        <v>-4520144590.4003201</v>
      </c>
      <c r="AK308"/>
      <c r="AL308"/>
      <c r="AM308"/>
    </row>
    <row r="309" spans="1:39">
      <c r="A309" s="44">
        <v>327</v>
      </c>
      <c r="B309" s="37" t="s">
        <v>627</v>
      </c>
      <c r="C309" s="118">
        <v>45747</v>
      </c>
      <c r="D309" s="46" t="s">
        <v>127</v>
      </c>
      <c r="E309" s="47" t="str">
        <f>+_xlfn.XLOOKUP(PROYECTOS[[#This Row],[MUNICIPIO]],MUNICIPIOS!A:A,MUNICIPIOS!E:E,0,0,1)</f>
        <v>Suroeste</v>
      </c>
      <c r="F309" s="44">
        <f>+_xlfn.XLOOKUP(PROYECTOS[[#This Row],[MUNICIPIO]],MUNICIPIOS!A:A,MUNICIPIOS!F:F,0,0,1)</f>
        <v>-75.976789999999994</v>
      </c>
      <c r="G309" s="44" t="str">
        <f>+_xlfn.XLOOKUP(PROYECTOS[[#This Row],[MUNICIPIO]],MUNICIPIOS!A:A,MUNICIPIOS!G:G,0,0,1)</f>
        <v>5,74615</v>
      </c>
      <c r="H309" s="44">
        <f>+_xlfn.XLOOKUP(PROYECTOS[[#This Row],[MUNICIPIO]],MUNICIPIOS!A:A,MUNICIPIOS!B:B,0,0,1)</f>
        <v>0</v>
      </c>
      <c r="I309" s="44">
        <f>+_xlfn.XLOOKUP(PROYECTOS[[#This Row],[MUNICIPIO]],MUNICIPIOS!A:A,MUNICIPIOS!C:C,0,0,1)</f>
        <v>0</v>
      </c>
      <c r="J309" s="3" t="str" cm="1">
        <f t="array" ref="J309">_xlfn.TEXTJOIN(" ", TRUE, IF(radicados[ID PROYECTOS]=A309, radicados[RADICADO], ""))</f>
        <v/>
      </c>
      <c r="K309" s="45">
        <v>1</v>
      </c>
      <c r="L309" s="48"/>
      <c r="M309" s="34" t="s">
        <v>407</v>
      </c>
      <c r="N309" s="40" t="s">
        <v>397</v>
      </c>
      <c r="O309" s="40" t="s">
        <v>56</v>
      </c>
      <c r="P309" s="37" t="s">
        <v>541</v>
      </c>
      <c r="Q309" s="45"/>
      <c r="R309" s="43"/>
      <c r="S309" s="43"/>
      <c r="T309" s="44">
        <f>+_xlfn.XLOOKUP(PROYECTOS[[#This Row],[MUNICIPIO]],'4.CAP_ENDMNT'!B:B,'4.CAP_ENDMNT'!C:C,0,0,1)</f>
        <v>6</v>
      </c>
      <c r="U309" s="139">
        <f>+_xlfn.XLOOKUP(PROYECTOS[[#This Row],[MUNICIPIO]],'4.CAP_ENDMNT'!B:B,'4.CAP_ENDMNT'!D:D,0,0,1)</f>
        <v>9197355968.8835011</v>
      </c>
      <c r="V309" s="140">
        <f>+_xlfn.XLOOKUP(PROYECTOS[[#This Row],[MUNICIPIO]],'4.CAP_ENDMNT'!B:B,'4.CAP_ENDMNT'!E:E,0,0,1)</f>
        <v>3350398615.7000003</v>
      </c>
      <c r="W309" s="140">
        <f>+_xlfn.XLOOKUP(PROYECTOS[[#This Row],[MUNICIPIO]],'4.CAP_ENDMNT'!B:B,'4.CAP_ENDMNT'!F:F,0,0,1)</f>
        <v>5846957353.1835003</v>
      </c>
      <c r="X309" s="140">
        <f>+_xlfn.XLOOKUP(PROYECTOS[[#This Row],[MUNICIPIO]],'4.CAP_ENDMNT'!B:B,'4.CAP_ENDMNT'!G:G,0,0,1)</f>
        <v>958841544</v>
      </c>
      <c r="Y309" s="140">
        <f>+_xlfn.XLOOKUP(PROYECTOS[[#This Row],[MUNICIPIO]],'4.CAP_ENDMNT'!B:B,'4.CAP_ENDMNT'!H:H,0,0,1)</f>
        <v>680000000</v>
      </c>
      <c r="Z309" s="140">
        <f>+_xlfn.XLOOKUP(PROYECTOS[[#This Row],[MUNICIPIO]],'4.CAP_ENDMNT'!B:B,'4.CAP_ENDMNT'!I:I,0,0,1)</f>
        <v>1638841544</v>
      </c>
      <c r="AA309" s="134">
        <f>+_xlfn.XLOOKUP(PROYECTOS[[#This Row],[MUNICIPIO]],'4.CAP_ENDMNT'!B:B,'4.CAP_ENDMNT'!J:J,0,0,1)</f>
        <v>0.17818616019044273</v>
      </c>
      <c r="AB309" s="140">
        <f>+_xlfn.XLOOKUP(PROYECTOS[[#This Row],[MUNICIPIO]],'4.CAP_ENDMNT'!B:B,'4.CAP_ENDMNT'!K:K,0,0,1)</f>
        <v>7558514424.8835011</v>
      </c>
      <c r="AC309" s="140">
        <f>+_xlfn.XLOOKUP(PROYECTOS[[#This Row],[MUNICIPIO]],'4.CAP_ENDMNT'!B:B,'4.CAP_ENDMNT'!L:L,0,0,1)</f>
        <v>6046811539.9068012</v>
      </c>
      <c r="AD309" s="140">
        <f>+_xlfn.XLOOKUP(PROYECTOS[[#This Row],[MUNICIPIO]],'4.CAP_ENDMNT'!B:B,'4.CAP_ENDMNT'!M:M,0,0,1)</f>
        <v>4535108654.9301004</v>
      </c>
      <c r="AE309" s="134">
        <f>+_xlfn.XLOOKUP(PROYECTOS[[#This Row],[MUNICIPIO]],'4.CAP_ENDMNT'!B:B,'4.CAP_ENDMNT'!N:N,0,0,1)</f>
        <v>0.58507275917579493</v>
      </c>
      <c r="AF309" s="134">
        <f>+_xlfn.XLOOKUP(PROYECTOS[[#This Row],[MUNICIPIO]],'4.CAP_ENDMNT'!B:B,'4.CAP_ENDMNT'!O:O,0,0,1)</f>
        <v>0.53687312631507866</v>
      </c>
      <c r="AG309" s="134">
        <f>+_xlfn.XLOOKUP(PROYECTOS[[#This Row],[MUNICIPIO]],'4.CAP_ENDMNT'!B:B,'4.CAP_ENDMNT'!P:P,0,0,1)</f>
        <v>0.8</v>
      </c>
      <c r="AH309" s="44" t="str">
        <f>+_xlfn.XLOOKUP(PROYECTOS[[#This Row],[MUNICIPIO]],'4.CAP_ENDMNT'!B:B,'4.CAP_ENDMNT'!Q:Q,0,0,1)</f>
        <v>Cumple</v>
      </c>
      <c r="AI309" s="139">
        <f>+_xlfn.XLOOKUP(PROYECTOS[[#This Row],[MUNICIPIO]],'4.CAP_ENDMNT'!B:B,'4.CAP_ENDMNT'!V:V,0,0,1)</f>
        <v>907021730.98602009</v>
      </c>
      <c r="AJ309" s="139">
        <f>+_xlfn.XLOOKUP(PROYECTOS[[#This Row],[MUNICIPIO]],'4.CAP_ENDMNT'!B:B,'4.CAP_ENDMNT'!Y:Y,0,0,1)</f>
        <v>-2964573994.0838795</v>
      </c>
      <c r="AK309"/>
      <c r="AL309"/>
      <c r="AM309"/>
    </row>
    <row r="310" spans="1:39">
      <c r="A310" s="44">
        <v>328</v>
      </c>
      <c r="B310" s="37" t="s">
        <v>628</v>
      </c>
      <c r="C310" s="118">
        <v>45747</v>
      </c>
      <c r="D310" s="46" t="s">
        <v>230</v>
      </c>
      <c r="E310" s="47" t="str">
        <f>+_xlfn.XLOOKUP(PROYECTOS[[#This Row],[MUNICIPIO]],MUNICIPIOS!A:A,MUNICIPIOS!E:E,0,0,1)</f>
        <v>Suroeste</v>
      </c>
      <c r="F310" s="44">
        <f>+_xlfn.XLOOKUP(PROYECTOS[[#This Row],[MUNICIPIO]],MUNICIPIOS!A:A,MUNICIPIOS!F:F,0,0,1)</f>
        <v>-75.906587000000002</v>
      </c>
      <c r="G310" s="44" t="str">
        <f>+_xlfn.XLOOKUP(PROYECTOS[[#This Row],[MUNICIPIO]],MUNICIPIOS!A:A,MUNICIPIOS!G:G,0,0,1)</f>
        <v>5,799461</v>
      </c>
      <c r="H310" s="44">
        <f>+_xlfn.XLOOKUP(PROYECTOS[[#This Row],[MUNICIPIO]],MUNICIPIOS!A:A,MUNICIPIOS!B:B,0,0,1)</f>
        <v>0</v>
      </c>
      <c r="I310" s="44">
        <f>+_xlfn.XLOOKUP(PROYECTOS[[#This Row],[MUNICIPIO]],MUNICIPIOS!A:A,MUNICIPIOS!C:C,0,0,1)</f>
        <v>0</v>
      </c>
      <c r="J310" s="3" t="str" cm="1">
        <f t="array" ref="J310">_xlfn.TEXTJOIN(" ", TRUE, IF(radicados[ID PROYECTOS]=A310, radicados[RADICADO], ""))</f>
        <v/>
      </c>
      <c r="K310" s="45">
        <v>1</v>
      </c>
      <c r="L310" s="48"/>
      <c r="M310" s="34" t="s">
        <v>407</v>
      </c>
      <c r="N310" s="40" t="s">
        <v>397</v>
      </c>
      <c r="O310" s="40" t="s">
        <v>56</v>
      </c>
      <c r="P310" s="37" t="s">
        <v>541</v>
      </c>
      <c r="Q310" s="45"/>
      <c r="R310" s="43"/>
      <c r="S310" s="43"/>
      <c r="T310" s="44">
        <f>+_xlfn.XLOOKUP(PROYECTOS[[#This Row],[MUNICIPIO]],'4.CAP_ENDMNT'!B:B,'4.CAP_ENDMNT'!C:C,0,0,1)</f>
        <v>6</v>
      </c>
      <c r="U310" s="139">
        <f>+_xlfn.XLOOKUP(PROYECTOS[[#This Row],[MUNICIPIO]],'4.CAP_ENDMNT'!B:B,'4.CAP_ENDMNT'!D:D,0,0,1)</f>
        <v>6274381972.2840004</v>
      </c>
      <c r="V310" s="140">
        <f>+_xlfn.XLOOKUP(PROYECTOS[[#This Row],[MUNICIPIO]],'4.CAP_ENDMNT'!B:B,'4.CAP_ENDMNT'!E:E,0,0,1)</f>
        <v>2404546434.0300002</v>
      </c>
      <c r="W310" s="140">
        <f>+_xlfn.XLOOKUP(PROYECTOS[[#This Row],[MUNICIPIO]],'4.CAP_ENDMNT'!B:B,'4.CAP_ENDMNT'!F:F,0,0,1)</f>
        <v>3869835538.2540002</v>
      </c>
      <c r="X310" s="140">
        <f>+_xlfn.XLOOKUP(PROYECTOS[[#This Row],[MUNICIPIO]],'4.CAP_ENDMNT'!B:B,'4.CAP_ENDMNT'!G:G,0,0,1)</f>
        <v>1292225834</v>
      </c>
      <c r="Y310" s="140">
        <f>+_xlfn.XLOOKUP(PROYECTOS[[#This Row],[MUNICIPIO]],'4.CAP_ENDMNT'!B:B,'4.CAP_ENDMNT'!H:H,0,0,1)</f>
        <v>0</v>
      </c>
      <c r="Z310" s="140">
        <f>+_xlfn.XLOOKUP(PROYECTOS[[#This Row],[MUNICIPIO]],'4.CAP_ENDMNT'!B:B,'4.CAP_ENDMNT'!I:I,0,0,1)</f>
        <v>1292225834</v>
      </c>
      <c r="AA310" s="134">
        <f>+_xlfn.XLOOKUP(PROYECTOS[[#This Row],[MUNICIPIO]],'4.CAP_ENDMNT'!B:B,'4.CAP_ENDMNT'!J:J,0,0,1)</f>
        <v>0.20595268820230975</v>
      </c>
      <c r="AB310" s="140">
        <f>+_xlfn.XLOOKUP(PROYECTOS[[#This Row],[MUNICIPIO]],'4.CAP_ENDMNT'!B:B,'4.CAP_ENDMNT'!K:K,0,0,1)</f>
        <v>4982156138.2840004</v>
      </c>
      <c r="AC310" s="140">
        <f>+_xlfn.XLOOKUP(PROYECTOS[[#This Row],[MUNICIPIO]],'4.CAP_ENDMNT'!B:B,'4.CAP_ENDMNT'!L:L,0,0,1)</f>
        <v>3985724910.6272006</v>
      </c>
      <c r="AD310" s="140">
        <f>+_xlfn.XLOOKUP(PROYECTOS[[#This Row],[MUNICIPIO]],'4.CAP_ENDMNT'!B:B,'4.CAP_ENDMNT'!M:M,0,0,1)</f>
        <v>2989293682.9704003</v>
      </c>
      <c r="AE310" s="134">
        <f>+_xlfn.XLOOKUP(PROYECTOS[[#This Row],[MUNICIPIO]],'4.CAP_ENDMNT'!B:B,'4.CAP_ENDMNT'!N:N,0,0,1)</f>
        <v>1</v>
      </c>
      <c r="AF310" s="134">
        <f>+_xlfn.XLOOKUP(PROYECTOS[[#This Row],[MUNICIPIO]],'4.CAP_ENDMNT'!B:B,'4.CAP_ENDMNT'!O:O,0,0,1)</f>
        <v>0.75496548270760855</v>
      </c>
      <c r="AG310" s="134">
        <f>+_xlfn.XLOOKUP(PROYECTOS[[#This Row],[MUNICIPIO]],'4.CAP_ENDMNT'!B:B,'4.CAP_ENDMNT'!P:P,0,0,1)</f>
        <v>0.8</v>
      </c>
      <c r="AH310" s="44" t="str">
        <f>+_xlfn.XLOOKUP(PROYECTOS[[#This Row],[MUNICIPIO]],'4.CAP_ENDMNT'!B:B,'4.CAP_ENDMNT'!Q:Q,0,0,1)</f>
        <v>Riesgo</v>
      </c>
      <c r="AI310" s="139">
        <f>+_xlfn.XLOOKUP(PROYECTOS[[#This Row],[MUNICIPIO]],'4.CAP_ENDMNT'!B:B,'4.CAP_ENDMNT'!V:V,0,0,1)</f>
        <v>597858736.59408009</v>
      </c>
      <c r="AJ310" s="139">
        <f>+_xlfn.XLOOKUP(PROYECTOS[[#This Row],[MUNICIPIO]],'4.CAP_ENDMNT'!B:B,'4.CAP_ENDMNT'!Y:Y,0,0,1)</f>
        <v>-2938227867.4355197</v>
      </c>
      <c r="AK310"/>
      <c r="AL310"/>
      <c r="AM310"/>
    </row>
    <row r="311" spans="1:39">
      <c r="A311" s="44">
        <v>329</v>
      </c>
      <c r="B311" s="37" t="s">
        <v>629</v>
      </c>
      <c r="C311" s="118">
        <v>45747</v>
      </c>
      <c r="D311" s="46" t="s">
        <v>90</v>
      </c>
      <c r="E311" s="47" t="str">
        <f>+_xlfn.XLOOKUP(PROYECTOS[[#This Row],[MUNICIPIO]],MUNICIPIOS!A:A,MUNICIPIOS!E:E,0,0,1)</f>
        <v>Suroeste</v>
      </c>
      <c r="F311" s="44">
        <f>+_xlfn.XLOOKUP(PROYECTOS[[#This Row],[MUNICIPIO]],MUNICIPIOS!A:A,MUNICIPIOS!F:F,0,0,1)</f>
        <v>-75.624452000000005</v>
      </c>
      <c r="G311" s="44">
        <f>+_xlfn.XLOOKUP(PROYECTOS[[#This Row],[MUNICIPIO]],MUNICIPIOS!A:A,MUNICIPIOS!G:G,0,0,1)</f>
        <v>5.6145550000000002</v>
      </c>
      <c r="H311" s="44">
        <f>+_xlfn.XLOOKUP(PROYECTOS[[#This Row],[MUNICIPIO]],MUNICIPIOS!A:A,MUNICIPIOS!B:B,0,0,1)</f>
        <v>0</v>
      </c>
      <c r="I311" s="44">
        <f>+_xlfn.XLOOKUP(PROYECTOS[[#This Row],[MUNICIPIO]],MUNICIPIOS!A:A,MUNICIPIOS!C:C,0,0,1)</f>
        <v>0</v>
      </c>
      <c r="J311" s="3" t="str" cm="1">
        <f t="array" ref="J311">_xlfn.TEXTJOIN(" ", TRUE, IF(radicados[ID PROYECTOS]=A311, radicados[RADICADO], ""))</f>
        <v/>
      </c>
      <c r="K311" s="45">
        <v>1</v>
      </c>
      <c r="L311" s="48"/>
      <c r="M311" s="34" t="s">
        <v>407</v>
      </c>
      <c r="N311" s="40" t="s">
        <v>397</v>
      </c>
      <c r="O311" s="40" t="s">
        <v>56</v>
      </c>
      <c r="P311" s="37" t="s">
        <v>541</v>
      </c>
      <c r="Q311" s="45"/>
      <c r="R311" s="43"/>
      <c r="S311" s="43"/>
      <c r="T311" s="44">
        <f>+_xlfn.XLOOKUP(PROYECTOS[[#This Row],[MUNICIPIO]],'4.CAP_ENDMNT'!B:B,'4.CAP_ENDMNT'!C:C,0,0,1)</f>
        <v>6</v>
      </c>
      <c r="U311" s="139">
        <f>+_xlfn.XLOOKUP(PROYECTOS[[#This Row],[MUNICIPIO]],'4.CAP_ENDMNT'!B:B,'4.CAP_ENDMNT'!D:D,0,0,1)</f>
        <v>6485715716.868001</v>
      </c>
      <c r="V311" s="140">
        <f>+_xlfn.XLOOKUP(PROYECTOS[[#This Row],[MUNICIPIO]],'4.CAP_ENDMNT'!B:B,'4.CAP_ENDMNT'!E:E,0,0,1)</f>
        <v>3717110032.7600002</v>
      </c>
      <c r="W311" s="140">
        <f>+_xlfn.XLOOKUP(PROYECTOS[[#This Row],[MUNICIPIO]],'4.CAP_ENDMNT'!B:B,'4.CAP_ENDMNT'!F:F,0,0,1)</f>
        <v>2768605684.1080008</v>
      </c>
      <c r="X311" s="140">
        <f>+_xlfn.XLOOKUP(PROYECTOS[[#This Row],[MUNICIPIO]],'4.CAP_ENDMNT'!B:B,'4.CAP_ENDMNT'!G:G,0,0,1)</f>
        <v>598561755.20000005</v>
      </c>
      <c r="Y311" s="140">
        <f>+_xlfn.XLOOKUP(PROYECTOS[[#This Row],[MUNICIPIO]],'4.CAP_ENDMNT'!B:B,'4.CAP_ENDMNT'!H:H,0,0,1)</f>
        <v>823222224</v>
      </c>
      <c r="Z311" s="140">
        <f>+_xlfn.XLOOKUP(PROYECTOS[[#This Row],[MUNICIPIO]],'4.CAP_ENDMNT'!B:B,'4.CAP_ENDMNT'!I:I,0,0,1)</f>
        <v>1421783979.2</v>
      </c>
      <c r="AA311" s="134">
        <f>+_xlfn.XLOOKUP(PROYECTOS[[#This Row],[MUNICIPIO]],'4.CAP_ENDMNT'!B:B,'4.CAP_ENDMNT'!J:J,0,0,1)</f>
        <v>0.21921774577665112</v>
      </c>
      <c r="AB311" s="140">
        <f>+_xlfn.XLOOKUP(PROYECTOS[[#This Row],[MUNICIPIO]],'4.CAP_ENDMNT'!B:B,'4.CAP_ENDMNT'!K:K,0,0,1)</f>
        <v>5063931737.6680012</v>
      </c>
      <c r="AC311" s="140">
        <f>+_xlfn.XLOOKUP(PROYECTOS[[#This Row],[MUNICIPIO]],'4.CAP_ENDMNT'!B:B,'4.CAP_ENDMNT'!L:L,0,0,1)</f>
        <v>4051145390.1344013</v>
      </c>
      <c r="AD311" s="140">
        <f>+_xlfn.XLOOKUP(PROYECTOS[[#This Row],[MUNICIPIO]],'4.CAP_ENDMNT'!B:B,'4.CAP_ENDMNT'!M:M,0,0,1)</f>
        <v>3038359042.6008005</v>
      </c>
      <c r="AE311" s="134">
        <f>+_xlfn.XLOOKUP(PROYECTOS[[#This Row],[MUNICIPIO]],'4.CAP_ENDMNT'!B:B,'4.CAP_ENDMNT'!N:N,0,0,1)</f>
        <v>0.42099345889155032</v>
      </c>
      <c r="AF311" s="134">
        <f>+_xlfn.XLOOKUP(PROYECTOS[[#This Row],[MUNICIPIO]],'4.CAP_ENDMNT'!B:B,'4.CAP_ENDMNT'!O:O,0,0,1)</f>
        <v>0.68598337343648785</v>
      </c>
      <c r="AG311" s="134">
        <f>+_xlfn.XLOOKUP(PROYECTOS[[#This Row],[MUNICIPIO]],'4.CAP_ENDMNT'!B:B,'4.CAP_ENDMNT'!P:P,0,0,1)</f>
        <v>0.8</v>
      </c>
      <c r="AH311" s="44" t="str">
        <f>+_xlfn.XLOOKUP(PROYECTOS[[#This Row],[MUNICIPIO]],'4.CAP_ENDMNT'!B:B,'4.CAP_ENDMNT'!Q:Q,0,0,1)</f>
        <v>Cumple</v>
      </c>
      <c r="AI311" s="139">
        <f>+_xlfn.XLOOKUP(PROYECTOS[[#This Row],[MUNICIPIO]],'4.CAP_ENDMNT'!B:B,'4.CAP_ENDMNT'!V:V,0,0,1)</f>
        <v>607671808.52016008</v>
      </c>
      <c r="AJ311" s="139">
        <f>+_xlfn.XLOOKUP(PROYECTOS[[#This Row],[MUNICIPIO]],'4.CAP_ENDMNT'!B:B,'4.CAP_ENDMNT'!Y:Y,0,0,1)</f>
        <v>-1701336321.8790393</v>
      </c>
      <c r="AK311"/>
      <c r="AL311"/>
      <c r="AM311"/>
    </row>
    <row r="312" spans="1:39">
      <c r="A312" s="44">
        <v>330</v>
      </c>
      <c r="B312" s="37" t="s">
        <v>630</v>
      </c>
      <c r="C312" s="118">
        <v>45747</v>
      </c>
      <c r="D312" s="46" t="s">
        <v>61</v>
      </c>
      <c r="E312" s="47" t="str">
        <f>+_xlfn.XLOOKUP(PROYECTOS[[#This Row],[MUNICIPIO]],MUNICIPIOS!A:A,MUNICIPIOS!E:E,0,0,1)</f>
        <v>Suroeste</v>
      </c>
      <c r="F312" s="44">
        <f>+_xlfn.XLOOKUP(PROYECTOS[[#This Row],[MUNICIPIO]],MUNICIPIOS!A:A,MUNICIPIOS!F:F,0,0,1)</f>
        <v>-75.675072</v>
      </c>
      <c r="G312" s="44" t="str">
        <f>+_xlfn.XLOOKUP(PROYECTOS[[#This Row],[MUNICIPIO]],MUNICIPIOS!A:A,MUNICIPIOS!G:G,0,0,1)</f>
        <v>5,928039</v>
      </c>
      <c r="H312" s="44">
        <f>+_xlfn.XLOOKUP(PROYECTOS[[#This Row],[MUNICIPIO]],MUNICIPIOS!A:A,MUNICIPIOS!B:B,0,0,1)</f>
        <v>0</v>
      </c>
      <c r="I312" s="44">
        <f>+_xlfn.XLOOKUP(PROYECTOS[[#This Row],[MUNICIPIO]],MUNICIPIOS!A:A,MUNICIPIOS!C:C,0,0,1)</f>
        <v>0</v>
      </c>
      <c r="J312" s="3" t="str" cm="1">
        <f t="array" ref="J312">_xlfn.TEXTJOIN(" ", TRUE, IF(radicados[ID PROYECTOS]=A312, radicados[RADICADO], ""))</f>
        <v/>
      </c>
      <c r="K312" s="45">
        <v>1</v>
      </c>
      <c r="L312" s="48"/>
      <c r="M312" s="34" t="s">
        <v>407</v>
      </c>
      <c r="N312" s="40" t="s">
        <v>397</v>
      </c>
      <c r="O312" s="40" t="s">
        <v>56</v>
      </c>
      <c r="P312" s="37" t="s">
        <v>541</v>
      </c>
      <c r="Q312" s="45"/>
      <c r="R312" s="43"/>
      <c r="S312" s="43"/>
      <c r="T312" s="44">
        <f>+_xlfn.XLOOKUP(PROYECTOS[[#This Row],[MUNICIPIO]],'4.CAP_ENDMNT'!B:B,'4.CAP_ENDMNT'!C:C,0,0,1)</f>
        <v>6</v>
      </c>
      <c r="U312" s="139">
        <f>+_xlfn.XLOOKUP(PROYECTOS[[#This Row],[MUNICIPIO]],'4.CAP_ENDMNT'!B:B,'4.CAP_ENDMNT'!D:D,0,0,1)</f>
        <v>17515986067.273998</v>
      </c>
      <c r="V312" s="140">
        <f>+_xlfn.XLOOKUP(PROYECTOS[[#This Row],[MUNICIPIO]],'4.CAP_ENDMNT'!B:B,'4.CAP_ENDMNT'!E:E,0,0,1)</f>
        <v>8346764868.3600006</v>
      </c>
      <c r="W312" s="140">
        <f>+_xlfn.XLOOKUP(PROYECTOS[[#This Row],[MUNICIPIO]],'4.CAP_ENDMNT'!B:B,'4.CAP_ENDMNT'!F:F,0,0,1)</f>
        <v>9169221198.9139977</v>
      </c>
      <c r="X312" s="140">
        <f>+_xlfn.XLOOKUP(PROYECTOS[[#This Row],[MUNICIPIO]],'4.CAP_ENDMNT'!B:B,'4.CAP_ENDMNT'!G:G,0,0,1)</f>
        <v>0</v>
      </c>
      <c r="Y312" s="140">
        <f>+_xlfn.XLOOKUP(PROYECTOS[[#This Row],[MUNICIPIO]],'4.CAP_ENDMNT'!B:B,'4.CAP_ENDMNT'!H:H,0,0,1)</f>
        <v>6328650461</v>
      </c>
      <c r="Z312" s="140">
        <f>+_xlfn.XLOOKUP(PROYECTOS[[#This Row],[MUNICIPIO]],'4.CAP_ENDMNT'!B:B,'4.CAP_ENDMNT'!I:I,0,0,1)</f>
        <v>6328650461</v>
      </c>
      <c r="AA312" s="134">
        <f>+_xlfn.XLOOKUP(PROYECTOS[[#This Row],[MUNICIPIO]],'4.CAP_ENDMNT'!B:B,'4.CAP_ENDMNT'!J:J,0,0,1)</f>
        <v>0.36130711891945022</v>
      </c>
      <c r="AB312" s="140">
        <f>+_xlfn.XLOOKUP(PROYECTOS[[#This Row],[MUNICIPIO]],'4.CAP_ENDMNT'!B:B,'4.CAP_ENDMNT'!K:K,0,0,1)</f>
        <v>11187335606.273998</v>
      </c>
      <c r="AC312" s="140">
        <f>+_xlfn.XLOOKUP(PROYECTOS[[#This Row],[MUNICIPIO]],'4.CAP_ENDMNT'!B:B,'4.CAP_ENDMNT'!L:L,0,0,1)</f>
        <v>8949868485.0191994</v>
      </c>
      <c r="AD312" s="140">
        <f>+_xlfn.XLOOKUP(PROYECTOS[[#This Row],[MUNICIPIO]],'4.CAP_ENDMNT'!B:B,'4.CAP_ENDMNT'!M:M,0,0,1)</f>
        <v>6712401363.7643986</v>
      </c>
      <c r="AE312" s="134">
        <f>+_xlfn.XLOOKUP(PROYECTOS[[#This Row],[MUNICIPIO]],'4.CAP_ENDMNT'!B:B,'4.CAP_ENDMNT'!N:N,0,0,1)</f>
        <v>0</v>
      </c>
      <c r="AF312" s="134">
        <f>+_xlfn.XLOOKUP(PROYECTOS[[#This Row],[MUNICIPIO]],'4.CAP_ENDMNT'!B:B,'4.CAP_ENDMNT'!O:O,0,0,1)</f>
        <v>0.67376313277740918</v>
      </c>
      <c r="AG312" s="134">
        <f>+_xlfn.XLOOKUP(PROYECTOS[[#This Row],[MUNICIPIO]],'4.CAP_ENDMNT'!B:B,'4.CAP_ENDMNT'!P:P,0,0,1)</f>
        <v>0.8</v>
      </c>
      <c r="AH312" s="44" t="str">
        <f>+_xlfn.XLOOKUP(PROYECTOS[[#This Row],[MUNICIPIO]],'4.CAP_ENDMNT'!B:B,'4.CAP_ENDMNT'!Q:Q,0,0,1)</f>
        <v>Cumple</v>
      </c>
      <c r="AI312" s="139">
        <f>+_xlfn.XLOOKUP(PROYECTOS[[#This Row],[MUNICIPIO]],'4.CAP_ENDMNT'!B:B,'4.CAP_ENDMNT'!V:V,0,0,1)</f>
        <v>1342480272.7528799</v>
      </c>
      <c r="AJ312" s="139">
        <f>+_xlfn.XLOOKUP(PROYECTOS[[#This Row],[MUNICIPIO]],'4.CAP_ENDMNT'!B:B,'4.CAP_ENDMNT'!Y:Y,0,0,1)</f>
        <v>3280962216.5172787</v>
      </c>
      <c r="AK312"/>
      <c r="AL312"/>
      <c r="AM312"/>
    </row>
    <row r="313" spans="1:39">
      <c r="A313" s="44">
        <v>331</v>
      </c>
      <c r="B313" s="37" t="s">
        <v>631</v>
      </c>
      <c r="C313" s="118">
        <v>45747</v>
      </c>
      <c r="D313" s="46" t="s">
        <v>61</v>
      </c>
      <c r="E313" s="47" t="str">
        <f>+_xlfn.XLOOKUP(PROYECTOS[[#This Row],[MUNICIPIO]],MUNICIPIOS!A:A,MUNICIPIOS!E:E,0,0,1)</f>
        <v>Suroeste</v>
      </c>
      <c r="F313" s="44">
        <f>+_xlfn.XLOOKUP(PROYECTOS[[#This Row],[MUNICIPIO]],MUNICIPIOS!A:A,MUNICIPIOS!F:F,0,0,1)</f>
        <v>-75.675072</v>
      </c>
      <c r="G313" s="44" t="str">
        <f>+_xlfn.XLOOKUP(PROYECTOS[[#This Row],[MUNICIPIO]],MUNICIPIOS!A:A,MUNICIPIOS!G:G,0,0,1)</f>
        <v>5,928039</v>
      </c>
      <c r="H313" s="44">
        <f>+_xlfn.XLOOKUP(PROYECTOS[[#This Row],[MUNICIPIO]],MUNICIPIOS!A:A,MUNICIPIOS!B:B,0,0,1)</f>
        <v>0</v>
      </c>
      <c r="I313" s="44">
        <f>+_xlfn.XLOOKUP(PROYECTOS[[#This Row],[MUNICIPIO]],MUNICIPIOS!A:A,MUNICIPIOS!C:C,0,0,1)</f>
        <v>0</v>
      </c>
      <c r="J313" s="3" t="str" cm="1">
        <f t="array" ref="J313">_xlfn.TEXTJOIN(" ", TRUE, IF(radicados[ID PROYECTOS]=A313, radicados[RADICADO], ""))</f>
        <v/>
      </c>
      <c r="K313" s="45">
        <v>1</v>
      </c>
      <c r="L313" s="48"/>
      <c r="M313" s="34" t="s">
        <v>407</v>
      </c>
      <c r="N313" s="40" t="s">
        <v>397</v>
      </c>
      <c r="O313" s="40" t="s">
        <v>56</v>
      </c>
      <c r="P313" s="37" t="s">
        <v>541</v>
      </c>
      <c r="Q313" s="45"/>
      <c r="R313" s="43"/>
      <c r="S313" s="43"/>
      <c r="T313" s="44">
        <f>+_xlfn.XLOOKUP(PROYECTOS[[#This Row],[MUNICIPIO]],'4.CAP_ENDMNT'!B:B,'4.CAP_ENDMNT'!C:C,0,0,1)</f>
        <v>6</v>
      </c>
      <c r="U313" s="139">
        <f>+_xlfn.XLOOKUP(PROYECTOS[[#This Row],[MUNICIPIO]],'4.CAP_ENDMNT'!B:B,'4.CAP_ENDMNT'!D:D,0,0,1)</f>
        <v>17515986067.273998</v>
      </c>
      <c r="V313" s="140">
        <f>+_xlfn.XLOOKUP(PROYECTOS[[#This Row],[MUNICIPIO]],'4.CAP_ENDMNT'!B:B,'4.CAP_ENDMNT'!E:E,0,0,1)</f>
        <v>8346764868.3600006</v>
      </c>
      <c r="W313" s="140">
        <f>+_xlfn.XLOOKUP(PROYECTOS[[#This Row],[MUNICIPIO]],'4.CAP_ENDMNT'!B:B,'4.CAP_ENDMNT'!F:F,0,0,1)</f>
        <v>9169221198.9139977</v>
      </c>
      <c r="X313" s="140">
        <f>+_xlfn.XLOOKUP(PROYECTOS[[#This Row],[MUNICIPIO]],'4.CAP_ENDMNT'!B:B,'4.CAP_ENDMNT'!G:G,0,0,1)</f>
        <v>0</v>
      </c>
      <c r="Y313" s="140">
        <f>+_xlfn.XLOOKUP(PROYECTOS[[#This Row],[MUNICIPIO]],'4.CAP_ENDMNT'!B:B,'4.CAP_ENDMNT'!H:H,0,0,1)</f>
        <v>6328650461</v>
      </c>
      <c r="Z313" s="140">
        <f>+_xlfn.XLOOKUP(PROYECTOS[[#This Row],[MUNICIPIO]],'4.CAP_ENDMNT'!B:B,'4.CAP_ENDMNT'!I:I,0,0,1)</f>
        <v>6328650461</v>
      </c>
      <c r="AA313" s="134">
        <f>+_xlfn.XLOOKUP(PROYECTOS[[#This Row],[MUNICIPIO]],'4.CAP_ENDMNT'!B:B,'4.CAP_ENDMNT'!J:J,0,0,1)</f>
        <v>0.36130711891945022</v>
      </c>
      <c r="AB313" s="140">
        <f>+_xlfn.XLOOKUP(PROYECTOS[[#This Row],[MUNICIPIO]],'4.CAP_ENDMNT'!B:B,'4.CAP_ENDMNT'!K:K,0,0,1)</f>
        <v>11187335606.273998</v>
      </c>
      <c r="AC313" s="140">
        <f>+_xlfn.XLOOKUP(PROYECTOS[[#This Row],[MUNICIPIO]],'4.CAP_ENDMNT'!B:B,'4.CAP_ENDMNT'!L:L,0,0,1)</f>
        <v>8949868485.0191994</v>
      </c>
      <c r="AD313" s="140">
        <f>+_xlfn.XLOOKUP(PROYECTOS[[#This Row],[MUNICIPIO]],'4.CAP_ENDMNT'!B:B,'4.CAP_ENDMNT'!M:M,0,0,1)</f>
        <v>6712401363.7643986</v>
      </c>
      <c r="AE313" s="134">
        <f>+_xlfn.XLOOKUP(PROYECTOS[[#This Row],[MUNICIPIO]],'4.CAP_ENDMNT'!B:B,'4.CAP_ENDMNT'!N:N,0,0,1)</f>
        <v>0</v>
      </c>
      <c r="AF313" s="134">
        <f>+_xlfn.XLOOKUP(PROYECTOS[[#This Row],[MUNICIPIO]],'4.CAP_ENDMNT'!B:B,'4.CAP_ENDMNT'!O:O,0,0,1)</f>
        <v>0.67376313277740918</v>
      </c>
      <c r="AG313" s="134">
        <f>+_xlfn.XLOOKUP(PROYECTOS[[#This Row],[MUNICIPIO]],'4.CAP_ENDMNT'!B:B,'4.CAP_ENDMNT'!P:P,0,0,1)</f>
        <v>0.8</v>
      </c>
      <c r="AH313" s="44" t="str">
        <f>+_xlfn.XLOOKUP(PROYECTOS[[#This Row],[MUNICIPIO]],'4.CAP_ENDMNT'!B:B,'4.CAP_ENDMNT'!Q:Q,0,0,1)</f>
        <v>Cumple</v>
      </c>
      <c r="AI313" s="139">
        <f>+_xlfn.XLOOKUP(PROYECTOS[[#This Row],[MUNICIPIO]],'4.CAP_ENDMNT'!B:B,'4.CAP_ENDMNT'!V:V,0,0,1)</f>
        <v>1342480272.7528799</v>
      </c>
      <c r="AJ313" s="139">
        <f>+_xlfn.XLOOKUP(PROYECTOS[[#This Row],[MUNICIPIO]],'4.CAP_ENDMNT'!B:B,'4.CAP_ENDMNT'!Y:Y,0,0,1)</f>
        <v>3280962216.5172787</v>
      </c>
      <c r="AK313"/>
      <c r="AL313"/>
      <c r="AM313"/>
    </row>
    <row r="314" spans="1:39">
      <c r="A314" s="44">
        <v>332</v>
      </c>
      <c r="B314" s="37" t="s">
        <v>632</v>
      </c>
      <c r="C314" s="118">
        <v>45747</v>
      </c>
      <c r="D314" s="46" t="s">
        <v>52</v>
      </c>
      <c r="E314" s="47" t="str">
        <f>+_xlfn.XLOOKUP(PROYECTOS[[#This Row],[MUNICIPIO]],MUNICIPIOS!A:A,MUNICIPIOS!E:E,0,0,1)</f>
        <v>Suroeste</v>
      </c>
      <c r="F314" s="44">
        <f>+_xlfn.XLOOKUP(PROYECTOS[[#This Row],[MUNICIPIO]],MUNICIPIOS!A:A,MUNICIPIOS!F:F,0,0,1)</f>
        <v>-75.714428999999996</v>
      </c>
      <c r="G314" s="44">
        <f>+_xlfn.XLOOKUP(PROYECTOS[[#This Row],[MUNICIPIO]],MUNICIPIOS!A:A,MUNICIPIOS!G:G,0,0,1)</f>
        <v>5.6646450000000002</v>
      </c>
      <c r="H314" s="44">
        <f>+_xlfn.XLOOKUP(PROYECTOS[[#This Row],[MUNICIPIO]],MUNICIPIOS!A:A,MUNICIPIOS!B:B,0,0,1)</f>
        <v>0</v>
      </c>
      <c r="I314" s="44">
        <f>+_xlfn.XLOOKUP(PROYECTOS[[#This Row],[MUNICIPIO]],MUNICIPIOS!A:A,MUNICIPIOS!C:C,0,0,1)</f>
        <v>0</v>
      </c>
      <c r="J314" s="3" t="str" cm="1">
        <f t="array" ref="J314">_xlfn.TEXTJOIN(" ", TRUE, IF(radicados[ID PROYECTOS]=A314, radicados[RADICADO], ""))</f>
        <v/>
      </c>
      <c r="K314" s="45">
        <v>1</v>
      </c>
      <c r="L314" s="48"/>
      <c r="M314" s="34" t="s">
        <v>407</v>
      </c>
      <c r="N314" s="40" t="s">
        <v>397</v>
      </c>
      <c r="O314" s="40" t="s">
        <v>56</v>
      </c>
      <c r="P314" s="37" t="s">
        <v>541</v>
      </c>
      <c r="Q314" s="45"/>
      <c r="R314" s="43"/>
      <c r="S314" s="43"/>
      <c r="T314" s="44">
        <f>+_xlfn.XLOOKUP(PROYECTOS[[#This Row],[MUNICIPIO]],'4.CAP_ENDMNT'!B:B,'4.CAP_ENDMNT'!C:C,0,0,1)</f>
        <v>6</v>
      </c>
      <c r="U314" s="139">
        <f>+_xlfn.XLOOKUP(PROYECTOS[[#This Row],[MUNICIPIO]],'4.CAP_ENDMNT'!B:B,'4.CAP_ENDMNT'!D:D,0,0,1)</f>
        <v>13939577899.640499</v>
      </c>
      <c r="V314" s="140">
        <f>+_xlfn.XLOOKUP(PROYECTOS[[#This Row],[MUNICIPIO]],'4.CAP_ENDMNT'!B:B,'4.CAP_ENDMNT'!E:E,0,0,1)</f>
        <v>5408645166.3600006</v>
      </c>
      <c r="W314" s="140">
        <f>+_xlfn.XLOOKUP(PROYECTOS[[#This Row],[MUNICIPIO]],'4.CAP_ENDMNT'!B:B,'4.CAP_ENDMNT'!F:F,0,0,1)</f>
        <v>8530932733.2804985</v>
      </c>
      <c r="X314" s="140">
        <f>+_xlfn.XLOOKUP(PROYECTOS[[#This Row],[MUNICIPIO]],'4.CAP_ENDMNT'!B:B,'4.CAP_ENDMNT'!G:G,0,0,1)</f>
        <v>2408239973</v>
      </c>
      <c r="Y314" s="140">
        <f>+_xlfn.XLOOKUP(PROYECTOS[[#This Row],[MUNICIPIO]],'4.CAP_ENDMNT'!B:B,'4.CAP_ENDMNT'!H:H,0,0,1)</f>
        <v>812109375</v>
      </c>
      <c r="Z314" s="140">
        <f>+_xlfn.XLOOKUP(PROYECTOS[[#This Row],[MUNICIPIO]],'4.CAP_ENDMNT'!B:B,'4.CAP_ENDMNT'!I:I,0,0,1)</f>
        <v>3220349348</v>
      </c>
      <c r="AA314" s="134">
        <f>+_xlfn.XLOOKUP(PROYECTOS[[#This Row],[MUNICIPIO]],'4.CAP_ENDMNT'!B:B,'4.CAP_ENDMNT'!J:J,0,0,1)</f>
        <v>0.23102201309001277</v>
      </c>
      <c r="AB314" s="140">
        <f>+_xlfn.XLOOKUP(PROYECTOS[[#This Row],[MUNICIPIO]],'4.CAP_ENDMNT'!B:B,'4.CAP_ENDMNT'!K:K,0,0,1)</f>
        <v>10719228551.640499</v>
      </c>
      <c r="AC314" s="140">
        <f>+_xlfn.XLOOKUP(PROYECTOS[[#This Row],[MUNICIPIO]],'4.CAP_ENDMNT'!B:B,'4.CAP_ENDMNT'!L:L,0,0,1)</f>
        <v>8575382841.3123999</v>
      </c>
      <c r="AD314" s="140">
        <f>+_xlfn.XLOOKUP(PROYECTOS[[#This Row],[MUNICIPIO]],'4.CAP_ENDMNT'!B:B,'4.CAP_ENDMNT'!M:M,0,0,1)</f>
        <v>6431537130.9842997</v>
      </c>
      <c r="AE314" s="134">
        <f>+_xlfn.XLOOKUP(PROYECTOS[[#This Row],[MUNICIPIO]],'4.CAP_ENDMNT'!B:B,'4.CAP_ENDMNT'!N:N,0,0,1)</f>
        <v>0.74781947942872684</v>
      </c>
      <c r="AF314" s="134">
        <f>+_xlfn.XLOOKUP(PROYECTOS[[#This Row],[MUNICIPIO]],'4.CAP_ENDMNT'!B:B,'4.CAP_ENDMNT'!O:O,0,0,1)</f>
        <v>0.48148969869574604</v>
      </c>
      <c r="AG314" s="134">
        <f>+_xlfn.XLOOKUP(PROYECTOS[[#This Row],[MUNICIPIO]],'4.CAP_ENDMNT'!B:B,'4.CAP_ENDMNT'!P:P,0,0,1)</f>
        <v>0.8</v>
      </c>
      <c r="AH314" s="44" t="str">
        <f>+_xlfn.XLOOKUP(PROYECTOS[[#This Row],[MUNICIPIO]],'4.CAP_ENDMNT'!B:B,'4.CAP_ENDMNT'!Q:Q,0,0,1)</f>
        <v>Cumple</v>
      </c>
      <c r="AI314" s="139">
        <f>+_xlfn.XLOOKUP(PROYECTOS[[#This Row],[MUNICIPIO]],'4.CAP_ENDMNT'!B:B,'4.CAP_ENDMNT'!V:V,0,0,1)</f>
        <v>1286307426.1968601</v>
      </c>
      <c r="AJ314" s="139">
        <f>+_xlfn.XLOOKUP(PROYECTOS[[#This Row],[MUNICIPIO]],'4.CAP_ENDMNT'!B:B,'4.CAP_ENDMNT'!Y:Y,0,0,1)</f>
        <v>-10772171787.81884</v>
      </c>
      <c r="AK314"/>
      <c r="AL314"/>
      <c r="AM314"/>
    </row>
    <row r="315" spans="1:39">
      <c r="A315" s="44">
        <v>333</v>
      </c>
      <c r="B315" s="37" t="s">
        <v>633</v>
      </c>
      <c r="C315" s="118">
        <v>45747</v>
      </c>
      <c r="D315" s="46" t="s">
        <v>216</v>
      </c>
      <c r="E315" s="47" t="str">
        <f>+_xlfn.XLOOKUP(PROYECTOS[[#This Row],[MUNICIPIO]],MUNICIPIOS!A:A,MUNICIPIOS!E:E,0,0,1)</f>
        <v>Suroeste</v>
      </c>
      <c r="F315" s="44">
        <f>+_xlfn.XLOOKUP(PROYECTOS[[#This Row],[MUNICIPIO]],MUNICIPIOS!A:A,MUNICIPIOS!F:F,0,0,1)</f>
        <v>-75.878827999999999</v>
      </c>
      <c r="G315" s="44" t="str">
        <f>+_xlfn.XLOOKUP(PROYECTOS[[#This Row],[MUNICIPIO]],MUNICIPIOS!A:A,MUNICIPIOS!G:G,0,0,1)</f>
        <v>5,657194</v>
      </c>
      <c r="H315" s="44">
        <f>+_xlfn.XLOOKUP(PROYECTOS[[#This Row],[MUNICIPIO]],MUNICIPIOS!A:A,MUNICIPIOS!B:B,0,0,1)</f>
        <v>0</v>
      </c>
      <c r="I315" s="44">
        <f>+_xlfn.XLOOKUP(PROYECTOS[[#This Row],[MUNICIPIO]],MUNICIPIOS!A:A,MUNICIPIOS!C:C,0,0,1)</f>
        <v>0</v>
      </c>
      <c r="J315" s="3" t="str" cm="1">
        <f t="array" ref="J315">_xlfn.TEXTJOIN(" ", TRUE, IF(radicados[ID PROYECTOS]=A315, radicados[RADICADO], ""))</f>
        <v/>
      </c>
      <c r="K315" s="45">
        <v>1</v>
      </c>
      <c r="L315" s="48"/>
      <c r="M315" s="34" t="s">
        <v>407</v>
      </c>
      <c r="N315" s="40" t="s">
        <v>397</v>
      </c>
      <c r="O315" s="40" t="s">
        <v>56</v>
      </c>
      <c r="P315" s="37" t="s">
        <v>541</v>
      </c>
      <c r="Q315" s="45"/>
      <c r="R315" s="43"/>
      <c r="S315" s="43"/>
      <c r="T315" s="44">
        <f>+_xlfn.XLOOKUP(PROYECTOS[[#This Row],[MUNICIPIO]],'4.CAP_ENDMNT'!B:B,'4.CAP_ENDMNT'!C:C,0,0,1)</f>
        <v>6</v>
      </c>
      <c r="U315" s="139">
        <f>+_xlfn.XLOOKUP(PROYECTOS[[#This Row],[MUNICIPIO]],'4.CAP_ENDMNT'!B:B,'4.CAP_ENDMNT'!D:D,0,0,1)</f>
        <v>27843076411.630001</v>
      </c>
      <c r="V315" s="140">
        <f>+_xlfn.XLOOKUP(PROYECTOS[[#This Row],[MUNICIPIO]],'4.CAP_ENDMNT'!B:B,'4.CAP_ENDMNT'!E:E,0,0,1)</f>
        <v>11739999040.630001</v>
      </c>
      <c r="W315" s="140">
        <f>+_xlfn.XLOOKUP(PROYECTOS[[#This Row],[MUNICIPIO]],'4.CAP_ENDMNT'!B:B,'4.CAP_ENDMNT'!F:F,0,0,1)</f>
        <v>16103077371</v>
      </c>
      <c r="X315" s="140">
        <f>+_xlfn.XLOOKUP(PROYECTOS[[#This Row],[MUNICIPIO]],'4.CAP_ENDMNT'!B:B,'4.CAP_ENDMNT'!G:G,0,0,1)</f>
        <v>13999483044</v>
      </c>
      <c r="Y315" s="140">
        <f>+_xlfn.XLOOKUP(PROYECTOS[[#This Row],[MUNICIPIO]],'4.CAP_ENDMNT'!B:B,'4.CAP_ENDMNT'!H:H,0,0,1)</f>
        <v>1243354438.6800001</v>
      </c>
      <c r="Z315" s="140">
        <f>+_xlfn.XLOOKUP(PROYECTOS[[#This Row],[MUNICIPIO]],'4.CAP_ENDMNT'!B:B,'4.CAP_ENDMNT'!I:I,0,0,1)</f>
        <v>15242837482.68</v>
      </c>
      <c r="AA315" s="134">
        <f>+_xlfn.XLOOKUP(PROYECTOS[[#This Row],[MUNICIPIO]],'4.CAP_ENDMNT'!B:B,'4.CAP_ENDMNT'!J:J,0,0,1)</f>
        <v>0.54745521857322832</v>
      </c>
      <c r="AB315" s="140">
        <f>+_xlfn.XLOOKUP(PROYECTOS[[#This Row],[MUNICIPIO]],'4.CAP_ENDMNT'!B:B,'4.CAP_ENDMNT'!K:K,0,0,1)</f>
        <v>12600238928.950001</v>
      </c>
      <c r="AC315" s="140">
        <f>+_xlfn.XLOOKUP(PROYECTOS[[#This Row],[MUNICIPIO]],'4.CAP_ENDMNT'!B:B,'4.CAP_ENDMNT'!L:L,0,0,1)</f>
        <v>10080191143.160002</v>
      </c>
      <c r="AD315" s="140">
        <f>+_xlfn.XLOOKUP(PROYECTOS[[#This Row],[MUNICIPIO]],'4.CAP_ENDMNT'!B:B,'4.CAP_ENDMNT'!M:M,0,0,1)</f>
        <v>7560143357.3699999</v>
      </c>
      <c r="AE315" s="134">
        <f>+_xlfn.XLOOKUP(PROYECTOS[[#This Row],[MUNICIPIO]],'4.CAP_ENDMNT'!B:B,'4.CAP_ENDMNT'!N:N,0,0,1)</f>
        <v>0.91843025026719671</v>
      </c>
      <c r="AF315" s="134">
        <f>+_xlfn.XLOOKUP(PROYECTOS[[#This Row],[MUNICIPIO]],'4.CAP_ENDMNT'!B:B,'4.CAP_ENDMNT'!O:O,0,0,1)</f>
        <v>0.46026317160648733</v>
      </c>
      <c r="AG315" s="134">
        <f>+_xlfn.XLOOKUP(PROYECTOS[[#This Row],[MUNICIPIO]],'4.CAP_ENDMNT'!B:B,'4.CAP_ENDMNT'!P:P,0,0,1)</f>
        <v>0.8</v>
      </c>
      <c r="AH315" s="44" t="str">
        <f>+_xlfn.XLOOKUP(PROYECTOS[[#This Row],[MUNICIPIO]],'4.CAP_ENDMNT'!B:B,'4.CAP_ENDMNT'!Q:Q,0,0,1)</f>
        <v>Cumple</v>
      </c>
      <c r="AI315" s="139">
        <f>+_xlfn.XLOOKUP(PROYECTOS[[#This Row],[MUNICIPIO]],'4.CAP_ENDMNT'!B:B,'4.CAP_ENDMNT'!V:V,0,0,1)</f>
        <v>1512028671.474</v>
      </c>
      <c r="AJ315" s="139">
        <f>+_xlfn.XLOOKUP(PROYECTOS[[#This Row],[MUNICIPIO]],'4.CAP_ENDMNT'!B:B,'4.CAP_ENDMNT'!Y:Y,0,0,1)</f>
        <v>-29909877478.155998</v>
      </c>
      <c r="AK315"/>
      <c r="AL315"/>
      <c r="AM315"/>
    </row>
    <row r="316" spans="1:39">
      <c r="A316" s="44">
        <v>334</v>
      </c>
      <c r="B316" s="37" t="s">
        <v>634</v>
      </c>
      <c r="C316" s="118">
        <v>45747</v>
      </c>
      <c r="D316" s="46" t="s">
        <v>444</v>
      </c>
      <c r="E316" s="47" t="str">
        <f>+_xlfn.XLOOKUP(PROYECTOS[[#This Row],[MUNICIPIO]],MUNICIPIOS!A:A,MUNICIPIOS!E:E,0,0,1)</f>
        <v>Suroeste</v>
      </c>
      <c r="F316" s="44">
        <f>+_xlfn.XLOOKUP(PROYECTOS[[#This Row],[MUNICIPIO]],MUNICIPIOS!A:A,MUNICIPIOS!F:F,0,0,1)</f>
        <v>-75.908448000000007</v>
      </c>
      <c r="G316" s="44" t="str">
        <f>+_xlfn.XLOOKUP(PROYECTOS[[#This Row],[MUNICIPIO]],MUNICIPIOS!A:A,MUNICIPIOS!G:G,0,0,1)</f>
        <v>6,045738</v>
      </c>
      <c r="H316" s="44">
        <f>+_xlfn.XLOOKUP(PROYECTOS[[#This Row],[MUNICIPIO]],MUNICIPIOS!A:A,MUNICIPIOS!B:B,0,0,1)</f>
        <v>0</v>
      </c>
      <c r="I316" s="44">
        <f>+_xlfn.XLOOKUP(PROYECTOS[[#This Row],[MUNICIPIO]],MUNICIPIOS!A:A,MUNICIPIOS!C:C,0,0,1)</f>
        <v>0</v>
      </c>
      <c r="J316" s="3" t="str" cm="1">
        <f t="array" ref="J316">_xlfn.TEXTJOIN(" ", TRUE, IF(radicados[ID PROYECTOS]=A316, radicados[RADICADO], ""))</f>
        <v/>
      </c>
      <c r="K316" s="45">
        <v>1</v>
      </c>
      <c r="L316" s="48"/>
      <c r="M316" s="34" t="s">
        <v>407</v>
      </c>
      <c r="N316" s="40" t="s">
        <v>397</v>
      </c>
      <c r="O316" s="40" t="s">
        <v>56</v>
      </c>
      <c r="P316" s="37" t="s">
        <v>541</v>
      </c>
      <c r="Q316" s="45"/>
      <c r="R316" s="43"/>
      <c r="S316" s="43"/>
      <c r="T316" s="44">
        <f>+_xlfn.XLOOKUP(PROYECTOS[[#This Row],[MUNICIPIO]],'4.CAP_ENDMNT'!B:B,'4.CAP_ENDMNT'!C:C,0,0,1)</f>
        <v>6</v>
      </c>
      <c r="U316" s="139">
        <f>+_xlfn.XLOOKUP(PROYECTOS[[#This Row],[MUNICIPIO]],'4.CAP_ENDMNT'!B:B,'4.CAP_ENDMNT'!D:D,0,0,1)</f>
        <v>15768761995.465</v>
      </c>
      <c r="V316" s="140">
        <f>+_xlfn.XLOOKUP(PROYECTOS[[#This Row],[MUNICIPIO]],'4.CAP_ENDMNT'!B:B,'4.CAP_ENDMNT'!E:E,0,0,1)</f>
        <v>6120714378.3199997</v>
      </c>
      <c r="W316" s="140">
        <f>+_xlfn.XLOOKUP(PROYECTOS[[#This Row],[MUNICIPIO]],'4.CAP_ENDMNT'!B:B,'4.CAP_ENDMNT'!F:F,0,0,1)</f>
        <v>9648047617.1450005</v>
      </c>
      <c r="X316" s="140">
        <f>+_xlfn.XLOOKUP(PROYECTOS[[#This Row],[MUNICIPIO]],'4.CAP_ENDMNT'!B:B,'4.CAP_ENDMNT'!G:G,0,0,1)</f>
        <v>0</v>
      </c>
      <c r="Y316" s="140">
        <f>+_xlfn.XLOOKUP(PROYECTOS[[#This Row],[MUNICIPIO]],'4.CAP_ENDMNT'!B:B,'4.CAP_ENDMNT'!H:H,0,0,1)</f>
        <v>1826140917</v>
      </c>
      <c r="Z316" s="140">
        <f>+_xlfn.XLOOKUP(PROYECTOS[[#This Row],[MUNICIPIO]],'4.CAP_ENDMNT'!B:B,'4.CAP_ENDMNT'!I:I,0,0,1)</f>
        <v>1826140917</v>
      </c>
      <c r="AA316" s="134">
        <f>+_xlfn.XLOOKUP(PROYECTOS[[#This Row],[MUNICIPIO]],'4.CAP_ENDMNT'!B:B,'4.CAP_ENDMNT'!J:J,0,0,1)</f>
        <v>0.11580750077432755</v>
      </c>
      <c r="AB316" s="140">
        <f>+_xlfn.XLOOKUP(PROYECTOS[[#This Row],[MUNICIPIO]],'4.CAP_ENDMNT'!B:B,'4.CAP_ENDMNT'!K:K,0,0,1)</f>
        <v>13942621078.465</v>
      </c>
      <c r="AC316" s="140">
        <f>+_xlfn.XLOOKUP(PROYECTOS[[#This Row],[MUNICIPIO]],'4.CAP_ENDMNT'!B:B,'4.CAP_ENDMNT'!L:L,0,0,1)</f>
        <v>11154096862.772001</v>
      </c>
      <c r="AD316" s="140">
        <f>+_xlfn.XLOOKUP(PROYECTOS[[#This Row],[MUNICIPIO]],'4.CAP_ENDMNT'!B:B,'4.CAP_ENDMNT'!M:M,0,0,1)</f>
        <v>8365572647.0789995</v>
      </c>
      <c r="AE316" s="134">
        <f>+_xlfn.XLOOKUP(PROYECTOS[[#This Row],[MUNICIPIO]],'4.CAP_ENDMNT'!B:B,'4.CAP_ENDMNT'!N:N,0,0,1)</f>
        <v>0</v>
      </c>
      <c r="AF316" s="134">
        <f>+_xlfn.XLOOKUP(PROYECTOS[[#This Row],[MUNICIPIO]],'4.CAP_ENDMNT'!B:B,'4.CAP_ENDMNT'!O:O,0,0,1)</f>
        <v>0.59742617293949363</v>
      </c>
      <c r="AG316" s="134">
        <f>+_xlfn.XLOOKUP(PROYECTOS[[#This Row],[MUNICIPIO]],'4.CAP_ENDMNT'!B:B,'4.CAP_ENDMNT'!P:P,0,0,1)</f>
        <v>0.8</v>
      </c>
      <c r="AH316" s="44" t="str">
        <f>+_xlfn.XLOOKUP(PROYECTOS[[#This Row],[MUNICIPIO]],'4.CAP_ENDMNT'!B:B,'4.CAP_ENDMNT'!Q:Q,0,0,1)</f>
        <v>Cumple</v>
      </c>
      <c r="AI316" s="139">
        <f>+_xlfn.XLOOKUP(PROYECTOS[[#This Row],[MUNICIPIO]],'4.CAP_ENDMNT'!B:B,'4.CAP_ENDMNT'!V:V,0,0,1)</f>
        <v>1673114529.4158001</v>
      </c>
      <c r="AJ316" s="139">
        <f>+_xlfn.XLOOKUP(PROYECTOS[[#This Row],[MUNICIPIO]],'4.CAP_ENDMNT'!B:B,'4.CAP_ENDMNT'!Y:Y,0,0,1)</f>
        <v>7657125639.4948006</v>
      </c>
      <c r="AK316"/>
      <c r="AL316"/>
      <c r="AM316"/>
    </row>
    <row r="317" spans="1:39">
      <c r="A317" s="44">
        <v>335</v>
      </c>
      <c r="B317" s="37" t="s">
        <v>635</v>
      </c>
      <c r="C317" s="118">
        <v>45747</v>
      </c>
      <c r="D317" s="46" t="s">
        <v>337</v>
      </c>
      <c r="E317" s="47" t="str">
        <f>+_xlfn.XLOOKUP(PROYECTOS[[#This Row],[MUNICIPIO]],MUNICIPIOS!A:A,MUNICIPIOS!E:E,0,0,1)</f>
        <v>Suroeste</v>
      </c>
      <c r="F317" s="44">
        <f>+_xlfn.XLOOKUP(PROYECTOS[[#This Row],[MUNICIPIO]],MUNICIPIOS!A:A,MUNICIPIOS!F:F,0,0,1)</f>
        <v>-75.984452000000005</v>
      </c>
      <c r="G317" s="44" t="str">
        <f>+_xlfn.XLOOKUP(PROYECTOS[[#This Row],[MUNICIPIO]],MUNICIPIOS!A:A,MUNICIPIOS!G:G,0,0,1)</f>
        <v>6,115208</v>
      </c>
      <c r="H317" s="44">
        <f>+_xlfn.XLOOKUP(PROYECTOS[[#This Row],[MUNICIPIO]],MUNICIPIOS!A:A,MUNICIPIOS!B:B,0,0,1)</f>
        <v>0</v>
      </c>
      <c r="I317" s="44">
        <f>+_xlfn.XLOOKUP(PROYECTOS[[#This Row],[MUNICIPIO]],MUNICIPIOS!A:A,MUNICIPIOS!C:C,0,0,1)</f>
        <v>0</v>
      </c>
      <c r="J317" s="3" t="str" cm="1">
        <f t="array" ref="J317">_xlfn.TEXTJOIN(" ", TRUE, IF(radicados[ID PROYECTOS]=A317, radicados[RADICADO], ""))</f>
        <v/>
      </c>
      <c r="K317" s="45">
        <v>1</v>
      </c>
      <c r="L317" s="48"/>
      <c r="M317" s="34" t="s">
        <v>407</v>
      </c>
      <c r="N317" s="40" t="s">
        <v>397</v>
      </c>
      <c r="O317" s="40" t="s">
        <v>56</v>
      </c>
      <c r="P317" s="37" t="s">
        <v>541</v>
      </c>
      <c r="Q317" s="45"/>
      <c r="R317" s="43"/>
      <c r="S317" s="43"/>
      <c r="T317" s="44">
        <f>+_xlfn.XLOOKUP(PROYECTOS[[#This Row],[MUNICIPIO]],'4.CAP_ENDMNT'!B:B,'4.CAP_ENDMNT'!C:C,0,0,1)</f>
        <v>6</v>
      </c>
      <c r="U317" s="139">
        <f>+_xlfn.XLOOKUP(PROYECTOS[[#This Row],[MUNICIPIO]],'4.CAP_ENDMNT'!B:B,'4.CAP_ENDMNT'!D:D,0,0,1)</f>
        <v>12058979368.9545</v>
      </c>
      <c r="V317" s="140">
        <f>+_xlfn.XLOOKUP(PROYECTOS[[#This Row],[MUNICIPIO]],'4.CAP_ENDMNT'!B:B,'4.CAP_ENDMNT'!E:E,0,0,1)</f>
        <v>3567680920.52</v>
      </c>
      <c r="W317" s="140">
        <f>+_xlfn.XLOOKUP(PROYECTOS[[#This Row],[MUNICIPIO]],'4.CAP_ENDMNT'!B:B,'4.CAP_ENDMNT'!F:F,0,0,1)</f>
        <v>8491298448.4344997</v>
      </c>
      <c r="X317" s="140">
        <f>+_xlfn.XLOOKUP(PROYECTOS[[#This Row],[MUNICIPIO]],'4.CAP_ENDMNT'!B:B,'4.CAP_ENDMNT'!G:G,0,0,1)</f>
        <v>914830553</v>
      </c>
      <c r="Y317" s="140">
        <f>+_xlfn.XLOOKUP(PROYECTOS[[#This Row],[MUNICIPIO]],'4.CAP_ENDMNT'!B:B,'4.CAP_ENDMNT'!H:H,0,0,1)</f>
        <v>0</v>
      </c>
      <c r="Z317" s="140">
        <f>+_xlfn.XLOOKUP(PROYECTOS[[#This Row],[MUNICIPIO]],'4.CAP_ENDMNT'!B:B,'4.CAP_ENDMNT'!I:I,0,0,1)</f>
        <v>914830553</v>
      </c>
      <c r="AA317" s="134">
        <f>+_xlfn.XLOOKUP(PROYECTOS[[#This Row],[MUNICIPIO]],'4.CAP_ENDMNT'!B:B,'4.CAP_ENDMNT'!J:J,0,0,1)</f>
        <v>7.586301667910679E-2</v>
      </c>
      <c r="AB317" s="140">
        <f>+_xlfn.XLOOKUP(PROYECTOS[[#This Row],[MUNICIPIO]],'4.CAP_ENDMNT'!B:B,'4.CAP_ENDMNT'!K:K,0,0,1)</f>
        <v>11144148815.9545</v>
      </c>
      <c r="AC317" s="140">
        <f>+_xlfn.XLOOKUP(PROYECTOS[[#This Row],[MUNICIPIO]],'4.CAP_ENDMNT'!B:B,'4.CAP_ENDMNT'!L:L,0,0,1)</f>
        <v>8915319052.7636013</v>
      </c>
      <c r="AD317" s="140">
        <f>+_xlfn.XLOOKUP(PROYECTOS[[#This Row],[MUNICIPIO]],'4.CAP_ENDMNT'!B:B,'4.CAP_ENDMNT'!M:M,0,0,1)</f>
        <v>6686489289.5726995</v>
      </c>
      <c r="AE317" s="134">
        <f>+_xlfn.XLOOKUP(PROYECTOS[[#This Row],[MUNICIPIO]],'4.CAP_ENDMNT'!B:B,'4.CAP_ENDMNT'!N:N,0,0,1)</f>
        <v>1</v>
      </c>
      <c r="AF317" s="134">
        <f>+_xlfn.XLOOKUP(PROYECTOS[[#This Row],[MUNICIPIO]],'4.CAP_ENDMNT'!B:B,'4.CAP_ENDMNT'!O:O,0,0,1)</f>
        <v>0.60206976758564179</v>
      </c>
      <c r="AG317" s="134">
        <f>+_xlfn.XLOOKUP(PROYECTOS[[#This Row],[MUNICIPIO]],'4.CAP_ENDMNT'!B:B,'4.CAP_ENDMNT'!P:P,0,0,1)</f>
        <v>0.8</v>
      </c>
      <c r="AH317" s="44" t="str">
        <f>+_xlfn.XLOOKUP(PROYECTOS[[#This Row],[MUNICIPIO]],'4.CAP_ENDMNT'!B:B,'4.CAP_ENDMNT'!Q:Q,0,0,1)</f>
        <v>Cumple</v>
      </c>
      <c r="AI317" s="139">
        <f>+_xlfn.XLOOKUP(PROYECTOS[[#This Row],[MUNICIPIO]],'4.CAP_ENDMNT'!B:B,'4.CAP_ENDMNT'!V:V,0,0,1)</f>
        <v>1337297857.9145401</v>
      </c>
      <c r="AJ317" s="139">
        <f>+_xlfn.XLOOKUP(PROYECTOS[[#This Row],[MUNICIPIO]],'4.CAP_ENDMNT'!B:B,'4.CAP_ENDMNT'!Y:Y,0,0,1)</f>
        <v>7897388974.4872398</v>
      </c>
      <c r="AK317"/>
      <c r="AL317"/>
      <c r="AM317"/>
    </row>
    <row r="318" spans="1:39">
      <c r="A318" s="44">
        <v>336</v>
      </c>
      <c r="B318" s="37" t="s">
        <v>636</v>
      </c>
      <c r="C318" s="118">
        <v>45747</v>
      </c>
      <c r="D318" s="46" t="s">
        <v>54</v>
      </c>
      <c r="E318" s="47" t="str">
        <f>+_xlfn.XLOOKUP(PROYECTOS[[#This Row],[MUNICIPIO]],MUNICIPIOS!A:A,MUNICIPIOS!E:E,0,0,1)</f>
        <v>Suroeste</v>
      </c>
      <c r="F318" s="44">
        <f>+_xlfn.XLOOKUP(PROYECTOS[[#This Row],[MUNICIPIO]],MUNICIPIOS!A:A,MUNICIPIOS!F:F,0,0,1)</f>
        <v>-75.822956000000005</v>
      </c>
      <c r="G318" s="44">
        <f>+_xlfn.XLOOKUP(PROYECTOS[[#This Row],[MUNICIPIO]],MUNICIPIOS!A:A,MUNICIPIOS!G:G,0,0,1)</f>
        <v>5.8645420000000001</v>
      </c>
      <c r="H318" s="44">
        <f>+_xlfn.XLOOKUP(PROYECTOS[[#This Row],[MUNICIPIO]],MUNICIPIOS!A:A,MUNICIPIOS!B:B,0,0,1)</f>
        <v>0</v>
      </c>
      <c r="I318" s="44">
        <f>+_xlfn.XLOOKUP(PROYECTOS[[#This Row],[MUNICIPIO]],MUNICIPIOS!A:A,MUNICIPIOS!C:C,0,0,1)</f>
        <v>0</v>
      </c>
      <c r="J318" s="3" t="str" cm="1">
        <f t="array" ref="J318">_xlfn.TEXTJOIN(" ", TRUE, IF(radicados[ID PROYECTOS]=A318, radicados[RADICADO], ""))</f>
        <v/>
      </c>
      <c r="K318" s="45">
        <v>1</v>
      </c>
      <c r="L318" s="48"/>
      <c r="M318" s="34" t="s">
        <v>407</v>
      </c>
      <c r="N318" s="40" t="s">
        <v>397</v>
      </c>
      <c r="O318" s="40" t="s">
        <v>56</v>
      </c>
      <c r="P318" s="37" t="s">
        <v>541</v>
      </c>
      <c r="Q318" s="45"/>
      <c r="R318" s="43"/>
      <c r="S318" s="43"/>
      <c r="T318" s="44">
        <f>+_xlfn.XLOOKUP(PROYECTOS[[#This Row],[MUNICIPIO]],'4.CAP_ENDMNT'!B:B,'4.CAP_ENDMNT'!C:C,0,0,1)</f>
        <v>6</v>
      </c>
      <c r="U318" s="139">
        <f>+_xlfn.XLOOKUP(PROYECTOS[[#This Row],[MUNICIPIO]],'4.CAP_ENDMNT'!B:B,'4.CAP_ENDMNT'!D:D,0,0,1)</f>
        <v>9297204605.9125004</v>
      </c>
      <c r="V318" s="140">
        <f>+_xlfn.XLOOKUP(PROYECTOS[[#This Row],[MUNICIPIO]],'4.CAP_ENDMNT'!B:B,'4.CAP_ENDMNT'!E:E,0,0,1)</f>
        <v>4650900904.1300001</v>
      </c>
      <c r="W318" s="140">
        <f>+_xlfn.XLOOKUP(PROYECTOS[[#This Row],[MUNICIPIO]],'4.CAP_ENDMNT'!B:B,'4.CAP_ENDMNT'!F:F,0,0,1)</f>
        <v>4646303701.7825003</v>
      </c>
      <c r="X318" s="140">
        <f>+_xlfn.XLOOKUP(PROYECTOS[[#This Row],[MUNICIPIO]],'4.CAP_ENDMNT'!B:B,'4.CAP_ENDMNT'!G:G,0,0,1)</f>
        <v>1308996768</v>
      </c>
      <c r="Y318" s="140">
        <f>+_xlfn.XLOOKUP(PROYECTOS[[#This Row],[MUNICIPIO]],'4.CAP_ENDMNT'!B:B,'4.CAP_ENDMNT'!H:H,0,0,1)</f>
        <v>0</v>
      </c>
      <c r="Z318" s="140">
        <f>+_xlfn.XLOOKUP(PROYECTOS[[#This Row],[MUNICIPIO]],'4.CAP_ENDMNT'!B:B,'4.CAP_ENDMNT'!I:I,0,0,1)</f>
        <v>1308996768</v>
      </c>
      <c r="AA318" s="134">
        <f>+_xlfn.XLOOKUP(PROYECTOS[[#This Row],[MUNICIPIO]],'4.CAP_ENDMNT'!B:B,'4.CAP_ENDMNT'!J:J,0,0,1)</f>
        <v>0.14079466070560084</v>
      </c>
      <c r="AB318" s="140">
        <f>+_xlfn.XLOOKUP(PROYECTOS[[#This Row],[MUNICIPIO]],'4.CAP_ENDMNT'!B:B,'4.CAP_ENDMNT'!K:K,0,0,1)</f>
        <v>7988207837.9125004</v>
      </c>
      <c r="AC318" s="140">
        <f>+_xlfn.XLOOKUP(PROYECTOS[[#This Row],[MUNICIPIO]],'4.CAP_ENDMNT'!B:B,'4.CAP_ENDMNT'!L:L,0,0,1)</f>
        <v>6390566270.3300009</v>
      </c>
      <c r="AD318" s="140">
        <f>+_xlfn.XLOOKUP(PROYECTOS[[#This Row],[MUNICIPIO]],'4.CAP_ENDMNT'!B:B,'4.CAP_ENDMNT'!M:M,0,0,1)</f>
        <v>4792924702.7475004</v>
      </c>
      <c r="AE318" s="134">
        <f>+_xlfn.XLOOKUP(PROYECTOS[[#This Row],[MUNICIPIO]],'4.CAP_ENDMNT'!B:B,'4.CAP_ENDMNT'!N:N,0,0,1)</f>
        <v>1</v>
      </c>
      <c r="AF318" s="134">
        <f>+_xlfn.XLOOKUP(PROYECTOS[[#This Row],[MUNICIPIO]],'4.CAP_ENDMNT'!B:B,'4.CAP_ENDMNT'!O:O,0,0,1)</f>
        <v>0.67267671220391811</v>
      </c>
      <c r="AG318" s="134">
        <f>+_xlfn.XLOOKUP(PROYECTOS[[#This Row],[MUNICIPIO]],'4.CAP_ENDMNT'!B:B,'4.CAP_ENDMNT'!P:P,0,0,1)</f>
        <v>0.8</v>
      </c>
      <c r="AH318" s="44" t="str">
        <f>+_xlfn.XLOOKUP(PROYECTOS[[#This Row],[MUNICIPIO]],'4.CAP_ENDMNT'!B:B,'4.CAP_ENDMNT'!Q:Q,0,0,1)</f>
        <v>Cumple</v>
      </c>
      <c r="AI318" s="139">
        <f>+_xlfn.XLOOKUP(PROYECTOS[[#This Row],[MUNICIPIO]],'4.CAP_ENDMNT'!B:B,'4.CAP_ENDMNT'!V:V,0,0,1)</f>
        <v>958584940.54950011</v>
      </c>
      <c r="AJ318" s="139">
        <f>+_xlfn.XLOOKUP(PROYECTOS[[#This Row],[MUNICIPIO]],'4.CAP_ENDMNT'!B:B,'4.CAP_ENDMNT'!Y:Y,0,0,1)</f>
        <v>-1217788521.7029991</v>
      </c>
      <c r="AK318"/>
      <c r="AL318"/>
      <c r="AM318"/>
    </row>
    <row r="319" spans="1:39">
      <c r="A319" s="44">
        <v>337</v>
      </c>
      <c r="B319" s="37" t="s">
        <v>637</v>
      </c>
      <c r="C319" s="118">
        <v>45747</v>
      </c>
      <c r="D319" s="46" t="s">
        <v>23</v>
      </c>
      <c r="E319" s="47" t="str">
        <f>+_xlfn.XLOOKUP(PROYECTOS[[#This Row],[MUNICIPIO]],MUNICIPIOS!A:A,MUNICIPIOS!E:E,0,0,1)</f>
        <v>Suroeste</v>
      </c>
      <c r="F319" s="44">
        <f>+_xlfn.XLOOKUP(PROYECTOS[[#This Row],[MUNICIPIO]],MUNICIPIOS!A:A,MUNICIPIOS!F:F,0,0,1)</f>
        <v>-76.133950999999996</v>
      </c>
      <c r="G319" s="44">
        <f>+_xlfn.XLOOKUP(PROYECTOS[[#This Row],[MUNICIPIO]],MUNICIPIOS!A:A,MUNICIPIOS!G:G,0,0,1)</f>
        <v>6.3173430000000002</v>
      </c>
      <c r="H319" s="44">
        <f>+_xlfn.XLOOKUP(PROYECTOS[[#This Row],[MUNICIPIO]],MUNICIPIOS!A:A,MUNICIPIOS!B:B,0,0,1)</f>
        <v>0</v>
      </c>
      <c r="I319" s="44">
        <f>+_xlfn.XLOOKUP(PROYECTOS[[#This Row],[MUNICIPIO]],MUNICIPIOS!A:A,MUNICIPIOS!C:C,0,0,1)</f>
        <v>1</v>
      </c>
      <c r="J319" s="3" t="str" cm="1">
        <f t="array" ref="J319">_xlfn.TEXTJOIN(" ", TRUE, IF(radicados[ID PROYECTOS]=A319, radicados[RADICADO], ""))</f>
        <v/>
      </c>
      <c r="K319" s="45">
        <v>1</v>
      </c>
      <c r="L319" s="48"/>
      <c r="M319" s="34" t="s">
        <v>407</v>
      </c>
      <c r="N319" s="40" t="s">
        <v>397</v>
      </c>
      <c r="O319" s="40" t="s">
        <v>56</v>
      </c>
      <c r="P319" s="37" t="s">
        <v>541</v>
      </c>
      <c r="Q319" s="45"/>
      <c r="R319" s="43"/>
      <c r="S319" s="43"/>
      <c r="T319" s="44">
        <f>+_xlfn.XLOOKUP(PROYECTOS[[#This Row],[MUNICIPIO]],'4.CAP_ENDMNT'!B:B,'4.CAP_ENDMNT'!C:C,0,0,1)</f>
        <v>6</v>
      </c>
      <c r="U319" s="139">
        <f>+_xlfn.XLOOKUP(PROYECTOS[[#This Row],[MUNICIPIO]],'4.CAP_ENDMNT'!B:B,'4.CAP_ENDMNT'!D:D,0,0,1)</f>
        <v>16589184003.816</v>
      </c>
      <c r="V319" s="140">
        <f>+_xlfn.XLOOKUP(PROYECTOS[[#This Row],[MUNICIPIO]],'4.CAP_ENDMNT'!B:B,'4.CAP_ENDMNT'!E:E,0,0,1)</f>
        <v>7984390195.2300005</v>
      </c>
      <c r="W319" s="140">
        <f>+_xlfn.XLOOKUP(PROYECTOS[[#This Row],[MUNICIPIO]],'4.CAP_ENDMNT'!B:B,'4.CAP_ENDMNT'!F:F,0,0,1)</f>
        <v>8604793808.5859985</v>
      </c>
      <c r="X319" s="140">
        <f>+_xlfn.XLOOKUP(PROYECTOS[[#This Row],[MUNICIPIO]],'4.CAP_ENDMNT'!B:B,'4.CAP_ENDMNT'!G:G,0,0,1)</f>
        <v>1709535383</v>
      </c>
      <c r="Y319" s="140">
        <f>+_xlfn.XLOOKUP(PROYECTOS[[#This Row],[MUNICIPIO]],'4.CAP_ENDMNT'!B:B,'4.CAP_ENDMNT'!H:H,0,0,1)</f>
        <v>1454838487</v>
      </c>
      <c r="Z319" s="140">
        <f>+_xlfn.XLOOKUP(PROYECTOS[[#This Row],[MUNICIPIO]],'4.CAP_ENDMNT'!B:B,'4.CAP_ENDMNT'!I:I,0,0,1)</f>
        <v>3164373870</v>
      </c>
      <c r="AA319" s="134">
        <f>+_xlfn.XLOOKUP(PROYECTOS[[#This Row],[MUNICIPIO]],'4.CAP_ENDMNT'!B:B,'4.CAP_ENDMNT'!J:J,0,0,1)</f>
        <v>0.19074921763916181</v>
      </c>
      <c r="AB319" s="140">
        <f>+_xlfn.XLOOKUP(PROYECTOS[[#This Row],[MUNICIPIO]],'4.CAP_ENDMNT'!B:B,'4.CAP_ENDMNT'!K:K,0,0,1)</f>
        <v>13424810133.816</v>
      </c>
      <c r="AC319" s="140">
        <f>+_xlfn.XLOOKUP(PROYECTOS[[#This Row],[MUNICIPIO]],'4.CAP_ENDMNT'!B:B,'4.CAP_ENDMNT'!L:L,0,0,1)</f>
        <v>10739848107.052801</v>
      </c>
      <c r="AD319" s="140">
        <f>+_xlfn.XLOOKUP(PROYECTOS[[#This Row],[MUNICIPIO]],'4.CAP_ENDMNT'!B:B,'4.CAP_ENDMNT'!M:M,0,0,1)</f>
        <v>8054886080.2895994</v>
      </c>
      <c r="AE319" s="134">
        <f>+_xlfn.XLOOKUP(PROYECTOS[[#This Row],[MUNICIPIO]],'4.CAP_ENDMNT'!B:B,'4.CAP_ENDMNT'!N:N,0,0,1)</f>
        <v>0.5402444379936685</v>
      </c>
      <c r="AF319" s="134">
        <f>+_xlfn.XLOOKUP(PROYECTOS[[#This Row],[MUNICIPIO]],'4.CAP_ENDMNT'!B:B,'4.CAP_ENDMNT'!O:O,0,0,1)</f>
        <v>0.52370394920362784</v>
      </c>
      <c r="AG319" s="134">
        <f>+_xlfn.XLOOKUP(PROYECTOS[[#This Row],[MUNICIPIO]],'4.CAP_ENDMNT'!B:B,'4.CAP_ENDMNT'!P:P,0,0,1)</f>
        <v>0.8</v>
      </c>
      <c r="AH319" s="44" t="str">
        <f>+_xlfn.XLOOKUP(PROYECTOS[[#This Row],[MUNICIPIO]],'4.CAP_ENDMNT'!B:B,'4.CAP_ENDMNT'!Q:Q,0,0,1)</f>
        <v>Cumple</v>
      </c>
      <c r="AI319" s="139">
        <f>+_xlfn.XLOOKUP(PROYECTOS[[#This Row],[MUNICIPIO]],'4.CAP_ENDMNT'!B:B,'4.CAP_ENDMNT'!V:V,0,0,1)</f>
        <v>1610977216.05792</v>
      </c>
      <c r="AJ319" s="139">
        <f>+_xlfn.XLOOKUP(PROYECTOS[[#This Row],[MUNICIPIO]],'4.CAP_ENDMNT'!B:B,'4.CAP_ENDMNT'!Y:Y,0,0,1)</f>
        <v>-7388444742.6524811</v>
      </c>
      <c r="AK319"/>
      <c r="AL319"/>
      <c r="AM319"/>
    </row>
    <row r="320" spans="1:39">
      <c r="A320" s="44">
        <v>338</v>
      </c>
      <c r="B320" s="37" t="s">
        <v>638</v>
      </c>
      <c r="C320" s="118">
        <v>45747</v>
      </c>
      <c r="D320" s="46" t="s">
        <v>23</v>
      </c>
      <c r="E320" s="47" t="str">
        <f>+_xlfn.XLOOKUP(PROYECTOS[[#This Row],[MUNICIPIO]],MUNICIPIOS!A:A,MUNICIPIOS!E:E,0,0,1)</f>
        <v>Suroeste</v>
      </c>
      <c r="F320" s="44">
        <f>+_xlfn.XLOOKUP(PROYECTOS[[#This Row],[MUNICIPIO]],MUNICIPIOS!A:A,MUNICIPIOS!F:F,0,0,1)</f>
        <v>-76.133950999999996</v>
      </c>
      <c r="G320" s="44">
        <f>+_xlfn.XLOOKUP(PROYECTOS[[#This Row],[MUNICIPIO]],MUNICIPIOS!A:A,MUNICIPIOS!G:G,0,0,1)</f>
        <v>6.3173430000000002</v>
      </c>
      <c r="H320" s="44">
        <f>+_xlfn.XLOOKUP(PROYECTOS[[#This Row],[MUNICIPIO]],MUNICIPIOS!A:A,MUNICIPIOS!B:B,0,0,1)</f>
        <v>0</v>
      </c>
      <c r="I320" s="44">
        <f>+_xlfn.XLOOKUP(PROYECTOS[[#This Row],[MUNICIPIO]],MUNICIPIOS!A:A,MUNICIPIOS!C:C,0,0,1)</f>
        <v>1</v>
      </c>
      <c r="J320" s="3" t="str" cm="1">
        <f t="array" ref="J320">_xlfn.TEXTJOIN(" ", TRUE, IF(radicados[ID PROYECTOS]=A320, radicados[RADICADO], ""))</f>
        <v/>
      </c>
      <c r="K320" s="45">
        <v>1</v>
      </c>
      <c r="L320" s="48"/>
      <c r="M320" s="34" t="s">
        <v>407</v>
      </c>
      <c r="N320" s="40" t="s">
        <v>397</v>
      </c>
      <c r="O320" s="40" t="s">
        <v>56</v>
      </c>
      <c r="P320" s="37" t="s">
        <v>541</v>
      </c>
      <c r="Q320" s="45"/>
      <c r="R320" s="43"/>
      <c r="S320" s="43"/>
      <c r="T320" s="44">
        <f>+_xlfn.XLOOKUP(PROYECTOS[[#This Row],[MUNICIPIO]],'4.CAP_ENDMNT'!B:B,'4.CAP_ENDMNT'!C:C,0,0,1)</f>
        <v>6</v>
      </c>
      <c r="U320" s="139">
        <f>+_xlfn.XLOOKUP(PROYECTOS[[#This Row],[MUNICIPIO]],'4.CAP_ENDMNT'!B:B,'4.CAP_ENDMNT'!D:D,0,0,1)</f>
        <v>16589184003.816</v>
      </c>
      <c r="V320" s="140">
        <f>+_xlfn.XLOOKUP(PROYECTOS[[#This Row],[MUNICIPIO]],'4.CAP_ENDMNT'!B:B,'4.CAP_ENDMNT'!E:E,0,0,1)</f>
        <v>7984390195.2300005</v>
      </c>
      <c r="W320" s="140">
        <f>+_xlfn.XLOOKUP(PROYECTOS[[#This Row],[MUNICIPIO]],'4.CAP_ENDMNT'!B:B,'4.CAP_ENDMNT'!F:F,0,0,1)</f>
        <v>8604793808.5859985</v>
      </c>
      <c r="X320" s="140">
        <f>+_xlfn.XLOOKUP(PROYECTOS[[#This Row],[MUNICIPIO]],'4.CAP_ENDMNT'!B:B,'4.CAP_ENDMNT'!G:G,0,0,1)</f>
        <v>1709535383</v>
      </c>
      <c r="Y320" s="140">
        <f>+_xlfn.XLOOKUP(PROYECTOS[[#This Row],[MUNICIPIO]],'4.CAP_ENDMNT'!B:B,'4.CAP_ENDMNT'!H:H,0,0,1)</f>
        <v>1454838487</v>
      </c>
      <c r="Z320" s="140">
        <f>+_xlfn.XLOOKUP(PROYECTOS[[#This Row],[MUNICIPIO]],'4.CAP_ENDMNT'!B:B,'4.CAP_ENDMNT'!I:I,0,0,1)</f>
        <v>3164373870</v>
      </c>
      <c r="AA320" s="134">
        <f>+_xlfn.XLOOKUP(PROYECTOS[[#This Row],[MUNICIPIO]],'4.CAP_ENDMNT'!B:B,'4.CAP_ENDMNT'!J:J,0,0,1)</f>
        <v>0.19074921763916181</v>
      </c>
      <c r="AB320" s="140">
        <f>+_xlfn.XLOOKUP(PROYECTOS[[#This Row],[MUNICIPIO]],'4.CAP_ENDMNT'!B:B,'4.CAP_ENDMNT'!K:K,0,0,1)</f>
        <v>13424810133.816</v>
      </c>
      <c r="AC320" s="140">
        <f>+_xlfn.XLOOKUP(PROYECTOS[[#This Row],[MUNICIPIO]],'4.CAP_ENDMNT'!B:B,'4.CAP_ENDMNT'!L:L,0,0,1)</f>
        <v>10739848107.052801</v>
      </c>
      <c r="AD320" s="140">
        <f>+_xlfn.XLOOKUP(PROYECTOS[[#This Row],[MUNICIPIO]],'4.CAP_ENDMNT'!B:B,'4.CAP_ENDMNT'!M:M,0,0,1)</f>
        <v>8054886080.2895994</v>
      </c>
      <c r="AE320" s="134">
        <f>+_xlfn.XLOOKUP(PROYECTOS[[#This Row],[MUNICIPIO]],'4.CAP_ENDMNT'!B:B,'4.CAP_ENDMNT'!N:N,0,0,1)</f>
        <v>0.5402444379936685</v>
      </c>
      <c r="AF320" s="134">
        <f>+_xlfn.XLOOKUP(PROYECTOS[[#This Row],[MUNICIPIO]],'4.CAP_ENDMNT'!B:B,'4.CAP_ENDMNT'!O:O,0,0,1)</f>
        <v>0.52370394920362784</v>
      </c>
      <c r="AG320" s="134">
        <f>+_xlfn.XLOOKUP(PROYECTOS[[#This Row],[MUNICIPIO]],'4.CAP_ENDMNT'!B:B,'4.CAP_ENDMNT'!P:P,0,0,1)</f>
        <v>0.8</v>
      </c>
      <c r="AH320" s="44" t="str">
        <f>+_xlfn.XLOOKUP(PROYECTOS[[#This Row],[MUNICIPIO]],'4.CAP_ENDMNT'!B:B,'4.CAP_ENDMNT'!Q:Q,0,0,1)</f>
        <v>Cumple</v>
      </c>
      <c r="AI320" s="139">
        <f>+_xlfn.XLOOKUP(PROYECTOS[[#This Row],[MUNICIPIO]],'4.CAP_ENDMNT'!B:B,'4.CAP_ENDMNT'!V:V,0,0,1)</f>
        <v>1610977216.05792</v>
      </c>
      <c r="AJ320" s="139">
        <f>+_xlfn.XLOOKUP(PROYECTOS[[#This Row],[MUNICIPIO]],'4.CAP_ENDMNT'!B:B,'4.CAP_ENDMNT'!Y:Y,0,0,1)</f>
        <v>-7388444742.6524811</v>
      </c>
      <c r="AK320"/>
      <c r="AL320"/>
      <c r="AM320"/>
    </row>
    <row r="321" spans="1:39">
      <c r="A321" s="44">
        <v>339</v>
      </c>
      <c r="B321" s="37" t="s">
        <v>639</v>
      </c>
      <c r="C321" s="118">
        <v>45747</v>
      </c>
      <c r="D321" s="34" t="s">
        <v>23</v>
      </c>
      <c r="E321" s="47" t="str">
        <f>+_xlfn.XLOOKUP(PROYECTOS[[#This Row],[MUNICIPIO]],MUNICIPIOS!A:A,MUNICIPIOS!E:E,0,0,1)</f>
        <v>Suroeste</v>
      </c>
      <c r="F321" s="44">
        <f>+_xlfn.XLOOKUP(PROYECTOS[[#This Row],[MUNICIPIO]],MUNICIPIOS!A:A,MUNICIPIOS!F:F,0,0,1)</f>
        <v>-76.133950999999996</v>
      </c>
      <c r="G321" s="44">
        <f>+_xlfn.XLOOKUP(PROYECTOS[[#This Row],[MUNICIPIO]],MUNICIPIOS!A:A,MUNICIPIOS!G:G,0,0,1)</f>
        <v>6.3173430000000002</v>
      </c>
      <c r="H321" s="44">
        <f>+_xlfn.XLOOKUP(PROYECTOS[[#This Row],[MUNICIPIO]],MUNICIPIOS!A:A,MUNICIPIOS!B:B,0,0,1)</f>
        <v>0</v>
      </c>
      <c r="I321" s="44">
        <f>+_xlfn.XLOOKUP(PROYECTOS[[#This Row],[MUNICIPIO]],MUNICIPIOS!A:A,MUNICIPIOS!C:C,0,0,1)</f>
        <v>1</v>
      </c>
      <c r="J321" s="3" t="str" cm="1">
        <f t="array" ref="J321">_xlfn.TEXTJOIN(" ", TRUE, IF(radicados[ID PROYECTOS]=A321, radicados[RADICADO], ""))</f>
        <v>2025010512577</v>
      </c>
      <c r="K321" s="142">
        <v>3</v>
      </c>
      <c r="L321" s="48">
        <v>6365000000</v>
      </c>
      <c r="M321" s="40" t="s">
        <v>435</v>
      </c>
      <c r="N321" s="40" t="s">
        <v>398</v>
      </c>
      <c r="O321" s="40" t="s">
        <v>25</v>
      </c>
      <c r="P321" s="37" t="s">
        <v>1442</v>
      </c>
      <c r="Q321" s="45">
        <v>1</v>
      </c>
      <c r="R321" s="43" t="s">
        <v>922</v>
      </c>
      <c r="S321" s="43" t="s">
        <v>1643</v>
      </c>
      <c r="T321" s="44">
        <f>+_xlfn.XLOOKUP(PROYECTOS[[#This Row],[MUNICIPIO]],'4.CAP_ENDMNT'!B:B,'4.CAP_ENDMNT'!C:C,0,0,1)</f>
        <v>6</v>
      </c>
      <c r="U321" s="139">
        <f>+_xlfn.XLOOKUP(PROYECTOS[[#This Row],[MUNICIPIO]],'4.CAP_ENDMNT'!B:B,'4.CAP_ENDMNT'!D:D,0,0,1)</f>
        <v>16589184003.816</v>
      </c>
      <c r="V321" s="140">
        <f>+_xlfn.XLOOKUP(PROYECTOS[[#This Row],[MUNICIPIO]],'4.CAP_ENDMNT'!B:B,'4.CAP_ENDMNT'!E:E,0,0,1)</f>
        <v>7984390195.2300005</v>
      </c>
      <c r="W321" s="140">
        <f>+_xlfn.XLOOKUP(PROYECTOS[[#This Row],[MUNICIPIO]],'4.CAP_ENDMNT'!B:B,'4.CAP_ENDMNT'!F:F,0,0,1)</f>
        <v>8604793808.5859985</v>
      </c>
      <c r="X321" s="140">
        <f>+_xlfn.XLOOKUP(PROYECTOS[[#This Row],[MUNICIPIO]],'4.CAP_ENDMNT'!B:B,'4.CAP_ENDMNT'!G:G,0,0,1)</f>
        <v>1709535383</v>
      </c>
      <c r="Y321" s="140">
        <f>+_xlfn.XLOOKUP(PROYECTOS[[#This Row],[MUNICIPIO]],'4.CAP_ENDMNT'!B:B,'4.CAP_ENDMNT'!H:H,0,0,1)</f>
        <v>1454838487</v>
      </c>
      <c r="Z321" s="140">
        <f>+_xlfn.XLOOKUP(PROYECTOS[[#This Row],[MUNICIPIO]],'4.CAP_ENDMNT'!B:B,'4.CAP_ENDMNT'!I:I,0,0,1)</f>
        <v>3164373870</v>
      </c>
      <c r="AA321" s="134">
        <f>+_xlfn.XLOOKUP(PROYECTOS[[#This Row],[MUNICIPIO]],'4.CAP_ENDMNT'!B:B,'4.CAP_ENDMNT'!J:J,0,0,1)</f>
        <v>0.19074921763916181</v>
      </c>
      <c r="AB321" s="140">
        <f>+_xlfn.XLOOKUP(PROYECTOS[[#This Row],[MUNICIPIO]],'4.CAP_ENDMNT'!B:B,'4.CAP_ENDMNT'!K:K,0,0,1)</f>
        <v>13424810133.816</v>
      </c>
      <c r="AC321" s="140">
        <f>+_xlfn.XLOOKUP(PROYECTOS[[#This Row],[MUNICIPIO]],'4.CAP_ENDMNT'!B:B,'4.CAP_ENDMNT'!L:L,0,0,1)</f>
        <v>10739848107.052801</v>
      </c>
      <c r="AD321" s="140">
        <f>+_xlfn.XLOOKUP(PROYECTOS[[#This Row],[MUNICIPIO]],'4.CAP_ENDMNT'!B:B,'4.CAP_ENDMNT'!M:M,0,0,1)</f>
        <v>8054886080.2895994</v>
      </c>
      <c r="AE321" s="134">
        <f>+_xlfn.XLOOKUP(PROYECTOS[[#This Row],[MUNICIPIO]],'4.CAP_ENDMNT'!B:B,'4.CAP_ENDMNT'!N:N,0,0,1)</f>
        <v>0.5402444379936685</v>
      </c>
      <c r="AF321" s="134">
        <f>+_xlfn.XLOOKUP(PROYECTOS[[#This Row],[MUNICIPIO]],'4.CAP_ENDMNT'!B:B,'4.CAP_ENDMNT'!O:O,0,0,1)</f>
        <v>0.52370394920362784</v>
      </c>
      <c r="AG321" s="134">
        <f>+_xlfn.XLOOKUP(PROYECTOS[[#This Row],[MUNICIPIO]],'4.CAP_ENDMNT'!B:B,'4.CAP_ENDMNT'!P:P,0,0,1)</f>
        <v>0.8</v>
      </c>
      <c r="AH321" s="44" t="str">
        <f>+_xlfn.XLOOKUP(PROYECTOS[[#This Row],[MUNICIPIO]],'4.CAP_ENDMNT'!B:B,'4.CAP_ENDMNT'!Q:Q,0,0,1)</f>
        <v>Cumple</v>
      </c>
      <c r="AI321" s="139">
        <f>+_xlfn.XLOOKUP(PROYECTOS[[#This Row],[MUNICIPIO]],'4.CAP_ENDMNT'!B:B,'4.CAP_ENDMNT'!V:V,0,0,1)</f>
        <v>1610977216.05792</v>
      </c>
      <c r="AJ321" s="139">
        <f>+_xlfn.XLOOKUP(PROYECTOS[[#This Row],[MUNICIPIO]],'4.CAP_ENDMNT'!B:B,'4.CAP_ENDMNT'!Y:Y,0,0,1)</f>
        <v>-7388444742.6524811</v>
      </c>
      <c r="AK321"/>
      <c r="AL321"/>
      <c r="AM321"/>
    </row>
    <row r="322" spans="1:39">
      <c r="A322" s="44">
        <v>340</v>
      </c>
      <c r="B322" s="37" t="s">
        <v>1443</v>
      </c>
      <c r="C322" s="118">
        <v>45747</v>
      </c>
      <c r="D322" s="34" t="s">
        <v>334</v>
      </c>
      <c r="E322" s="47" t="str">
        <f>+_xlfn.XLOOKUP(PROYECTOS[[#This Row],[MUNICIPIO]],MUNICIPIOS!A:A,MUNICIPIOS!E:E,0,0,1)</f>
        <v>Occidente</v>
      </c>
      <c r="F322" s="44">
        <f>+_xlfn.XLOOKUP(PROYECTOS[[#This Row],[MUNICIPIO]],MUNICIPIOS!A:A,MUNICIPIOS!F:F,0,0,1)</f>
        <v>-75.726974999999996</v>
      </c>
      <c r="G322" s="44" t="str">
        <f>+_xlfn.XLOOKUP(PROYECTOS[[#This Row],[MUNICIPIO]],MUNICIPIOS!A:A,MUNICIPIOS!G:G,0,0,1)</f>
        <v>6,44809</v>
      </c>
      <c r="H322" s="44">
        <f>+_xlfn.XLOOKUP(PROYECTOS[[#This Row],[MUNICIPIO]],MUNICIPIOS!A:A,MUNICIPIOS!B:B,0,0,1)</f>
        <v>0</v>
      </c>
      <c r="I322" s="44">
        <f>+_xlfn.XLOOKUP(PROYECTOS[[#This Row],[MUNICIPIO]],MUNICIPIOS!A:A,MUNICIPIOS!C:C,0,0,1)</f>
        <v>0</v>
      </c>
      <c r="J322" s="3" t="str" cm="1">
        <f t="array" ref="J322">_xlfn.TEXTJOIN(" ", TRUE, IF(radicados[ID PROYECTOS]=A322, radicados[RADICADO], ""))</f>
        <v/>
      </c>
      <c r="K322" s="142">
        <v>3</v>
      </c>
      <c r="L322" s="48">
        <v>6749977865</v>
      </c>
      <c r="M322" s="40" t="s">
        <v>435</v>
      </c>
      <c r="N322" s="40" t="s">
        <v>398</v>
      </c>
      <c r="O322" s="40" t="s">
        <v>25</v>
      </c>
      <c r="P322" s="37" t="s">
        <v>1444</v>
      </c>
      <c r="Q322" s="45"/>
      <c r="R322" s="43"/>
      <c r="S322" s="43"/>
      <c r="T322" s="44">
        <f>+_xlfn.XLOOKUP(PROYECTOS[[#This Row],[MUNICIPIO]],'4.CAP_ENDMNT'!B:B,'4.CAP_ENDMNT'!C:C,0,0,1)</f>
        <v>6</v>
      </c>
      <c r="U322" s="139">
        <f>+_xlfn.XLOOKUP(PROYECTOS[[#This Row],[MUNICIPIO]],'4.CAP_ENDMNT'!B:B,'4.CAP_ENDMNT'!D:D,0,0,1)</f>
        <v>21865753958.964001</v>
      </c>
      <c r="V322" s="140">
        <f>+_xlfn.XLOOKUP(PROYECTOS[[#This Row],[MUNICIPIO]],'4.CAP_ENDMNT'!B:B,'4.CAP_ENDMNT'!E:E,0,0,1)</f>
        <v>8371779870.6599998</v>
      </c>
      <c r="W322" s="140">
        <f>+_xlfn.XLOOKUP(PROYECTOS[[#This Row],[MUNICIPIO]],'4.CAP_ENDMNT'!B:B,'4.CAP_ENDMNT'!F:F,0,0,1)</f>
        <v>13493974088.304001</v>
      </c>
      <c r="X322" s="140">
        <f>+_xlfn.XLOOKUP(PROYECTOS[[#This Row],[MUNICIPIO]],'4.CAP_ENDMNT'!B:B,'4.CAP_ENDMNT'!G:G,0,0,1)</f>
        <v>851002641</v>
      </c>
      <c r="Y322" s="140">
        <f>+_xlfn.XLOOKUP(PROYECTOS[[#This Row],[MUNICIPIO]],'4.CAP_ENDMNT'!B:B,'4.CAP_ENDMNT'!H:H,0,0,1)</f>
        <v>4636492005</v>
      </c>
      <c r="Z322" s="140">
        <f>+_xlfn.XLOOKUP(PROYECTOS[[#This Row],[MUNICIPIO]],'4.CAP_ENDMNT'!B:B,'4.CAP_ENDMNT'!I:I,0,0,1)</f>
        <v>5487494646</v>
      </c>
      <c r="AA322" s="134">
        <f>+_xlfn.XLOOKUP(PROYECTOS[[#This Row],[MUNICIPIO]],'4.CAP_ENDMNT'!B:B,'4.CAP_ENDMNT'!J:J,0,0,1)</f>
        <v>0.25096297416949431</v>
      </c>
      <c r="AB322" s="140">
        <f>+_xlfn.XLOOKUP(PROYECTOS[[#This Row],[MUNICIPIO]],'4.CAP_ENDMNT'!B:B,'4.CAP_ENDMNT'!K:K,0,0,1)</f>
        <v>16378259312.964001</v>
      </c>
      <c r="AC322" s="140">
        <f>+_xlfn.XLOOKUP(PROYECTOS[[#This Row],[MUNICIPIO]],'4.CAP_ENDMNT'!B:B,'4.CAP_ENDMNT'!L:L,0,0,1)</f>
        <v>13102607450.371201</v>
      </c>
      <c r="AD322" s="140">
        <f>+_xlfn.XLOOKUP(PROYECTOS[[#This Row],[MUNICIPIO]],'4.CAP_ENDMNT'!B:B,'4.CAP_ENDMNT'!M:M,0,0,1)</f>
        <v>9826955587.7784004</v>
      </c>
      <c r="AE322" s="134">
        <f>+_xlfn.XLOOKUP(PROYECTOS[[#This Row],[MUNICIPIO]],'4.CAP_ENDMNT'!B:B,'4.CAP_ENDMNT'!N:N,0,0,1)</f>
        <v>0.15508035923466848</v>
      </c>
      <c r="AF322" s="134">
        <f>+_xlfn.XLOOKUP(PROYECTOS[[#This Row],[MUNICIPIO]],'4.CAP_ENDMNT'!B:B,'4.CAP_ENDMNT'!O:O,0,0,1)</f>
        <v>0.43479333121090752</v>
      </c>
      <c r="AG322" s="134">
        <f>+_xlfn.XLOOKUP(PROYECTOS[[#This Row],[MUNICIPIO]],'4.CAP_ENDMNT'!B:B,'4.CAP_ENDMNT'!P:P,0,0,1)</f>
        <v>0.8</v>
      </c>
      <c r="AH322" s="44" t="str">
        <f>+_xlfn.XLOOKUP(PROYECTOS[[#This Row],[MUNICIPIO]],'4.CAP_ENDMNT'!B:B,'4.CAP_ENDMNT'!Q:Q,0,0,1)</f>
        <v>Cumple</v>
      </c>
      <c r="AI322" s="139">
        <f>+_xlfn.XLOOKUP(PROYECTOS[[#This Row],[MUNICIPIO]],'4.CAP_ENDMNT'!B:B,'4.CAP_ENDMNT'!V:V,0,0,1)</f>
        <v>1965391117.5556803</v>
      </c>
      <c r="AJ322" s="139">
        <f>+_xlfn.XLOOKUP(PROYECTOS[[#This Row],[MUNICIPIO]],'4.CAP_ENDMNT'!B:B,'4.CAP_ENDMNT'!Y:Y,0,0,1)</f>
        <v>-4462766845.8359203</v>
      </c>
      <c r="AK322"/>
      <c r="AL322"/>
      <c r="AM322"/>
    </row>
    <row r="323" spans="1:39">
      <c r="A323" s="44">
        <v>341</v>
      </c>
      <c r="B323" s="37" t="s">
        <v>1559</v>
      </c>
      <c r="C323" s="118">
        <v>45747</v>
      </c>
      <c r="D323" s="34" t="s">
        <v>65</v>
      </c>
      <c r="E323" s="47" t="str">
        <f>+_xlfn.XLOOKUP(PROYECTOS[[#This Row],[MUNICIPIO]],MUNICIPIOS!A:A,MUNICIPIOS!E:E,0,0,1)</f>
        <v>Urabá</v>
      </c>
      <c r="F323" s="44">
        <f>+_xlfn.XLOOKUP(PROYECTOS[[#This Row],[MUNICIPIO]],MUNICIPIOS!A:A,MUNICIPIOS!F:F,0,0,1)</f>
        <v>-76.528570000000002</v>
      </c>
      <c r="G323" s="44" t="str">
        <f>+_xlfn.XLOOKUP(PROYECTOS[[#This Row],[MUNICIPIO]],MUNICIPIOS!A:A,MUNICIPIOS!G:G,0,0,1)</f>
        <v>8,758964</v>
      </c>
      <c r="H323" s="44">
        <f>+_xlfn.XLOOKUP(PROYECTOS[[#This Row],[MUNICIPIO]],MUNICIPIOS!A:A,MUNICIPIOS!B:B,0,0,1)</f>
        <v>0</v>
      </c>
      <c r="I323" s="44">
        <f>+_xlfn.XLOOKUP(PROYECTOS[[#This Row],[MUNICIPIO]],MUNICIPIOS!A:A,MUNICIPIOS!C:C,0,0,1)</f>
        <v>0</v>
      </c>
      <c r="J323" s="3" t="str" cm="1">
        <f t="array" ref="J323">_xlfn.TEXTJOIN(" ", TRUE, IF(radicados[ID PROYECTOS]=A323, radicados[RADICADO], ""))</f>
        <v/>
      </c>
      <c r="K323" s="45">
        <v>3</v>
      </c>
      <c r="L323" s="48">
        <v>4787694559</v>
      </c>
      <c r="M323" s="40" t="s">
        <v>435</v>
      </c>
      <c r="N323" s="40" t="s">
        <v>398</v>
      </c>
      <c r="O323" s="40" t="s">
        <v>25</v>
      </c>
      <c r="P323" s="37" t="s">
        <v>1235</v>
      </c>
      <c r="Q323" s="45">
        <v>1</v>
      </c>
      <c r="R323" s="43" t="s">
        <v>922</v>
      </c>
      <c r="S323" s="43" t="s">
        <v>1643</v>
      </c>
      <c r="T323" s="44">
        <f>+_xlfn.XLOOKUP(PROYECTOS[[#This Row],[MUNICIPIO]],'4.CAP_ENDMNT'!B:B,'4.CAP_ENDMNT'!C:C,0,0,1)</f>
        <v>6</v>
      </c>
      <c r="U323" s="139">
        <f>+_xlfn.XLOOKUP(PROYECTOS[[#This Row],[MUNICIPIO]],'4.CAP_ENDMNT'!B:B,'4.CAP_ENDMNT'!D:D,0,0,1)</f>
        <v>21558400486.167</v>
      </c>
      <c r="V323" s="140">
        <f>+_xlfn.XLOOKUP(PROYECTOS[[#This Row],[MUNICIPIO]],'4.CAP_ENDMNT'!B:B,'4.CAP_ENDMNT'!E:E,0,0,1)</f>
        <v>4028552935.2600002</v>
      </c>
      <c r="W323" s="140">
        <f>+_xlfn.XLOOKUP(PROYECTOS[[#This Row],[MUNICIPIO]],'4.CAP_ENDMNT'!B:B,'4.CAP_ENDMNT'!F:F,0,0,1)</f>
        <v>17529847550.906998</v>
      </c>
      <c r="X323" s="140">
        <f>+_xlfn.XLOOKUP(PROYECTOS[[#This Row],[MUNICIPIO]],'4.CAP_ENDMNT'!B:B,'4.CAP_ENDMNT'!G:G,0,0,1)</f>
        <v>573337825</v>
      </c>
      <c r="Y323" s="140">
        <f>+_xlfn.XLOOKUP(PROYECTOS[[#This Row],[MUNICIPIO]],'4.CAP_ENDMNT'!B:B,'4.CAP_ENDMNT'!H:H,0,0,1)</f>
        <v>3454671378</v>
      </c>
      <c r="Z323" s="140">
        <f>+_xlfn.XLOOKUP(PROYECTOS[[#This Row],[MUNICIPIO]],'4.CAP_ENDMNT'!B:B,'4.CAP_ENDMNT'!I:I,0,0,1)</f>
        <v>4028009203</v>
      </c>
      <c r="AA323" s="134">
        <f>+_xlfn.XLOOKUP(PROYECTOS[[#This Row],[MUNICIPIO]],'4.CAP_ENDMNT'!B:B,'4.CAP_ENDMNT'!J:J,0,0,1)</f>
        <v>0.18684174670493675</v>
      </c>
      <c r="AB323" s="140">
        <f>+_xlfn.XLOOKUP(PROYECTOS[[#This Row],[MUNICIPIO]],'4.CAP_ENDMNT'!B:B,'4.CAP_ENDMNT'!K:K,0,0,1)</f>
        <v>17530391283.167</v>
      </c>
      <c r="AC323" s="140">
        <f>+_xlfn.XLOOKUP(PROYECTOS[[#This Row],[MUNICIPIO]],'4.CAP_ENDMNT'!B:B,'4.CAP_ENDMNT'!L:L,0,0,1)</f>
        <v>14024313026.5336</v>
      </c>
      <c r="AD323" s="140">
        <f>+_xlfn.XLOOKUP(PROYECTOS[[#This Row],[MUNICIPIO]],'4.CAP_ENDMNT'!B:B,'4.CAP_ENDMNT'!M:M,0,0,1)</f>
        <v>10518234769.9002</v>
      </c>
      <c r="AE323" s="134">
        <f>+_xlfn.XLOOKUP(PROYECTOS[[#This Row],[MUNICIPIO]],'4.CAP_ENDMNT'!B:B,'4.CAP_ENDMNT'!N:N,0,0,1)</f>
        <v>0.14233776441548016</v>
      </c>
      <c r="AF323" s="134">
        <f>+_xlfn.XLOOKUP(PROYECTOS[[#This Row],[MUNICIPIO]],'4.CAP_ENDMNT'!B:B,'4.CAP_ENDMNT'!O:O,0,0,1)</f>
        <v>0.45202185420266422</v>
      </c>
      <c r="AG323" s="134">
        <f>+_xlfn.XLOOKUP(PROYECTOS[[#This Row],[MUNICIPIO]],'4.CAP_ENDMNT'!B:B,'4.CAP_ENDMNT'!P:P,0,0,1)</f>
        <v>0.8</v>
      </c>
      <c r="AH323" s="44" t="str">
        <f>+_xlfn.XLOOKUP(PROYECTOS[[#This Row],[MUNICIPIO]],'4.CAP_ENDMNT'!B:B,'4.CAP_ENDMNT'!Q:Q,0,0,1)</f>
        <v>Cumple</v>
      </c>
      <c r="AI323" s="139">
        <f>+_xlfn.XLOOKUP(PROYECTOS[[#This Row],[MUNICIPIO]],'4.CAP_ENDMNT'!B:B,'4.CAP_ENDMNT'!V:V,0,0,1)</f>
        <v>2103646953.9800401</v>
      </c>
      <c r="AJ323" s="139">
        <f>+_xlfn.XLOOKUP(PROYECTOS[[#This Row],[MUNICIPIO]],'4.CAP_ENDMNT'!B:B,'4.CAP_ENDMNT'!Y:Y,0,0,1)</f>
        <v>5454222483.8802395</v>
      </c>
      <c r="AK323"/>
      <c r="AL323"/>
      <c r="AM323"/>
    </row>
    <row r="324" spans="1:39">
      <c r="A324" s="44">
        <v>342</v>
      </c>
      <c r="B324" s="37" t="s">
        <v>644</v>
      </c>
      <c r="C324" s="118">
        <v>45747</v>
      </c>
      <c r="D324" s="34" t="s">
        <v>645</v>
      </c>
      <c r="E324" s="47" t="str">
        <f>+_xlfn.XLOOKUP(PROYECTOS[[#This Row],[MUNICIPIO]],MUNICIPIOS!A:A,MUNICIPIOS!E:E,0,0,1)</f>
        <v>Nordeste</v>
      </c>
      <c r="F324" s="44">
        <f>+_xlfn.XLOOKUP(PROYECTOS[[#This Row],[MUNICIPIO]],MUNICIPIOS!A:A,MUNICIPIOS!F:F,0,0,1)</f>
        <v>-74.840058999999997</v>
      </c>
      <c r="G324" s="44">
        <f>+_xlfn.XLOOKUP(PROYECTOS[[#This Row],[MUNICIPIO]],MUNICIPIOS!A:A,MUNICIPIOS!G:G,0,0,1)</f>
        <v>6.6765540000000003</v>
      </c>
      <c r="H324" s="44">
        <f>+_xlfn.XLOOKUP(PROYECTOS[[#This Row],[MUNICIPIO]],MUNICIPIOS!A:A,MUNICIPIOS!B:B,0,0,1)</f>
        <v>0</v>
      </c>
      <c r="I324" s="44">
        <f>+_xlfn.XLOOKUP(PROYECTOS[[#This Row],[MUNICIPIO]],MUNICIPIOS!A:A,MUNICIPIOS!C:C,0,0,1)</f>
        <v>1</v>
      </c>
      <c r="J324" s="3" t="str" cm="1">
        <f t="array" ref="J324">_xlfn.TEXTJOIN(" ", TRUE, IF(radicados[ID PROYECTOS]=A324, radicados[RADICADO], ""))</f>
        <v/>
      </c>
      <c r="K324" s="128">
        <v>2</v>
      </c>
      <c r="L324" s="48">
        <v>2673121142</v>
      </c>
      <c r="M324" s="40" t="s">
        <v>435</v>
      </c>
      <c r="N324" s="40" t="s">
        <v>398</v>
      </c>
      <c r="O324" s="40" t="s">
        <v>25</v>
      </c>
      <c r="P324" s="37" t="s">
        <v>1246</v>
      </c>
      <c r="Q324" s="45">
        <v>1</v>
      </c>
      <c r="R324" s="43" t="s">
        <v>922</v>
      </c>
      <c r="S324" s="43" t="s">
        <v>1643</v>
      </c>
      <c r="T324" s="44">
        <f>+_xlfn.XLOOKUP(PROYECTOS[[#This Row],[MUNICIPIO]],'4.CAP_ENDMNT'!B:B,'4.CAP_ENDMNT'!C:C,0,0,1)</f>
        <v>6</v>
      </c>
      <c r="U324" s="139">
        <f>+_xlfn.XLOOKUP(PROYECTOS[[#This Row],[MUNICIPIO]],'4.CAP_ENDMNT'!B:B,'4.CAP_ENDMNT'!D:D,0,0,1)</f>
        <v>8242883516.8785</v>
      </c>
      <c r="V324" s="140">
        <f>+_xlfn.XLOOKUP(PROYECTOS[[#This Row],[MUNICIPIO]],'4.CAP_ENDMNT'!B:B,'4.CAP_ENDMNT'!E:E,0,0,1)</f>
        <v>3016955550.77</v>
      </c>
      <c r="W324" s="140">
        <f>+_xlfn.XLOOKUP(PROYECTOS[[#This Row],[MUNICIPIO]],'4.CAP_ENDMNT'!B:B,'4.CAP_ENDMNT'!F:F,0,0,1)</f>
        <v>5225927966.1084995</v>
      </c>
      <c r="X324" s="140">
        <f>+_xlfn.XLOOKUP(PROYECTOS[[#This Row],[MUNICIPIO]],'4.CAP_ENDMNT'!B:B,'4.CAP_ENDMNT'!G:G,0,0,1)</f>
        <v>1780602025</v>
      </c>
      <c r="Y324" s="140">
        <f>+_xlfn.XLOOKUP(PROYECTOS[[#This Row],[MUNICIPIO]],'4.CAP_ENDMNT'!B:B,'4.CAP_ENDMNT'!H:H,0,0,1)</f>
        <v>0</v>
      </c>
      <c r="Z324" s="140">
        <f>+_xlfn.XLOOKUP(PROYECTOS[[#This Row],[MUNICIPIO]],'4.CAP_ENDMNT'!B:B,'4.CAP_ENDMNT'!I:I,0,0,1)</f>
        <v>1780602025</v>
      </c>
      <c r="AA324" s="134">
        <f>+_xlfn.XLOOKUP(PROYECTOS[[#This Row],[MUNICIPIO]],'4.CAP_ENDMNT'!B:B,'4.CAP_ENDMNT'!J:J,0,0,1)</f>
        <v>0.2160168855175448</v>
      </c>
      <c r="AB324" s="140">
        <f>+_xlfn.XLOOKUP(PROYECTOS[[#This Row],[MUNICIPIO]],'4.CAP_ENDMNT'!B:B,'4.CAP_ENDMNT'!K:K,0,0,1)</f>
        <v>6462281491.8785</v>
      </c>
      <c r="AC324" s="140">
        <f>+_xlfn.XLOOKUP(PROYECTOS[[#This Row],[MUNICIPIO]],'4.CAP_ENDMNT'!B:B,'4.CAP_ENDMNT'!L:L,0,0,1)</f>
        <v>5169825193.5028</v>
      </c>
      <c r="AD324" s="140">
        <f>+_xlfn.XLOOKUP(PROYECTOS[[#This Row],[MUNICIPIO]],'4.CAP_ENDMNT'!B:B,'4.CAP_ENDMNT'!M:M,0,0,1)</f>
        <v>3877368895.1271</v>
      </c>
      <c r="AE324" s="134">
        <f>+_xlfn.XLOOKUP(PROYECTOS[[#This Row],[MUNICIPIO]],'4.CAP_ENDMNT'!B:B,'4.CAP_ENDMNT'!N:N,0,0,1)</f>
        <v>1</v>
      </c>
      <c r="AF324" s="134">
        <f>+_xlfn.XLOOKUP(PROYECTOS[[#This Row],[MUNICIPIO]],'4.CAP_ENDMNT'!B:B,'4.CAP_ENDMNT'!O:O,0,0,1)</f>
        <v>0.64988265281416979</v>
      </c>
      <c r="AG324" s="134">
        <f>+_xlfn.XLOOKUP(PROYECTOS[[#This Row],[MUNICIPIO]],'4.CAP_ENDMNT'!B:B,'4.CAP_ENDMNT'!P:P,0,0,1)</f>
        <v>0.8</v>
      </c>
      <c r="AH324" s="44" t="str">
        <f>+_xlfn.XLOOKUP(PROYECTOS[[#This Row],[MUNICIPIO]],'4.CAP_ENDMNT'!B:B,'4.CAP_ENDMNT'!Q:Q,0,0,1)</f>
        <v>Cumple</v>
      </c>
      <c r="AI324" s="139">
        <f>+_xlfn.XLOOKUP(PROYECTOS[[#This Row],[MUNICIPIO]],'4.CAP_ENDMNT'!B:B,'4.CAP_ENDMNT'!V:V,0,0,1)</f>
        <v>775473779.02542007</v>
      </c>
      <c r="AJ324" s="139">
        <f>+_xlfn.XLOOKUP(PROYECTOS[[#This Row],[MUNICIPIO]],'4.CAP_ENDMNT'!B:B,'4.CAP_ENDMNT'!Y:Y,0,0,1)</f>
        <v>1979721532.1525202</v>
      </c>
      <c r="AK324"/>
      <c r="AL324"/>
      <c r="AM324"/>
    </row>
    <row r="325" spans="1:39">
      <c r="A325" s="44">
        <v>343</v>
      </c>
      <c r="B325" s="37" t="s">
        <v>646</v>
      </c>
      <c r="C325" s="118">
        <v>45747</v>
      </c>
      <c r="D325" s="34" t="s">
        <v>645</v>
      </c>
      <c r="E325" s="47" t="str">
        <f>+_xlfn.XLOOKUP(PROYECTOS[[#This Row],[MUNICIPIO]],MUNICIPIOS!A:A,MUNICIPIOS!E:E,0,0,1)</f>
        <v>Nordeste</v>
      </c>
      <c r="F325" s="44">
        <f>+_xlfn.XLOOKUP(PROYECTOS[[#This Row],[MUNICIPIO]],MUNICIPIOS!A:A,MUNICIPIOS!F:F,0,0,1)</f>
        <v>-74.840058999999997</v>
      </c>
      <c r="G325" s="44">
        <f>+_xlfn.XLOOKUP(PROYECTOS[[#This Row],[MUNICIPIO]],MUNICIPIOS!A:A,MUNICIPIOS!G:G,0,0,1)</f>
        <v>6.6765540000000003</v>
      </c>
      <c r="H325" s="44">
        <f>+_xlfn.XLOOKUP(PROYECTOS[[#This Row],[MUNICIPIO]],MUNICIPIOS!A:A,MUNICIPIOS!B:B,0,0,1)</f>
        <v>0</v>
      </c>
      <c r="I325" s="44">
        <f>+_xlfn.XLOOKUP(PROYECTOS[[#This Row],[MUNICIPIO]],MUNICIPIOS!A:A,MUNICIPIOS!C:C,0,0,1)</f>
        <v>1</v>
      </c>
      <c r="J325" s="3" t="str" cm="1">
        <f t="array" ref="J325">_xlfn.TEXTJOIN(" ", TRUE, IF(radicados[ID PROYECTOS]=A325, radicados[RADICADO], ""))</f>
        <v/>
      </c>
      <c r="K325" s="128">
        <v>2</v>
      </c>
      <c r="L325" s="48"/>
      <c r="M325" s="40" t="s">
        <v>428</v>
      </c>
      <c r="N325" s="40" t="s">
        <v>398</v>
      </c>
      <c r="O325" s="40" t="s">
        <v>25</v>
      </c>
      <c r="P325" s="37"/>
      <c r="Q325" s="45">
        <v>1</v>
      </c>
      <c r="R325" s="43" t="s">
        <v>922</v>
      </c>
      <c r="S325" s="43" t="s">
        <v>1643</v>
      </c>
      <c r="T325" s="44">
        <f>+_xlfn.XLOOKUP(PROYECTOS[[#This Row],[MUNICIPIO]],'4.CAP_ENDMNT'!B:B,'4.CAP_ENDMNT'!C:C,0,0,1)</f>
        <v>6</v>
      </c>
      <c r="U325" s="139">
        <f>+_xlfn.XLOOKUP(PROYECTOS[[#This Row],[MUNICIPIO]],'4.CAP_ENDMNT'!B:B,'4.CAP_ENDMNT'!D:D,0,0,1)</f>
        <v>8242883516.8785</v>
      </c>
      <c r="V325" s="140">
        <f>+_xlfn.XLOOKUP(PROYECTOS[[#This Row],[MUNICIPIO]],'4.CAP_ENDMNT'!B:B,'4.CAP_ENDMNT'!E:E,0,0,1)</f>
        <v>3016955550.77</v>
      </c>
      <c r="W325" s="140">
        <f>+_xlfn.XLOOKUP(PROYECTOS[[#This Row],[MUNICIPIO]],'4.CAP_ENDMNT'!B:B,'4.CAP_ENDMNT'!F:F,0,0,1)</f>
        <v>5225927966.1084995</v>
      </c>
      <c r="X325" s="140">
        <f>+_xlfn.XLOOKUP(PROYECTOS[[#This Row],[MUNICIPIO]],'4.CAP_ENDMNT'!B:B,'4.CAP_ENDMNT'!G:G,0,0,1)</f>
        <v>1780602025</v>
      </c>
      <c r="Y325" s="140">
        <f>+_xlfn.XLOOKUP(PROYECTOS[[#This Row],[MUNICIPIO]],'4.CAP_ENDMNT'!B:B,'4.CAP_ENDMNT'!H:H,0,0,1)</f>
        <v>0</v>
      </c>
      <c r="Z325" s="140">
        <f>+_xlfn.XLOOKUP(PROYECTOS[[#This Row],[MUNICIPIO]],'4.CAP_ENDMNT'!B:B,'4.CAP_ENDMNT'!I:I,0,0,1)</f>
        <v>1780602025</v>
      </c>
      <c r="AA325" s="134">
        <f>+_xlfn.XLOOKUP(PROYECTOS[[#This Row],[MUNICIPIO]],'4.CAP_ENDMNT'!B:B,'4.CAP_ENDMNT'!J:J,0,0,1)</f>
        <v>0.2160168855175448</v>
      </c>
      <c r="AB325" s="140">
        <f>+_xlfn.XLOOKUP(PROYECTOS[[#This Row],[MUNICIPIO]],'4.CAP_ENDMNT'!B:B,'4.CAP_ENDMNT'!K:K,0,0,1)</f>
        <v>6462281491.8785</v>
      </c>
      <c r="AC325" s="140">
        <f>+_xlfn.XLOOKUP(PROYECTOS[[#This Row],[MUNICIPIO]],'4.CAP_ENDMNT'!B:B,'4.CAP_ENDMNT'!L:L,0,0,1)</f>
        <v>5169825193.5028</v>
      </c>
      <c r="AD325" s="140">
        <f>+_xlfn.XLOOKUP(PROYECTOS[[#This Row],[MUNICIPIO]],'4.CAP_ENDMNT'!B:B,'4.CAP_ENDMNT'!M:M,0,0,1)</f>
        <v>3877368895.1271</v>
      </c>
      <c r="AE325" s="134">
        <f>+_xlfn.XLOOKUP(PROYECTOS[[#This Row],[MUNICIPIO]],'4.CAP_ENDMNT'!B:B,'4.CAP_ENDMNT'!N:N,0,0,1)</f>
        <v>1</v>
      </c>
      <c r="AF325" s="134">
        <f>+_xlfn.XLOOKUP(PROYECTOS[[#This Row],[MUNICIPIO]],'4.CAP_ENDMNT'!B:B,'4.CAP_ENDMNT'!O:O,0,0,1)</f>
        <v>0.64988265281416979</v>
      </c>
      <c r="AG325" s="134">
        <f>+_xlfn.XLOOKUP(PROYECTOS[[#This Row],[MUNICIPIO]],'4.CAP_ENDMNT'!B:B,'4.CAP_ENDMNT'!P:P,0,0,1)</f>
        <v>0.8</v>
      </c>
      <c r="AH325" s="44" t="str">
        <f>+_xlfn.XLOOKUP(PROYECTOS[[#This Row],[MUNICIPIO]],'4.CAP_ENDMNT'!B:B,'4.CAP_ENDMNT'!Q:Q,0,0,1)</f>
        <v>Cumple</v>
      </c>
      <c r="AI325" s="139">
        <f>+_xlfn.XLOOKUP(PROYECTOS[[#This Row],[MUNICIPIO]],'4.CAP_ENDMNT'!B:B,'4.CAP_ENDMNT'!V:V,0,0,1)</f>
        <v>775473779.02542007</v>
      </c>
      <c r="AJ325" s="139">
        <f>+_xlfn.XLOOKUP(PROYECTOS[[#This Row],[MUNICIPIO]],'4.CAP_ENDMNT'!B:B,'4.CAP_ENDMNT'!Y:Y,0,0,1)</f>
        <v>1979721532.1525202</v>
      </c>
      <c r="AK325"/>
      <c r="AL325"/>
      <c r="AM325"/>
    </row>
    <row r="326" spans="1:39">
      <c r="A326" s="44">
        <v>344</v>
      </c>
      <c r="B326" s="37" t="s">
        <v>647</v>
      </c>
      <c r="C326" s="118">
        <v>45747</v>
      </c>
      <c r="D326" s="34" t="s">
        <v>153</v>
      </c>
      <c r="E326" s="47" t="str">
        <f>+_xlfn.XLOOKUP(PROYECTOS[[#This Row],[MUNICIPIO]],MUNICIPIOS!A:A,MUNICIPIOS!E:E,0,0,1)</f>
        <v>Urabá</v>
      </c>
      <c r="F326" s="44">
        <f>+_xlfn.XLOOKUP(PROYECTOS[[#This Row],[MUNICIPIO]],MUNICIPIOS!A:A,MUNICIPIOS!F:F,0,0,1)</f>
        <v>-76.787271000000004</v>
      </c>
      <c r="G326" s="44" t="str">
        <f>+_xlfn.XLOOKUP(PROYECTOS[[#This Row],[MUNICIPIO]],MUNICIPIOS!A:A,MUNICIPIOS!G:G,0,0,1)</f>
        <v>8,434526</v>
      </c>
      <c r="H326" s="44">
        <f>+_xlfn.XLOOKUP(PROYECTOS[[#This Row],[MUNICIPIO]],MUNICIPIOS!A:A,MUNICIPIOS!B:B,0,0,1)</f>
        <v>1</v>
      </c>
      <c r="I326" s="44">
        <f>+_xlfn.XLOOKUP(PROYECTOS[[#This Row],[MUNICIPIO]],MUNICIPIOS!A:A,MUNICIPIOS!C:C,0,0,1)</f>
        <v>1</v>
      </c>
      <c r="J326" s="3" t="str" cm="1">
        <f t="array" ref="J326">_xlfn.TEXTJOIN(" ", TRUE, IF(radicados[ID PROYECTOS]=A326, radicados[RADICADO], ""))</f>
        <v/>
      </c>
      <c r="K326" s="45">
        <v>1</v>
      </c>
      <c r="L326" s="48"/>
      <c r="M326" s="40" t="s">
        <v>435</v>
      </c>
      <c r="N326" s="40" t="s">
        <v>397</v>
      </c>
      <c r="O326" s="40" t="s">
        <v>56</v>
      </c>
      <c r="P326" s="37"/>
      <c r="Q326" s="45"/>
      <c r="R326" s="50"/>
      <c r="S326" s="50"/>
      <c r="T326" s="44">
        <f>+_xlfn.XLOOKUP(PROYECTOS[[#This Row],[MUNICIPIO]],'4.CAP_ENDMNT'!B:B,'4.CAP_ENDMNT'!C:C,0,0,1)</f>
        <v>6</v>
      </c>
      <c r="U326" s="139">
        <f>+_xlfn.XLOOKUP(PROYECTOS[[#This Row],[MUNICIPIO]],'4.CAP_ENDMNT'!B:B,'4.CAP_ENDMNT'!D:D,0,0,1)</f>
        <v>30137297790.127998</v>
      </c>
      <c r="V326" s="140">
        <f>+_xlfn.XLOOKUP(PROYECTOS[[#This Row],[MUNICIPIO]],'4.CAP_ENDMNT'!B:B,'4.CAP_ENDMNT'!E:E,0,0,1)</f>
        <v>12298726691.530001</v>
      </c>
      <c r="W326" s="140">
        <f>+_xlfn.XLOOKUP(PROYECTOS[[#This Row],[MUNICIPIO]],'4.CAP_ENDMNT'!B:B,'4.CAP_ENDMNT'!F:F,0,0,1)</f>
        <v>17838571098.598</v>
      </c>
      <c r="X326" s="140">
        <f>+_xlfn.XLOOKUP(PROYECTOS[[#This Row],[MUNICIPIO]],'4.CAP_ENDMNT'!B:B,'4.CAP_ENDMNT'!G:G,0,0,1)</f>
        <v>2369107602</v>
      </c>
      <c r="Y326" s="140">
        <f>+_xlfn.XLOOKUP(PROYECTOS[[#This Row],[MUNICIPIO]],'4.CAP_ENDMNT'!B:B,'4.CAP_ENDMNT'!H:H,0,0,1)</f>
        <v>13974896585</v>
      </c>
      <c r="Z326" s="140">
        <f>+_xlfn.XLOOKUP(PROYECTOS[[#This Row],[MUNICIPIO]],'4.CAP_ENDMNT'!B:B,'4.CAP_ENDMNT'!I:I,0,0,1)</f>
        <v>16344004187</v>
      </c>
      <c r="AA326" s="134">
        <f>+_xlfn.XLOOKUP(PROYECTOS[[#This Row],[MUNICIPIO]],'4.CAP_ENDMNT'!B:B,'4.CAP_ENDMNT'!J:J,0,0,1)</f>
        <v>0.54231817002364979</v>
      </c>
      <c r="AB326" s="140">
        <f>+_xlfn.XLOOKUP(PROYECTOS[[#This Row],[MUNICIPIO]],'4.CAP_ENDMNT'!B:B,'4.CAP_ENDMNT'!K:K,0,0,1)</f>
        <v>13793293603.127998</v>
      </c>
      <c r="AC326" s="140">
        <f>+_xlfn.XLOOKUP(PROYECTOS[[#This Row],[MUNICIPIO]],'4.CAP_ENDMNT'!B:B,'4.CAP_ENDMNT'!L:L,0,0,1)</f>
        <v>11034634882.502399</v>
      </c>
      <c r="AD326" s="140">
        <f>+_xlfn.XLOOKUP(PROYECTOS[[#This Row],[MUNICIPIO]],'4.CAP_ENDMNT'!B:B,'4.CAP_ENDMNT'!M:M,0,0,1)</f>
        <v>8275976161.8767986</v>
      </c>
      <c r="AE326" s="134">
        <f>+_xlfn.XLOOKUP(PROYECTOS[[#This Row],[MUNICIPIO]],'4.CAP_ENDMNT'!B:B,'4.CAP_ENDMNT'!N:N,0,0,1)</f>
        <v>0.1449527040554961</v>
      </c>
      <c r="AF326" s="134">
        <f>+_xlfn.XLOOKUP(PROYECTOS[[#This Row],[MUNICIPIO]],'4.CAP_ENDMNT'!B:B,'4.CAP_ENDMNT'!O:O,0,0,1)</f>
        <v>0.58055985759165929</v>
      </c>
      <c r="AG326" s="134">
        <f>+_xlfn.XLOOKUP(PROYECTOS[[#This Row],[MUNICIPIO]],'4.CAP_ENDMNT'!B:B,'4.CAP_ENDMNT'!P:P,0,0,1)</f>
        <v>0.8</v>
      </c>
      <c r="AH326" s="44" t="str">
        <f>+_xlfn.XLOOKUP(PROYECTOS[[#This Row],[MUNICIPIO]],'4.CAP_ENDMNT'!B:B,'4.CAP_ENDMNT'!Q:Q,0,0,1)</f>
        <v>Cumple</v>
      </c>
      <c r="AI326" s="139">
        <f>+_xlfn.XLOOKUP(PROYECTOS[[#This Row],[MUNICIPIO]],'4.CAP_ENDMNT'!B:B,'4.CAP_ENDMNT'!V:V,0,0,1)</f>
        <v>1655195232.3753598</v>
      </c>
      <c r="AJ326" s="139">
        <f>+_xlfn.XLOOKUP(PROYECTOS[[#This Row],[MUNICIPIO]],'4.CAP_ENDMNT'!B:B,'4.CAP_ENDMNT'!Y:Y,0,0,1)</f>
        <v>-48565434249.747841</v>
      </c>
      <c r="AK326"/>
      <c r="AL326"/>
      <c r="AM326"/>
    </row>
    <row r="327" spans="1:39" ht="30">
      <c r="A327" s="44">
        <v>345</v>
      </c>
      <c r="B327" s="36" t="s">
        <v>1445</v>
      </c>
      <c r="C327" s="118">
        <v>45747</v>
      </c>
      <c r="D327" s="34" t="s">
        <v>470</v>
      </c>
      <c r="E327" s="47" t="str">
        <f>+_xlfn.XLOOKUP(PROYECTOS[[#This Row],[MUNICIPIO]],MUNICIPIOS!A:A,MUNICIPIOS!E:E,0,0,1)</f>
        <v>Oriente</v>
      </c>
      <c r="F327" s="44">
        <f>+_xlfn.XLOOKUP(PROYECTOS[[#This Row],[MUNICIPIO]],MUNICIPIOS!A:A,MUNICIPIOS!F:F,0,0,1)</f>
        <v>-75.028490000000005</v>
      </c>
      <c r="G327" s="44" t="str">
        <f>+_xlfn.XLOOKUP(PROYECTOS[[#This Row],[MUNICIPIO]],MUNICIPIOS!A:A,MUNICIPIOS!G:G,0,0,1)</f>
        <v>6,293759</v>
      </c>
      <c r="H327" s="44">
        <f>+_xlfn.XLOOKUP(PROYECTOS[[#This Row],[MUNICIPIO]],MUNICIPIOS!A:A,MUNICIPIOS!B:B,0,0,1)</f>
        <v>0</v>
      </c>
      <c r="I327" s="44">
        <f>+_xlfn.XLOOKUP(PROYECTOS[[#This Row],[MUNICIPIO]],MUNICIPIOS!A:A,MUNICIPIOS!C:C,0,0,1)</f>
        <v>1</v>
      </c>
      <c r="J327" s="3" t="str" cm="1">
        <f t="array" ref="J327">_xlfn.TEXTJOIN(" ", TRUE, IF(radicados[ID PROYECTOS]=A327, radicados[RADICADO], ""))</f>
        <v/>
      </c>
      <c r="K327" s="45">
        <v>1</v>
      </c>
      <c r="L327" s="48"/>
      <c r="M327" s="40" t="s">
        <v>435</v>
      </c>
      <c r="N327" s="40" t="s">
        <v>397</v>
      </c>
      <c r="O327" s="40" t="s">
        <v>56</v>
      </c>
      <c r="P327" s="37" t="s">
        <v>495</v>
      </c>
      <c r="Q327" s="45"/>
      <c r="R327" s="50"/>
      <c r="S327" s="50"/>
      <c r="T327" s="44">
        <f>+_xlfn.XLOOKUP(PROYECTOS[[#This Row],[MUNICIPIO]],'4.CAP_ENDMNT'!B:B,'4.CAP_ENDMNT'!C:C,0,0,1)</f>
        <v>6</v>
      </c>
      <c r="U327" s="139">
        <f>+_xlfn.XLOOKUP(PROYECTOS[[#This Row],[MUNICIPIO]],'4.CAP_ENDMNT'!B:B,'4.CAP_ENDMNT'!D:D,0,0,1)</f>
        <v>17565923370.843998</v>
      </c>
      <c r="V327" s="140">
        <f>+_xlfn.XLOOKUP(PROYECTOS[[#This Row],[MUNICIPIO]],'4.CAP_ENDMNT'!B:B,'4.CAP_ENDMNT'!E:E,0,0,1)</f>
        <v>4463335582.5100002</v>
      </c>
      <c r="W327" s="140">
        <f>+_xlfn.XLOOKUP(PROYECTOS[[#This Row],[MUNICIPIO]],'4.CAP_ENDMNT'!B:B,'4.CAP_ENDMNT'!F:F,0,0,1)</f>
        <v>13102587788.333998</v>
      </c>
      <c r="X327" s="140">
        <f>+_xlfn.XLOOKUP(PROYECTOS[[#This Row],[MUNICIPIO]],'4.CAP_ENDMNT'!B:B,'4.CAP_ENDMNT'!G:G,0,0,1)</f>
        <v>2561424191</v>
      </c>
      <c r="Y327" s="140">
        <f>+_xlfn.XLOOKUP(PROYECTOS[[#This Row],[MUNICIPIO]],'4.CAP_ENDMNT'!B:B,'4.CAP_ENDMNT'!H:H,0,0,1)</f>
        <v>0</v>
      </c>
      <c r="Z327" s="140">
        <f>+_xlfn.XLOOKUP(PROYECTOS[[#This Row],[MUNICIPIO]],'4.CAP_ENDMNT'!B:B,'4.CAP_ENDMNT'!I:I,0,0,1)</f>
        <v>2561424191</v>
      </c>
      <c r="AA327" s="134">
        <f>+_xlfn.XLOOKUP(PROYECTOS[[#This Row],[MUNICIPIO]],'4.CAP_ENDMNT'!B:B,'4.CAP_ENDMNT'!J:J,0,0,1)</f>
        <v>0.14581779374328047</v>
      </c>
      <c r="AB327" s="140">
        <f>+_xlfn.XLOOKUP(PROYECTOS[[#This Row],[MUNICIPIO]],'4.CAP_ENDMNT'!B:B,'4.CAP_ENDMNT'!K:K,0,0,1)</f>
        <v>15004499179.843998</v>
      </c>
      <c r="AC327" s="140">
        <f>+_xlfn.XLOOKUP(PROYECTOS[[#This Row],[MUNICIPIO]],'4.CAP_ENDMNT'!B:B,'4.CAP_ENDMNT'!L:L,0,0,1)</f>
        <v>12003599343.875198</v>
      </c>
      <c r="AD327" s="140">
        <f>+_xlfn.XLOOKUP(PROYECTOS[[#This Row],[MUNICIPIO]],'4.CAP_ENDMNT'!B:B,'4.CAP_ENDMNT'!M:M,0,0,1)</f>
        <v>9002699507.9063988</v>
      </c>
      <c r="AE327" s="134">
        <f>+_xlfn.XLOOKUP(PROYECTOS[[#This Row],[MUNICIPIO]],'4.CAP_ENDMNT'!B:B,'4.CAP_ENDMNT'!N:N,0,0,1)</f>
        <v>1</v>
      </c>
      <c r="AF327" s="134">
        <f>+_xlfn.XLOOKUP(PROYECTOS[[#This Row],[MUNICIPIO]],'4.CAP_ENDMNT'!B:B,'4.CAP_ENDMNT'!O:O,0,0,1)</f>
        <v>0.64471709259563048</v>
      </c>
      <c r="AG327" s="134">
        <f>+_xlfn.XLOOKUP(PROYECTOS[[#This Row],[MUNICIPIO]],'4.CAP_ENDMNT'!B:B,'4.CAP_ENDMNT'!P:P,0,0,1)</f>
        <v>0.8</v>
      </c>
      <c r="AH327" s="44" t="str">
        <f>+_xlfn.XLOOKUP(PROYECTOS[[#This Row],[MUNICIPIO]],'4.CAP_ENDMNT'!B:B,'4.CAP_ENDMNT'!Q:Q,0,0,1)</f>
        <v>Cumple</v>
      </c>
      <c r="AI327" s="139">
        <f>+_xlfn.XLOOKUP(PROYECTOS[[#This Row],[MUNICIPIO]],'4.CAP_ENDMNT'!B:B,'4.CAP_ENDMNT'!V:V,0,0,1)</f>
        <v>1800539901.5812798</v>
      </c>
      <c r="AJ327" s="139">
        <f>+_xlfn.XLOOKUP(PROYECTOS[[#This Row],[MUNICIPIO]],'4.CAP_ENDMNT'!B:B,'4.CAP_ENDMNT'!Y:Y,0,0,1)</f>
        <v>3805966446.4876785</v>
      </c>
      <c r="AK327"/>
      <c r="AL327"/>
      <c r="AM327"/>
    </row>
    <row r="328" spans="1:39" ht="30">
      <c r="A328" s="44">
        <v>346</v>
      </c>
      <c r="B328" s="36" t="s">
        <v>649</v>
      </c>
      <c r="C328" s="118">
        <v>45747</v>
      </c>
      <c r="D328" s="34" t="s">
        <v>470</v>
      </c>
      <c r="E328" s="47" t="str">
        <f>+_xlfn.XLOOKUP(PROYECTOS[[#This Row],[MUNICIPIO]],MUNICIPIOS!A:A,MUNICIPIOS!E:E,0,0,1)</f>
        <v>Oriente</v>
      </c>
      <c r="F328" s="44">
        <f>+_xlfn.XLOOKUP(PROYECTOS[[#This Row],[MUNICIPIO]],MUNICIPIOS!A:A,MUNICIPIOS!F:F,0,0,1)</f>
        <v>-75.028490000000005</v>
      </c>
      <c r="G328" s="44" t="str">
        <f>+_xlfn.XLOOKUP(PROYECTOS[[#This Row],[MUNICIPIO]],MUNICIPIOS!A:A,MUNICIPIOS!G:G,0,0,1)</f>
        <v>6,293759</v>
      </c>
      <c r="H328" s="44">
        <f>+_xlfn.XLOOKUP(PROYECTOS[[#This Row],[MUNICIPIO]],MUNICIPIOS!A:A,MUNICIPIOS!B:B,0,0,1)</f>
        <v>0</v>
      </c>
      <c r="I328" s="44">
        <f>+_xlfn.XLOOKUP(PROYECTOS[[#This Row],[MUNICIPIO]],MUNICIPIOS!A:A,MUNICIPIOS!C:C,0,0,1)</f>
        <v>1</v>
      </c>
      <c r="J328" s="3" t="str" cm="1">
        <f t="array" ref="J328">_xlfn.TEXTJOIN(" ", TRUE, IF(radicados[ID PROYECTOS]=A328, radicados[RADICADO], ""))</f>
        <v/>
      </c>
      <c r="K328" s="45">
        <v>1</v>
      </c>
      <c r="L328" s="48"/>
      <c r="M328" s="40" t="s">
        <v>435</v>
      </c>
      <c r="N328" s="40" t="s">
        <v>397</v>
      </c>
      <c r="O328" s="40" t="s">
        <v>56</v>
      </c>
      <c r="P328" s="37" t="s">
        <v>495</v>
      </c>
      <c r="Q328" s="45"/>
      <c r="R328" s="50"/>
      <c r="S328" s="50"/>
      <c r="T328" s="44">
        <f>+_xlfn.XLOOKUP(PROYECTOS[[#This Row],[MUNICIPIO]],'4.CAP_ENDMNT'!B:B,'4.CAP_ENDMNT'!C:C,0,0,1)</f>
        <v>6</v>
      </c>
      <c r="U328" s="139">
        <f>+_xlfn.XLOOKUP(PROYECTOS[[#This Row],[MUNICIPIO]],'4.CAP_ENDMNT'!B:B,'4.CAP_ENDMNT'!D:D,0,0,1)</f>
        <v>17565923370.843998</v>
      </c>
      <c r="V328" s="140">
        <f>+_xlfn.XLOOKUP(PROYECTOS[[#This Row],[MUNICIPIO]],'4.CAP_ENDMNT'!B:B,'4.CAP_ENDMNT'!E:E,0,0,1)</f>
        <v>4463335582.5100002</v>
      </c>
      <c r="W328" s="140">
        <f>+_xlfn.XLOOKUP(PROYECTOS[[#This Row],[MUNICIPIO]],'4.CAP_ENDMNT'!B:B,'4.CAP_ENDMNT'!F:F,0,0,1)</f>
        <v>13102587788.333998</v>
      </c>
      <c r="X328" s="140">
        <f>+_xlfn.XLOOKUP(PROYECTOS[[#This Row],[MUNICIPIO]],'4.CAP_ENDMNT'!B:B,'4.CAP_ENDMNT'!G:G,0,0,1)</f>
        <v>2561424191</v>
      </c>
      <c r="Y328" s="140">
        <f>+_xlfn.XLOOKUP(PROYECTOS[[#This Row],[MUNICIPIO]],'4.CAP_ENDMNT'!B:B,'4.CAP_ENDMNT'!H:H,0,0,1)</f>
        <v>0</v>
      </c>
      <c r="Z328" s="140">
        <f>+_xlfn.XLOOKUP(PROYECTOS[[#This Row],[MUNICIPIO]],'4.CAP_ENDMNT'!B:B,'4.CAP_ENDMNT'!I:I,0,0,1)</f>
        <v>2561424191</v>
      </c>
      <c r="AA328" s="134">
        <f>+_xlfn.XLOOKUP(PROYECTOS[[#This Row],[MUNICIPIO]],'4.CAP_ENDMNT'!B:B,'4.CAP_ENDMNT'!J:J,0,0,1)</f>
        <v>0.14581779374328047</v>
      </c>
      <c r="AB328" s="140">
        <f>+_xlfn.XLOOKUP(PROYECTOS[[#This Row],[MUNICIPIO]],'4.CAP_ENDMNT'!B:B,'4.CAP_ENDMNT'!K:K,0,0,1)</f>
        <v>15004499179.843998</v>
      </c>
      <c r="AC328" s="140">
        <f>+_xlfn.XLOOKUP(PROYECTOS[[#This Row],[MUNICIPIO]],'4.CAP_ENDMNT'!B:B,'4.CAP_ENDMNT'!L:L,0,0,1)</f>
        <v>12003599343.875198</v>
      </c>
      <c r="AD328" s="140">
        <f>+_xlfn.XLOOKUP(PROYECTOS[[#This Row],[MUNICIPIO]],'4.CAP_ENDMNT'!B:B,'4.CAP_ENDMNT'!M:M,0,0,1)</f>
        <v>9002699507.9063988</v>
      </c>
      <c r="AE328" s="134">
        <f>+_xlfn.XLOOKUP(PROYECTOS[[#This Row],[MUNICIPIO]],'4.CAP_ENDMNT'!B:B,'4.CAP_ENDMNT'!N:N,0,0,1)</f>
        <v>1</v>
      </c>
      <c r="AF328" s="134">
        <f>+_xlfn.XLOOKUP(PROYECTOS[[#This Row],[MUNICIPIO]],'4.CAP_ENDMNT'!B:B,'4.CAP_ENDMNT'!O:O,0,0,1)</f>
        <v>0.64471709259563048</v>
      </c>
      <c r="AG328" s="134">
        <f>+_xlfn.XLOOKUP(PROYECTOS[[#This Row],[MUNICIPIO]],'4.CAP_ENDMNT'!B:B,'4.CAP_ENDMNT'!P:P,0,0,1)</f>
        <v>0.8</v>
      </c>
      <c r="AH328" s="44" t="str">
        <f>+_xlfn.XLOOKUP(PROYECTOS[[#This Row],[MUNICIPIO]],'4.CAP_ENDMNT'!B:B,'4.CAP_ENDMNT'!Q:Q,0,0,1)</f>
        <v>Cumple</v>
      </c>
      <c r="AI328" s="139">
        <f>+_xlfn.XLOOKUP(PROYECTOS[[#This Row],[MUNICIPIO]],'4.CAP_ENDMNT'!B:B,'4.CAP_ENDMNT'!V:V,0,0,1)</f>
        <v>1800539901.5812798</v>
      </c>
      <c r="AJ328" s="139">
        <f>+_xlfn.XLOOKUP(PROYECTOS[[#This Row],[MUNICIPIO]],'4.CAP_ENDMNT'!B:B,'4.CAP_ENDMNT'!Y:Y,0,0,1)</f>
        <v>3805966446.4876785</v>
      </c>
      <c r="AK328"/>
      <c r="AL328"/>
      <c r="AM328"/>
    </row>
    <row r="329" spans="1:39" ht="30">
      <c r="A329" s="44">
        <v>347</v>
      </c>
      <c r="B329" s="36" t="s">
        <v>1446</v>
      </c>
      <c r="C329" s="118">
        <v>45747</v>
      </c>
      <c r="D329" s="34" t="s">
        <v>470</v>
      </c>
      <c r="E329" s="47" t="str">
        <f>+_xlfn.XLOOKUP(PROYECTOS[[#This Row],[MUNICIPIO]],MUNICIPIOS!A:A,MUNICIPIOS!E:E,0,0,1)</f>
        <v>Oriente</v>
      </c>
      <c r="F329" s="44">
        <f>+_xlfn.XLOOKUP(PROYECTOS[[#This Row],[MUNICIPIO]],MUNICIPIOS!A:A,MUNICIPIOS!F:F,0,0,1)</f>
        <v>-75.028490000000005</v>
      </c>
      <c r="G329" s="44" t="str">
        <f>+_xlfn.XLOOKUP(PROYECTOS[[#This Row],[MUNICIPIO]],MUNICIPIOS!A:A,MUNICIPIOS!G:G,0,0,1)</f>
        <v>6,293759</v>
      </c>
      <c r="H329" s="44">
        <f>+_xlfn.XLOOKUP(PROYECTOS[[#This Row],[MUNICIPIO]],MUNICIPIOS!A:A,MUNICIPIOS!B:B,0,0,1)</f>
        <v>0</v>
      </c>
      <c r="I329" s="44">
        <f>+_xlfn.XLOOKUP(PROYECTOS[[#This Row],[MUNICIPIO]],MUNICIPIOS!A:A,MUNICIPIOS!C:C,0,0,1)</f>
        <v>1</v>
      </c>
      <c r="J329" s="3" t="str" cm="1">
        <f t="array" ref="J329">_xlfn.TEXTJOIN(" ", TRUE, IF(radicados[ID PROYECTOS]=A329, radicados[RADICADO], ""))</f>
        <v/>
      </c>
      <c r="K329" s="45">
        <v>1</v>
      </c>
      <c r="L329" s="48"/>
      <c r="M329" s="40" t="s">
        <v>435</v>
      </c>
      <c r="N329" s="40" t="s">
        <v>397</v>
      </c>
      <c r="O329" s="40" t="s">
        <v>56</v>
      </c>
      <c r="P329" s="37" t="s">
        <v>495</v>
      </c>
      <c r="Q329" s="45"/>
      <c r="R329" s="50"/>
      <c r="S329" s="50"/>
      <c r="T329" s="44">
        <f>+_xlfn.XLOOKUP(PROYECTOS[[#This Row],[MUNICIPIO]],'4.CAP_ENDMNT'!B:B,'4.CAP_ENDMNT'!C:C,0,0,1)</f>
        <v>6</v>
      </c>
      <c r="U329" s="139">
        <f>+_xlfn.XLOOKUP(PROYECTOS[[#This Row],[MUNICIPIO]],'4.CAP_ENDMNT'!B:B,'4.CAP_ENDMNT'!D:D,0,0,1)</f>
        <v>17565923370.843998</v>
      </c>
      <c r="V329" s="140">
        <f>+_xlfn.XLOOKUP(PROYECTOS[[#This Row],[MUNICIPIO]],'4.CAP_ENDMNT'!B:B,'4.CAP_ENDMNT'!E:E,0,0,1)</f>
        <v>4463335582.5100002</v>
      </c>
      <c r="W329" s="140">
        <f>+_xlfn.XLOOKUP(PROYECTOS[[#This Row],[MUNICIPIO]],'4.CAP_ENDMNT'!B:B,'4.CAP_ENDMNT'!F:F,0,0,1)</f>
        <v>13102587788.333998</v>
      </c>
      <c r="X329" s="140">
        <f>+_xlfn.XLOOKUP(PROYECTOS[[#This Row],[MUNICIPIO]],'4.CAP_ENDMNT'!B:B,'4.CAP_ENDMNT'!G:G,0,0,1)</f>
        <v>2561424191</v>
      </c>
      <c r="Y329" s="140">
        <f>+_xlfn.XLOOKUP(PROYECTOS[[#This Row],[MUNICIPIO]],'4.CAP_ENDMNT'!B:B,'4.CAP_ENDMNT'!H:H,0,0,1)</f>
        <v>0</v>
      </c>
      <c r="Z329" s="140">
        <f>+_xlfn.XLOOKUP(PROYECTOS[[#This Row],[MUNICIPIO]],'4.CAP_ENDMNT'!B:B,'4.CAP_ENDMNT'!I:I,0,0,1)</f>
        <v>2561424191</v>
      </c>
      <c r="AA329" s="134">
        <f>+_xlfn.XLOOKUP(PROYECTOS[[#This Row],[MUNICIPIO]],'4.CAP_ENDMNT'!B:B,'4.CAP_ENDMNT'!J:J,0,0,1)</f>
        <v>0.14581779374328047</v>
      </c>
      <c r="AB329" s="140">
        <f>+_xlfn.XLOOKUP(PROYECTOS[[#This Row],[MUNICIPIO]],'4.CAP_ENDMNT'!B:B,'4.CAP_ENDMNT'!K:K,0,0,1)</f>
        <v>15004499179.843998</v>
      </c>
      <c r="AC329" s="140">
        <f>+_xlfn.XLOOKUP(PROYECTOS[[#This Row],[MUNICIPIO]],'4.CAP_ENDMNT'!B:B,'4.CAP_ENDMNT'!L:L,0,0,1)</f>
        <v>12003599343.875198</v>
      </c>
      <c r="AD329" s="140">
        <f>+_xlfn.XLOOKUP(PROYECTOS[[#This Row],[MUNICIPIO]],'4.CAP_ENDMNT'!B:B,'4.CAP_ENDMNT'!M:M,0,0,1)</f>
        <v>9002699507.9063988</v>
      </c>
      <c r="AE329" s="134">
        <f>+_xlfn.XLOOKUP(PROYECTOS[[#This Row],[MUNICIPIO]],'4.CAP_ENDMNT'!B:B,'4.CAP_ENDMNT'!N:N,0,0,1)</f>
        <v>1</v>
      </c>
      <c r="AF329" s="134">
        <f>+_xlfn.XLOOKUP(PROYECTOS[[#This Row],[MUNICIPIO]],'4.CAP_ENDMNT'!B:B,'4.CAP_ENDMNT'!O:O,0,0,1)</f>
        <v>0.64471709259563048</v>
      </c>
      <c r="AG329" s="134">
        <f>+_xlfn.XLOOKUP(PROYECTOS[[#This Row],[MUNICIPIO]],'4.CAP_ENDMNT'!B:B,'4.CAP_ENDMNT'!P:P,0,0,1)</f>
        <v>0.8</v>
      </c>
      <c r="AH329" s="44" t="str">
        <f>+_xlfn.XLOOKUP(PROYECTOS[[#This Row],[MUNICIPIO]],'4.CAP_ENDMNT'!B:B,'4.CAP_ENDMNT'!Q:Q,0,0,1)</f>
        <v>Cumple</v>
      </c>
      <c r="AI329" s="139">
        <f>+_xlfn.XLOOKUP(PROYECTOS[[#This Row],[MUNICIPIO]],'4.CAP_ENDMNT'!B:B,'4.CAP_ENDMNT'!V:V,0,0,1)</f>
        <v>1800539901.5812798</v>
      </c>
      <c r="AJ329" s="139">
        <f>+_xlfn.XLOOKUP(PROYECTOS[[#This Row],[MUNICIPIO]],'4.CAP_ENDMNT'!B:B,'4.CAP_ENDMNT'!Y:Y,0,0,1)</f>
        <v>3805966446.4876785</v>
      </c>
      <c r="AK329"/>
      <c r="AL329"/>
      <c r="AM329"/>
    </row>
    <row r="330" spans="1:39" ht="45">
      <c r="A330" s="44">
        <v>348</v>
      </c>
      <c r="B330" s="36" t="s">
        <v>1447</v>
      </c>
      <c r="C330" s="118">
        <v>45747</v>
      </c>
      <c r="D330" s="34" t="s">
        <v>470</v>
      </c>
      <c r="E330" s="47" t="str">
        <f>+_xlfn.XLOOKUP(PROYECTOS[[#This Row],[MUNICIPIO]],MUNICIPIOS!A:A,MUNICIPIOS!E:E,0,0,1)</f>
        <v>Oriente</v>
      </c>
      <c r="F330" s="44">
        <f>+_xlfn.XLOOKUP(PROYECTOS[[#This Row],[MUNICIPIO]],MUNICIPIOS!A:A,MUNICIPIOS!F:F,0,0,1)</f>
        <v>-75.028490000000005</v>
      </c>
      <c r="G330" s="44" t="str">
        <f>+_xlfn.XLOOKUP(PROYECTOS[[#This Row],[MUNICIPIO]],MUNICIPIOS!A:A,MUNICIPIOS!G:G,0,0,1)</f>
        <v>6,293759</v>
      </c>
      <c r="H330" s="44">
        <f>+_xlfn.XLOOKUP(PROYECTOS[[#This Row],[MUNICIPIO]],MUNICIPIOS!A:A,MUNICIPIOS!B:B,0,0,1)</f>
        <v>0</v>
      </c>
      <c r="I330" s="44">
        <f>+_xlfn.XLOOKUP(PROYECTOS[[#This Row],[MUNICIPIO]],MUNICIPIOS!A:A,MUNICIPIOS!C:C,0,0,1)</f>
        <v>1</v>
      </c>
      <c r="J330" s="3" t="str" cm="1">
        <f t="array" ref="J330">_xlfn.TEXTJOIN(" ", TRUE, IF(radicados[ID PROYECTOS]=A330, radicados[RADICADO], ""))</f>
        <v/>
      </c>
      <c r="K330" s="45">
        <v>1</v>
      </c>
      <c r="L330" s="48"/>
      <c r="M330" s="40" t="s">
        <v>428</v>
      </c>
      <c r="N330" s="40" t="s">
        <v>397</v>
      </c>
      <c r="O330" s="40" t="s">
        <v>56</v>
      </c>
      <c r="P330" s="37" t="s">
        <v>495</v>
      </c>
      <c r="Q330" s="45"/>
      <c r="R330" s="50"/>
      <c r="S330" s="50"/>
      <c r="T330" s="44">
        <f>+_xlfn.XLOOKUP(PROYECTOS[[#This Row],[MUNICIPIO]],'4.CAP_ENDMNT'!B:B,'4.CAP_ENDMNT'!C:C,0,0,1)</f>
        <v>6</v>
      </c>
      <c r="U330" s="139">
        <f>+_xlfn.XLOOKUP(PROYECTOS[[#This Row],[MUNICIPIO]],'4.CAP_ENDMNT'!B:B,'4.CAP_ENDMNT'!D:D,0,0,1)</f>
        <v>17565923370.843998</v>
      </c>
      <c r="V330" s="140">
        <f>+_xlfn.XLOOKUP(PROYECTOS[[#This Row],[MUNICIPIO]],'4.CAP_ENDMNT'!B:B,'4.CAP_ENDMNT'!E:E,0,0,1)</f>
        <v>4463335582.5100002</v>
      </c>
      <c r="W330" s="140">
        <f>+_xlfn.XLOOKUP(PROYECTOS[[#This Row],[MUNICIPIO]],'4.CAP_ENDMNT'!B:B,'4.CAP_ENDMNT'!F:F,0,0,1)</f>
        <v>13102587788.333998</v>
      </c>
      <c r="X330" s="140">
        <f>+_xlfn.XLOOKUP(PROYECTOS[[#This Row],[MUNICIPIO]],'4.CAP_ENDMNT'!B:B,'4.CAP_ENDMNT'!G:G,0,0,1)</f>
        <v>2561424191</v>
      </c>
      <c r="Y330" s="140">
        <f>+_xlfn.XLOOKUP(PROYECTOS[[#This Row],[MUNICIPIO]],'4.CAP_ENDMNT'!B:B,'4.CAP_ENDMNT'!H:H,0,0,1)</f>
        <v>0</v>
      </c>
      <c r="Z330" s="140">
        <f>+_xlfn.XLOOKUP(PROYECTOS[[#This Row],[MUNICIPIO]],'4.CAP_ENDMNT'!B:B,'4.CAP_ENDMNT'!I:I,0,0,1)</f>
        <v>2561424191</v>
      </c>
      <c r="AA330" s="134">
        <f>+_xlfn.XLOOKUP(PROYECTOS[[#This Row],[MUNICIPIO]],'4.CAP_ENDMNT'!B:B,'4.CAP_ENDMNT'!J:J,0,0,1)</f>
        <v>0.14581779374328047</v>
      </c>
      <c r="AB330" s="140">
        <f>+_xlfn.XLOOKUP(PROYECTOS[[#This Row],[MUNICIPIO]],'4.CAP_ENDMNT'!B:B,'4.CAP_ENDMNT'!K:K,0,0,1)</f>
        <v>15004499179.843998</v>
      </c>
      <c r="AC330" s="140">
        <f>+_xlfn.XLOOKUP(PROYECTOS[[#This Row],[MUNICIPIO]],'4.CAP_ENDMNT'!B:B,'4.CAP_ENDMNT'!L:L,0,0,1)</f>
        <v>12003599343.875198</v>
      </c>
      <c r="AD330" s="140">
        <f>+_xlfn.XLOOKUP(PROYECTOS[[#This Row],[MUNICIPIO]],'4.CAP_ENDMNT'!B:B,'4.CAP_ENDMNT'!M:M,0,0,1)</f>
        <v>9002699507.9063988</v>
      </c>
      <c r="AE330" s="134">
        <f>+_xlfn.XLOOKUP(PROYECTOS[[#This Row],[MUNICIPIO]],'4.CAP_ENDMNT'!B:B,'4.CAP_ENDMNT'!N:N,0,0,1)</f>
        <v>1</v>
      </c>
      <c r="AF330" s="134">
        <f>+_xlfn.XLOOKUP(PROYECTOS[[#This Row],[MUNICIPIO]],'4.CAP_ENDMNT'!B:B,'4.CAP_ENDMNT'!O:O,0,0,1)</f>
        <v>0.64471709259563048</v>
      </c>
      <c r="AG330" s="134">
        <f>+_xlfn.XLOOKUP(PROYECTOS[[#This Row],[MUNICIPIO]],'4.CAP_ENDMNT'!B:B,'4.CAP_ENDMNT'!P:P,0,0,1)</f>
        <v>0.8</v>
      </c>
      <c r="AH330" s="44" t="str">
        <f>+_xlfn.XLOOKUP(PROYECTOS[[#This Row],[MUNICIPIO]],'4.CAP_ENDMNT'!B:B,'4.CAP_ENDMNT'!Q:Q,0,0,1)</f>
        <v>Cumple</v>
      </c>
      <c r="AI330" s="139">
        <f>+_xlfn.XLOOKUP(PROYECTOS[[#This Row],[MUNICIPIO]],'4.CAP_ENDMNT'!B:B,'4.CAP_ENDMNT'!V:V,0,0,1)</f>
        <v>1800539901.5812798</v>
      </c>
      <c r="AJ330" s="139">
        <f>+_xlfn.XLOOKUP(PROYECTOS[[#This Row],[MUNICIPIO]],'4.CAP_ENDMNT'!B:B,'4.CAP_ENDMNT'!Y:Y,0,0,1)</f>
        <v>3805966446.4876785</v>
      </c>
      <c r="AK330"/>
      <c r="AL330"/>
      <c r="AM330"/>
    </row>
    <row r="331" spans="1:39">
      <c r="A331" s="44">
        <v>349</v>
      </c>
      <c r="B331" s="37" t="s">
        <v>1448</v>
      </c>
      <c r="C331" s="118">
        <v>45747</v>
      </c>
      <c r="D331" s="34" t="s">
        <v>256</v>
      </c>
      <c r="E331" s="47" t="str">
        <f>+_xlfn.XLOOKUP(PROYECTOS[[#This Row],[MUNICIPIO]],MUNICIPIOS!A:A,MUNICIPIOS!E:E,0,0,1)</f>
        <v>Occidente</v>
      </c>
      <c r="F331" s="44">
        <f>+_xlfn.XLOOKUP(PROYECTOS[[#This Row],[MUNICIPIO]],MUNICIPIOS!A:A,MUNICIPIOS!F:F,0,0,1)</f>
        <v>-76.130764999999997</v>
      </c>
      <c r="G331" s="44" t="str">
        <f>+_xlfn.XLOOKUP(PROYECTOS[[#This Row],[MUNICIPIO]],MUNICIPIOS!A:A,MUNICIPIOS!G:G,0,0,1)</f>
        <v>6,776066</v>
      </c>
      <c r="H331" s="44">
        <f>+_xlfn.XLOOKUP(PROYECTOS[[#This Row],[MUNICIPIO]],MUNICIPIOS!A:A,MUNICIPIOS!B:B,0,0,1)</f>
        <v>0</v>
      </c>
      <c r="I331" s="44">
        <f>+_xlfn.XLOOKUP(PROYECTOS[[#This Row],[MUNICIPIO]],MUNICIPIOS!A:A,MUNICIPIOS!C:C,0,0,1)</f>
        <v>1</v>
      </c>
      <c r="J331" s="3" t="str" cm="1">
        <f t="array" ref="J331">_xlfn.TEXTJOIN(" ", TRUE, IF(radicados[ID PROYECTOS]=A331, radicados[RADICADO], ""))</f>
        <v/>
      </c>
      <c r="K331" s="45">
        <v>1</v>
      </c>
      <c r="L331" s="48"/>
      <c r="M331" s="40" t="s">
        <v>435</v>
      </c>
      <c r="N331" s="40" t="s">
        <v>398</v>
      </c>
      <c r="O331" s="40" t="s">
        <v>25</v>
      </c>
      <c r="P331" s="37" t="s">
        <v>1256</v>
      </c>
      <c r="Q331" s="45"/>
      <c r="R331" s="50"/>
      <c r="S331" s="50"/>
      <c r="T331" s="44">
        <f>+_xlfn.XLOOKUP(PROYECTOS[[#This Row],[MUNICIPIO]],'4.CAP_ENDMNT'!B:B,'4.CAP_ENDMNT'!C:C,0,0,1)</f>
        <v>6</v>
      </c>
      <c r="U331" s="139">
        <f>+_xlfn.XLOOKUP(PROYECTOS[[#This Row],[MUNICIPIO]],'4.CAP_ENDMNT'!B:B,'4.CAP_ENDMNT'!D:D,0,0,1)</f>
        <v>15502017167.017002</v>
      </c>
      <c r="V331" s="140">
        <f>+_xlfn.XLOOKUP(PROYECTOS[[#This Row],[MUNICIPIO]],'4.CAP_ENDMNT'!B:B,'4.CAP_ENDMNT'!E:E,0,0,1)</f>
        <v>4560047682.8000002</v>
      </c>
      <c r="W331" s="140">
        <f>+_xlfn.XLOOKUP(PROYECTOS[[#This Row],[MUNICIPIO]],'4.CAP_ENDMNT'!B:B,'4.CAP_ENDMNT'!F:F,0,0,1)</f>
        <v>10941969484.217003</v>
      </c>
      <c r="X331" s="140">
        <f>+_xlfn.XLOOKUP(PROYECTOS[[#This Row],[MUNICIPIO]],'4.CAP_ENDMNT'!B:B,'4.CAP_ENDMNT'!G:G,0,0,1)</f>
        <v>1591148139</v>
      </c>
      <c r="Y331" s="140">
        <f>+_xlfn.XLOOKUP(PROYECTOS[[#This Row],[MUNICIPIO]],'4.CAP_ENDMNT'!B:B,'4.CAP_ENDMNT'!H:H,0,0,1)</f>
        <v>1671853559</v>
      </c>
      <c r="Z331" s="140">
        <f>+_xlfn.XLOOKUP(PROYECTOS[[#This Row],[MUNICIPIO]],'4.CAP_ENDMNT'!B:B,'4.CAP_ENDMNT'!I:I,0,0,1)</f>
        <v>3263001698</v>
      </c>
      <c r="AA331" s="134">
        <f>+_xlfn.XLOOKUP(PROYECTOS[[#This Row],[MUNICIPIO]],'4.CAP_ENDMNT'!B:B,'4.CAP_ENDMNT'!J:J,0,0,1)</f>
        <v>0.2104888456027873</v>
      </c>
      <c r="AB331" s="140">
        <f>+_xlfn.XLOOKUP(PROYECTOS[[#This Row],[MUNICIPIO]],'4.CAP_ENDMNT'!B:B,'4.CAP_ENDMNT'!K:K,0,0,1)</f>
        <v>12239015469.017002</v>
      </c>
      <c r="AC331" s="140">
        <f>+_xlfn.XLOOKUP(PROYECTOS[[#This Row],[MUNICIPIO]],'4.CAP_ENDMNT'!B:B,'4.CAP_ENDMNT'!L:L,0,0,1)</f>
        <v>9791212375.2136021</v>
      </c>
      <c r="AD331" s="140">
        <f>+_xlfn.XLOOKUP(PROYECTOS[[#This Row],[MUNICIPIO]],'4.CAP_ENDMNT'!B:B,'4.CAP_ENDMNT'!M:M,0,0,1)</f>
        <v>7343409281.4102011</v>
      </c>
      <c r="AE331" s="134">
        <f>+_xlfn.XLOOKUP(PROYECTOS[[#This Row],[MUNICIPIO]],'4.CAP_ENDMNT'!B:B,'4.CAP_ENDMNT'!N:N,0,0,1)</f>
        <v>0.4876332549796914</v>
      </c>
      <c r="AF331" s="134">
        <f>+_xlfn.XLOOKUP(PROYECTOS[[#This Row],[MUNICIPIO]],'4.CAP_ENDMNT'!B:B,'4.CAP_ENDMNT'!O:O,0,0,1)</f>
        <v>0.42560105953702715</v>
      </c>
      <c r="AG331" s="134">
        <f>+_xlfn.XLOOKUP(PROYECTOS[[#This Row],[MUNICIPIO]],'4.CAP_ENDMNT'!B:B,'4.CAP_ENDMNT'!P:P,0,0,1)</f>
        <v>0.8</v>
      </c>
      <c r="AH331" s="44" t="str">
        <f>+_xlfn.XLOOKUP(PROYECTOS[[#This Row],[MUNICIPIO]],'4.CAP_ENDMNT'!B:B,'4.CAP_ENDMNT'!Q:Q,0,0,1)</f>
        <v>Cumple</v>
      </c>
      <c r="AI331" s="139">
        <f>+_xlfn.XLOOKUP(PROYECTOS[[#This Row],[MUNICIPIO]],'4.CAP_ENDMNT'!B:B,'4.CAP_ENDMNT'!V:V,0,0,1)</f>
        <v>1468681856.2820404</v>
      </c>
      <c r="AJ331" s="139">
        <f>+_xlfn.XLOOKUP(PROYECTOS[[#This Row],[MUNICIPIO]],'4.CAP_ENDMNT'!B:B,'4.CAP_ENDMNT'!Y:Y,0,0,1)</f>
        <v>-10121554576.307758</v>
      </c>
      <c r="AK331"/>
      <c r="AL331"/>
      <c r="AM331"/>
    </row>
    <row r="332" spans="1:39">
      <c r="A332" s="44">
        <v>350</v>
      </c>
      <c r="B332" s="37" t="s">
        <v>1449</v>
      </c>
      <c r="C332" s="118">
        <v>45747</v>
      </c>
      <c r="D332" s="34" t="s">
        <v>256</v>
      </c>
      <c r="E332" s="47" t="str">
        <f>+_xlfn.XLOOKUP(PROYECTOS[[#This Row],[MUNICIPIO]],MUNICIPIOS!A:A,MUNICIPIOS!E:E,0,0,1)</f>
        <v>Occidente</v>
      </c>
      <c r="F332" s="44">
        <f>+_xlfn.XLOOKUP(PROYECTOS[[#This Row],[MUNICIPIO]],MUNICIPIOS!A:A,MUNICIPIOS!F:F,0,0,1)</f>
        <v>-76.130764999999997</v>
      </c>
      <c r="G332" s="44" t="str">
        <f>+_xlfn.XLOOKUP(PROYECTOS[[#This Row],[MUNICIPIO]],MUNICIPIOS!A:A,MUNICIPIOS!G:G,0,0,1)</f>
        <v>6,776066</v>
      </c>
      <c r="H332" s="44">
        <f>+_xlfn.XLOOKUP(PROYECTOS[[#This Row],[MUNICIPIO]],MUNICIPIOS!A:A,MUNICIPIOS!B:B,0,0,1)</f>
        <v>0</v>
      </c>
      <c r="I332" s="44">
        <f>+_xlfn.XLOOKUP(PROYECTOS[[#This Row],[MUNICIPIO]],MUNICIPIOS!A:A,MUNICIPIOS!C:C,0,0,1)</f>
        <v>1</v>
      </c>
      <c r="J332" s="3" t="str" cm="1">
        <f t="array" ref="J332">_xlfn.TEXTJOIN(" ", TRUE, IF(radicados[ID PROYECTOS]=A332, radicados[RADICADO], ""))</f>
        <v/>
      </c>
      <c r="K332" s="45">
        <v>1</v>
      </c>
      <c r="L332" s="48"/>
      <c r="M332" s="40" t="s">
        <v>435</v>
      </c>
      <c r="N332" s="40" t="s">
        <v>398</v>
      </c>
      <c r="O332" s="40" t="s">
        <v>25</v>
      </c>
      <c r="P332" s="37" t="s">
        <v>1256</v>
      </c>
      <c r="Q332" s="45"/>
      <c r="R332" s="50"/>
      <c r="S332" s="50"/>
      <c r="T332" s="44">
        <f>+_xlfn.XLOOKUP(PROYECTOS[[#This Row],[MUNICIPIO]],'4.CAP_ENDMNT'!B:B,'4.CAP_ENDMNT'!C:C,0,0,1)</f>
        <v>6</v>
      </c>
      <c r="U332" s="139">
        <f>+_xlfn.XLOOKUP(PROYECTOS[[#This Row],[MUNICIPIO]],'4.CAP_ENDMNT'!B:B,'4.CAP_ENDMNT'!D:D,0,0,1)</f>
        <v>15502017167.017002</v>
      </c>
      <c r="V332" s="140">
        <f>+_xlfn.XLOOKUP(PROYECTOS[[#This Row],[MUNICIPIO]],'4.CAP_ENDMNT'!B:B,'4.CAP_ENDMNT'!E:E,0,0,1)</f>
        <v>4560047682.8000002</v>
      </c>
      <c r="W332" s="140">
        <f>+_xlfn.XLOOKUP(PROYECTOS[[#This Row],[MUNICIPIO]],'4.CAP_ENDMNT'!B:B,'4.CAP_ENDMNT'!F:F,0,0,1)</f>
        <v>10941969484.217003</v>
      </c>
      <c r="X332" s="140">
        <f>+_xlfn.XLOOKUP(PROYECTOS[[#This Row],[MUNICIPIO]],'4.CAP_ENDMNT'!B:B,'4.CAP_ENDMNT'!G:G,0,0,1)</f>
        <v>1591148139</v>
      </c>
      <c r="Y332" s="140">
        <f>+_xlfn.XLOOKUP(PROYECTOS[[#This Row],[MUNICIPIO]],'4.CAP_ENDMNT'!B:B,'4.CAP_ENDMNT'!H:H,0,0,1)</f>
        <v>1671853559</v>
      </c>
      <c r="Z332" s="140">
        <f>+_xlfn.XLOOKUP(PROYECTOS[[#This Row],[MUNICIPIO]],'4.CAP_ENDMNT'!B:B,'4.CAP_ENDMNT'!I:I,0,0,1)</f>
        <v>3263001698</v>
      </c>
      <c r="AA332" s="134">
        <f>+_xlfn.XLOOKUP(PROYECTOS[[#This Row],[MUNICIPIO]],'4.CAP_ENDMNT'!B:B,'4.CAP_ENDMNT'!J:J,0,0,1)</f>
        <v>0.2104888456027873</v>
      </c>
      <c r="AB332" s="140">
        <f>+_xlfn.XLOOKUP(PROYECTOS[[#This Row],[MUNICIPIO]],'4.CAP_ENDMNT'!B:B,'4.CAP_ENDMNT'!K:K,0,0,1)</f>
        <v>12239015469.017002</v>
      </c>
      <c r="AC332" s="140">
        <f>+_xlfn.XLOOKUP(PROYECTOS[[#This Row],[MUNICIPIO]],'4.CAP_ENDMNT'!B:B,'4.CAP_ENDMNT'!L:L,0,0,1)</f>
        <v>9791212375.2136021</v>
      </c>
      <c r="AD332" s="140">
        <f>+_xlfn.XLOOKUP(PROYECTOS[[#This Row],[MUNICIPIO]],'4.CAP_ENDMNT'!B:B,'4.CAP_ENDMNT'!M:M,0,0,1)</f>
        <v>7343409281.4102011</v>
      </c>
      <c r="AE332" s="134">
        <f>+_xlfn.XLOOKUP(PROYECTOS[[#This Row],[MUNICIPIO]],'4.CAP_ENDMNT'!B:B,'4.CAP_ENDMNT'!N:N,0,0,1)</f>
        <v>0.4876332549796914</v>
      </c>
      <c r="AF332" s="134">
        <f>+_xlfn.XLOOKUP(PROYECTOS[[#This Row],[MUNICIPIO]],'4.CAP_ENDMNT'!B:B,'4.CAP_ENDMNT'!O:O,0,0,1)</f>
        <v>0.42560105953702715</v>
      </c>
      <c r="AG332" s="134">
        <f>+_xlfn.XLOOKUP(PROYECTOS[[#This Row],[MUNICIPIO]],'4.CAP_ENDMNT'!B:B,'4.CAP_ENDMNT'!P:P,0,0,1)</f>
        <v>0.8</v>
      </c>
      <c r="AH332" s="44" t="str">
        <f>+_xlfn.XLOOKUP(PROYECTOS[[#This Row],[MUNICIPIO]],'4.CAP_ENDMNT'!B:B,'4.CAP_ENDMNT'!Q:Q,0,0,1)</f>
        <v>Cumple</v>
      </c>
      <c r="AI332" s="139">
        <f>+_xlfn.XLOOKUP(PROYECTOS[[#This Row],[MUNICIPIO]],'4.CAP_ENDMNT'!B:B,'4.CAP_ENDMNT'!V:V,0,0,1)</f>
        <v>1468681856.2820404</v>
      </c>
      <c r="AJ332" s="139">
        <f>+_xlfn.XLOOKUP(PROYECTOS[[#This Row],[MUNICIPIO]],'4.CAP_ENDMNT'!B:B,'4.CAP_ENDMNT'!Y:Y,0,0,1)</f>
        <v>-10121554576.307758</v>
      </c>
      <c r="AK332"/>
      <c r="AL332"/>
      <c r="AM332"/>
    </row>
    <row r="333" spans="1:39">
      <c r="A333" s="44">
        <v>351</v>
      </c>
      <c r="B333" s="37" t="s">
        <v>1450</v>
      </c>
      <c r="C333" s="118">
        <v>45747</v>
      </c>
      <c r="D333" s="34" t="s">
        <v>256</v>
      </c>
      <c r="E333" s="47" t="str">
        <f>+_xlfn.XLOOKUP(PROYECTOS[[#This Row],[MUNICIPIO]],MUNICIPIOS!A:A,MUNICIPIOS!E:E,0,0,1)</f>
        <v>Occidente</v>
      </c>
      <c r="F333" s="44">
        <f>+_xlfn.XLOOKUP(PROYECTOS[[#This Row],[MUNICIPIO]],MUNICIPIOS!A:A,MUNICIPIOS!F:F,0,0,1)</f>
        <v>-76.130764999999997</v>
      </c>
      <c r="G333" s="44" t="str">
        <f>+_xlfn.XLOOKUP(PROYECTOS[[#This Row],[MUNICIPIO]],MUNICIPIOS!A:A,MUNICIPIOS!G:G,0,0,1)</f>
        <v>6,776066</v>
      </c>
      <c r="H333" s="44">
        <f>+_xlfn.XLOOKUP(PROYECTOS[[#This Row],[MUNICIPIO]],MUNICIPIOS!A:A,MUNICIPIOS!B:B,0,0,1)</f>
        <v>0</v>
      </c>
      <c r="I333" s="44">
        <f>+_xlfn.XLOOKUP(PROYECTOS[[#This Row],[MUNICIPIO]],MUNICIPIOS!A:A,MUNICIPIOS!C:C,0,0,1)</f>
        <v>1</v>
      </c>
      <c r="J333" s="3" t="str" cm="1">
        <f t="array" ref="J333">_xlfn.TEXTJOIN(" ", TRUE, IF(radicados[ID PROYECTOS]=A333, radicados[RADICADO], ""))</f>
        <v/>
      </c>
      <c r="K333" s="45">
        <v>1</v>
      </c>
      <c r="L333" s="48"/>
      <c r="M333" s="40" t="s">
        <v>435</v>
      </c>
      <c r="N333" s="40" t="s">
        <v>398</v>
      </c>
      <c r="O333" s="40" t="s">
        <v>25</v>
      </c>
      <c r="P333" s="37" t="s">
        <v>1256</v>
      </c>
      <c r="Q333" s="45"/>
      <c r="R333" s="50"/>
      <c r="S333" s="50"/>
      <c r="T333" s="44">
        <f>+_xlfn.XLOOKUP(PROYECTOS[[#This Row],[MUNICIPIO]],'4.CAP_ENDMNT'!B:B,'4.CAP_ENDMNT'!C:C,0,0,1)</f>
        <v>6</v>
      </c>
      <c r="U333" s="139">
        <f>+_xlfn.XLOOKUP(PROYECTOS[[#This Row],[MUNICIPIO]],'4.CAP_ENDMNT'!B:B,'4.CAP_ENDMNT'!D:D,0,0,1)</f>
        <v>15502017167.017002</v>
      </c>
      <c r="V333" s="140">
        <f>+_xlfn.XLOOKUP(PROYECTOS[[#This Row],[MUNICIPIO]],'4.CAP_ENDMNT'!B:B,'4.CAP_ENDMNT'!E:E,0,0,1)</f>
        <v>4560047682.8000002</v>
      </c>
      <c r="W333" s="140">
        <f>+_xlfn.XLOOKUP(PROYECTOS[[#This Row],[MUNICIPIO]],'4.CAP_ENDMNT'!B:B,'4.CAP_ENDMNT'!F:F,0,0,1)</f>
        <v>10941969484.217003</v>
      </c>
      <c r="X333" s="140">
        <f>+_xlfn.XLOOKUP(PROYECTOS[[#This Row],[MUNICIPIO]],'4.CAP_ENDMNT'!B:B,'4.CAP_ENDMNT'!G:G,0,0,1)</f>
        <v>1591148139</v>
      </c>
      <c r="Y333" s="140">
        <f>+_xlfn.XLOOKUP(PROYECTOS[[#This Row],[MUNICIPIO]],'4.CAP_ENDMNT'!B:B,'4.CAP_ENDMNT'!H:H,0,0,1)</f>
        <v>1671853559</v>
      </c>
      <c r="Z333" s="140">
        <f>+_xlfn.XLOOKUP(PROYECTOS[[#This Row],[MUNICIPIO]],'4.CAP_ENDMNT'!B:B,'4.CAP_ENDMNT'!I:I,0,0,1)</f>
        <v>3263001698</v>
      </c>
      <c r="AA333" s="134">
        <f>+_xlfn.XLOOKUP(PROYECTOS[[#This Row],[MUNICIPIO]],'4.CAP_ENDMNT'!B:B,'4.CAP_ENDMNT'!J:J,0,0,1)</f>
        <v>0.2104888456027873</v>
      </c>
      <c r="AB333" s="140">
        <f>+_xlfn.XLOOKUP(PROYECTOS[[#This Row],[MUNICIPIO]],'4.CAP_ENDMNT'!B:B,'4.CAP_ENDMNT'!K:K,0,0,1)</f>
        <v>12239015469.017002</v>
      </c>
      <c r="AC333" s="140">
        <f>+_xlfn.XLOOKUP(PROYECTOS[[#This Row],[MUNICIPIO]],'4.CAP_ENDMNT'!B:B,'4.CAP_ENDMNT'!L:L,0,0,1)</f>
        <v>9791212375.2136021</v>
      </c>
      <c r="AD333" s="140">
        <f>+_xlfn.XLOOKUP(PROYECTOS[[#This Row],[MUNICIPIO]],'4.CAP_ENDMNT'!B:B,'4.CAP_ENDMNT'!M:M,0,0,1)</f>
        <v>7343409281.4102011</v>
      </c>
      <c r="AE333" s="134">
        <f>+_xlfn.XLOOKUP(PROYECTOS[[#This Row],[MUNICIPIO]],'4.CAP_ENDMNT'!B:B,'4.CAP_ENDMNT'!N:N,0,0,1)</f>
        <v>0.4876332549796914</v>
      </c>
      <c r="AF333" s="134">
        <f>+_xlfn.XLOOKUP(PROYECTOS[[#This Row],[MUNICIPIO]],'4.CAP_ENDMNT'!B:B,'4.CAP_ENDMNT'!O:O,0,0,1)</f>
        <v>0.42560105953702715</v>
      </c>
      <c r="AG333" s="134">
        <f>+_xlfn.XLOOKUP(PROYECTOS[[#This Row],[MUNICIPIO]],'4.CAP_ENDMNT'!B:B,'4.CAP_ENDMNT'!P:P,0,0,1)</f>
        <v>0.8</v>
      </c>
      <c r="AH333" s="44" t="str">
        <f>+_xlfn.XLOOKUP(PROYECTOS[[#This Row],[MUNICIPIO]],'4.CAP_ENDMNT'!B:B,'4.CAP_ENDMNT'!Q:Q,0,0,1)</f>
        <v>Cumple</v>
      </c>
      <c r="AI333" s="139">
        <f>+_xlfn.XLOOKUP(PROYECTOS[[#This Row],[MUNICIPIO]],'4.CAP_ENDMNT'!B:B,'4.CAP_ENDMNT'!V:V,0,0,1)</f>
        <v>1468681856.2820404</v>
      </c>
      <c r="AJ333" s="139">
        <f>+_xlfn.XLOOKUP(PROYECTOS[[#This Row],[MUNICIPIO]],'4.CAP_ENDMNT'!B:B,'4.CAP_ENDMNT'!Y:Y,0,0,1)</f>
        <v>-10121554576.307758</v>
      </c>
      <c r="AK333"/>
      <c r="AL333"/>
      <c r="AM333"/>
    </row>
    <row r="334" spans="1:39">
      <c r="A334" s="44">
        <v>352</v>
      </c>
      <c r="B334" t="s">
        <v>1451</v>
      </c>
      <c r="C334" s="54">
        <f>+_xlfn.XLOOKUP(PROYECTOS[[#This Row],[ID_NECESIDAD]],'1.RADICADOS'!G:G,'1.RADICADOS'!C:C,0,0,1)*1</f>
        <v>45714</v>
      </c>
      <c r="D334" s="46" t="s">
        <v>341</v>
      </c>
      <c r="E334" s="47" t="str">
        <f>+_xlfn.XLOOKUP(PROYECTOS[[#This Row],[MUNICIPIO]],MUNICIPIOS!A:A,MUNICIPIOS!E:E,0,0,1)</f>
        <v>Norte</v>
      </c>
      <c r="F334" s="44">
        <f>+_xlfn.XLOOKUP(PROYECTOS[[#This Row],[MUNICIPIO]],MUNICIPIOS!A:A,MUNICIPIOS!F:F,0,0,1)</f>
        <v>-75.667778999999996</v>
      </c>
      <c r="G334" s="44" t="str">
        <f>+_xlfn.XLOOKUP(PROYECTOS[[#This Row],[MUNICIPIO]],MUNICIPIOS!A:A,MUNICIPIOS!G:G,0,0,1)</f>
        <v>6,606319</v>
      </c>
      <c r="H334" s="44">
        <f>+_xlfn.XLOOKUP(PROYECTOS[[#This Row],[MUNICIPIO]],MUNICIPIOS!A:A,MUNICIPIOS!B:B,0,0,1)</f>
        <v>0</v>
      </c>
      <c r="I334" s="44">
        <f>+_xlfn.XLOOKUP(PROYECTOS[[#This Row],[MUNICIPIO]],MUNICIPIOS!A:A,MUNICIPIOS!C:C,0,0,1)</f>
        <v>0</v>
      </c>
      <c r="J334" s="3" t="str" cm="1">
        <f t="array" ref="J334">_xlfn.TEXTJOIN(" ", TRUE, IF(radicados[ID PROYECTOS]=A334, radicados[RADICADO], ""))</f>
        <v>2025010091549</v>
      </c>
      <c r="K334" s="45">
        <v>1</v>
      </c>
      <c r="L334" s="48">
        <v>460000000</v>
      </c>
      <c r="M334" s="40" t="s">
        <v>407</v>
      </c>
      <c r="N334" s="40" t="s">
        <v>398</v>
      </c>
      <c r="O334" s="40" t="s">
        <v>25</v>
      </c>
      <c r="P334" s="37"/>
      <c r="Q334" s="45"/>
      <c r="R334" s="50"/>
      <c r="S334" s="50"/>
      <c r="T334" s="44">
        <f>+_xlfn.XLOOKUP(PROYECTOS[[#This Row],[MUNICIPIO]],'4.CAP_ENDMNT'!B:B,'4.CAP_ENDMNT'!C:C,0,0,1)</f>
        <v>6</v>
      </c>
      <c r="U334" s="139">
        <f>+_xlfn.XLOOKUP(PROYECTOS[[#This Row],[MUNICIPIO]],'4.CAP_ENDMNT'!B:B,'4.CAP_ENDMNT'!D:D,0,0,1)</f>
        <v>10160021082.964001</v>
      </c>
      <c r="V334" s="140">
        <f>+_xlfn.XLOOKUP(PROYECTOS[[#This Row],[MUNICIPIO]],'4.CAP_ENDMNT'!B:B,'4.CAP_ENDMNT'!E:E,0,0,1)</f>
        <v>3265249234.6399999</v>
      </c>
      <c r="W334" s="140">
        <f>+_xlfn.XLOOKUP(PROYECTOS[[#This Row],[MUNICIPIO]],'4.CAP_ENDMNT'!B:B,'4.CAP_ENDMNT'!F:F,0,0,1)</f>
        <v>6894771848.3240013</v>
      </c>
      <c r="X334" s="140">
        <f>+_xlfn.XLOOKUP(PROYECTOS[[#This Row],[MUNICIPIO]],'4.CAP_ENDMNT'!B:B,'4.CAP_ENDMNT'!G:G,0,0,1)</f>
        <v>3316718973.96</v>
      </c>
      <c r="Y334" s="140">
        <f>+_xlfn.XLOOKUP(PROYECTOS[[#This Row],[MUNICIPIO]],'4.CAP_ENDMNT'!B:B,'4.CAP_ENDMNT'!H:H,0,0,1)</f>
        <v>0</v>
      </c>
      <c r="Z334" s="140">
        <f>+_xlfn.XLOOKUP(PROYECTOS[[#This Row],[MUNICIPIO]],'4.CAP_ENDMNT'!B:B,'4.CAP_ENDMNT'!I:I,0,0,1)</f>
        <v>3316718973.96</v>
      </c>
      <c r="AA334" s="134">
        <f>+_xlfn.XLOOKUP(PROYECTOS[[#This Row],[MUNICIPIO]],'4.CAP_ENDMNT'!B:B,'4.CAP_ENDMNT'!J:J,0,0,1)</f>
        <v>0.32644804049879078</v>
      </c>
      <c r="AB334" s="140">
        <f>+_xlfn.XLOOKUP(PROYECTOS[[#This Row],[MUNICIPIO]],'4.CAP_ENDMNT'!B:B,'4.CAP_ENDMNT'!K:K,0,0,1)</f>
        <v>6843302109.0040007</v>
      </c>
      <c r="AC334" s="140">
        <f>+_xlfn.XLOOKUP(PROYECTOS[[#This Row],[MUNICIPIO]],'4.CAP_ENDMNT'!B:B,'4.CAP_ENDMNT'!L:L,0,0,1)</f>
        <v>5474641687.2032013</v>
      </c>
      <c r="AD334" s="140">
        <f>+_xlfn.XLOOKUP(PROYECTOS[[#This Row],[MUNICIPIO]],'4.CAP_ENDMNT'!B:B,'4.CAP_ENDMNT'!M:M,0,0,1)</f>
        <v>4105981265.4024</v>
      </c>
      <c r="AE334" s="134">
        <f>+_xlfn.XLOOKUP(PROYECTOS[[#This Row],[MUNICIPIO]],'4.CAP_ENDMNT'!B:B,'4.CAP_ENDMNT'!N:N,0,0,1)</f>
        <v>1</v>
      </c>
      <c r="AF334" s="134">
        <f>+_xlfn.XLOOKUP(PROYECTOS[[#This Row],[MUNICIPIO]],'4.CAP_ENDMNT'!B:B,'4.CAP_ENDMNT'!O:O,0,0,1)</f>
        <v>0.59534208417675272</v>
      </c>
      <c r="AG334" s="134">
        <f>+_xlfn.XLOOKUP(PROYECTOS[[#This Row],[MUNICIPIO]],'4.CAP_ENDMNT'!B:B,'4.CAP_ENDMNT'!P:P,0,0,1)</f>
        <v>0.8</v>
      </c>
      <c r="AH334" s="44" t="str">
        <f>+_xlfn.XLOOKUP(PROYECTOS[[#This Row],[MUNICIPIO]],'4.CAP_ENDMNT'!B:B,'4.CAP_ENDMNT'!Q:Q,0,0,1)</f>
        <v>Cumple</v>
      </c>
      <c r="AI334" s="139">
        <f>+_xlfn.XLOOKUP(PROYECTOS[[#This Row],[MUNICIPIO]],'4.CAP_ENDMNT'!B:B,'4.CAP_ENDMNT'!V:V,0,0,1)</f>
        <v>821196253.0804801</v>
      </c>
      <c r="AJ334" s="139">
        <f>+_xlfn.XLOOKUP(PROYECTOS[[#This Row],[MUNICIPIO]],'4.CAP_ENDMNT'!B:B,'4.CAP_ENDMNT'!Y:Y,0,0,1)</f>
        <v>-1916076050.5171204</v>
      </c>
      <c r="AK334"/>
      <c r="AL334"/>
      <c r="AM334"/>
    </row>
    <row r="335" spans="1:39">
      <c r="A335" s="44">
        <v>353</v>
      </c>
      <c r="B335" t="s">
        <v>344</v>
      </c>
      <c r="C335" s="54">
        <f>+_xlfn.XLOOKUP(PROYECTOS[[#This Row],[ID_NECESIDAD]],'1.RADICADOS'!G:G,'1.RADICADOS'!C:C,0,0,1)*1</f>
        <v>45719</v>
      </c>
      <c r="D335" s="46" t="s">
        <v>343</v>
      </c>
      <c r="E335" s="47" t="str">
        <f>+_xlfn.XLOOKUP(PROYECTOS[[#This Row],[MUNICIPIO]],MUNICIPIOS!A:A,MUNICIPIOS!E:E,0,0,1)</f>
        <v>Valle de Aburrá</v>
      </c>
      <c r="F335" s="44">
        <f>+_xlfn.XLOOKUP(PROYECTOS[[#This Row],[MUNICIPIO]],MUNICIPIOS!A:A,MUNICIPIOS!F:F,0,0,1)</f>
        <v>-75.633673000000002</v>
      </c>
      <c r="G335" s="44" t="str">
        <f>+_xlfn.XLOOKUP(PROYECTOS[[#This Row],[MUNICIPIO]],MUNICIPIOS!A:A,MUNICIPIOS!G:G,0,0,1)</f>
        <v>6,091077</v>
      </c>
      <c r="H335" s="44">
        <f>+_xlfn.XLOOKUP(PROYECTOS[[#This Row],[MUNICIPIO]],MUNICIPIOS!A:A,MUNICIPIOS!B:B,0,0,1)</f>
        <v>0</v>
      </c>
      <c r="I335" s="44">
        <f>+_xlfn.XLOOKUP(PROYECTOS[[#This Row],[MUNICIPIO]],MUNICIPIOS!A:A,MUNICIPIOS!C:C,0,0,1)</f>
        <v>0</v>
      </c>
      <c r="J335" s="3" t="str" cm="1">
        <f t="array" ref="J335">_xlfn.TEXTJOIN(" ", TRUE, IF(radicados[ID PROYECTOS]=A335, radicados[RADICADO], ""))</f>
        <v>2025010098088</v>
      </c>
      <c r="K335" s="45">
        <v>1</v>
      </c>
      <c r="L335" s="72"/>
      <c r="M335" s="40" t="s">
        <v>288</v>
      </c>
      <c r="N335" s="40" t="s">
        <v>398</v>
      </c>
      <c r="O335" s="40" t="s">
        <v>25</v>
      </c>
      <c r="P335" s="37" t="s">
        <v>1565</v>
      </c>
      <c r="Q335" s="45"/>
      <c r="R335" s="50"/>
      <c r="S335" s="50"/>
      <c r="T335" s="44">
        <f>+_xlfn.XLOOKUP(PROYECTOS[[#This Row],[MUNICIPIO]],'4.CAP_ENDMNT'!B:B,'4.CAP_ENDMNT'!C:C,0,0,1)</f>
        <v>3</v>
      </c>
      <c r="U335" s="139">
        <f>+_xlfn.XLOOKUP(PROYECTOS[[#This Row],[MUNICIPIO]],'4.CAP_ENDMNT'!B:B,'4.CAP_ENDMNT'!D:D,0,0,1)</f>
        <v>60283861588.903008</v>
      </c>
      <c r="V335" s="140">
        <f>+_xlfn.XLOOKUP(PROYECTOS[[#This Row],[MUNICIPIO]],'4.CAP_ENDMNT'!B:B,'4.CAP_ENDMNT'!E:E,0,0,1)</f>
        <v>20841388380.529999</v>
      </c>
      <c r="W335" s="140">
        <f>+_xlfn.XLOOKUP(PROYECTOS[[#This Row],[MUNICIPIO]],'4.CAP_ENDMNT'!B:B,'4.CAP_ENDMNT'!F:F,0,0,1)</f>
        <v>39442473208.373009</v>
      </c>
      <c r="X335" s="140">
        <f>+_xlfn.XLOOKUP(PROYECTOS[[#This Row],[MUNICIPIO]],'4.CAP_ENDMNT'!B:B,'4.CAP_ENDMNT'!G:G,0,0,1)</f>
        <v>0</v>
      </c>
      <c r="Y335" s="140">
        <f>+_xlfn.XLOOKUP(PROYECTOS[[#This Row],[MUNICIPIO]],'4.CAP_ENDMNT'!B:B,'4.CAP_ENDMNT'!H:H,0,0,1)</f>
        <v>16534829375</v>
      </c>
      <c r="Z335" s="140">
        <f>+_xlfn.XLOOKUP(PROYECTOS[[#This Row],[MUNICIPIO]],'4.CAP_ENDMNT'!B:B,'4.CAP_ENDMNT'!I:I,0,0,1)</f>
        <v>16534829375</v>
      </c>
      <c r="AA335" s="134">
        <f>+_xlfn.XLOOKUP(PROYECTOS[[#This Row],[MUNICIPIO]],'4.CAP_ENDMNT'!B:B,'4.CAP_ENDMNT'!J:J,0,0,1)</f>
        <v>0.27428285015576565</v>
      </c>
      <c r="AB335" s="140">
        <f>+_xlfn.XLOOKUP(PROYECTOS[[#This Row],[MUNICIPIO]],'4.CAP_ENDMNT'!B:B,'4.CAP_ENDMNT'!K:K,0,0,1)</f>
        <v>43749032213.903008</v>
      </c>
      <c r="AC335" s="140">
        <f>+_xlfn.XLOOKUP(PROYECTOS[[#This Row],[MUNICIPIO]],'4.CAP_ENDMNT'!B:B,'4.CAP_ENDMNT'!L:L,0,0,1)</f>
        <v>34999225771.122406</v>
      </c>
      <c r="AD335" s="140">
        <f>+_xlfn.XLOOKUP(PROYECTOS[[#This Row],[MUNICIPIO]],'4.CAP_ENDMNT'!B:B,'4.CAP_ENDMNT'!M:M,0,0,1)</f>
        <v>26249419328.341805</v>
      </c>
      <c r="AE335" s="134">
        <f>+_xlfn.XLOOKUP(PROYECTOS[[#This Row],[MUNICIPIO]],'4.CAP_ENDMNT'!B:B,'4.CAP_ENDMNT'!N:N,0,0,1)</f>
        <v>0</v>
      </c>
      <c r="AF335" s="134">
        <f>+_xlfn.XLOOKUP(PROYECTOS[[#This Row],[MUNICIPIO]],'4.CAP_ENDMNT'!B:B,'4.CAP_ENDMNT'!O:O,0,0,1)</f>
        <v>0.44205372732348919</v>
      </c>
      <c r="AG335" s="134">
        <f>+_xlfn.XLOOKUP(PROYECTOS[[#This Row],[MUNICIPIO]],'4.CAP_ENDMNT'!B:B,'4.CAP_ENDMNT'!P:P,0,0,1)</f>
        <v>0.7</v>
      </c>
      <c r="AH335" s="44" t="str">
        <f>+_xlfn.XLOOKUP(PROYECTOS[[#This Row],[MUNICIPIO]],'4.CAP_ENDMNT'!B:B,'4.CAP_ENDMNT'!Q:Q,0,0,1)</f>
        <v>Cumple</v>
      </c>
      <c r="AI335" s="139">
        <f>+_xlfn.XLOOKUP(PROYECTOS[[#This Row],[MUNICIPIO]],'4.CAP_ENDMNT'!B:B,'4.CAP_ENDMNT'!V:V,0,0,1)</f>
        <v>5249883865.6683617</v>
      </c>
      <c r="AJ335" s="139">
        <f>+_xlfn.XLOOKUP(PROYECTOS[[#This Row],[MUNICIPIO]],'4.CAP_ENDMNT'!B:B,'4.CAP_ENDMNT'!Y:Y,0,0,1)</f>
        <v>31499303194.010166</v>
      </c>
      <c r="AK335"/>
      <c r="AL335"/>
      <c r="AM335"/>
    </row>
    <row r="336" spans="1:39">
      <c r="A336" s="44">
        <v>354</v>
      </c>
      <c r="B336" s="37" t="s">
        <v>655</v>
      </c>
      <c r="C336" s="118">
        <v>45747</v>
      </c>
      <c r="D336" s="34" t="s">
        <v>227</v>
      </c>
      <c r="E336" s="47" t="str">
        <f>+_xlfn.XLOOKUP(PROYECTOS[[#This Row],[MUNICIPIO]],MUNICIPIOS!A:A,MUNICIPIOS!E:E,0,0,1)</f>
        <v>Oriente</v>
      </c>
      <c r="F336" s="44">
        <f>+_xlfn.XLOOKUP(PROYECTOS[[#This Row],[MUNICIPIO]],MUNICIPIOS!A:A,MUNICIPIOS!F:F,0,0,1)</f>
        <v>-75.184445999999994</v>
      </c>
      <c r="G336" s="44" t="str">
        <f>+_xlfn.XLOOKUP(PROYECTOS[[#This Row],[MUNICIPIO]],MUNICIPIOS!A:A,MUNICIPIOS!G:G,0,0,1)</f>
        <v>6,142892</v>
      </c>
      <c r="H336" s="44">
        <f>+_xlfn.XLOOKUP(PROYECTOS[[#This Row],[MUNICIPIO]],MUNICIPIOS!A:A,MUNICIPIOS!B:B,0,0,1)</f>
        <v>0</v>
      </c>
      <c r="I336" s="44">
        <f>+_xlfn.XLOOKUP(PROYECTOS[[#This Row],[MUNICIPIO]],MUNICIPIOS!A:A,MUNICIPIOS!C:C,0,0,1)</f>
        <v>1</v>
      </c>
      <c r="J336" s="34" t="str" cm="1">
        <f t="array" ref="J336">_xlfn.TEXTJOIN(" ", TRUE, IF(radicados[ID PROYECTOS]=A336, radicados[RADICADO], ""))</f>
        <v/>
      </c>
      <c r="K336" s="142">
        <v>3</v>
      </c>
      <c r="L336" s="48">
        <v>300324960</v>
      </c>
      <c r="M336" s="40" t="s">
        <v>428</v>
      </c>
      <c r="N336" s="40" t="s">
        <v>398</v>
      </c>
      <c r="O336" s="40" t="s">
        <v>25</v>
      </c>
      <c r="P336" s="37" t="s">
        <v>1452</v>
      </c>
      <c r="Q336" s="45">
        <v>1</v>
      </c>
      <c r="R336" s="43" t="s">
        <v>922</v>
      </c>
      <c r="S336" s="43" t="s">
        <v>1643</v>
      </c>
      <c r="T336" s="44">
        <f>+_xlfn.XLOOKUP(PROYECTOS[[#This Row],[MUNICIPIO]],'4.CAP_ENDMNT'!B:B,'4.CAP_ENDMNT'!C:C,0,0,1)</f>
        <v>6</v>
      </c>
      <c r="U336" s="139">
        <f>+_xlfn.XLOOKUP(PROYECTOS[[#This Row],[MUNICIPIO]],'4.CAP_ENDMNT'!B:B,'4.CAP_ENDMNT'!D:D,0,0,1)</f>
        <v>9100976268.0305004</v>
      </c>
      <c r="V336" s="140">
        <f>+_xlfn.XLOOKUP(PROYECTOS[[#This Row],[MUNICIPIO]],'4.CAP_ENDMNT'!B:B,'4.CAP_ENDMNT'!E:E,0,0,1)</f>
        <v>3221460794.1700001</v>
      </c>
      <c r="W336" s="140">
        <f>+_xlfn.XLOOKUP(PROYECTOS[[#This Row],[MUNICIPIO]],'4.CAP_ENDMNT'!B:B,'4.CAP_ENDMNT'!F:F,0,0,1)</f>
        <v>5879515473.8605003</v>
      </c>
      <c r="X336" s="140">
        <f>+_xlfn.XLOOKUP(PROYECTOS[[#This Row],[MUNICIPIO]],'4.CAP_ENDMNT'!B:B,'4.CAP_ENDMNT'!G:G,0,0,1)</f>
        <v>1026722956</v>
      </c>
      <c r="Y336" s="140">
        <f>+_xlfn.XLOOKUP(PROYECTOS[[#This Row],[MUNICIPIO]],'4.CAP_ENDMNT'!B:B,'4.CAP_ENDMNT'!H:H,0,0,1)</f>
        <v>190000000</v>
      </c>
      <c r="Z336" s="140">
        <f>+_xlfn.XLOOKUP(PROYECTOS[[#This Row],[MUNICIPIO]],'4.CAP_ENDMNT'!B:B,'4.CAP_ENDMNT'!I:I,0,0,1)</f>
        <v>1216722956</v>
      </c>
      <c r="AA336" s="134">
        <f>+_xlfn.XLOOKUP(PROYECTOS[[#This Row],[MUNICIPIO]],'4.CAP_ENDMNT'!B:B,'4.CAP_ENDMNT'!J:J,0,0,1)</f>
        <v>0.13369147662477152</v>
      </c>
      <c r="AB336" s="140">
        <f>+_xlfn.XLOOKUP(PROYECTOS[[#This Row],[MUNICIPIO]],'4.CAP_ENDMNT'!B:B,'4.CAP_ENDMNT'!K:K,0,0,1)</f>
        <v>7884253312.0305004</v>
      </c>
      <c r="AC336" s="140">
        <f>+_xlfn.XLOOKUP(PROYECTOS[[#This Row],[MUNICIPIO]],'4.CAP_ENDMNT'!B:B,'4.CAP_ENDMNT'!L:L,0,0,1)</f>
        <v>6307402649.6244011</v>
      </c>
      <c r="AD336" s="140">
        <f>+_xlfn.XLOOKUP(PROYECTOS[[#This Row],[MUNICIPIO]],'4.CAP_ENDMNT'!B:B,'4.CAP_ENDMNT'!M:M,0,0,1)</f>
        <v>4730551987.2182999</v>
      </c>
      <c r="AE336" s="134">
        <f>+_xlfn.XLOOKUP(PROYECTOS[[#This Row],[MUNICIPIO]],'4.CAP_ENDMNT'!B:B,'4.CAP_ENDMNT'!N:N,0,0,1)</f>
        <v>0.84384284108140062</v>
      </c>
      <c r="AF336" s="134">
        <f>+_xlfn.XLOOKUP(PROYECTOS[[#This Row],[MUNICIPIO]],'4.CAP_ENDMNT'!B:B,'4.CAP_ENDMNT'!O:O,0,0,1)</f>
        <v>0.65864601932480682</v>
      </c>
      <c r="AG336" s="134">
        <f>+_xlfn.XLOOKUP(PROYECTOS[[#This Row],[MUNICIPIO]],'4.CAP_ENDMNT'!B:B,'4.CAP_ENDMNT'!P:P,0,0,1)</f>
        <v>0.8</v>
      </c>
      <c r="AH336" s="44" t="str">
        <f>+_xlfn.XLOOKUP(PROYECTOS[[#This Row],[MUNICIPIO]],'4.CAP_ENDMNT'!B:B,'4.CAP_ENDMNT'!Q:Q,0,0,1)</f>
        <v>Cumple</v>
      </c>
      <c r="AI336" s="139">
        <f>+_xlfn.XLOOKUP(PROYECTOS[[#This Row],[MUNICIPIO]],'4.CAP_ENDMNT'!B:B,'4.CAP_ENDMNT'!V:V,0,0,1)</f>
        <v>946110397.44366002</v>
      </c>
      <c r="AJ336" s="139">
        <f>+_xlfn.XLOOKUP(PROYECTOS[[#This Row],[MUNICIPIO]],'4.CAP_ENDMNT'!B:B,'4.CAP_ENDMNT'!Y:Y,0,0,1)</f>
        <v>-37054965217.338043</v>
      </c>
      <c r="AK336"/>
      <c r="AL336"/>
      <c r="AM336"/>
    </row>
    <row r="337" spans="1:39">
      <c r="A337" s="44">
        <v>355</v>
      </c>
      <c r="B337" s="37" t="s">
        <v>1453</v>
      </c>
      <c r="C337" s="118">
        <v>45747</v>
      </c>
      <c r="D337" s="34" t="s">
        <v>465</v>
      </c>
      <c r="E337" s="47" t="str">
        <f>+_xlfn.XLOOKUP(PROYECTOS[[#This Row],[MUNICIPIO]],MUNICIPIOS!A:A,MUNICIPIOS!E:E,0,0,1)</f>
        <v>Suroeste</v>
      </c>
      <c r="F337" s="44">
        <f>+_xlfn.XLOOKUP(PROYECTOS[[#This Row],[MUNICIPIO]],MUNICIPIOS!A:A,MUNICIPIOS!F:F,0,0,1)</f>
        <v>-75.711388999999997</v>
      </c>
      <c r="G337" s="44" t="str">
        <f>+_xlfn.XLOOKUP(PROYECTOS[[#This Row],[MUNICIPIO]],MUNICIPIOS!A:A,MUNICIPIOS!G:G,0,0,1)</f>
        <v>6,109719</v>
      </c>
      <c r="H337" s="44">
        <f>+_xlfn.XLOOKUP(PROYECTOS[[#This Row],[MUNICIPIO]],MUNICIPIOS!A:A,MUNICIPIOS!B:B,0,0,1)</f>
        <v>0</v>
      </c>
      <c r="I337" s="44">
        <f>+_xlfn.XLOOKUP(PROYECTOS[[#This Row],[MUNICIPIO]],MUNICIPIOS!A:A,MUNICIPIOS!C:C,0,0,1)</f>
        <v>0</v>
      </c>
      <c r="J337" s="34" t="str" cm="1">
        <f t="array" ref="J337">_xlfn.TEXTJOIN(" ", TRUE, IF(radicados[ID PROYECTOS]=A337, radicados[RADICADO], ""))</f>
        <v/>
      </c>
      <c r="K337" s="45">
        <v>2</v>
      </c>
      <c r="L337" s="48"/>
      <c r="M337" s="40" t="s">
        <v>435</v>
      </c>
      <c r="N337" s="40" t="s">
        <v>398</v>
      </c>
      <c r="O337" s="40" t="s">
        <v>25</v>
      </c>
      <c r="P337" s="53" t="s">
        <v>657</v>
      </c>
      <c r="Q337" s="45"/>
      <c r="R337" s="50"/>
      <c r="S337" s="50"/>
      <c r="T337" s="44">
        <f>+_xlfn.XLOOKUP(PROYECTOS[[#This Row],[MUNICIPIO]],'4.CAP_ENDMNT'!B:B,'4.CAP_ENDMNT'!C:C,0,0,1)</f>
        <v>5</v>
      </c>
      <c r="U337" s="139">
        <f>+_xlfn.XLOOKUP(PROYECTOS[[#This Row],[MUNICIPIO]],'4.CAP_ENDMNT'!B:B,'4.CAP_ENDMNT'!D:D,0,0,1)</f>
        <v>7630980393.4579992</v>
      </c>
      <c r="V337" s="140">
        <f>+_xlfn.XLOOKUP(PROYECTOS[[#This Row],[MUNICIPIO]],'4.CAP_ENDMNT'!B:B,'4.CAP_ENDMNT'!E:E,0,0,1)</f>
        <v>2836641555.8400002</v>
      </c>
      <c r="W337" s="140">
        <f>+_xlfn.XLOOKUP(PROYECTOS[[#This Row],[MUNICIPIO]],'4.CAP_ENDMNT'!B:B,'4.CAP_ENDMNT'!F:F,0,0,1)</f>
        <v>4794338837.6179991</v>
      </c>
      <c r="X337" s="140">
        <f>+_xlfn.XLOOKUP(PROYECTOS[[#This Row],[MUNICIPIO]],'4.CAP_ENDMNT'!B:B,'4.CAP_ENDMNT'!G:G,0,0,1)</f>
        <v>46770446.019999996</v>
      </c>
      <c r="Y337" s="140">
        <f>+_xlfn.XLOOKUP(PROYECTOS[[#This Row],[MUNICIPIO]],'4.CAP_ENDMNT'!B:B,'4.CAP_ENDMNT'!H:H,0,0,1)</f>
        <v>1700000000</v>
      </c>
      <c r="Z337" s="140">
        <f>+_xlfn.XLOOKUP(PROYECTOS[[#This Row],[MUNICIPIO]],'4.CAP_ENDMNT'!B:B,'4.CAP_ENDMNT'!I:I,0,0,1)</f>
        <v>1746770446.02</v>
      </c>
      <c r="AA337" s="134">
        <f>+_xlfn.XLOOKUP(PROYECTOS[[#This Row],[MUNICIPIO]],'4.CAP_ENDMNT'!B:B,'4.CAP_ENDMNT'!J:J,0,0,1)</f>
        <v>0.22890511519561726</v>
      </c>
      <c r="AB337" s="140">
        <f>+_xlfn.XLOOKUP(PROYECTOS[[#This Row],[MUNICIPIO]],'4.CAP_ENDMNT'!B:B,'4.CAP_ENDMNT'!K:K,0,0,1)</f>
        <v>5884209947.4379997</v>
      </c>
      <c r="AC337" s="140">
        <f>+_xlfn.XLOOKUP(PROYECTOS[[#This Row],[MUNICIPIO]],'4.CAP_ENDMNT'!B:B,'4.CAP_ENDMNT'!L:L,0,0,1)</f>
        <v>4707367957.9504004</v>
      </c>
      <c r="AD337" s="140">
        <f>+_xlfn.XLOOKUP(PROYECTOS[[#This Row],[MUNICIPIO]],'4.CAP_ENDMNT'!B:B,'4.CAP_ENDMNT'!M:M,0,0,1)</f>
        <v>3530525968.4627995</v>
      </c>
      <c r="AE337" s="134">
        <f>+_xlfn.XLOOKUP(PROYECTOS[[#This Row],[MUNICIPIO]],'4.CAP_ENDMNT'!B:B,'4.CAP_ENDMNT'!N:N,0,0,1)</f>
        <v>2.6775382035210189E-2</v>
      </c>
      <c r="AF337" s="134">
        <f>+_xlfn.XLOOKUP(PROYECTOS[[#This Row],[MUNICIPIO]],'4.CAP_ENDMNT'!B:B,'4.CAP_ENDMNT'!O:O,0,0,1)</f>
        <v>0.7580768893854527</v>
      </c>
      <c r="AG337" s="134">
        <f>+_xlfn.XLOOKUP(PROYECTOS[[#This Row],[MUNICIPIO]],'4.CAP_ENDMNT'!B:B,'4.CAP_ENDMNT'!P:P,0,0,1)</f>
        <v>0.8</v>
      </c>
      <c r="AH337" s="44" t="str">
        <f>+_xlfn.XLOOKUP(PROYECTOS[[#This Row],[MUNICIPIO]],'4.CAP_ENDMNT'!B:B,'4.CAP_ENDMNT'!Q:Q,0,0,1)</f>
        <v>Riesgo</v>
      </c>
      <c r="AI337" s="139">
        <f>+_xlfn.XLOOKUP(PROYECTOS[[#This Row],[MUNICIPIO]],'4.CAP_ENDMNT'!B:B,'4.CAP_ENDMNT'!V:V,0,0,1)</f>
        <v>706105193.69255996</v>
      </c>
      <c r="AJ337" s="139">
        <f>+_xlfn.XLOOKUP(PROYECTOS[[#This Row],[MUNICIPIO]],'4.CAP_ENDMNT'!B:B,'4.CAP_ENDMNT'!Y:Y,0,0,1)</f>
        <v>-8074382003.8446407</v>
      </c>
      <c r="AK337"/>
      <c r="AL337"/>
      <c r="AM337"/>
    </row>
    <row r="338" spans="1:39">
      <c r="A338" s="44">
        <v>356</v>
      </c>
      <c r="B338" s="37" t="s">
        <v>1454</v>
      </c>
      <c r="C338" s="118">
        <v>45747</v>
      </c>
      <c r="D338" s="34" t="s">
        <v>168</v>
      </c>
      <c r="E338" s="47" t="str">
        <f>+_xlfn.XLOOKUP(PROYECTOS[[#This Row],[MUNICIPIO]],MUNICIPIOS!A:A,MUNICIPIOS!E:E,0,0,1)</f>
        <v>Occidente</v>
      </c>
      <c r="F338" s="44">
        <f>+_xlfn.XLOOKUP(PROYECTOS[[#This Row],[MUNICIPIO]],MUNICIPIOS!A:A,MUNICIPIOS!F:F,0,0,1)</f>
        <v>-75.854442000000006</v>
      </c>
      <c r="G338" s="44" t="str">
        <f>+_xlfn.XLOOKUP(PROYECTOS[[#This Row],[MUNICIPIO]],MUNICIPIOS!A:A,MUNICIPIOS!G:G,0,0,1)</f>
        <v>6,302641</v>
      </c>
      <c r="H338" s="44">
        <f>+_xlfn.XLOOKUP(PROYECTOS[[#This Row],[MUNICIPIO]],MUNICIPIOS!A:A,MUNICIPIOS!B:B,0,0,1)</f>
        <v>0</v>
      </c>
      <c r="I338" s="44">
        <f>+_xlfn.XLOOKUP(PROYECTOS[[#This Row],[MUNICIPIO]],MUNICIPIOS!A:A,MUNICIPIOS!C:C,0,0,1)</f>
        <v>0</v>
      </c>
      <c r="J338" s="34" t="str" cm="1">
        <f t="array" ref="J338">_xlfn.TEXTJOIN(" ", TRUE, IF(radicados[ID PROYECTOS]=A338, radicados[RADICADO], ""))</f>
        <v/>
      </c>
      <c r="K338" s="142">
        <v>2</v>
      </c>
      <c r="L338" s="48">
        <v>655963259</v>
      </c>
      <c r="M338" s="40" t="s">
        <v>435</v>
      </c>
      <c r="N338" s="40" t="s">
        <v>398</v>
      </c>
      <c r="O338" s="40" t="s">
        <v>25</v>
      </c>
      <c r="P338" s="53" t="s">
        <v>1240</v>
      </c>
      <c r="Q338" s="45">
        <v>1</v>
      </c>
      <c r="R338" s="43" t="s">
        <v>922</v>
      </c>
      <c r="S338" s="43" t="s">
        <v>1643</v>
      </c>
      <c r="T338" s="44">
        <f>+_xlfn.XLOOKUP(PROYECTOS[[#This Row],[MUNICIPIO]],'4.CAP_ENDMNT'!B:B,'4.CAP_ENDMNT'!C:C,0,0,1)</f>
        <v>6</v>
      </c>
      <c r="U338" s="139">
        <f>+_xlfn.XLOOKUP(PROYECTOS[[#This Row],[MUNICIPIO]],'4.CAP_ENDMNT'!B:B,'4.CAP_ENDMNT'!D:D,0,0,1)</f>
        <v>7049911897.9460001</v>
      </c>
      <c r="V338" s="140">
        <f>+_xlfn.XLOOKUP(PROYECTOS[[#This Row],[MUNICIPIO]],'4.CAP_ENDMNT'!B:B,'4.CAP_ENDMNT'!E:E,0,0,1)</f>
        <v>2502449802.4500003</v>
      </c>
      <c r="W338" s="140">
        <f>+_xlfn.XLOOKUP(PROYECTOS[[#This Row],[MUNICIPIO]],'4.CAP_ENDMNT'!B:B,'4.CAP_ENDMNT'!F:F,0,0,1)</f>
        <v>4547462095.4960003</v>
      </c>
      <c r="X338" s="140">
        <f>+_xlfn.XLOOKUP(PROYECTOS[[#This Row],[MUNICIPIO]],'4.CAP_ENDMNT'!B:B,'4.CAP_ENDMNT'!G:G,0,0,1)</f>
        <v>1083993787</v>
      </c>
      <c r="Y338" s="140">
        <f>+_xlfn.XLOOKUP(PROYECTOS[[#This Row],[MUNICIPIO]],'4.CAP_ENDMNT'!B:B,'4.CAP_ENDMNT'!H:H,0,0,1)</f>
        <v>0</v>
      </c>
      <c r="Z338" s="140">
        <f>+_xlfn.XLOOKUP(PROYECTOS[[#This Row],[MUNICIPIO]],'4.CAP_ENDMNT'!B:B,'4.CAP_ENDMNT'!I:I,0,0,1)</f>
        <v>1083993787</v>
      </c>
      <c r="AA338" s="134">
        <f>+_xlfn.XLOOKUP(PROYECTOS[[#This Row],[MUNICIPIO]],'4.CAP_ENDMNT'!B:B,'4.CAP_ENDMNT'!J:J,0,0,1)</f>
        <v>0.15375990546999926</v>
      </c>
      <c r="AB338" s="140">
        <f>+_xlfn.XLOOKUP(PROYECTOS[[#This Row],[MUNICIPIO]],'4.CAP_ENDMNT'!B:B,'4.CAP_ENDMNT'!K:K,0,0,1)</f>
        <v>5965918110.9460001</v>
      </c>
      <c r="AC338" s="140">
        <f>+_xlfn.XLOOKUP(PROYECTOS[[#This Row],[MUNICIPIO]],'4.CAP_ENDMNT'!B:B,'4.CAP_ENDMNT'!L:L,0,0,1)</f>
        <v>4772734488.7568007</v>
      </c>
      <c r="AD338" s="140">
        <f>+_xlfn.XLOOKUP(PROYECTOS[[#This Row],[MUNICIPIO]],'4.CAP_ENDMNT'!B:B,'4.CAP_ENDMNT'!M:M,0,0,1)</f>
        <v>3579550866.5675998</v>
      </c>
      <c r="AE338" s="134">
        <f>+_xlfn.XLOOKUP(PROYECTOS[[#This Row],[MUNICIPIO]],'4.CAP_ENDMNT'!B:B,'4.CAP_ENDMNT'!N:N,0,0,1)</f>
        <v>1</v>
      </c>
      <c r="AF338" s="134">
        <f>+_xlfn.XLOOKUP(PROYECTOS[[#This Row],[MUNICIPIO]],'4.CAP_ENDMNT'!B:B,'4.CAP_ENDMNT'!O:O,0,0,1)</f>
        <v>0.68972189795110483</v>
      </c>
      <c r="AG338" s="134">
        <f>+_xlfn.XLOOKUP(PROYECTOS[[#This Row],[MUNICIPIO]],'4.CAP_ENDMNT'!B:B,'4.CAP_ENDMNT'!P:P,0,0,1)</f>
        <v>0.8</v>
      </c>
      <c r="AH338" s="44" t="str">
        <f>+_xlfn.XLOOKUP(PROYECTOS[[#This Row],[MUNICIPIO]],'4.CAP_ENDMNT'!B:B,'4.CAP_ENDMNT'!Q:Q,0,0,1)</f>
        <v>Cumple</v>
      </c>
      <c r="AI338" s="139">
        <f>+_xlfn.XLOOKUP(PROYECTOS[[#This Row],[MUNICIPIO]],'4.CAP_ENDMNT'!B:B,'4.CAP_ENDMNT'!V:V,0,0,1)</f>
        <v>715910173.31351995</v>
      </c>
      <c r="AJ338" s="139">
        <f>+_xlfn.XLOOKUP(PROYECTOS[[#This Row],[MUNICIPIO]],'4.CAP_ENDMNT'!B:B,'4.CAP_ENDMNT'!Y:Y,0,0,1)</f>
        <v>-2869466523.1188803</v>
      </c>
      <c r="AK338"/>
      <c r="AL338"/>
      <c r="AM338"/>
    </row>
    <row r="339" spans="1:39">
      <c r="A339" s="44">
        <v>357</v>
      </c>
      <c r="B339" s="37" t="s">
        <v>1596</v>
      </c>
      <c r="C339" s="118">
        <v>45747</v>
      </c>
      <c r="D339" s="34" t="s">
        <v>193</v>
      </c>
      <c r="E339" s="47" t="str">
        <f>+_xlfn.XLOOKUP(PROYECTOS[[#This Row],[MUNICIPIO]],MUNICIPIOS!A:A,MUNICIPIOS!E:E,0,0,1)</f>
        <v>Urabá</v>
      </c>
      <c r="F339" s="44">
        <f>+_xlfn.XLOOKUP(PROYECTOS[[#This Row],[MUNICIPIO]],MUNICIPIOS!A:A,MUNICIPIOS!F:F,0,0,1)</f>
        <v>-76.426708000000005</v>
      </c>
      <c r="G339" s="44" t="str">
        <f>+_xlfn.XLOOKUP(PROYECTOS[[#This Row],[MUNICIPIO]],MUNICIPIOS!A:A,MUNICIPIOS!G:G,0,0,1)</f>
        <v>8,849317</v>
      </c>
      <c r="H339" s="44">
        <f>+_xlfn.XLOOKUP(PROYECTOS[[#This Row],[MUNICIPIO]],MUNICIPIOS!A:A,MUNICIPIOS!B:B,0,0,1)</f>
        <v>0</v>
      </c>
      <c r="I339" s="44">
        <f>+_xlfn.XLOOKUP(PROYECTOS[[#This Row],[MUNICIPIO]],MUNICIPIOS!A:A,MUNICIPIOS!C:C,0,0,1)</f>
        <v>0</v>
      </c>
      <c r="J339" s="34" t="str" cm="1">
        <f t="array" ref="J339">_xlfn.TEXTJOIN(" ", TRUE, IF(radicados[ID PROYECTOS]=A339, radicados[RADICADO], ""))</f>
        <v>2025010265694</v>
      </c>
      <c r="K339" s="142">
        <v>3</v>
      </c>
      <c r="L339" s="197">
        <v>5439190174</v>
      </c>
      <c r="M339" s="40" t="s">
        <v>435</v>
      </c>
      <c r="N339" s="40" t="s">
        <v>398</v>
      </c>
      <c r="O339" s="40" t="s">
        <v>25</v>
      </c>
      <c r="P339" s="33" t="s">
        <v>1597</v>
      </c>
      <c r="Q339" s="45">
        <v>1</v>
      </c>
      <c r="R339" s="43" t="s">
        <v>922</v>
      </c>
      <c r="S339" s="43" t="s">
        <v>1643</v>
      </c>
      <c r="T339" s="44">
        <f>+_xlfn.XLOOKUP(PROYECTOS[[#This Row],[MUNICIPIO]],'4.CAP_ENDMNT'!B:B,'4.CAP_ENDMNT'!C:C,0,0,1)</f>
        <v>6</v>
      </c>
      <c r="U339" s="139">
        <f>+_xlfn.XLOOKUP(PROYECTOS[[#This Row],[MUNICIPIO]],'4.CAP_ENDMNT'!B:B,'4.CAP_ENDMNT'!D:D,0,0,1)</f>
        <v>19782037469.424</v>
      </c>
      <c r="V339" s="140">
        <f>+_xlfn.XLOOKUP(PROYECTOS[[#This Row],[MUNICIPIO]],'4.CAP_ENDMNT'!B:B,'4.CAP_ENDMNT'!E:E,0,0,1)</f>
        <v>6224691780.3400002</v>
      </c>
      <c r="W339" s="140">
        <f>+_xlfn.XLOOKUP(PROYECTOS[[#This Row],[MUNICIPIO]],'4.CAP_ENDMNT'!B:B,'4.CAP_ENDMNT'!F:F,0,0,1)</f>
        <v>13557345689.084</v>
      </c>
      <c r="X339" s="140">
        <f>+_xlfn.XLOOKUP(PROYECTOS[[#This Row],[MUNICIPIO]],'4.CAP_ENDMNT'!B:B,'4.CAP_ENDMNT'!G:G,0,0,1)</f>
        <v>5530076291</v>
      </c>
      <c r="Y339" s="140">
        <f>+_xlfn.XLOOKUP(PROYECTOS[[#This Row],[MUNICIPIO]],'4.CAP_ENDMNT'!B:B,'4.CAP_ENDMNT'!H:H,0,0,1)</f>
        <v>135075758</v>
      </c>
      <c r="Z339" s="140">
        <f>+_xlfn.XLOOKUP(PROYECTOS[[#This Row],[MUNICIPIO]],'4.CAP_ENDMNT'!B:B,'4.CAP_ENDMNT'!I:I,0,0,1)</f>
        <v>5665152049</v>
      </c>
      <c r="AA339" s="134">
        <f>+_xlfn.XLOOKUP(PROYECTOS[[#This Row],[MUNICIPIO]],'4.CAP_ENDMNT'!B:B,'4.CAP_ENDMNT'!J:J,0,0,1)</f>
        <v>0.28637859258715448</v>
      </c>
      <c r="AB339" s="140">
        <f>+_xlfn.XLOOKUP(PROYECTOS[[#This Row],[MUNICIPIO]],'4.CAP_ENDMNT'!B:B,'4.CAP_ENDMNT'!K:K,0,0,1)</f>
        <v>14116885420.424</v>
      </c>
      <c r="AC339" s="140">
        <f>+_xlfn.XLOOKUP(PROYECTOS[[#This Row],[MUNICIPIO]],'4.CAP_ENDMNT'!B:B,'4.CAP_ENDMNT'!L:L,0,0,1)</f>
        <v>11293508336.339201</v>
      </c>
      <c r="AD339" s="140">
        <f>+_xlfn.XLOOKUP(PROYECTOS[[#This Row],[MUNICIPIO]],'4.CAP_ENDMNT'!B:B,'4.CAP_ENDMNT'!M:M,0,0,1)</f>
        <v>8470131252.2543993</v>
      </c>
      <c r="AE339" s="134">
        <f>+_xlfn.XLOOKUP(PROYECTOS[[#This Row],[MUNICIPIO]],'4.CAP_ENDMNT'!B:B,'4.CAP_ENDMNT'!N:N,0,0,1)</f>
        <v>0.97615672856938707</v>
      </c>
      <c r="AF339" s="134">
        <f>+_xlfn.XLOOKUP(PROYECTOS[[#This Row],[MUNICIPIO]],'4.CAP_ENDMNT'!B:B,'4.CAP_ENDMNT'!O:O,0,0,1)</f>
        <v>0.63121490876418529</v>
      </c>
      <c r="AG339" s="134">
        <f>+_xlfn.XLOOKUP(PROYECTOS[[#This Row],[MUNICIPIO]],'4.CAP_ENDMNT'!B:B,'4.CAP_ENDMNT'!P:P,0,0,1)</f>
        <v>0.8</v>
      </c>
      <c r="AH339" s="44" t="str">
        <f>+_xlfn.XLOOKUP(PROYECTOS[[#This Row],[MUNICIPIO]],'4.CAP_ENDMNT'!B:B,'4.CAP_ENDMNT'!Q:Q,0,0,1)</f>
        <v>Cumple</v>
      </c>
      <c r="AI339" s="139">
        <f>+_xlfn.XLOOKUP(PROYECTOS[[#This Row],[MUNICIPIO]],'4.CAP_ENDMNT'!B:B,'4.CAP_ENDMNT'!V:V,0,0,1)</f>
        <v>1694026250.4508801</v>
      </c>
      <c r="AJ339" s="139">
        <f>+_xlfn.XLOOKUP(PROYECTOS[[#This Row],[MUNICIPIO]],'4.CAP_ENDMNT'!B:B,'4.CAP_ENDMNT'!Y:Y,0,0,1)</f>
        <v>-28540377224.29472</v>
      </c>
      <c r="AK339"/>
      <c r="AL339"/>
      <c r="AM339"/>
    </row>
    <row r="340" spans="1:39">
      <c r="A340" s="44">
        <v>358</v>
      </c>
      <c r="B340" s="37" t="s">
        <v>660</v>
      </c>
      <c r="C340" s="118">
        <v>45747</v>
      </c>
      <c r="D340" s="34" t="s">
        <v>193</v>
      </c>
      <c r="E340" s="47" t="str">
        <f>+_xlfn.XLOOKUP(PROYECTOS[[#This Row],[MUNICIPIO]],MUNICIPIOS!A:A,MUNICIPIOS!E:E,0,0,1)</f>
        <v>Urabá</v>
      </c>
      <c r="F340" s="44">
        <f>+_xlfn.XLOOKUP(PROYECTOS[[#This Row],[MUNICIPIO]],MUNICIPIOS!A:A,MUNICIPIOS!F:F,0,0,1)</f>
        <v>-76.426708000000005</v>
      </c>
      <c r="G340" s="44" t="str">
        <f>+_xlfn.XLOOKUP(PROYECTOS[[#This Row],[MUNICIPIO]],MUNICIPIOS!A:A,MUNICIPIOS!G:G,0,0,1)</f>
        <v>8,849317</v>
      </c>
      <c r="H340" s="44">
        <f>+_xlfn.XLOOKUP(PROYECTOS[[#This Row],[MUNICIPIO]],MUNICIPIOS!A:A,MUNICIPIOS!B:B,0,0,1)</f>
        <v>0</v>
      </c>
      <c r="I340" s="44">
        <f>+_xlfn.XLOOKUP(PROYECTOS[[#This Row],[MUNICIPIO]],MUNICIPIOS!A:A,MUNICIPIOS!C:C,0,0,1)</f>
        <v>0</v>
      </c>
      <c r="J340" s="27">
        <v>2024010401561</v>
      </c>
      <c r="K340" s="142">
        <v>2</v>
      </c>
      <c r="L340" s="48"/>
      <c r="M340" s="40" t="s">
        <v>407</v>
      </c>
      <c r="N340" s="40" t="s">
        <v>398</v>
      </c>
      <c r="O340" s="40" t="s">
        <v>25</v>
      </c>
      <c r="P340" s="53" t="s">
        <v>1251</v>
      </c>
      <c r="Q340" s="45"/>
      <c r="R340" s="50"/>
      <c r="S340" s="50"/>
      <c r="T340" s="44">
        <f>+_xlfn.XLOOKUP(PROYECTOS[[#This Row],[MUNICIPIO]],'4.CAP_ENDMNT'!B:B,'4.CAP_ENDMNT'!C:C,0,0,1)</f>
        <v>6</v>
      </c>
      <c r="U340" s="139">
        <f>+_xlfn.XLOOKUP(PROYECTOS[[#This Row],[MUNICIPIO]],'4.CAP_ENDMNT'!B:B,'4.CAP_ENDMNT'!D:D,0,0,1)</f>
        <v>19782037469.424</v>
      </c>
      <c r="V340" s="140">
        <f>+_xlfn.XLOOKUP(PROYECTOS[[#This Row],[MUNICIPIO]],'4.CAP_ENDMNT'!B:B,'4.CAP_ENDMNT'!E:E,0,0,1)</f>
        <v>6224691780.3400002</v>
      </c>
      <c r="W340" s="140">
        <f>+_xlfn.XLOOKUP(PROYECTOS[[#This Row],[MUNICIPIO]],'4.CAP_ENDMNT'!B:B,'4.CAP_ENDMNT'!F:F,0,0,1)</f>
        <v>13557345689.084</v>
      </c>
      <c r="X340" s="140">
        <f>+_xlfn.XLOOKUP(PROYECTOS[[#This Row],[MUNICIPIO]],'4.CAP_ENDMNT'!B:B,'4.CAP_ENDMNT'!G:G,0,0,1)</f>
        <v>5530076291</v>
      </c>
      <c r="Y340" s="140">
        <f>+_xlfn.XLOOKUP(PROYECTOS[[#This Row],[MUNICIPIO]],'4.CAP_ENDMNT'!B:B,'4.CAP_ENDMNT'!H:H,0,0,1)</f>
        <v>135075758</v>
      </c>
      <c r="Z340" s="140">
        <f>+_xlfn.XLOOKUP(PROYECTOS[[#This Row],[MUNICIPIO]],'4.CAP_ENDMNT'!B:B,'4.CAP_ENDMNT'!I:I,0,0,1)</f>
        <v>5665152049</v>
      </c>
      <c r="AA340" s="134">
        <f>+_xlfn.XLOOKUP(PROYECTOS[[#This Row],[MUNICIPIO]],'4.CAP_ENDMNT'!B:B,'4.CAP_ENDMNT'!J:J,0,0,1)</f>
        <v>0.28637859258715448</v>
      </c>
      <c r="AB340" s="140">
        <f>+_xlfn.XLOOKUP(PROYECTOS[[#This Row],[MUNICIPIO]],'4.CAP_ENDMNT'!B:B,'4.CAP_ENDMNT'!K:K,0,0,1)</f>
        <v>14116885420.424</v>
      </c>
      <c r="AC340" s="140">
        <f>+_xlfn.XLOOKUP(PROYECTOS[[#This Row],[MUNICIPIO]],'4.CAP_ENDMNT'!B:B,'4.CAP_ENDMNT'!L:L,0,0,1)</f>
        <v>11293508336.339201</v>
      </c>
      <c r="AD340" s="140">
        <f>+_xlfn.XLOOKUP(PROYECTOS[[#This Row],[MUNICIPIO]],'4.CAP_ENDMNT'!B:B,'4.CAP_ENDMNT'!M:M,0,0,1)</f>
        <v>8470131252.2543993</v>
      </c>
      <c r="AE340" s="134">
        <f>+_xlfn.XLOOKUP(PROYECTOS[[#This Row],[MUNICIPIO]],'4.CAP_ENDMNT'!B:B,'4.CAP_ENDMNT'!N:N,0,0,1)</f>
        <v>0.97615672856938707</v>
      </c>
      <c r="AF340" s="134">
        <f>+_xlfn.XLOOKUP(PROYECTOS[[#This Row],[MUNICIPIO]],'4.CAP_ENDMNT'!B:B,'4.CAP_ENDMNT'!O:O,0,0,1)</f>
        <v>0.63121490876418529</v>
      </c>
      <c r="AG340" s="134">
        <f>+_xlfn.XLOOKUP(PROYECTOS[[#This Row],[MUNICIPIO]],'4.CAP_ENDMNT'!B:B,'4.CAP_ENDMNT'!P:P,0,0,1)</f>
        <v>0.8</v>
      </c>
      <c r="AH340" s="44" t="str">
        <f>+_xlfn.XLOOKUP(PROYECTOS[[#This Row],[MUNICIPIO]],'4.CAP_ENDMNT'!B:B,'4.CAP_ENDMNT'!Q:Q,0,0,1)</f>
        <v>Cumple</v>
      </c>
      <c r="AI340" s="139">
        <f>+_xlfn.XLOOKUP(PROYECTOS[[#This Row],[MUNICIPIO]],'4.CAP_ENDMNT'!B:B,'4.CAP_ENDMNT'!V:V,0,0,1)</f>
        <v>1694026250.4508801</v>
      </c>
      <c r="AJ340" s="139">
        <f>+_xlfn.XLOOKUP(PROYECTOS[[#This Row],[MUNICIPIO]],'4.CAP_ENDMNT'!B:B,'4.CAP_ENDMNT'!Y:Y,0,0,1)</f>
        <v>-28540377224.29472</v>
      </c>
      <c r="AK340"/>
      <c r="AL340"/>
      <c r="AM340"/>
    </row>
    <row r="341" spans="1:39">
      <c r="A341" s="44">
        <v>359</v>
      </c>
      <c r="B341" s="37" t="s">
        <v>1543</v>
      </c>
      <c r="C341" s="118">
        <v>45747</v>
      </c>
      <c r="D341" s="34" t="s">
        <v>127</v>
      </c>
      <c r="E341" s="47" t="str">
        <f>+_xlfn.XLOOKUP(PROYECTOS[[#This Row],[MUNICIPIO]],MUNICIPIOS!A:A,MUNICIPIOS!E:E,0,0,1)</f>
        <v>Suroeste</v>
      </c>
      <c r="F341" s="44">
        <f>+_xlfn.XLOOKUP(PROYECTOS[[#This Row],[MUNICIPIO]],MUNICIPIOS!A:A,MUNICIPIOS!F:F,0,0,1)</f>
        <v>-75.976789999999994</v>
      </c>
      <c r="G341" s="44" t="str">
        <f>+_xlfn.XLOOKUP(PROYECTOS[[#This Row],[MUNICIPIO]],MUNICIPIOS!A:A,MUNICIPIOS!G:G,0,0,1)</f>
        <v>5,74615</v>
      </c>
      <c r="H341" s="44">
        <f>+_xlfn.XLOOKUP(PROYECTOS[[#This Row],[MUNICIPIO]],MUNICIPIOS!A:A,MUNICIPIOS!B:B,0,0,1)</f>
        <v>0</v>
      </c>
      <c r="I341" s="44">
        <f>+_xlfn.XLOOKUP(PROYECTOS[[#This Row],[MUNICIPIO]],MUNICIPIOS!A:A,MUNICIPIOS!C:C,0,0,1)</f>
        <v>0</v>
      </c>
      <c r="J341" s="34" t="str" cm="1">
        <f t="array" ref="J341">_xlfn.TEXTJOIN(" ", TRUE, IF(radicados[ID PROYECTOS]=A341, radicados[RADICADO], ""))</f>
        <v>2025010247574</v>
      </c>
      <c r="K341" s="45">
        <v>2</v>
      </c>
      <c r="L341" s="48">
        <v>203839099</v>
      </c>
      <c r="M341" s="40" t="s">
        <v>435</v>
      </c>
      <c r="N341" s="40" t="s">
        <v>398</v>
      </c>
      <c r="O341" s="40" t="s">
        <v>25</v>
      </c>
      <c r="P341" s="53" t="s">
        <v>1455</v>
      </c>
      <c r="Q341" s="45">
        <v>1</v>
      </c>
      <c r="R341" s="43" t="s">
        <v>922</v>
      </c>
      <c r="S341" s="43" t="s">
        <v>1643</v>
      </c>
      <c r="T341" s="44">
        <f>+_xlfn.XLOOKUP(PROYECTOS[[#This Row],[MUNICIPIO]],'4.CAP_ENDMNT'!B:B,'4.CAP_ENDMNT'!C:C,0,0,1)</f>
        <v>6</v>
      </c>
      <c r="U341" s="139">
        <f>+_xlfn.XLOOKUP(PROYECTOS[[#This Row],[MUNICIPIO]],'4.CAP_ENDMNT'!B:B,'4.CAP_ENDMNT'!D:D,0,0,1)</f>
        <v>9197355968.8835011</v>
      </c>
      <c r="V341" s="140">
        <f>+_xlfn.XLOOKUP(PROYECTOS[[#This Row],[MUNICIPIO]],'4.CAP_ENDMNT'!B:B,'4.CAP_ENDMNT'!E:E,0,0,1)</f>
        <v>3350398615.7000003</v>
      </c>
      <c r="W341" s="140">
        <f>+_xlfn.XLOOKUP(PROYECTOS[[#This Row],[MUNICIPIO]],'4.CAP_ENDMNT'!B:B,'4.CAP_ENDMNT'!F:F,0,0,1)</f>
        <v>5846957353.1835003</v>
      </c>
      <c r="X341" s="140">
        <f>+_xlfn.XLOOKUP(PROYECTOS[[#This Row],[MUNICIPIO]],'4.CAP_ENDMNT'!B:B,'4.CAP_ENDMNT'!G:G,0,0,1)</f>
        <v>958841544</v>
      </c>
      <c r="Y341" s="140">
        <f>+_xlfn.XLOOKUP(PROYECTOS[[#This Row],[MUNICIPIO]],'4.CAP_ENDMNT'!B:B,'4.CAP_ENDMNT'!H:H,0,0,1)</f>
        <v>680000000</v>
      </c>
      <c r="Z341" s="140">
        <f>+_xlfn.XLOOKUP(PROYECTOS[[#This Row],[MUNICIPIO]],'4.CAP_ENDMNT'!B:B,'4.CAP_ENDMNT'!I:I,0,0,1)</f>
        <v>1638841544</v>
      </c>
      <c r="AA341" s="134">
        <f>+_xlfn.XLOOKUP(PROYECTOS[[#This Row],[MUNICIPIO]],'4.CAP_ENDMNT'!B:B,'4.CAP_ENDMNT'!J:J,0,0,1)</f>
        <v>0.17818616019044273</v>
      </c>
      <c r="AB341" s="140">
        <f>+_xlfn.XLOOKUP(PROYECTOS[[#This Row],[MUNICIPIO]],'4.CAP_ENDMNT'!B:B,'4.CAP_ENDMNT'!K:K,0,0,1)</f>
        <v>7558514424.8835011</v>
      </c>
      <c r="AC341" s="140">
        <f>+_xlfn.XLOOKUP(PROYECTOS[[#This Row],[MUNICIPIO]],'4.CAP_ENDMNT'!B:B,'4.CAP_ENDMNT'!L:L,0,0,1)</f>
        <v>6046811539.9068012</v>
      </c>
      <c r="AD341" s="140">
        <f>+_xlfn.XLOOKUP(PROYECTOS[[#This Row],[MUNICIPIO]],'4.CAP_ENDMNT'!B:B,'4.CAP_ENDMNT'!M:M,0,0,1)</f>
        <v>4535108654.9301004</v>
      </c>
      <c r="AE341" s="134">
        <f>+_xlfn.XLOOKUP(PROYECTOS[[#This Row],[MUNICIPIO]],'4.CAP_ENDMNT'!B:B,'4.CAP_ENDMNT'!N:N,0,0,1)</f>
        <v>0.58507275917579493</v>
      </c>
      <c r="AF341" s="134">
        <f>+_xlfn.XLOOKUP(PROYECTOS[[#This Row],[MUNICIPIO]],'4.CAP_ENDMNT'!B:B,'4.CAP_ENDMNT'!O:O,0,0,1)</f>
        <v>0.53687312631507866</v>
      </c>
      <c r="AG341" s="134">
        <f>+_xlfn.XLOOKUP(PROYECTOS[[#This Row],[MUNICIPIO]],'4.CAP_ENDMNT'!B:B,'4.CAP_ENDMNT'!P:P,0,0,1)</f>
        <v>0.8</v>
      </c>
      <c r="AH341" s="44" t="str">
        <f>+_xlfn.XLOOKUP(PROYECTOS[[#This Row],[MUNICIPIO]],'4.CAP_ENDMNT'!B:B,'4.CAP_ENDMNT'!Q:Q,0,0,1)</f>
        <v>Cumple</v>
      </c>
      <c r="AI341" s="139">
        <f>+_xlfn.XLOOKUP(PROYECTOS[[#This Row],[MUNICIPIO]],'4.CAP_ENDMNT'!B:B,'4.CAP_ENDMNT'!V:V,0,0,1)</f>
        <v>907021730.98602009</v>
      </c>
      <c r="AJ341" s="139">
        <f>+_xlfn.XLOOKUP(PROYECTOS[[#This Row],[MUNICIPIO]],'4.CAP_ENDMNT'!B:B,'4.CAP_ENDMNT'!Y:Y,0,0,1)</f>
        <v>-2964573994.0838795</v>
      </c>
      <c r="AK341"/>
      <c r="AL341"/>
      <c r="AM341"/>
    </row>
    <row r="342" spans="1:39">
      <c r="A342" s="44">
        <v>360</v>
      </c>
      <c r="B342" s="37" t="s">
        <v>1456</v>
      </c>
      <c r="C342" s="118">
        <v>45747</v>
      </c>
      <c r="D342" s="34" t="s">
        <v>136</v>
      </c>
      <c r="E342" s="47" t="str">
        <f>+_xlfn.XLOOKUP(PROYECTOS[[#This Row],[MUNICIPIO]],MUNICIPIOS!A:A,MUNICIPIOS!E:E,0,0,1)</f>
        <v>Norte</v>
      </c>
      <c r="F342" s="44">
        <f>+_xlfn.XLOOKUP(PROYECTOS[[#This Row],[MUNICIPIO]],MUNICIPIOS!A:A,MUNICIPIOS!F:F,0,0,1)</f>
        <v>-75.550359999999998</v>
      </c>
      <c r="G342" s="44" t="str">
        <f>+_xlfn.XLOOKUP(PROYECTOS[[#This Row],[MUNICIPIO]],MUNICIPIOS!A:A,MUNICIPIOS!G:G,0,0,1)</f>
        <v>7,112803</v>
      </c>
      <c r="H342" s="44">
        <f>+_xlfn.XLOOKUP(PROYECTOS[[#This Row],[MUNICIPIO]],MUNICIPIOS!A:A,MUNICIPIOS!B:B,0,0,1)</f>
        <v>1</v>
      </c>
      <c r="I342" s="44">
        <f>+_xlfn.XLOOKUP(PROYECTOS[[#This Row],[MUNICIPIO]],MUNICIPIOS!A:A,MUNICIPIOS!C:C,0,0,1)</f>
        <v>1</v>
      </c>
      <c r="J342" s="34" t="str" cm="1">
        <f t="array" ref="J342">_xlfn.TEXTJOIN(" ", TRUE, IF(radicados[ID PROYECTOS]=A342, radicados[RADICADO], ""))</f>
        <v/>
      </c>
      <c r="K342" s="128">
        <v>2</v>
      </c>
      <c r="L342" s="48">
        <v>304815168</v>
      </c>
      <c r="M342" s="40" t="s">
        <v>435</v>
      </c>
      <c r="N342" s="40" t="s">
        <v>398</v>
      </c>
      <c r="O342" s="40" t="s">
        <v>25</v>
      </c>
      <c r="P342" s="53" t="s">
        <v>1457</v>
      </c>
      <c r="Q342" s="45"/>
      <c r="R342" s="50"/>
      <c r="S342" s="50"/>
      <c r="T342" s="44">
        <f>+_xlfn.XLOOKUP(PROYECTOS[[#This Row],[MUNICIPIO]],'4.CAP_ENDMNT'!B:B,'4.CAP_ENDMNT'!C:C,0,0,1)</f>
        <v>6</v>
      </c>
      <c r="U342" s="139">
        <f>+_xlfn.XLOOKUP(PROYECTOS[[#This Row],[MUNICIPIO]],'4.CAP_ENDMNT'!B:B,'4.CAP_ENDMNT'!D:D,0,0,1)</f>
        <v>15936675551.976999</v>
      </c>
      <c r="V342" s="140">
        <f>+_xlfn.XLOOKUP(PROYECTOS[[#This Row],[MUNICIPIO]],'4.CAP_ENDMNT'!B:B,'4.CAP_ENDMNT'!E:E,0,0,1)</f>
        <v>6355203503.6700001</v>
      </c>
      <c r="W342" s="140">
        <f>+_xlfn.XLOOKUP(PROYECTOS[[#This Row],[MUNICIPIO]],'4.CAP_ENDMNT'!B:B,'4.CAP_ENDMNT'!F:F,0,0,1)</f>
        <v>9581472048.3069992</v>
      </c>
      <c r="X342" s="140">
        <f>+_xlfn.XLOOKUP(PROYECTOS[[#This Row],[MUNICIPIO]],'4.CAP_ENDMNT'!B:B,'4.CAP_ENDMNT'!G:G,0,0,1)</f>
        <v>166905356.59</v>
      </c>
      <c r="Y342" s="140">
        <f>+_xlfn.XLOOKUP(PROYECTOS[[#This Row],[MUNICIPIO]],'4.CAP_ENDMNT'!B:B,'4.CAP_ENDMNT'!H:H,0,0,1)</f>
        <v>5064590198</v>
      </c>
      <c r="Z342" s="140">
        <f>+_xlfn.XLOOKUP(PROYECTOS[[#This Row],[MUNICIPIO]],'4.CAP_ENDMNT'!B:B,'4.CAP_ENDMNT'!I:I,0,0,1)</f>
        <v>5231495554.5900002</v>
      </c>
      <c r="AA342" s="134">
        <f>+_xlfn.XLOOKUP(PROYECTOS[[#This Row],[MUNICIPIO]],'4.CAP_ENDMNT'!B:B,'4.CAP_ENDMNT'!J:J,0,0,1)</f>
        <v>0.32826768277534613</v>
      </c>
      <c r="AB342" s="140">
        <f>+_xlfn.XLOOKUP(PROYECTOS[[#This Row],[MUNICIPIO]],'4.CAP_ENDMNT'!B:B,'4.CAP_ENDMNT'!K:K,0,0,1)</f>
        <v>10705179997.386999</v>
      </c>
      <c r="AC342" s="140">
        <f>+_xlfn.XLOOKUP(PROYECTOS[[#This Row],[MUNICIPIO]],'4.CAP_ENDMNT'!B:B,'4.CAP_ENDMNT'!L:L,0,0,1)</f>
        <v>8564143997.9095993</v>
      </c>
      <c r="AD342" s="140">
        <f>+_xlfn.XLOOKUP(PROYECTOS[[#This Row],[MUNICIPIO]],'4.CAP_ENDMNT'!B:B,'4.CAP_ENDMNT'!M:M,0,0,1)</f>
        <v>6423107998.4321995</v>
      </c>
      <c r="AE342" s="134">
        <f>+_xlfn.XLOOKUP(PROYECTOS[[#This Row],[MUNICIPIO]],'4.CAP_ENDMNT'!B:B,'4.CAP_ENDMNT'!N:N,0,0,1)</f>
        <v>3.1903946939907245E-2</v>
      </c>
      <c r="AF342" s="134">
        <f>+_xlfn.XLOOKUP(PROYECTOS[[#This Row],[MUNICIPIO]],'4.CAP_ENDMNT'!B:B,'4.CAP_ENDMNT'!O:O,0,0,1)</f>
        <v>0.65192157878949775</v>
      </c>
      <c r="AG342" s="134">
        <f>+_xlfn.XLOOKUP(PROYECTOS[[#This Row],[MUNICIPIO]],'4.CAP_ENDMNT'!B:B,'4.CAP_ENDMNT'!P:P,0,0,1)</f>
        <v>0.8</v>
      </c>
      <c r="AH342" s="44" t="str">
        <f>+_xlfn.XLOOKUP(PROYECTOS[[#This Row],[MUNICIPIO]],'4.CAP_ENDMNT'!B:B,'4.CAP_ENDMNT'!Q:Q,0,0,1)</f>
        <v>Cumple</v>
      </c>
      <c r="AI342" s="139">
        <f>+_xlfn.XLOOKUP(PROYECTOS[[#This Row],[MUNICIPIO]],'4.CAP_ENDMNT'!B:B,'4.CAP_ENDMNT'!V:V,0,0,1)</f>
        <v>1284621599.68644</v>
      </c>
      <c r="AJ342" s="139">
        <f>+_xlfn.XLOOKUP(PROYECTOS[[#This Row],[MUNICIPIO]],'4.CAP_ENDMNT'!B:B,'4.CAP_ENDMNT'!Y:Y,0,0,1)</f>
        <v>-1198654643.881361</v>
      </c>
      <c r="AK342"/>
      <c r="AL342"/>
      <c r="AM342"/>
    </row>
    <row r="343" spans="1:39">
      <c r="A343" s="44">
        <v>361</v>
      </c>
      <c r="B343" s="37" t="s">
        <v>1458</v>
      </c>
      <c r="C343" s="118">
        <v>45747</v>
      </c>
      <c r="D343" s="34" t="s">
        <v>136</v>
      </c>
      <c r="E343" s="47" t="str">
        <f>+_xlfn.XLOOKUP(PROYECTOS[[#This Row],[MUNICIPIO]],MUNICIPIOS!A:A,MUNICIPIOS!E:E,0,0,1)</f>
        <v>Norte</v>
      </c>
      <c r="F343" s="44">
        <f>+_xlfn.XLOOKUP(PROYECTOS[[#This Row],[MUNICIPIO]],MUNICIPIOS!A:A,MUNICIPIOS!F:F,0,0,1)</f>
        <v>-75.550359999999998</v>
      </c>
      <c r="G343" s="44" t="str">
        <f>+_xlfn.XLOOKUP(PROYECTOS[[#This Row],[MUNICIPIO]],MUNICIPIOS!A:A,MUNICIPIOS!G:G,0,0,1)</f>
        <v>7,112803</v>
      </c>
      <c r="H343" s="44">
        <f>+_xlfn.XLOOKUP(PROYECTOS[[#This Row],[MUNICIPIO]],MUNICIPIOS!A:A,MUNICIPIOS!B:B,0,0,1)</f>
        <v>1</v>
      </c>
      <c r="I343" s="44">
        <f>+_xlfn.XLOOKUP(PROYECTOS[[#This Row],[MUNICIPIO]],MUNICIPIOS!A:A,MUNICIPIOS!C:C,0,0,1)</f>
        <v>1</v>
      </c>
      <c r="J343" s="34" t="str" cm="1">
        <f t="array" ref="J343">_xlfn.TEXTJOIN(" ", TRUE, IF(radicados[ID PROYECTOS]=A343, radicados[RADICADO], ""))</f>
        <v/>
      </c>
      <c r="K343" s="128">
        <v>2</v>
      </c>
      <c r="L343" s="48">
        <v>1697006832</v>
      </c>
      <c r="M343" s="40" t="s">
        <v>435</v>
      </c>
      <c r="N343" s="40" t="s">
        <v>398</v>
      </c>
      <c r="O343" s="40" t="s">
        <v>25</v>
      </c>
      <c r="P343" s="53" t="s">
        <v>657</v>
      </c>
      <c r="Q343" s="45"/>
      <c r="R343" s="50"/>
      <c r="S343" s="50"/>
      <c r="T343" s="44">
        <f>+_xlfn.XLOOKUP(PROYECTOS[[#This Row],[MUNICIPIO]],'4.CAP_ENDMNT'!B:B,'4.CAP_ENDMNT'!C:C,0,0,1)</f>
        <v>6</v>
      </c>
      <c r="U343" s="139">
        <f>+_xlfn.XLOOKUP(PROYECTOS[[#This Row],[MUNICIPIO]],'4.CAP_ENDMNT'!B:B,'4.CAP_ENDMNT'!D:D,0,0,1)</f>
        <v>15936675551.976999</v>
      </c>
      <c r="V343" s="140">
        <f>+_xlfn.XLOOKUP(PROYECTOS[[#This Row],[MUNICIPIO]],'4.CAP_ENDMNT'!B:B,'4.CAP_ENDMNT'!E:E,0,0,1)</f>
        <v>6355203503.6700001</v>
      </c>
      <c r="W343" s="140">
        <f>+_xlfn.XLOOKUP(PROYECTOS[[#This Row],[MUNICIPIO]],'4.CAP_ENDMNT'!B:B,'4.CAP_ENDMNT'!F:F,0,0,1)</f>
        <v>9581472048.3069992</v>
      </c>
      <c r="X343" s="140">
        <f>+_xlfn.XLOOKUP(PROYECTOS[[#This Row],[MUNICIPIO]],'4.CAP_ENDMNT'!B:B,'4.CAP_ENDMNT'!G:G,0,0,1)</f>
        <v>166905356.59</v>
      </c>
      <c r="Y343" s="140">
        <f>+_xlfn.XLOOKUP(PROYECTOS[[#This Row],[MUNICIPIO]],'4.CAP_ENDMNT'!B:B,'4.CAP_ENDMNT'!H:H,0,0,1)</f>
        <v>5064590198</v>
      </c>
      <c r="Z343" s="140">
        <f>+_xlfn.XLOOKUP(PROYECTOS[[#This Row],[MUNICIPIO]],'4.CAP_ENDMNT'!B:B,'4.CAP_ENDMNT'!I:I,0,0,1)</f>
        <v>5231495554.5900002</v>
      </c>
      <c r="AA343" s="134">
        <f>+_xlfn.XLOOKUP(PROYECTOS[[#This Row],[MUNICIPIO]],'4.CAP_ENDMNT'!B:B,'4.CAP_ENDMNT'!J:J,0,0,1)</f>
        <v>0.32826768277534613</v>
      </c>
      <c r="AB343" s="140">
        <f>+_xlfn.XLOOKUP(PROYECTOS[[#This Row],[MUNICIPIO]],'4.CAP_ENDMNT'!B:B,'4.CAP_ENDMNT'!K:K,0,0,1)</f>
        <v>10705179997.386999</v>
      </c>
      <c r="AC343" s="140">
        <f>+_xlfn.XLOOKUP(PROYECTOS[[#This Row],[MUNICIPIO]],'4.CAP_ENDMNT'!B:B,'4.CAP_ENDMNT'!L:L,0,0,1)</f>
        <v>8564143997.9095993</v>
      </c>
      <c r="AD343" s="140">
        <f>+_xlfn.XLOOKUP(PROYECTOS[[#This Row],[MUNICIPIO]],'4.CAP_ENDMNT'!B:B,'4.CAP_ENDMNT'!M:M,0,0,1)</f>
        <v>6423107998.4321995</v>
      </c>
      <c r="AE343" s="134">
        <f>+_xlfn.XLOOKUP(PROYECTOS[[#This Row],[MUNICIPIO]],'4.CAP_ENDMNT'!B:B,'4.CAP_ENDMNT'!N:N,0,0,1)</f>
        <v>3.1903946939907245E-2</v>
      </c>
      <c r="AF343" s="134">
        <f>+_xlfn.XLOOKUP(PROYECTOS[[#This Row],[MUNICIPIO]],'4.CAP_ENDMNT'!B:B,'4.CAP_ENDMNT'!O:O,0,0,1)</f>
        <v>0.65192157878949775</v>
      </c>
      <c r="AG343" s="134">
        <f>+_xlfn.XLOOKUP(PROYECTOS[[#This Row],[MUNICIPIO]],'4.CAP_ENDMNT'!B:B,'4.CAP_ENDMNT'!P:P,0,0,1)</f>
        <v>0.8</v>
      </c>
      <c r="AH343" s="44" t="str">
        <f>+_xlfn.XLOOKUP(PROYECTOS[[#This Row],[MUNICIPIO]],'4.CAP_ENDMNT'!B:B,'4.CAP_ENDMNT'!Q:Q,0,0,1)</f>
        <v>Cumple</v>
      </c>
      <c r="AI343" s="139">
        <f>+_xlfn.XLOOKUP(PROYECTOS[[#This Row],[MUNICIPIO]],'4.CAP_ENDMNT'!B:B,'4.CAP_ENDMNT'!V:V,0,0,1)</f>
        <v>1284621599.68644</v>
      </c>
      <c r="AJ343" s="139">
        <f>+_xlfn.XLOOKUP(PROYECTOS[[#This Row],[MUNICIPIO]],'4.CAP_ENDMNT'!B:B,'4.CAP_ENDMNT'!Y:Y,0,0,1)</f>
        <v>-1198654643.881361</v>
      </c>
      <c r="AK343"/>
      <c r="AL343"/>
      <c r="AM343"/>
    </row>
    <row r="344" spans="1:39">
      <c r="A344" s="44">
        <v>362</v>
      </c>
      <c r="B344" s="37" t="s">
        <v>1459</v>
      </c>
      <c r="C344" s="118">
        <v>45747</v>
      </c>
      <c r="D344" s="34" t="s">
        <v>170</v>
      </c>
      <c r="E344" s="47" t="str">
        <f>+_xlfn.XLOOKUP(PROYECTOS[[#This Row],[MUNICIPIO]],MUNICIPIOS!A:A,MUNICIPIOS!E:E,0,0,1)</f>
        <v>Bajo Cauca</v>
      </c>
      <c r="F344" s="44">
        <f>+_xlfn.XLOOKUP(PROYECTOS[[#This Row],[MUNICIPIO]],MUNICIPIOS!A:A,MUNICIPIOS!F:F,0,0,1)</f>
        <v>-74.799097000000003</v>
      </c>
      <c r="G344" s="44" t="str">
        <f>+_xlfn.XLOOKUP(PROYECTOS[[#This Row],[MUNICIPIO]],MUNICIPIOS!A:A,MUNICIPIOS!G:G,0,0,1)</f>
        <v>7,5975</v>
      </c>
      <c r="H344" s="44">
        <f>+_xlfn.XLOOKUP(PROYECTOS[[#This Row],[MUNICIPIO]],MUNICIPIOS!A:A,MUNICIPIOS!B:B,0,0,1)</f>
        <v>1</v>
      </c>
      <c r="I344" s="44">
        <f>+_xlfn.XLOOKUP(PROYECTOS[[#This Row],[MUNICIPIO]],MUNICIPIOS!A:A,MUNICIPIOS!C:C,0,0,1)</f>
        <v>1</v>
      </c>
      <c r="J344" s="34" t="str" cm="1">
        <f t="array" ref="J344">_xlfn.TEXTJOIN(" ", TRUE, IF(radicados[ID PROYECTOS]=A344, radicados[RADICADO], ""))</f>
        <v/>
      </c>
      <c r="K344" s="45">
        <v>1</v>
      </c>
      <c r="L344" s="48"/>
      <c r="M344" s="40" t="s">
        <v>435</v>
      </c>
      <c r="N344" s="40" t="s">
        <v>398</v>
      </c>
      <c r="O344" s="40" t="s">
        <v>25</v>
      </c>
      <c r="P344" s="53" t="s">
        <v>657</v>
      </c>
      <c r="Q344" s="45"/>
      <c r="R344" s="50"/>
      <c r="S344" s="50"/>
      <c r="T344" s="44">
        <f>+_xlfn.XLOOKUP(PROYECTOS[[#This Row],[MUNICIPIO]],'4.CAP_ENDMNT'!B:B,'4.CAP_ENDMNT'!C:C,0,0,1)</f>
        <v>6</v>
      </c>
      <c r="U344" s="139">
        <f>+_xlfn.XLOOKUP(PROYECTOS[[#This Row],[MUNICIPIO]],'4.CAP_ENDMNT'!B:B,'4.CAP_ENDMNT'!D:D,0,0,1)</f>
        <v>50634494381.026505</v>
      </c>
      <c r="V344" s="140">
        <f>+_xlfn.XLOOKUP(PROYECTOS[[#This Row],[MUNICIPIO]],'4.CAP_ENDMNT'!B:B,'4.CAP_ENDMNT'!E:E,0,0,1)</f>
        <v>15839182742.690001</v>
      </c>
      <c r="W344" s="140">
        <f>+_xlfn.XLOOKUP(PROYECTOS[[#This Row],[MUNICIPIO]],'4.CAP_ENDMNT'!B:B,'4.CAP_ENDMNT'!F:F,0,0,1)</f>
        <v>34795311638.336502</v>
      </c>
      <c r="X344" s="140">
        <f>+_xlfn.XLOOKUP(PROYECTOS[[#This Row],[MUNICIPIO]],'4.CAP_ENDMNT'!B:B,'4.CAP_ENDMNT'!G:G,0,0,1)</f>
        <v>67652077</v>
      </c>
      <c r="Y344" s="140">
        <f>+_xlfn.XLOOKUP(PROYECTOS[[#This Row],[MUNICIPIO]],'4.CAP_ENDMNT'!B:B,'4.CAP_ENDMNT'!H:H,0,0,1)</f>
        <v>17477834894.650002</v>
      </c>
      <c r="Z344" s="140">
        <f>+_xlfn.XLOOKUP(PROYECTOS[[#This Row],[MUNICIPIO]],'4.CAP_ENDMNT'!B:B,'4.CAP_ENDMNT'!I:I,0,0,1)</f>
        <v>17545486971.650002</v>
      </c>
      <c r="AA344" s="134">
        <f>+_xlfn.XLOOKUP(PROYECTOS[[#This Row],[MUNICIPIO]],'4.CAP_ENDMNT'!B:B,'4.CAP_ENDMNT'!J:J,0,0,1)</f>
        <v>0.34651253431345719</v>
      </c>
      <c r="AB344" s="140">
        <f>+_xlfn.XLOOKUP(PROYECTOS[[#This Row],[MUNICIPIO]],'4.CAP_ENDMNT'!B:B,'4.CAP_ENDMNT'!K:K,0,0,1)</f>
        <v>33089007409.376503</v>
      </c>
      <c r="AC344" s="140">
        <f>+_xlfn.XLOOKUP(PROYECTOS[[#This Row],[MUNICIPIO]],'4.CAP_ENDMNT'!B:B,'4.CAP_ENDMNT'!L:L,0,0,1)</f>
        <v>26471205927.501205</v>
      </c>
      <c r="AD344" s="140">
        <f>+_xlfn.XLOOKUP(PROYECTOS[[#This Row],[MUNICIPIO]],'4.CAP_ENDMNT'!B:B,'4.CAP_ENDMNT'!M:M,0,0,1)</f>
        <v>19853404445.6259</v>
      </c>
      <c r="AE344" s="134">
        <f>+_xlfn.XLOOKUP(PROYECTOS[[#This Row],[MUNICIPIO]],'4.CAP_ENDMNT'!B:B,'4.CAP_ENDMNT'!N:N,0,0,1)</f>
        <v>3.8558107340829141E-3</v>
      </c>
      <c r="AF344" s="134">
        <f>+_xlfn.XLOOKUP(PROYECTOS[[#This Row],[MUNICIPIO]],'4.CAP_ENDMNT'!B:B,'4.CAP_ENDMNT'!O:O,0,0,1)</f>
        <v>0.40594992695874271</v>
      </c>
      <c r="AG344" s="134">
        <f>+_xlfn.XLOOKUP(PROYECTOS[[#This Row],[MUNICIPIO]],'4.CAP_ENDMNT'!B:B,'4.CAP_ENDMNT'!P:P,0,0,1)</f>
        <v>0.8</v>
      </c>
      <c r="AH344" s="44" t="str">
        <f>+_xlfn.XLOOKUP(PROYECTOS[[#This Row],[MUNICIPIO]],'4.CAP_ENDMNT'!B:B,'4.CAP_ENDMNT'!Q:Q,0,0,1)</f>
        <v>Cumple</v>
      </c>
      <c r="AI344" s="139">
        <f>+_xlfn.XLOOKUP(PROYECTOS[[#This Row],[MUNICIPIO]],'4.CAP_ENDMNT'!B:B,'4.CAP_ENDMNT'!V:V,0,0,1)</f>
        <v>3970680889.1251802</v>
      </c>
      <c r="AJ344" s="139">
        <f>+_xlfn.XLOOKUP(PROYECTOS[[#This Row],[MUNICIPIO]],'4.CAP_ENDMNT'!B:B,'4.CAP_ENDMNT'!Y:Y,0,0,1)</f>
        <v>-9892273308.2489204</v>
      </c>
      <c r="AK344"/>
      <c r="AL344"/>
      <c r="AM344"/>
    </row>
    <row r="345" spans="1:39">
      <c r="A345" s="44">
        <v>363</v>
      </c>
      <c r="B345" s="37" t="s">
        <v>1460</v>
      </c>
      <c r="C345" s="118">
        <v>45747</v>
      </c>
      <c r="D345" s="34" t="s">
        <v>332</v>
      </c>
      <c r="E345" s="47" t="str">
        <f>+_xlfn.XLOOKUP(PROYECTOS[[#This Row],[MUNICIPIO]],MUNICIPIOS!A:A,MUNICIPIOS!E:E,0,0,1)</f>
        <v>Oriente</v>
      </c>
      <c r="F345" s="44">
        <f>+_xlfn.XLOOKUP(PROYECTOS[[#This Row],[MUNICIPIO]],MUNICIPIOS!A:A,MUNICIPIOS!F:F,0,0,1)</f>
        <v>-75.242693000000003</v>
      </c>
      <c r="G345" s="44" t="str">
        <f>+_xlfn.XLOOKUP(PROYECTOS[[#This Row],[MUNICIPIO]],MUNICIPIOS!A:A,MUNICIPIOS!G:G,0,0,1)</f>
        <v>6,219349</v>
      </c>
      <c r="H345" s="44">
        <f>+_xlfn.XLOOKUP(PROYECTOS[[#This Row],[MUNICIPIO]],MUNICIPIOS!A:A,MUNICIPIOS!B:B,0,0,1)</f>
        <v>0</v>
      </c>
      <c r="I345" s="44">
        <f>+_xlfn.XLOOKUP(PROYECTOS[[#This Row],[MUNICIPIO]],MUNICIPIOS!A:A,MUNICIPIOS!C:C,0,0,1)</f>
        <v>0</v>
      </c>
      <c r="J345" s="34" t="str" cm="1">
        <f t="array" ref="J345">_xlfn.TEXTJOIN(" ", TRUE, IF(radicados[ID PROYECTOS]=A345, radicados[RADICADO], ""))</f>
        <v/>
      </c>
      <c r="K345" s="45">
        <v>2</v>
      </c>
      <c r="L345" s="48"/>
      <c r="M345" s="40" t="s">
        <v>435</v>
      </c>
      <c r="N345" s="40" t="s">
        <v>398</v>
      </c>
      <c r="O345" s="40" t="s">
        <v>25</v>
      </c>
      <c r="P345" s="53" t="s">
        <v>657</v>
      </c>
      <c r="Q345" s="45"/>
      <c r="R345" s="50"/>
      <c r="S345" s="50"/>
      <c r="T345" s="44">
        <f>+_xlfn.XLOOKUP(PROYECTOS[[#This Row],[MUNICIPIO]],'4.CAP_ENDMNT'!B:B,'4.CAP_ENDMNT'!C:C,0,0,1)</f>
        <v>6</v>
      </c>
      <c r="U345" s="139">
        <f>+_xlfn.XLOOKUP(PROYECTOS[[#This Row],[MUNICIPIO]],'4.CAP_ENDMNT'!B:B,'4.CAP_ENDMNT'!D:D,0,0,1)</f>
        <v>28258567441.100002</v>
      </c>
      <c r="V345" s="140">
        <f>+_xlfn.XLOOKUP(PROYECTOS[[#This Row],[MUNICIPIO]],'4.CAP_ENDMNT'!B:B,'4.CAP_ENDMNT'!E:E,0,0,1)</f>
        <v>6469994311.25</v>
      </c>
      <c r="W345" s="140">
        <f>+_xlfn.XLOOKUP(PROYECTOS[[#This Row],[MUNICIPIO]],'4.CAP_ENDMNT'!B:B,'4.CAP_ENDMNT'!F:F,0,0,1)</f>
        <v>21788573129.850002</v>
      </c>
      <c r="X345" s="140">
        <f>+_xlfn.XLOOKUP(PROYECTOS[[#This Row],[MUNICIPIO]],'4.CAP_ENDMNT'!B:B,'4.CAP_ENDMNT'!G:G,0,0,1)</f>
        <v>1548230438</v>
      </c>
      <c r="Y345" s="140">
        <f>+_xlfn.XLOOKUP(PROYECTOS[[#This Row],[MUNICIPIO]],'4.CAP_ENDMNT'!B:B,'4.CAP_ENDMNT'!H:H,0,0,1)</f>
        <v>3356151670</v>
      </c>
      <c r="Z345" s="140">
        <f>+_xlfn.XLOOKUP(PROYECTOS[[#This Row],[MUNICIPIO]],'4.CAP_ENDMNT'!B:B,'4.CAP_ENDMNT'!I:I,0,0,1)</f>
        <v>4904382108</v>
      </c>
      <c r="AA345" s="134">
        <f>+_xlfn.XLOOKUP(PROYECTOS[[#This Row],[MUNICIPIO]],'4.CAP_ENDMNT'!B:B,'4.CAP_ENDMNT'!J:J,0,0,1)</f>
        <v>0.17355381224551877</v>
      </c>
      <c r="AB345" s="140">
        <f>+_xlfn.XLOOKUP(PROYECTOS[[#This Row],[MUNICIPIO]],'4.CAP_ENDMNT'!B:B,'4.CAP_ENDMNT'!K:K,0,0,1)</f>
        <v>23354185333.100002</v>
      </c>
      <c r="AC345" s="140">
        <f>+_xlfn.XLOOKUP(PROYECTOS[[#This Row],[MUNICIPIO]],'4.CAP_ENDMNT'!B:B,'4.CAP_ENDMNT'!L:L,0,0,1)</f>
        <v>18683348266.480003</v>
      </c>
      <c r="AD345" s="140">
        <f>+_xlfn.XLOOKUP(PROYECTOS[[#This Row],[MUNICIPIO]],'4.CAP_ENDMNT'!B:B,'4.CAP_ENDMNT'!M:M,0,0,1)</f>
        <v>14012511199.860001</v>
      </c>
      <c r="AE345" s="134">
        <f>+_xlfn.XLOOKUP(PROYECTOS[[#This Row],[MUNICIPIO]],'4.CAP_ENDMNT'!B:B,'4.CAP_ENDMNT'!N:N,0,0,1)</f>
        <v>0.31568307768567533</v>
      </c>
      <c r="AF345" s="134">
        <f>+_xlfn.XLOOKUP(PROYECTOS[[#This Row],[MUNICIPIO]],'4.CAP_ENDMNT'!B:B,'4.CAP_ENDMNT'!O:O,0,0,1)</f>
        <v>0.29902452385532635</v>
      </c>
      <c r="AG345" s="134">
        <f>+_xlfn.XLOOKUP(PROYECTOS[[#This Row],[MUNICIPIO]],'4.CAP_ENDMNT'!B:B,'4.CAP_ENDMNT'!P:P,0,0,1)</f>
        <v>0.8</v>
      </c>
      <c r="AH345" s="44" t="str">
        <f>+_xlfn.XLOOKUP(PROYECTOS[[#This Row],[MUNICIPIO]],'4.CAP_ENDMNT'!B:B,'4.CAP_ENDMNT'!Q:Q,0,0,1)</f>
        <v>Cumple</v>
      </c>
      <c r="AI345" s="139">
        <f>+_xlfn.XLOOKUP(PROYECTOS[[#This Row],[MUNICIPIO]],'4.CAP_ENDMNT'!B:B,'4.CAP_ENDMNT'!V:V,0,0,1)</f>
        <v>2802502239.9720001</v>
      </c>
      <c r="AJ345" s="139">
        <f>+_xlfn.XLOOKUP(PROYECTOS[[#This Row],[MUNICIPIO]],'4.CAP_ENDMNT'!B:B,'4.CAP_ENDMNT'!Y:Y,0,0,1)</f>
        <v>6184360283.8320007</v>
      </c>
      <c r="AK345"/>
      <c r="AL345"/>
      <c r="AM345"/>
    </row>
    <row r="346" spans="1:39">
      <c r="A346" s="44">
        <v>364</v>
      </c>
      <c r="B346" s="37" t="s">
        <v>1461</v>
      </c>
      <c r="C346" s="118">
        <v>45747</v>
      </c>
      <c r="D346" s="34" t="s">
        <v>332</v>
      </c>
      <c r="E346" s="47" t="str">
        <f>+_xlfn.XLOOKUP(PROYECTOS[[#This Row],[MUNICIPIO]],MUNICIPIOS!A:A,MUNICIPIOS!E:E,0,0,1)</f>
        <v>Oriente</v>
      </c>
      <c r="F346" s="44">
        <f>+_xlfn.XLOOKUP(PROYECTOS[[#This Row],[MUNICIPIO]],MUNICIPIOS!A:A,MUNICIPIOS!F:F,0,0,1)</f>
        <v>-75.242693000000003</v>
      </c>
      <c r="G346" s="44" t="str">
        <f>+_xlfn.XLOOKUP(PROYECTOS[[#This Row],[MUNICIPIO]],MUNICIPIOS!A:A,MUNICIPIOS!G:G,0,0,1)</f>
        <v>6,219349</v>
      </c>
      <c r="H346" s="44">
        <f>+_xlfn.XLOOKUP(PROYECTOS[[#This Row],[MUNICIPIO]],MUNICIPIOS!A:A,MUNICIPIOS!B:B,0,0,1)</f>
        <v>0</v>
      </c>
      <c r="I346" s="44">
        <f>+_xlfn.XLOOKUP(PROYECTOS[[#This Row],[MUNICIPIO]],MUNICIPIOS!A:A,MUNICIPIOS!C:C,0,0,1)</f>
        <v>0</v>
      </c>
      <c r="J346" s="34" t="str" cm="1">
        <f t="array" ref="J346">_xlfn.TEXTJOIN(" ", TRUE, IF(radicados[ID PROYECTOS]=A346, radicados[RADICADO], ""))</f>
        <v/>
      </c>
      <c r="K346" s="45">
        <v>2</v>
      </c>
      <c r="L346" s="48"/>
      <c r="M346" s="40" t="s">
        <v>435</v>
      </c>
      <c r="N346" s="40" t="s">
        <v>398</v>
      </c>
      <c r="O346" s="40" t="s">
        <v>25</v>
      </c>
      <c r="P346" s="53" t="s">
        <v>657</v>
      </c>
      <c r="Q346" s="45"/>
      <c r="R346" s="50"/>
      <c r="S346" s="50"/>
      <c r="T346" s="44">
        <f>+_xlfn.XLOOKUP(PROYECTOS[[#This Row],[MUNICIPIO]],'4.CAP_ENDMNT'!B:B,'4.CAP_ENDMNT'!C:C,0,0,1)</f>
        <v>6</v>
      </c>
      <c r="U346" s="139">
        <f>+_xlfn.XLOOKUP(PROYECTOS[[#This Row],[MUNICIPIO]],'4.CAP_ENDMNT'!B:B,'4.CAP_ENDMNT'!D:D,0,0,1)</f>
        <v>28258567441.100002</v>
      </c>
      <c r="V346" s="140">
        <f>+_xlfn.XLOOKUP(PROYECTOS[[#This Row],[MUNICIPIO]],'4.CAP_ENDMNT'!B:B,'4.CAP_ENDMNT'!E:E,0,0,1)</f>
        <v>6469994311.25</v>
      </c>
      <c r="W346" s="140">
        <f>+_xlfn.XLOOKUP(PROYECTOS[[#This Row],[MUNICIPIO]],'4.CAP_ENDMNT'!B:B,'4.CAP_ENDMNT'!F:F,0,0,1)</f>
        <v>21788573129.850002</v>
      </c>
      <c r="X346" s="140">
        <f>+_xlfn.XLOOKUP(PROYECTOS[[#This Row],[MUNICIPIO]],'4.CAP_ENDMNT'!B:B,'4.CAP_ENDMNT'!G:G,0,0,1)</f>
        <v>1548230438</v>
      </c>
      <c r="Y346" s="140">
        <f>+_xlfn.XLOOKUP(PROYECTOS[[#This Row],[MUNICIPIO]],'4.CAP_ENDMNT'!B:B,'4.CAP_ENDMNT'!H:H,0,0,1)</f>
        <v>3356151670</v>
      </c>
      <c r="Z346" s="140">
        <f>+_xlfn.XLOOKUP(PROYECTOS[[#This Row],[MUNICIPIO]],'4.CAP_ENDMNT'!B:B,'4.CAP_ENDMNT'!I:I,0,0,1)</f>
        <v>4904382108</v>
      </c>
      <c r="AA346" s="134">
        <f>+_xlfn.XLOOKUP(PROYECTOS[[#This Row],[MUNICIPIO]],'4.CAP_ENDMNT'!B:B,'4.CAP_ENDMNT'!J:J,0,0,1)</f>
        <v>0.17355381224551877</v>
      </c>
      <c r="AB346" s="140">
        <f>+_xlfn.XLOOKUP(PROYECTOS[[#This Row],[MUNICIPIO]],'4.CAP_ENDMNT'!B:B,'4.CAP_ENDMNT'!K:K,0,0,1)</f>
        <v>23354185333.100002</v>
      </c>
      <c r="AC346" s="140">
        <f>+_xlfn.XLOOKUP(PROYECTOS[[#This Row],[MUNICIPIO]],'4.CAP_ENDMNT'!B:B,'4.CAP_ENDMNT'!L:L,0,0,1)</f>
        <v>18683348266.480003</v>
      </c>
      <c r="AD346" s="140">
        <f>+_xlfn.XLOOKUP(PROYECTOS[[#This Row],[MUNICIPIO]],'4.CAP_ENDMNT'!B:B,'4.CAP_ENDMNT'!M:M,0,0,1)</f>
        <v>14012511199.860001</v>
      </c>
      <c r="AE346" s="134">
        <f>+_xlfn.XLOOKUP(PROYECTOS[[#This Row],[MUNICIPIO]],'4.CAP_ENDMNT'!B:B,'4.CAP_ENDMNT'!N:N,0,0,1)</f>
        <v>0.31568307768567533</v>
      </c>
      <c r="AF346" s="134">
        <f>+_xlfn.XLOOKUP(PROYECTOS[[#This Row],[MUNICIPIO]],'4.CAP_ENDMNT'!B:B,'4.CAP_ENDMNT'!O:O,0,0,1)</f>
        <v>0.29902452385532635</v>
      </c>
      <c r="AG346" s="134">
        <f>+_xlfn.XLOOKUP(PROYECTOS[[#This Row],[MUNICIPIO]],'4.CAP_ENDMNT'!B:B,'4.CAP_ENDMNT'!P:P,0,0,1)</f>
        <v>0.8</v>
      </c>
      <c r="AH346" s="44" t="str">
        <f>+_xlfn.XLOOKUP(PROYECTOS[[#This Row],[MUNICIPIO]],'4.CAP_ENDMNT'!B:B,'4.CAP_ENDMNT'!Q:Q,0,0,1)</f>
        <v>Cumple</v>
      </c>
      <c r="AI346" s="139">
        <f>+_xlfn.XLOOKUP(PROYECTOS[[#This Row],[MUNICIPIO]],'4.CAP_ENDMNT'!B:B,'4.CAP_ENDMNT'!V:V,0,0,1)</f>
        <v>2802502239.9720001</v>
      </c>
      <c r="AJ346" s="139">
        <f>+_xlfn.XLOOKUP(PROYECTOS[[#This Row],[MUNICIPIO]],'4.CAP_ENDMNT'!B:B,'4.CAP_ENDMNT'!Y:Y,0,0,1)</f>
        <v>6184360283.8320007</v>
      </c>
      <c r="AK346"/>
      <c r="AL346"/>
      <c r="AM346"/>
    </row>
    <row r="347" spans="1:39">
      <c r="A347" s="44">
        <v>365</v>
      </c>
      <c r="B347" s="37" t="s">
        <v>1462</v>
      </c>
      <c r="C347" s="118">
        <v>45747</v>
      </c>
      <c r="D347" s="34" t="s">
        <v>153</v>
      </c>
      <c r="E347" s="47" t="str">
        <f>+_xlfn.XLOOKUP(PROYECTOS[[#This Row],[MUNICIPIO]],MUNICIPIOS!A:A,MUNICIPIOS!E:E,0,0,1)</f>
        <v>Urabá</v>
      </c>
      <c r="F347" s="44">
        <f>+_xlfn.XLOOKUP(PROYECTOS[[#This Row],[MUNICIPIO]],MUNICIPIOS!A:A,MUNICIPIOS!F:F,0,0,1)</f>
        <v>-76.787271000000004</v>
      </c>
      <c r="G347" s="44" t="str">
        <f>+_xlfn.XLOOKUP(PROYECTOS[[#This Row],[MUNICIPIO]],MUNICIPIOS!A:A,MUNICIPIOS!G:G,0,0,1)</f>
        <v>8,434526</v>
      </c>
      <c r="H347" s="44">
        <f>+_xlfn.XLOOKUP(PROYECTOS[[#This Row],[MUNICIPIO]],MUNICIPIOS!A:A,MUNICIPIOS!B:B,0,0,1)</f>
        <v>1</v>
      </c>
      <c r="I347" s="44">
        <f>+_xlfn.XLOOKUP(PROYECTOS[[#This Row],[MUNICIPIO]],MUNICIPIOS!A:A,MUNICIPIOS!C:C,0,0,1)</f>
        <v>1</v>
      </c>
      <c r="J347" s="34" t="str" cm="1">
        <f t="array" ref="J347">_xlfn.TEXTJOIN(" ", TRUE, IF(radicados[ID PROYECTOS]=A347, radicados[RADICADO], ""))</f>
        <v/>
      </c>
      <c r="K347" s="45">
        <v>3</v>
      </c>
      <c r="L347" s="48">
        <v>5999420580</v>
      </c>
      <c r="M347" s="40" t="s">
        <v>435</v>
      </c>
      <c r="N347" s="40" t="s">
        <v>398</v>
      </c>
      <c r="O347" s="40" t="s">
        <v>25</v>
      </c>
      <c r="P347" s="53" t="s">
        <v>657</v>
      </c>
      <c r="Q347" s="45">
        <v>1</v>
      </c>
      <c r="R347" s="43" t="s">
        <v>922</v>
      </c>
      <c r="S347" s="43" t="s">
        <v>1643</v>
      </c>
      <c r="T347" s="44">
        <f>+_xlfn.XLOOKUP(PROYECTOS[[#This Row],[MUNICIPIO]],'4.CAP_ENDMNT'!B:B,'4.CAP_ENDMNT'!C:C,0,0,1)</f>
        <v>6</v>
      </c>
      <c r="U347" s="139">
        <f>+_xlfn.XLOOKUP(PROYECTOS[[#This Row],[MUNICIPIO]],'4.CAP_ENDMNT'!B:B,'4.CAP_ENDMNT'!D:D,0,0,1)</f>
        <v>30137297790.127998</v>
      </c>
      <c r="V347" s="140">
        <f>+_xlfn.XLOOKUP(PROYECTOS[[#This Row],[MUNICIPIO]],'4.CAP_ENDMNT'!B:B,'4.CAP_ENDMNT'!E:E,0,0,1)</f>
        <v>12298726691.530001</v>
      </c>
      <c r="W347" s="140">
        <f>+_xlfn.XLOOKUP(PROYECTOS[[#This Row],[MUNICIPIO]],'4.CAP_ENDMNT'!B:B,'4.CAP_ENDMNT'!F:F,0,0,1)</f>
        <v>17838571098.598</v>
      </c>
      <c r="X347" s="140">
        <f>+_xlfn.XLOOKUP(PROYECTOS[[#This Row],[MUNICIPIO]],'4.CAP_ENDMNT'!B:B,'4.CAP_ENDMNT'!G:G,0,0,1)</f>
        <v>2369107602</v>
      </c>
      <c r="Y347" s="140">
        <f>+_xlfn.XLOOKUP(PROYECTOS[[#This Row],[MUNICIPIO]],'4.CAP_ENDMNT'!B:B,'4.CAP_ENDMNT'!H:H,0,0,1)</f>
        <v>13974896585</v>
      </c>
      <c r="Z347" s="140">
        <f>+_xlfn.XLOOKUP(PROYECTOS[[#This Row],[MUNICIPIO]],'4.CAP_ENDMNT'!B:B,'4.CAP_ENDMNT'!I:I,0,0,1)</f>
        <v>16344004187</v>
      </c>
      <c r="AA347" s="134">
        <f>+_xlfn.XLOOKUP(PROYECTOS[[#This Row],[MUNICIPIO]],'4.CAP_ENDMNT'!B:B,'4.CAP_ENDMNT'!J:J,0,0,1)</f>
        <v>0.54231817002364979</v>
      </c>
      <c r="AB347" s="140">
        <f>+_xlfn.XLOOKUP(PROYECTOS[[#This Row],[MUNICIPIO]],'4.CAP_ENDMNT'!B:B,'4.CAP_ENDMNT'!K:K,0,0,1)</f>
        <v>13793293603.127998</v>
      </c>
      <c r="AC347" s="140">
        <f>+_xlfn.XLOOKUP(PROYECTOS[[#This Row],[MUNICIPIO]],'4.CAP_ENDMNT'!B:B,'4.CAP_ENDMNT'!L:L,0,0,1)</f>
        <v>11034634882.502399</v>
      </c>
      <c r="AD347" s="140">
        <f>+_xlfn.XLOOKUP(PROYECTOS[[#This Row],[MUNICIPIO]],'4.CAP_ENDMNT'!B:B,'4.CAP_ENDMNT'!M:M,0,0,1)</f>
        <v>8275976161.8767986</v>
      </c>
      <c r="AE347" s="134">
        <f>+_xlfn.XLOOKUP(PROYECTOS[[#This Row],[MUNICIPIO]],'4.CAP_ENDMNT'!B:B,'4.CAP_ENDMNT'!N:N,0,0,1)</f>
        <v>0.1449527040554961</v>
      </c>
      <c r="AF347" s="134">
        <f>+_xlfn.XLOOKUP(PROYECTOS[[#This Row],[MUNICIPIO]],'4.CAP_ENDMNT'!B:B,'4.CAP_ENDMNT'!O:O,0,0,1)</f>
        <v>0.58055985759165929</v>
      </c>
      <c r="AG347" s="134">
        <f>+_xlfn.XLOOKUP(PROYECTOS[[#This Row],[MUNICIPIO]],'4.CAP_ENDMNT'!B:B,'4.CAP_ENDMNT'!P:P,0,0,1)</f>
        <v>0.8</v>
      </c>
      <c r="AH347" s="44" t="str">
        <f>+_xlfn.XLOOKUP(PROYECTOS[[#This Row],[MUNICIPIO]],'4.CAP_ENDMNT'!B:B,'4.CAP_ENDMNT'!Q:Q,0,0,1)</f>
        <v>Cumple</v>
      </c>
      <c r="AI347" s="139">
        <f>+_xlfn.XLOOKUP(PROYECTOS[[#This Row],[MUNICIPIO]],'4.CAP_ENDMNT'!B:B,'4.CAP_ENDMNT'!V:V,0,0,1)</f>
        <v>1655195232.3753598</v>
      </c>
      <c r="AJ347" s="139">
        <f>+_xlfn.XLOOKUP(PROYECTOS[[#This Row],[MUNICIPIO]],'4.CAP_ENDMNT'!B:B,'4.CAP_ENDMNT'!Y:Y,0,0,1)</f>
        <v>-48565434249.747841</v>
      </c>
      <c r="AK347"/>
      <c r="AL347"/>
      <c r="AM347"/>
    </row>
    <row r="348" spans="1:39">
      <c r="A348" s="44">
        <v>366</v>
      </c>
      <c r="B348" s="37" t="s">
        <v>1463</v>
      </c>
      <c r="C348" s="118">
        <v>45747</v>
      </c>
      <c r="D348" s="34" t="s">
        <v>452</v>
      </c>
      <c r="E348" s="47" t="str">
        <f>+_xlfn.XLOOKUP(PROYECTOS[[#This Row],[MUNICIPIO]],MUNICIPIOS!A:A,MUNICIPIOS!E:E,0,0,1)</f>
        <v>Occidente</v>
      </c>
      <c r="F348" s="44">
        <f>+_xlfn.XLOOKUP(PROYECTOS[[#This Row],[MUNICIPIO]],MUNICIPIOS!A:A,MUNICIPIOS!F:F,0,0,1)</f>
        <v>-75.910357000000005</v>
      </c>
      <c r="G348" s="44" t="str">
        <f>+_xlfn.XLOOKUP(PROYECTOS[[#This Row],[MUNICIPIO]],MUNICIPIOS!A:A,MUNICIPIOS!G:G,0,0,1)</f>
        <v>7,021029</v>
      </c>
      <c r="H348" s="44">
        <f>+_xlfn.XLOOKUP(PROYECTOS[[#This Row],[MUNICIPIO]],MUNICIPIOS!A:A,MUNICIPIOS!B:B,0,0,1)</f>
        <v>0</v>
      </c>
      <c r="I348" s="44">
        <f>+_xlfn.XLOOKUP(PROYECTOS[[#This Row],[MUNICIPIO]],MUNICIPIOS!A:A,MUNICIPIOS!C:C,0,0,1)</f>
        <v>0</v>
      </c>
      <c r="J348" s="34" t="str" cm="1">
        <f t="array" ref="J348">_xlfn.TEXTJOIN(" ", TRUE, IF(radicados[ID PROYECTOS]=A348, radicados[RADICADO], ""))</f>
        <v/>
      </c>
      <c r="K348" s="142">
        <v>2</v>
      </c>
      <c r="L348" s="48"/>
      <c r="M348" s="40" t="s">
        <v>435</v>
      </c>
      <c r="N348" s="40" t="s">
        <v>398</v>
      </c>
      <c r="O348" s="40" t="s">
        <v>25</v>
      </c>
      <c r="P348" s="53" t="s">
        <v>1259</v>
      </c>
      <c r="Q348" s="45"/>
      <c r="R348" s="50"/>
      <c r="S348" s="50"/>
      <c r="T348" s="44">
        <f>+_xlfn.XLOOKUP(PROYECTOS[[#This Row],[MUNICIPIO]],'4.CAP_ENDMNT'!B:B,'4.CAP_ENDMNT'!C:C,0,0,1)</f>
        <v>6</v>
      </c>
      <c r="U348" s="139">
        <f>+_xlfn.XLOOKUP(PROYECTOS[[#This Row],[MUNICIPIO]],'4.CAP_ENDMNT'!B:B,'4.CAP_ENDMNT'!D:D,0,0,1)</f>
        <v>13002660545.618999</v>
      </c>
      <c r="V348" s="140">
        <f>+_xlfn.XLOOKUP(PROYECTOS[[#This Row],[MUNICIPIO]],'4.CAP_ENDMNT'!B:B,'4.CAP_ENDMNT'!E:E,0,0,1)</f>
        <v>2851909764.96</v>
      </c>
      <c r="W348" s="140">
        <f>+_xlfn.XLOOKUP(PROYECTOS[[#This Row],[MUNICIPIO]],'4.CAP_ENDMNT'!B:B,'4.CAP_ENDMNT'!F:F,0,0,1)</f>
        <v>10150750780.659</v>
      </c>
      <c r="X348" s="140">
        <f>+_xlfn.XLOOKUP(PROYECTOS[[#This Row],[MUNICIPIO]],'4.CAP_ENDMNT'!B:B,'4.CAP_ENDMNT'!G:G,0,0,1)</f>
        <v>3580400217</v>
      </c>
      <c r="Y348" s="140">
        <f>+_xlfn.XLOOKUP(PROYECTOS[[#This Row],[MUNICIPIO]],'4.CAP_ENDMNT'!B:B,'4.CAP_ENDMNT'!H:H,0,0,1)</f>
        <v>0</v>
      </c>
      <c r="Z348" s="140">
        <f>+_xlfn.XLOOKUP(PROYECTOS[[#This Row],[MUNICIPIO]],'4.CAP_ENDMNT'!B:B,'4.CAP_ENDMNT'!I:I,0,0,1)</f>
        <v>3580400217</v>
      </c>
      <c r="AA348" s="134">
        <f>+_xlfn.XLOOKUP(PROYECTOS[[#This Row],[MUNICIPIO]],'4.CAP_ENDMNT'!B:B,'4.CAP_ENDMNT'!J:J,0,0,1)</f>
        <v>0.27535904705336234</v>
      </c>
      <c r="AB348" s="140">
        <f>+_xlfn.XLOOKUP(PROYECTOS[[#This Row],[MUNICIPIO]],'4.CAP_ENDMNT'!B:B,'4.CAP_ENDMNT'!K:K,0,0,1)</f>
        <v>9422260328.6189995</v>
      </c>
      <c r="AC348" s="140">
        <f>+_xlfn.XLOOKUP(PROYECTOS[[#This Row],[MUNICIPIO]],'4.CAP_ENDMNT'!B:B,'4.CAP_ENDMNT'!L:L,0,0,1)</f>
        <v>7537808262.8951998</v>
      </c>
      <c r="AD348" s="140">
        <f>+_xlfn.XLOOKUP(PROYECTOS[[#This Row],[MUNICIPIO]],'4.CAP_ENDMNT'!B:B,'4.CAP_ENDMNT'!M:M,0,0,1)</f>
        <v>5653356197.1713991</v>
      </c>
      <c r="AE348" s="134">
        <f>+_xlfn.XLOOKUP(PROYECTOS[[#This Row],[MUNICIPIO]],'4.CAP_ENDMNT'!B:B,'4.CAP_ENDMNT'!N:N,0,0,1)</f>
        <v>1</v>
      </c>
      <c r="AF348" s="134">
        <f>+_xlfn.XLOOKUP(PROYECTOS[[#This Row],[MUNICIPIO]],'4.CAP_ENDMNT'!B:B,'4.CAP_ENDMNT'!O:O,0,0,1)</f>
        <v>0.60546314083774588</v>
      </c>
      <c r="AG348" s="134">
        <f>+_xlfn.XLOOKUP(PROYECTOS[[#This Row],[MUNICIPIO]],'4.CAP_ENDMNT'!B:B,'4.CAP_ENDMNT'!P:P,0,0,1)</f>
        <v>0.8</v>
      </c>
      <c r="AH348" s="44" t="str">
        <f>+_xlfn.XLOOKUP(PROYECTOS[[#This Row],[MUNICIPIO]],'4.CAP_ENDMNT'!B:B,'4.CAP_ENDMNT'!Q:Q,0,0,1)</f>
        <v>Cumple</v>
      </c>
      <c r="AI348" s="139">
        <f>+_xlfn.XLOOKUP(PROYECTOS[[#This Row],[MUNICIPIO]],'4.CAP_ENDMNT'!B:B,'4.CAP_ENDMNT'!V:V,0,0,1)</f>
        <v>1130671239.4342799</v>
      </c>
      <c r="AJ348" s="139">
        <f>+_xlfn.XLOOKUP(PROYECTOS[[#This Row],[MUNICIPIO]],'4.CAP_ENDMNT'!B:B,'4.CAP_ENDMNT'!Y:Y,0,0,1)</f>
        <v>-65295013.394321442</v>
      </c>
      <c r="AK348"/>
      <c r="AL348"/>
      <c r="AM348"/>
    </row>
    <row r="349" spans="1:39">
      <c r="A349" s="44">
        <v>367</v>
      </c>
      <c r="B349" s="37" t="s">
        <v>669</v>
      </c>
      <c r="C349" s="118">
        <v>45747</v>
      </c>
      <c r="D349" s="34" t="s">
        <v>88</v>
      </c>
      <c r="E349" s="47" t="str">
        <f>+_xlfn.XLOOKUP(PROYECTOS[[#This Row],[MUNICIPIO]],MUNICIPIOS!A:A,MUNICIPIOS!E:E,0,0,1)</f>
        <v>Suroeste</v>
      </c>
      <c r="F349" s="44">
        <f>+_xlfn.XLOOKUP(PROYECTOS[[#This Row],[MUNICIPIO]],MUNICIPIOS!A:A,MUNICIPIOS!F:F,0,0,1)</f>
        <v>-75.839903000000007</v>
      </c>
      <c r="G349" s="44" t="str">
        <f>+_xlfn.XLOOKUP(PROYECTOS[[#This Row],[MUNICIPIO]],MUNICIPIOS!A:A,MUNICIPIOS!G:G,0,0,1)</f>
        <v>5,79158</v>
      </c>
      <c r="H349" s="44">
        <f>+_xlfn.XLOOKUP(PROYECTOS[[#This Row],[MUNICIPIO]],MUNICIPIOS!A:A,MUNICIPIOS!B:B,0,0,1)</f>
        <v>0</v>
      </c>
      <c r="I349" s="44">
        <f>+_xlfn.XLOOKUP(PROYECTOS[[#This Row],[MUNICIPIO]],MUNICIPIOS!A:A,MUNICIPIOS!C:C,0,0,1)</f>
        <v>0</v>
      </c>
      <c r="J349" s="34" t="str" cm="1">
        <f t="array" ref="J349">_xlfn.TEXTJOIN(" ", TRUE, IF(radicados[ID PROYECTOS]=A349, radicados[RADICADO], ""))</f>
        <v/>
      </c>
      <c r="K349" s="45">
        <v>2</v>
      </c>
      <c r="L349" s="48"/>
      <c r="M349" s="40" t="s">
        <v>435</v>
      </c>
      <c r="N349" s="40" t="s">
        <v>398</v>
      </c>
      <c r="O349" s="40" t="s">
        <v>25</v>
      </c>
      <c r="P349" s="53" t="s">
        <v>657</v>
      </c>
      <c r="Q349" s="45"/>
      <c r="R349" s="50"/>
      <c r="S349" s="50"/>
      <c r="T349" s="44">
        <f>+_xlfn.XLOOKUP(PROYECTOS[[#This Row],[MUNICIPIO]],'4.CAP_ENDMNT'!B:B,'4.CAP_ENDMNT'!C:C,0,0,1)</f>
        <v>6</v>
      </c>
      <c r="U349" s="139">
        <f>+_xlfn.XLOOKUP(PROYECTOS[[#This Row],[MUNICIPIO]],'4.CAP_ENDMNT'!B:B,'4.CAP_ENDMNT'!D:D,0,0,1)</f>
        <v>7408957946.4439993</v>
      </c>
      <c r="V349" s="140">
        <f>+_xlfn.XLOOKUP(PROYECTOS[[#This Row],[MUNICIPIO]],'4.CAP_ENDMNT'!B:B,'4.CAP_ENDMNT'!E:E,0,0,1)</f>
        <v>2726179218.2000003</v>
      </c>
      <c r="W349" s="140">
        <f>+_xlfn.XLOOKUP(PROYECTOS[[#This Row],[MUNICIPIO]],'4.CAP_ENDMNT'!B:B,'4.CAP_ENDMNT'!F:F,0,0,1)</f>
        <v>4682778728.2439995</v>
      </c>
      <c r="X349" s="140">
        <f>+_xlfn.XLOOKUP(PROYECTOS[[#This Row],[MUNICIPIO]],'4.CAP_ENDMNT'!B:B,'4.CAP_ENDMNT'!G:G,0,0,1)</f>
        <v>1117539497</v>
      </c>
      <c r="Y349" s="140">
        <f>+_xlfn.XLOOKUP(PROYECTOS[[#This Row],[MUNICIPIO]],'4.CAP_ENDMNT'!B:B,'4.CAP_ENDMNT'!H:H,0,0,1)</f>
        <v>0</v>
      </c>
      <c r="Z349" s="140">
        <f>+_xlfn.XLOOKUP(PROYECTOS[[#This Row],[MUNICIPIO]],'4.CAP_ENDMNT'!B:B,'4.CAP_ENDMNT'!I:I,0,0,1)</f>
        <v>1117539497</v>
      </c>
      <c r="AA349" s="134">
        <f>+_xlfn.XLOOKUP(PROYECTOS[[#This Row],[MUNICIPIO]],'4.CAP_ENDMNT'!B:B,'4.CAP_ENDMNT'!J:J,0,0,1)</f>
        <v>0.15083625863153588</v>
      </c>
      <c r="AB349" s="140">
        <f>+_xlfn.XLOOKUP(PROYECTOS[[#This Row],[MUNICIPIO]],'4.CAP_ENDMNT'!B:B,'4.CAP_ENDMNT'!K:K,0,0,1)</f>
        <v>6291418449.4439993</v>
      </c>
      <c r="AC349" s="140">
        <f>+_xlfn.XLOOKUP(PROYECTOS[[#This Row],[MUNICIPIO]],'4.CAP_ENDMNT'!B:B,'4.CAP_ENDMNT'!L:L,0,0,1)</f>
        <v>5033134759.5551996</v>
      </c>
      <c r="AD349" s="140">
        <f>+_xlfn.XLOOKUP(PROYECTOS[[#This Row],[MUNICIPIO]],'4.CAP_ENDMNT'!B:B,'4.CAP_ENDMNT'!M:M,0,0,1)</f>
        <v>3774851069.6663995</v>
      </c>
      <c r="AE349" s="134">
        <f>+_xlfn.XLOOKUP(PROYECTOS[[#This Row],[MUNICIPIO]],'4.CAP_ENDMNT'!B:B,'4.CAP_ENDMNT'!N:N,0,0,1)</f>
        <v>1</v>
      </c>
      <c r="AF349" s="134">
        <f>+_xlfn.XLOOKUP(PROYECTOS[[#This Row],[MUNICIPIO]],'4.CAP_ENDMNT'!B:B,'4.CAP_ENDMNT'!O:O,0,0,1)</f>
        <v>0.78495373596781126</v>
      </c>
      <c r="AG349" s="134">
        <f>+_xlfn.XLOOKUP(PROYECTOS[[#This Row],[MUNICIPIO]],'4.CAP_ENDMNT'!B:B,'4.CAP_ENDMNT'!P:P,0,0,1)</f>
        <v>0.8</v>
      </c>
      <c r="AH349" s="44" t="str">
        <f>+_xlfn.XLOOKUP(PROYECTOS[[#This Row],[MUNICIPIO]],'4.CAP_ENDMNT'!B:B,'4.CAP_ENDMNT'!Q:Q,0,0,1)</f>
        <v>Riesgo</v>
      </c>
      <c r="AI349" s="139">
        <f>+_xlfn.XLOOKUP(PROYECTOS[[#This Row],[MUNICIPIO]],'4.CAP_ENDMNT'!B:B,'4.CAP_ENDMNT'!V:V,0,0,1)</f>
        <v>754970213.93327999</v>
      </c>
      <c r="AJ349" s="139">
        <f>+_xlfn.XLOOKUP(PROYECTOS[[#This Row],[MUNICIPIO]],'4.CAP_ENDMNT'!B:B,'4.CAP_ENDMNT'!Y:Y,0,0,1)</f>
        <v>-4520144590.4003201</v>
      </c>
      <c r="AK349"/>
      <c r="AL349"/>
      <c r="AM349"/>
    </row>
    <row r="350" spans="1:39">
      <c r="A350" s="44">
        <v>368</v>
      </c>
      <c r="B350" s="37" t="s">
        <v>1464</v>
      </c>
      <c r="C350" s="118">
        <v>45747</v>
      </c>
      <c r="D350" s="34" t="s">
        <v>63</v>
      </c>
      <c r="E350" s="47" t="str">
        <f>+_xlfn.XLOOKUP(PROYECTOS[[#This Row],[MUNICIPIO]],MUNICIPIOS!A:A,MUNICIPIOS!E:E,0,0,1)</f>
        <v>Urabá</v>
      </c>
      <c r="F350" s="44">
        <f>+_xlfn.XLOOKUP(PROYECTOS[[#This Row],[MUNICIPIO]],MUNICIPIOS!A:A,MUNICIPIOS!F:F,0,0,1)</f>
        <v>-76.380566999999999</v>
      </c>
      <c r="G350" s="44" t="str">
        <f>+_xlfn.XLOOKUP(PROYECTOS[[#This Row],[MUNICIPIO]],MUNICIPIOS!A:A,MUNICIPIOS!G:G,0,0,1)</f>
        <v>8,276884</v>
      </c>
      <c r="H350" s="44">
        <f>+_xlfn.XLOOKUP(PROYECTOS[[#This Row],[MUNICIPIO]],MUNICIPIOS!A:A,MUNICIPIOS!B:B,0,0,1)</f>
        <v>1</v>
      </c>
      <c r="I350" s="44">
        <f>+_xlfn.XLOOKUP(PROYECTOS[[#This Row],[MUNICIPIO]],MUNICIPIOS!A:A,MUNICIPIOS!C:C,0,0,1)</f>
        <v>1</v>
      </c>
      <c r="J350" s="34" t="str" cm="1">
        <f t="array" ref="J350">_xlfn.TEXTJOIN(" ", TRUE, IF(radicados[ID PROYECTOS]=A350, radicados[RADICADO], ""))</f>
        <v/>
      </c>
      <c r="K350" s="45">
        <v>2</v>
      </c>
      <c r="L350" s="48"/>
      <c r="M350" s="40" t="s">
        <v>435</v>
      </c>
      <c r="N350" s="40" t="s">
        <v>398</v>
      </c>
      <c r="O350" s="40" t="s">
        <v>25</v>
      </c>
      <c r="P350" s="53" t="s">
        <v>657</v>
      </c>
      <c r="Q350" s="45"/>
      <c r="R350" s="50"/>
      <c r="S350" s="50"/>
      <c r="T350" s="44">
        <f>+_xlfn.XLOOKUP(PROYECTOS[[#This Row],[MUNICIPIO]],'4.CAP_ENDMNT'!B:B,'4.CAP_ENDMNT'!C:C,0,0,1)</f>
        <v>6</v>
      </c>
      <c r="U350" s="139">
        <f>+_xlfn.XLOOKUP(PROYECTOS[[#This Row],[MUNICIPIO]],'4.CAP_ENDMNT'!B:B,'4.CAP_ENDMNT'!D:D,0,0,1)</f>
        <v>19508372714.52</v>
      </c>
      <c r="V350" s="140">
        <f>+_xlfn.XLOOKUP(PROYECTOS[[#This Row],[MUNICIPIO]],'4.CAP_ENDMNT'!B:B,'4.CAP_ENDMNT'!E:E,0,0,1)</f>
        <v>5389834315.5</v>
      </c>
      <c r="W350" s="140">
        <f>+_xlfn.XLOOKUP(PROYECTOS[[#This Row],[MUNICIPIO]],'4.CAP_ENDMNT'!B:B,'4.CAP_ENDMNT'!F:F,0,0,1)</f>
        <v>14118538399.02</v>
      </c>
      <c r="X350" s="140">
        <f>+_xlfn.XLOOKUP(PROYECTOS[[#This Row],[MUNICIPIO]],'4.CAP_ENDMNT'!B:B,'4.CAP_ENDMNT'!G:G,0,0,1)</f>
        <v>2594281047</v>
      </c>
      <c r="Y350" s="140">
        <f>+_xlfn.XLOOKUP(PROYECTOS[[#This Row],[MUNICIPIO]],'4.CAP_ENDMNT'!B:B,'4.CAP_ENDMNT'!H:H,0,0,1)</f>
        <v>1833333333</v>
      </c>
      <c r="Z350" s="140">
        <f>+_xlfn.XLOOKUP(PROYECTOS[[#This Row],[MUNICIPIO]],'4.CAP_ENDMNT'!B:B,'4.CAP_ENDMNT'!I:I,0,0,1)</f>
        <v>4427614380</v>
      </c>
      <c r="AA350" s="134">
        <f>+_xlfn.XLOOKUP(PROYECTOS[[#This Row],[MUNICIPIO]],'4.CAP_ENDMNT'!B:B,'4.CAP_ENDMNT'!J:J,0,0,1)</f>
        <v>0.22695969801235882</v>
      </c>
      <c r="AB350" s="140">
        <f>+_xlfn.XLOOKUP(PROYECTOS[[#This Row],[MUNICIPIO]],'4.CAP_ENDMNT'!B:B,'4.CAP_ENDMNT'!K:K,0,0,1)</f>
        <v>15080758334.52</v>
      </c>
      <c r="AC350" s="140">
        <f>+_xlfn.XLOOKUP(PROYECTOS[[#This Row],[MUNICIPIO]],'4.CAP_ENDMNT'!B:B,'4.CAP_ENDMNT'!L:L,0,0,1)</f>
        <v>12064606667.616001</v>
      </c>
      <c r="AD350" s="140">
        <f>+_xlfn.XLOOKUP(PROYECTOS[[#This Row],[MUNICIPIO]],'4.CAP_ENDMNT'!B:B,'4.CAP_ENDMNT'!M:M,0,0,1)</f>
        <v>9048455000.7119999</v>
      </c>
      <c r="AE350" s="134">
        <f>+_xlfn.XLOOKUP(PROYECTOS[[#This Row],[MUNICIPIO]],'4.CAP_ENDMNT'!B:B,'4.CAP_ENDMNT'!N:N,0,0,1)</f>
        <v>0.58593202215591322</v>
      </c>
      <c r="AF350" s="134">
        <f>+_xlfn.XLOOKUP(PROYECTOS[[#This Row],[MUNICIPIO]],'4.CAP_ENDMNT'!B:B,'4.CAP_ENDMNT'!O:O,0,0,1)</f>
        <v>0.58851112900500024</v>
      </c>
      <c r="AG350" s="134">
        <f>+_xlfn.XLOOKUP(PROYECTOS[[#This Row],[MUNICIPIO]],'4.CAP_ENDMNT'!B:B,'4.CAP_ENDMNT'!P:P,0,0,1)</f>
        <v>0.8</v>
      </c>
      <c r="AH350" s="44" t="str">
        <f>+_xlfn.XLOOKUP(PROYECTOS[[#This Row],[MUNICIPIO]],'4.CAP_ENDMNT'!B:B,'4.CAP_ENDMNT'!Q:Q,0,0,1)</f>
        <v>Cumple</v>
      </c>
      <c r="AI350" s="139">
        <f>+_xlfn.XLOOKUP(PROYECTOS[[#This Row],[MUNICIPIO]],'4.CAP_ENDMNT'!B:B,'4.CAP_ENDMNT'!V:V,0,0,1)</f>
        <v>1809691000.1424</v>
      </c>
      <c r="AJ350" s="139">
        <f>+_xlfn.XLOOKUP(PROYECTOS[[#This Row],[MUNICIPIO]],'4.CAP_ENDMNT'!B:B,'4.CAP_ENDMNT'!Y:Y,0,0,1)</f>
        <v>-12348843887.145599</v>
      </c>
      <c r="AK350"/>
      <c r="AL350"/>
      <c r="AM350"/>
    </row>
    <row r="351" spans="1:39">
      <c r="A351" s="44">
        <v>369</v>
      </c>
      <c r="B351" s="37" t="s">
        <v>1465</v>
      </c>
      <c r="C351" s="118">
        <v>45747</v>
      </c>
      <c r="D351" s="34" t="s">
        <v>90</v>
      </c>
      <c r="E351" s="47" t="str">
        <f>+_xlfn.XLOOKUP(PROYECTOS[[#This Row],[MUNICIPIO]],MUNICIPIOS!A:A,MUNICIPIOS!E:E,0,0,1)</f>
        <v>Suroeste</v>
      </c>
      <c r="F351" s="44">
        <f>+_xlfn.XLOOKUP(PROYECTOS[[#This Row],[MUNICIPIO]],MUNICIPIOS!A:A,MUNICIPIOS!F:F,0,0,1)</f>
        <v>-75.624452000000005</v>
      </c>
      <c r="G351" s="44">
        <f>+_xlfn.XLOOKUP(PROYECTOS[[#This Row],[MUNICIPIO]],MUNICIPIOS!A:A,MUNICIPIOS!G:G,0,0,1)</f>
        <v>5.6145550000000002</v>
      </c>
      <c r="H351" s="44">
        <f>+_xlfn.XLOOKUP(PROYECTOS[[#This Row],[MUNICIPIO]],MUNICIPIOS!A:A,MUNICIPIOS!B:B,0,0,1)</f>
        <v>0</v>
      </c>
      <c r="I351" s="44">
        <f>+_xlfn.XLOOKUP(PROYECTOS[[#This Row],[MUNICIPIO]],MUNICIPIOS!A:A,MUNICIPIOS!C:C,0,0,1)</f>
        <v>0</v>
      </c>
      <c r="J351" s="34" t="str" cm="1">
        <f t="array" ref="J351">_xlfn.TEXTJOIN(" ", TRUE, IF(radicados[ID PROYECTOS]=A351, radicados[RADICADO], ""))</f>
        <v/>
      </c>
      <c r="K351" s="45">
        <v>2</v>
      </c>
      <c r="L351" s="48"/>
      <c r="M351" s="40" t="s">
        <v>435</v>
      </c>
      <c r="N351" s="40" t="s">
        <v>398</v>
      </c>
      <c r="O351" s="40" t="s">
        <v>25</v>
      </c>
      <c r="P351" s="53" t="s">
        <v>657</v>
      </c>
      <c r="Q351" s="45"/>
      <c r="R351" s="50"/>
      <c r="S351" s="50"/>
      <c r="T351" s="44">
        <f>+_xlfn.XLOOKUP(PROYECTOS[[#This Row],[MUNICIPIO]],'4.CAP_ENDMNT'!B:B,'4.CAP_ENDMNT'!C:C,0,0,1)</f>
        <v>6</v>
      </c>
      <c r="U351" s="139">
        <f>+_xlfn.XLOOKUP(PROYECTOS[[#This Row],[MUNICIPIO]],'4.CAP_ENDMNT'!B:B,'4.CAP_ENDMNT'!D:D,0,0,1)</f>
        <v>6485715716.868001</v>
      </c>
      <c r="V351" s="140">
        <f>+_xlfn.XLOOKUP(PROYECTOS[[#This Row],[MUNICIPIO]],'4.CAP_ENDMNT'!B:B,'4.CAP_ENDMNT'!E:E,0,0,1)</f>
        <v>3717110032.7600002</v>
      </c>
      <c r="W351" s="140">
        <f>+_xlfn.XLOOKUP(PROYECTOS[[#This Row],[MUNICIPIO]],'4.CAP_ENDMNT'!B:B,'4.CAP_ENDMNT'!F:F,0,0,1)</f>
        <v>2768605684.1080008</v>
      </c>
      <c r="X351" s="140">
        <f>+_xlfn.XLOOKUP(PROYECTOS[[#This Row],[MUNICIPIO]],'4.CAP_ENDMNT'!B:B,'4.CAP_ENDMNT'!G:G,0,0,1)</f>
        <v>598561755.20000005</v>
      </c>
      <c r="Y351" s="140">
        <f>+_xlfn.XLOOKUP(PROYECTOS[[#This Row],[MUNICIPIO]],'4.CAP_ENDMNT'!B:B,'4.CAP_ENDMNT'!H:H,0,0,1)</f>
        <v>823222224</v>
      </c>
      <c r="Z351" s="140">
        <f>+_xlfn.XLOOKUP(PROYECTOS[[#This Row],[MUNICIPIO]],'4.CAP_ENDMNT'!B:B,'4.CAP_ENDMNT'!I:I,0,0,1)</f>
        <v>1421783979.2</v>
      </c>
      <c r="AA351" s="134">
        <f>+_xlfn.XLOOKUP(PROYECTOS[[#This Row],[MUNICIPIO]],'4.CAP_ENDMNT'!B:B,'4.CAP_ENDMNT'!J:J,0,0,1)</f>
        <v>0.21921774577665112</v>
      </c>
      <c r="AB351" s="140">
        <f>+_xlfn.XLOOKUP(PROYECTOS[[#This Row],[MUNICIPIO]],'4.CAP_ENDMNT'!B:B,'4.CAP_ENDMNT'!K:K,0,0,1)</f>
        <v>5063931737.6680012</v>
      </c>
      <c r="AC351" s="140">
        <f>+_xlfn.XLOOKUP(PROYECTOS[[#This Row],[MUNICIPIO]],'4.CAP_ENDMNT'!B:B,'4.CAP_ENDMNT'!L:L,0,0,1)</f>
        <v>4051145390.1344013</v>
      </c>
      <c r="AD351" s="140">
        <f>+_xlfn.XLOOKUP(PROYECTOS[[#This Row],[MUNICIPIO]],'4.CAP_ENDMNT'!B:B,'4.CAP_ENDMNT'!M:M,0,0,1)</f>
        <v>3038359042.6008005</v>
      </c>
      <c r="AE351" s="134">
        <f>+_xlfn.XLOOKUP(PROYECTOS[[#This Row],[MUNICIPIO]],'4.CAP_ENDMNT'!B:B,'4.CAP_ENDMNT'!N:N,0,0,1)</f>
        <v>0.42099345889155032</v>
      </c>
      <c r="AF351" s="134">
        <f>+_xlfn.XLOOKUP(PROYECTOS[[#This Row],[MUNICIPIO]],'4.CAP_ENDMNT'!B:B,'4.CAP_ENDMNT'!O:O,0,0,1)</f>
        <v>0.68598337343648785</v>
      </c>
      <c r="AG351" s="134">
        <f>+_xlfn.XLOOKUP(PROYECTOS[[#This Row],[MUNICIPIO]],'4.CAP_ENDMNT'!B:B,'4.CAP_ENDMNT'!P:P,0,0,1)</f>
        <v>0.8</v>
      </c>
      <c r="AH351" s="44" t="str">
        <f>+_xlfn.XLOOKUP(PROYECTOS[[#This Row],[MUNICIPIO]],'4.CAP_ENDMNT'!B:B,'4.CAP_ENDMNT'!Q:Q,0,0,1)</f>
        <v>Cumple</v>
      </c>
      <c r="AI351" s="139">
        <f>+_xlfn.XLOOKUP(PROYECTOS[[#This Row],[MUNICIPIO]],'4.CAP_ENDMNT'!B:B,'4.CAP_ENDMNT'!V:V,0,0,1)</f>
        <v>607671808.52016008</v>
      </c>
      <c r="AJ351" s="139">
        <f>+_xlfn.XLOOKUP(PROYECTOS[[#This Row],[MUNICIPIO]],'4.CAP_ENDMNT'!B:B,'4.CAP_ENDMNT'!Y:Y,0,0,1)</f>
        <v>-1701336321.8790393</v>
      </c>
      <c r="AK351"/>
      <c r="AL351"/>
      <c r="AM351"/>
    </row>
    <row r="352" spans="1:39">
      <c r="A352" s="44">
        <v>370</v>
      </c>
      <c r="B352" s="37" t="s">
        <v>1466</v>
      </c>
      <c r="C352" s="118">
        <v>45747</v>
      </c>
      <c r="D352" s="34" t="s">
        <v>148</v>
      </c>
      <c r="E352" s="47" t="str">
        <f>+_xlfn.XLOOKUP(PROYECTOS[[#This Row],[MUNICIPIO]],MUNICIPIOS!A:A,MUNICIPIOS!E:E,0,0,1)</f>
        <v>Urabá</v>
      </c>
      <c r="F352" s="44">
        <f>+_xlfn.XLOOKUP(PROYECTOS[[#This Row],[MUNICIPIO]],MUNICIPIOS!A:A,MUNICIPIOS!F:F,0,0,1)</f>
        <v>-76.896004000000005</v>
      </c>
      <c r="G352" s="44">
        <f>+_xlfn.XLOOKUP(PROYECTOS[[#This Row],[MUNICIPIO]],MUNICIPIOS!A:A,MUNICIPIOS!G:G,0,0,1)</f>
        <v>6.5881639999999999</v>
      </c>
      <c r="H352" s="44">
        <f>+_xlfn.XLOOKUP(PROYECTOS[[#This Row],[MUNICIPIO]],MUNICIPIOS!A:A,MUNICIPIOS!B:B,0,0,1)</f>
        <v>1</v>
      </c>
      <c r="I352" s="44">
        <f>+_xlfn.XLOOKUP(PROYECTOS[[#This Row],[MUNICIPIO]],MUNICIPIOS!A:A,MUNICIPIOS!C:C,0,0,1)</f>
        <v>1</v>
      </c>
      <c r="J352" s="34" t="str" cm="1">
        <f t="array" ref="J352">_xlfn.TEXTJOIN(" ", TRUE, IF(radicados[ID PROYECTOS]=A352, radicados[RADICADO], ""))</f>
        <v/>
      </c>
      <c r="K352" s="142">
        <v>3</v>
      </c>
      <c r="L352" s="48">
        <v>1235112566</v>
      </c>
      <c r="M352" s="40" t="s">
        <v>428</v>
      </c>
      <c r="N352" s="40" t="s">
        <v>398</v>
      </c>
      <c r="O352" s="40" t="s">
        <v>25</v>
      </c>
      <c r="P352" s="53" t="s">
        <v>1244</v>
      </c>
      <c r="Q352" s="45">
        <v>1</v>
      </c>
      <c r="R352" s="43" t="s">
        <v>922</v>
      </c>
      <c r="S352" s="43" t="s">
        <v>1643</v>
      </c>
      <c r="T352" s="44">
        <f>+_xlfn.XLOOKUP(PROYECTOS[[#This Row],[MUNICIPIO]],'4.CAP_ENDMNT'!B:B,'4.CAP_ENDMNT'!C:C,0,0,1)</f>
        <v>6</v>
      </c>
      <c r="U352" s="139">
        <f>+_xlfn.XLOOKUP(PROYECTOS[[#This Row],[MUNICIPIO]],'4.CAP_ENDMNT'!B:B,'4.CAP_ENDMNT'!D:D,0,0,1)</f>
        <v>18943215673.273502</v>
      </c>
      <c r="V352" s="140">
        <f>+_xlfn.XLOOKUP(PROYECTOS[[#This Row],[MUNICIPIO]],'4.CAP_ENDMNT'!B:B,'4.CAP_ENDMNT'!E:E,0,0,1)</f>
        <v>6022595389.6999998</v>
      </c>
      <c r="W352" s="140">
        <f>+_xlfn.XLOOKUP(PROYECTOS[[#This Row],[MUNICIPIO]],'4.CAP_ENDMNT'!B:B,'4.CAP_ENDMNT'!F:F,0,0,1)</f>
        <v>12920620283.573502</v>
      </c>
      <c r="X352" s="140">
        <f>+_xlfn.XLOOKUP(PROYECTOS[[#This Row],[MUNICIPIO]],'4.CAP_ENDMNT'!B:B,'4.CAP_ENDMNT'!G:G,0,0,1)</f>
        <v>4570267145</v>
      </c>
      <c r="Y352" s="140">
        <f>+_xlfn.XLOOKUP(PROYECTOS[[#This Row],[MUNICIPIO]],'4.CAP_ENDMNT'!B:B,'4.CAP_ENDMNT'!H:H,0,0,1)</f>
        <v>0</v>
      </c>
      <c r="Z352" s="140">
        <f>+_xlfn.XLOOKUP(PROYECTOS[[#This Row],[MUNICIPIO]],'4.CAP_ENDMNT'!B:B,'4.CAP_ENDMNT'!I:I,0,0,1)</f>
        <v>4570267145</v>
      </c>
      <c r="AA352" s="134">
        <f>+_xlfn.XLOOKUP(PROYECTOS[[#This Row],[MUNICIPIO]],'4.CAP_ENDMNT'!B:B,'4.CAP_ENDMNT'!J:J,0,0,1)</f>
        <v>0.24126142170508424</v>
      </c>
      <c r="AB352" s="140">
        <f>+_xlfn.XLOOKUP(PROYECTOS[[#This Row],[MUNICIPIO]],'4.CAP_ENDMNT'!B:B,'4.CAP_ENDMNT'!K:K,0,0,1)</f>
        <v>14372948528.273502</v>
      </c>
      <c r="AC352" s="140">
        <f>+_xlfn.XLOOKUP(PROYECTOS[[#This Row],[MUNICIPIO]],'4.CAP_ENDMNT'!B:B,'4.CAP_ENDMNT'!L:L,0,0,1)</f>
        <v>11498358822.618803</v>
      </c>
      <c r="AD352" s="140">
        <f>+_xlfn.XLOOKUP(PROYECTOS[[#This Row],[MUNICIPIO]],'4.CAP_ENDMNT'!B:B,'4.CAP_ENDMNT'!M:M,0,0,1)</f>
        <v>8623769116.9641018</v>
      </c>
      <c r="AE352" s="134">
        <f>+_xlfn.XLOOKUP(PROYECTOS[[#This Row],[MUNICIPIO]],'4.CAP_ENDMNT'!B:B,'4.CAP_ENDMNT'!N:N,0,0,1)</f>
        <v>1</v>
      </c>
      <c r="AF352" s="134">
        <f>+_xlfn.XLOOKUP(PROYECTOS[[#This Row],[MUNICIPIO]],'4.CAP_ENDMNT'!B:B,'4.CAP_ENDMNT'!O:O,0,0,1)</f>
        <v>0.63532752805182191</v>
      </c>
      <c r="AG352" s="134">
        <f>+_xlfn.XLOOKUP(PROYECTOS[[#This Row],[MUNICIPIO]],'4.CAP_ENDMNT'!B:B,'4.CAP_ENDMNT'!P:P,0,0,1)</f>
        <v>0.8</v>
      </c>
      <c r="AH352" s="44" t="str">
        <f>+_xlfn.XLOOKUP(PROYECTOS[[#This Row],[MUNICIPIO]],'4.CAP_ENDMNT'!B:B,'4.CAP_ENDMNT'!Q:Q,0,0,1)</f>
        <v>Cumple</v>
      </c>
      <c r="AI352" s="139">
        <f>+_xlfn.XLOOKUP(PROYECTOS[[#This Row],[MUNICIPIO]],'4.CAP_ENDMNT'!B:B,'4.CAP_ENDMNT'!V:V,0,0,1)</f>
        <v>1724753823.3928204</v>
      </c>
      <c r="AJ352" s="139">
        <f>+_xlfn.XLOOKUP(PROYECTOS[[#This Row],[MUNICIPIO]],'4.CAP_ENDMNT'!B:B,'4.CAP_ENDMNT'!Y:Y,0,0,1)</f>
        <v>-14051852500.643078</v>
      </c>
      <c r="AK352"/>
      <c r="AL352"/>
      <c r="AM352"/>
    </row>
    <row r="353" spans="1:39">
      <c r="A353" s="44">
        <v>371</v>
      </c>
      <c r="B353" s="37" t="s">
        <v>1467</v>
      </c>
      <c r="C353" s="118">
        <v>45747</v>
      </c>
      <c r="D353" s="34" t="s">
        <v>67</v>
      </c>
      <c r="E353" s="47" t="str">
        <f>+_xlfn.XLOOKUP(PROYECTOS[[#This Row],[MUNICIPIO]],MUNICIPIOS!A:A,MUNICIPIOS!E:E,0,0,1)</f>
        <v>Nordeste</v>
      </c>
      <c r="F353" s="44">
        <f>+_xlfn.XLOOKUP(PROYECTOS[[#This Row],[MUNICIPIO]],MUNICIPIOS!A:A,MUNICIPIOS!F:F,0,0,1)</f>
        <v>-75.013385</v>
      </c>
      <c r="G353" s="44">
        <f>+_xlfn.XLOOKUP(PROYECTOS[[#This Row],[MUNICIPIO]],MUNICIPIOS!A:A,MUNICIPIOS!G:G,0,0,1)</f>
        <v>6.5945109999999998</v>
      </c>
      <c r="H353" s="44">
        <f>+_xlfn.XLOOKUP(PROYECTOS[[#This Row],[MUNICIPIO]],MUNICIPIOS!A:A,MUNICIPIOS!B:B,0,0,1)</f>
        <v>0</v>
      </c>
      <c r="I353" s="44">
        <f>+_xlfn.XLOOKUP(PROYECTOS[[#This Row],[MUNICIPIO]],MUNICIPIOS!A:A,MUNICIPIOS!C:C,0,0,1)</f>
        <v>1</v>
      </c>
      <c r="J353" s="34" t="str" cm="1">
        <f t="array" ref="J353">_xlfn.TEXTJOIN(" ", TRUE, IF(radicados[ID PROYECTOS]=A353, radicados[RADICADO], ""))</f>
        <v/>
      </c>
      <c r="K353" s="45">
        <v>1</v>
      </c>
      <c r="L353" s="48"/>
      <c r="M353" s="40" t="s">
        <v>435</v>
      </c>
      <c r="N353" s="40" t="s">
        <v>398</v>
      </c>
      <c r="O353" s="40" t="s">
        <v>25</v>
      </c>
      <c r="P353" s="53" t="s">
        <v>657</v>
      </c>
      <c r="Q353" s="45"/>
      <c r="R353" s="50"/>
      <c r="S353" s="50"/>
      <c r="T353" s="44">
        <f>+_xlfn.XLOOKUP(PROYECTOS[[#This Row],[MUNICIPIO]],'4.CAP_ENDMNT'!B:B,'4.CAP_ENDMNT'!C:C,0,0,1)</f>
        <v>6</v>
      </c>
      <c r="U353" s="139">
        <f>+_xlfn.XLOOKUP(PROYECTOS[[#This Row],[MUNICIPIO]],'4.CAP_ENDMNT'!B:B,'4.CAP_ENDMNT'!D:D,0,0,1)</f>
        <v>18632663202.9925</v>
      </c>
      <c r="V353" s="140">
        <f>+_xlfn.XLOOKUP(PROYECTOS[[#This Row],[MUNICIPIO]],'4.CAP_ENDMNT'!B:B,'4.CAP_ENDMNT'!E:E,0,0,1)</f>
        <v>4332293517.3299999</v>
      </c>
      <c r="W353" s="140">
        <f>+_xlfn.XLOOKUP(PROYECTOS[[#This Row],[MUNICIPIO]],'4.CAP_ENDMNT'!B:B,'4.CAP_ENDMNT'!F:F,0,0,1)</f>
        <v>14300369685.6625</v>
      </c>
      <c r="X353" s="140">
        <f>+_xlfn.XLOOKUP(PROYECTOS[[#This Row],[MUNICIPIO]],'4.CAP_ENDMNT'!B:B,'4.CAP_ENDMNT'!G:G,0,0,1)</f>
        <v>3970281006</v>
      </c>
      <c r="Y353" s="140">
        <f>+_xlfn.XLOOKUP(PROYECTOS[[#This Row],[MUNICIPIO]],'4.CAP_ENDMNT'!B:B,'4.CAP_ENDMNT'!H:H,0,0,1)</f>
        <v>1500000000</v>
      </c>
      <c r="Z353" s="140">
        <f>+_xlfn.XLOOKUP(PROYECTOS[[#This Row],[MUNICIPIO]],'4.CAP_ENDMNT'!B:B,'4.CAP_ENDMNT'!I:I,0,0,1)</f>
        <v>5470281006</v>
      </c>
      <c r="AA353" s="134">
        <f>+_xlfn.XLOOKUP(PROYECTOS[[#This Row],[MUNICIPIO]],'4.CAP_ENDMNT'!B:B,'4.CAP_ENDMNT'!J:J,0,0,1)</f>
        <v>0.29358556779588252</v>
      </c>
      <c r="AB353" s="140">
        <f>+_xlfn.XLOOKUP(PROYECTOS[[#This Row],[MUNICIPIO]],'4.CAP_ENDMNT'!B:B,'4.CAP_ENDMNT'!K:K,0,0,1)</f>
        <v>13162382196.9925</v>
      </c>
      <c r="AC353" s="140">
        <f>+_xlfn.XLOOKUP(PROYECTOS[[#This Row],[MUNICIPIO]],'4.CAP_ENDMNT'!B:B,'4.CAP_ENDMNT'!L:L,0,0,1)</f>
        <v>10529905757.594002</v>
      </c>
      <c r="AD353" s="140">
        <f>+_xlfn.XLOOKUP(PROYECTOS[[#This Row],[MUNICIPIO]],'4.CAP_ENDMNT'!B:B,'4.CAP_ENDMNT'!M:M,0,0,1)</f>
        <v>7897429318.1954994</v>
      </c>
      <c r="AE353" s="134">
        <f>+_xlfn.XLOOKUP(PROYECTOS[[#This Row],[MUNICIPIO]],'4.CAP_ENDMNT'!B:B,'4.CAP_ENDMNT'!N:N,0,0,1)</f>
        <v>0.72579105198531002</v>
      </c>
      <c r="AF353" s="134">
        <f>+_xlfn.XLOOKUP(PROYECTOS[[#This Row],[MUNICIPIO]],'4.CAP_ENDMNT'!B:B,'4.CAP_ENDMNT'!O:O,0,0,1)</f>
        <v>0.44683077557401057</v>
      </c>
      <c r="AG353" s="134">
        <f>+_xlfn.XLOOKUP(PROYECTOS[[#This Row],[MUNICIPIO]],'4.CAP_ENDMNT'!B:B,'4.CAP_ENDMNT'!P:P,0,0,1)</f>
        <v>0.8</v>
      </c>
      <c r="AH353" s="44" t="str">
        <f>+_xlfn.XLOOKUP(PROYECTOS[[#This Row],[MUNICIPIO]],'4.CAP_ENDMNT'!B:B,'4.CAP_ENDMNT'!Q:Q,0,0,1)</f>
        <v>Cumple</v>
      </c>
      <c r="AI353" s="139">
        <f>+_xlfn.XLOOKUP(PROYECTOS[[#This Row],[MUNICIPIO]],'4.CAP_ENDMNT'!B:B,'4.CAP_ENDMNT'!V:V,0,0,1)</f>
        <v>1579485863.6391001</v>
      </c>
      <c r="AJ353" s="139">
        <f>+_xlfn.XLOOKUP(PROYECTOS[[#This Row],[MUNICIPIO]],'4.CAP_ENDMNT'!B:B,'4.CAP_ENDMNT'!Y:Y,0,0,1)</f>
        <v>2111158837.8345985</v>
      </c>
      <c r="AK353"/>
      <c r="AL353"/>
      <c r="AM353"/>
    </row>
    <row r="354" spans="1:39">
      <c r="A354" s="44">
        <v>372</v>
      </c>
      <c r="B354" s="37" t="s">
        <v>1468</v>
      </c>
      <c r="C354" s="118">
        <v>45747</v>
      </c>
      <c r="D354" s="34" t="s">
        <v>200</v>
      </c>
      <c r="E354" s="47" t="str">
        <f>+_xlfn.XLOOKUP(PROYECTOS[[#This Row],[MUNICIPIO]],MUNICIPIOS!A:A,MUNICIPIOS!E:E,0,0,1)</f>
        <v>Bajo Cauca</v>
      </c>
      <c r="F354" s="44">
        <f>+_xlfn.XLOOKUP(PROYECTOS[[#This Row],[MUNICIPIO]],MUNICIPIOS!A:A,MUNICIPIOS!F:F,0,0,1)</f>
        <v>-74.867075</v>
      </c>
      <c r="G354" s="44">
        <f>+_xlfn.XLOOKUP(PROYECTOS[[#This Row],[MUNICIPIO]],MUNICIPIOS!A:A,MUNICIPIOS!G:G,0,0,1)</f>
        <v>7.4885830000000002</v>
      </c>
      <c r="H354" s="44">
        <f>+_xlfn.XLOOKUP(PROYECTOS[[#This Row],[MUNICIPIO]],MUNICIPIOS!A:A,MUNICIPIOS!B:B,0,0,1)</f>
        <v>1</v>
      </c>
      <c r="I354" s="44">
        <f>+_xlfn.XLOOKUP(PROYECTOS[[#This Row],[MUNICIPIO]],MUNICIPIOS!A:A,MUNICIPIOS!C:C,0,0,1)</f>
        <v>1</v>
      </c>
      <c r="J354" s="34" t="str" cm="1">
        <f t="array" ref="J354">_xlfn.TEXTJOIN(" ", TRUE, IF(radicados[ID PROYECTOS]=A354, radicados[RADICADO], ""))</f>
        <v/>
      </c>
      <c r="K354" s="45">
        <v>2</v>
      </c>
      <c r="L354" s="48">
        <v>3013655989</v>
      </c>
      <c r="M354" s="40" t="s">
        <v>435</v>
      </c>
      <c r="N354" s="40" t="s">
        <v>398</v>
      </c>
      <c r="O354" s="40" t="s">
        <v>25</v>
      </c>
      <c r="P354" s="53" t="s">
        <v>1249</v>
      </c>
      <c r="Q354" s="45">
        <v>1</v>
      </c>
      <c r="R354" s="43" t="s">
        <v>922</v>
      </c>
      <c r="S354" s="43" t="s">
        <v>1643</v>
      </c>
      <c r="T354" s="44">
        <f>+_xlfn.XLOOKUP(PROYECTOS[[#This Row],[MUNICIPIO]],'4.CAP_ENDMNT'!B:B,'4.CAP_ENDMNT'!C:C,0,0,1)</f>
        <v>6</v>
      </c>
      <c r="U354" s="139">
        <f>+_xlfn.XLOOKUP(PROYECTOS[[#This Row],[MUNICIPIO]],'4.CAP_ENDMNT'!B:B,'4.CAP_ENDMNT'!D:D,0,0,1)</f>
        <v>26491016162.216</v>
      </c>
      <c r="V354" s="140">
        <f>+_xlfn.XLOOKUP(PROYECTOS[[#This Row],[MUNICIPIO]],'4.CAP_ENDMNT'!B:B,'4.CAP_ENDMNT'!E:E,0,0,1)</f>
        <v>7986352410.1199999</v>
      </c>
      <c r="W354" s="140">
        <f>+_xlfn.XLOOKUP(PROYECTOS[[#This Row],[MUNICIPIO]],'4.CAP_ENDMNT'!B:B,'4.CAP_ENDMNT'!F:F,0,0,1)</f>
        <v>18504663752.096001</v>
      </c>
      <c r="X354" s="140">
        <f>+_xlfn.XLOOKUP(PROYECTOS[[#This Row],[MUNICIPIO]],'4.CAP_ENDMNT'!B:B,'4.CAP_ENDMNT'!G:G,0,0,1)</f>
        <v>6804069561</v>
      </c>
      <c r="Y354" s="140">
        <f>+_xlfn.XLOOKUP(PROYECTOS[[#This Row],[MUNICIPIO]],'4.CAP_ENDMNT'!B:B,'4.CAP_ENDMNT'!H:H,0,0,1)</f>
        <v>0</v>
      </c>
      <c r="Z354" s="140">
        <f>+_xlfn.XLOOKUP(PROYECTOS[[#This Row],[MUNICIPIO]],'4.CAP_ENDMNT'!B:B,'4.CAP_ENDMNT'!I:I,0,0,1)</f>
        <v>6804069561</v>
      </c>
      <c r="AA354" s="134">
        <f>+_xlfn.XLOOKUP(PROYECTOS[[#This Row],[MUNICIPIO]],'4.CAP_ENDMNT'!B:B,'4.CAP_ENDMNT'!J:J,0,0,1)</f>
        <v>0.25684441545525194</v>
      </c>
      <c r="AB354" s="140">
        <f>+_xlfn.XLOOKUP(PROYECTOS[[#This Row],[MUNICIPIO]],'4.CAP_ENDMNT'!B:B,'4.CAP_ENDMNT'!K:K,0,0,1)</f>
        <v>19686946601.216</v>
      </c>
      <c r="AC354" s="140">
        <f>+_xlfn.XLOOKUP(PROYECTOS[[#This Row],[MUNICIPIO]],'4.CAP_ENDMNT'!B:B,'4.CAP_ENDMNT'!L:L,0,0,1)</f>
        <v>15749557280.972801</v>
      </c>
      <c r="AD354" s="140">
        <f>+_xlfn.XLOOKUP(PROYECTOS[[#This Row],[MUNICIPIO]],'4.CAP_ENDMNT'!B:B,'4.CAP_ENDMNT'!M:M,0,0,1)</f>
        <v>11812167960.729599</v>
      </c>
      <c r="AE354" s="134">
        <f>+_xlfn.XLOOKUP(PROYECTOS[[#This Row],[MUNICIPIO]],'4.CAP_ENDMNT'!B:B,'4.CAP_ENDMNT'!N:N,0,0,1)</f>
        <v>1</v>
      </c>
      <c r="AF354" s="134">
        <f>+_xlfn.XLOOKUP(PROYECTOS[[#This Row],[MUNICIPIO]],'4.CAP_ENDMNT'!B:B,'4.CAP_ENDMNT'!O:O,0,0,1)</f>
        <v>0.54140540347070121</v>
      </c>
      <c r="AG354" s="134">
        <f>+_xlfn.XLOOKUP(PROYECTOS[[#This Row],[MUNICIPIO]],'4.CAP_ENDMNT'!B:B,'4.CAP_ENDMNT'!P:P,0,0,1)</f>
        <v>0.8</v>
      </c>
      <c r="AH354" s="44" t="str">
        <f>+_xlfn.XLOOKUP(PROYECTOS[[#This Row],[MUNICIPIO]],'4.CAP_ENDMNT'!B:B,'4.CAP_ENDMNT'!Q:Q,0,0,1)</f>
        <v>Cumple</v>
      </c>
      <c r="AI354" s="139">
        <f>+_xlfn.XLOOKUP(PROYECTOS[[#This Row],[MUNICIPIO]],'4.CAP_ENDMNT'!B:B,'4.CAP_ENDMNT'!V:V,0,0,1)</f>
        <v>2362433592.1459198</v>
      </c>
      <c r="AJ354" s="139">
        <f>+_xlfn.XLOOKUP(PROYECTOS[[#This Row],[MUNICIPIO]],'4.CAP_ENDMNT'!B:B,'4.CAP_ENDMNT'!Y:Y,0,0,1)</f>
        <v>-15716605637.124481</v>
      </c>
      <c r="AK354"/>
      <c r="AL354"/>
      <c r="AM354"/>
    </row>
    <row r="355" spans="1:39">
      <c r="A355" s="44">
        <v>373</v>
      </c>
      <c r="B355" s="37" t="s">
        <v>1469</v>
      </c>
      <c r="C355" s="118">
        <v>45747</v>
      </c>
      <c r="D355" s="34" t="s">
        <v>200</v>
      </c>
      <c r="E355" s="47" t="str">
        <f>+_xlfn.XLOOKUP(PROYECTOS[[#This Row],[MUNICIPIO]],MUNICIPIOS!A:A,MUNICIPIOS!E:E,0,0,1)</f>
        <v>Bajo Cauca</v>
      </c>
      <c r="F355" s="44">
        <f>+_xlfn.XLOOKUP(PROYECTOS[[#This Row],[MUNICIPIO]],MUNICIPIOS!A:A,MUNICIPIOS!F:F,0,0,1)</f>
        <v>-74.867075</v>
      </c>
      <c r="G355" s="44">
        <f>+_xlfn.XLOOKUP(PROYECTOS[[#This Row],[MUNICIPIO]],MUNICIPIOS!A:A,MUNICIPIOS!G:G,0,0,1)</f>
        <v>7.4885830000000002</v>
      </c>
      <c r="H355" s="44">
        <f>+_xlfn.XLOOKUP(PROYECTOS[[#This Row],[MUNICIPIO]],MUNICIPIOS!A:A,MUNICIPIOS!B:B,0,0,1)</f>
        <v>1</v>
      </c>
      <c r="I355" s="44">
        <f>+_xlfn.XLOOKUP(PROYECTOS[[#This Row],[MUNICIPIO]],MUNICIPIOS!A:A,MUNICIPIOS!C:C,0,0,1)</f>
        <v>1</v>
      </c>
      <c r="J355" s="34" t="str" cm="1">
        <f t="array" ref="J355">_xlfn.TEXTJOIN(" ", TRUE, IF(radicados[ID PROYECTOS]=A355, radicados[RADICADO], ""))</f>
        <v/>
      </c>
      <c r="K355" s="45">
        <v>2</v>
      </c>
      <c r="L355" s="48">
        <v>3063931064</v>
      </c>
      <c r="M355" s="40" t="s">
        <v>435</v>
      </c>
      <c r="N355" s="40" t="s">
        <v>398</v>
      </c>
      <c r="O355" s="40" t="s">
        <v>25</v>
      </c>
      <c r="P355" s="53" t="s">
        <v>1249</v>
      </c>
      <c r="Q355" s="45">
        <v>1</v>
      </c>
      <c r="R355" s="43" t="s">
        <v>922</v>
      </c>
      <c r="S355" s="43" t="s">
        <v>1643</v>
      </c>
      <c r="T355" s="44">
        <f>+_xlfn.XLOOKUP(PROYECTOS[[#This Row],[MUNICIPIO]],'4.CAP_ENDMNT'!B:B,'4.CAP_ENDMNT'!C:C,0,0,1)</f>
        <v>6</v>
      </c>
      <c r="U355" s="139">
        <f>+_xlfn.XLOOKUP(PROYECTOS[[#This Row],[MUNICIPIO]],'4.CAP_ENDMNT'!B:B,'4.CAP_ENDMNT'!D:D,0,0,1)</f>
        <v>26491016162.216</v>
      </c>
      <c r="V355" s="140">
        <f>+_xlfn.XLOOKUP(PROYECTOS[[#This Row],[MUNICIPIO]],'4.CAP_ENDMNT'!B:B,'4.CAP_ENDMNT'!E:E,0,0,1)</f>
        <v>7986352410.1199999</v>
      </c>
      <c r="W355" s="140">
        <f>+_xlfn.XLOOKUP(PROYECTOS[[#This Row],[MUNICIPIO]],'4.CAP_ENDMNT'!B:B,'4.CAP_ENDMNT'!F:F,0,0,1)</f>
        <v>18504663752.096001</v>
      </c>
      <c r="X355" s="140">
        <f>+_xlfn.XLOOKUP(PROYECTOS[[#This Row],[MUNICIPIO]],'4.CAP_ENDMNT'!B:B,'4.CAP_ENDMNT'!G:G,0,0,1)</f>
        <v>6804069561</v>
      </c>
      <c r="Y355" s="140">
        <f>+_xlfn.XLOOKUP(PROYECTOS[[#This Row],[MUNICIPIO]],'4.CAP_ENDMNT'!B:B,'4.CAP_ENDMNT'!H:H,0,0,1)</f>
        <v>0</v>
      </c>
      <c r="Z355" s="140">
        <f>+_xlfn.XLOOKUP(PROYECTOS[[#This Row],[MUNICIPIO]],'4.CAP_ENDMNT'!B:B,'4.CAP_ENDMNT'!I:I,0,0,1)</f>
        <v>6804069561</v>
      </c>
      <c r="AA355" s="134">
        <f>+_xlfn.XLOOKUP(PROYECTOS[[#This Row],[MUNICIPIO]],'4.CAP_ENDMNT'!B:B,'4.CAP_ENDMNT'!J:J,0,0,1)</f>
        <v>0.25684441545525194</v>
      </c>
      <c r="AB355" s="140">
        <f>+_xlfn.XLOOKUP(PROYECTOS[[#This Row],[MUNICIPIO]],'4.CAP_ENDMNT'!B:B,'4.CAP_ENDMNT'!K:K,0,0,1)</f>
        <v>19686946601.216</v>
      </c>
      <c r="AC355" s="140">
        <f>+_xlfn.XLOOKUP(PROYECTOS[[#This Row],[MUNICIPIO]],'4.CAP_ENDMNT'!B:B,'4.CAP_ENDMNT'!L:L,0,0,1)</f>
        <v>15749557280.972801</v>
      </c>
      <c r="AD355" s="140">
        <f>+_xlfn.XLOOKUP(PROYECTOS[[#This Row],[MUNICIPIO]],'4.CAP_ENDMNT'!B:B,'4.CAP_ENDMNT'!M:M,0,0,1)</f>
        <v>11812167960.729599</v>
      </c>
      <c r="AE355" s="134">
        <f>+_xlfn.XLOOKUP(PROYECTOS[[#This Row],[MUNICIPIO]],'4.CAP_ENDMNT'!B:B,'4.CAP_ENDMNT'!N:N,0,0,1)</f>
        <v>1</v>
      </c>
      <c r="AF355" s="134">
        <f>+_xlfn.XLOOKUP(PROYECTOS[[#This Row],[MUNICIPIO]],'4.CAP_ENDMNT'!B:B,'4.CAP_ENDMNT'!O:O,0,0,1)</f>
        <v>0.54140540347070121</v>
      </c>
      <c r="AG355" s="134">
        <f>+_xlfn.XLOOKUP(PROYECTOS[[#This Row],[MUNICIPIO]],'4.CAP_ENDMNT'!B:B,'4.CAP_ENDMNT'!P:P,0,0,1)</f>
        <v>0.8</v>
      </c>
      <c r="AH355" s="44" t="str">
        <f>+_xlfn.XLOOKUP(PROYECTOS[[#This Row],[MUNICIPIO]],'4.CAP_ENDMNT'!B:B,'4.CAP_ENDMNT'!Q:Q,0,0,1)</f>
        <v>Cumple</v>
      </c>
      <c r="AI355" s="139">
        <f>+_xlfn.XLOOKUP(PROYECTOS[[#This Row],[MUNICIPIO]],'4.CAP_ENDMNT'!B:B,'4.CAP_ENDMNT'!V:V,0,0,1)</f>
        <v>2362433592.1459198</v>
      </c>
      <c r="AJ355" s="139">
        <f>+_xlfn.XLOOKUP(PROYECTOS[[#This Row],[MUNICIPIO]],'4.CAP_ENDMNT'!B:B,'4.CAP_ENDMNT'!Y:Y,0,0,1)</f>
        <v>-15716605637.124481</v>
      </c>
      <c r="AK355"/>
      <c r="AL355"/>
      <c r="AM355"/>
    </row>
    <row r="356" spans="1:39">
      <c r="A356" s="44">
        <v>374</v>
      </c>
      <c r="B356" s="37" t="s">
        <v>676</v>
      </c>
      <c r="C356" s="118">
        <v>45747</v>
      </c>
      <c r="D356" s="34" t="s">
        <v>477</v>
      </c>
      <c r="E356" s="47" t="str">
        <f>+_xlfn.XLOOKUP(PROYECTOS[[#This Row],[MUNICIPIO]],MUNICIPIOS!A:A,MUNICIPIOS!E:E,0,0,1)</f>
        <v>Norte</v>
      </c>
      <c r="F356" s="44">
        <f>+_xlfn.XLOOKUP(PROYECTOS[[#This Row],[MUNICIPIO]],MUNICIPIOS!A:A,MUNICIPIOS!F:F,0,0,1)</f>
        <v>-75.335115999999999</v>
      </c>
      <c r="G356" s="44" t="str">
        <f>+_xlfn.XLOOKUP(PROYECTOS[[#This Row],[MUNICIPIO]],MUNICIPIOS!A:A,MUNICIPIOS!G:G,0,0,1)</f>
        <v>6,885175</v>
      </c>
      <c r="H356" s="44">
        <f>+_xlfn.XLOOKUP(PROYECTOS[[#This Row],[MUNICIPIO]],MUNICIPIOS!A:A,MUNICIPIOS!B:B,0,0,1)</f>
        <v>0</v>
      </c>
      <c r="I356" s="44">
        <f>+_xlfn.XLOOKUP(PROYECTOS[[#This Row],[MUNICIPIO]],MUNICIPIOS!A:A,MUNICIPIOS!C:C,0,0,1)</f>
        <v>1</v>
      </c>
      <c r="J356" s="34" t="str" cm="1">
        <f t="array" ref="J356">_xlfn.TEXTJOIN(" ", TRUE, IF(radicados[ID PROYECTOS]=A356, radicados[RADICADO], ""))</f>
        <v/>
      </c>
      <c r="K356" s="128">
        <v>3</v>
      </c>
      <c r="L356" s="48">
        <v>1416091824</v>
      </c>
      <c r="M356" s="40" t="s">
        <v>435</v>
      </c>
      <c r="N356" s="40" t="s">
        <v>398</v>
      </c>
      <c r="O356" s="40" t="s">
        <v>25</v>
      </c>
      <c r="P356" s="53" t="s">
        <v>1247</v>
      </c>
      <c r="Q356" s="45">
        <v>1</v>
      </c>
      <c r="R356" s="43" t="s">
        <v>922</v>
      </c>
      <c r="S356" s="43" t="s">
        <v>1643</v>
      </c>
      <c r="T356" s="44">
        <f>+_xlfn.XLOOKUP(PROYECTOS[[#This Row],[MUNICIPIO]],'4.CAP_ENDMNT'!B:B,'4.CAP_ENDMNT'!C:C,0,0,1)</f>
        <v>6</v>
      </c>
      <c r="U356" s="139">
        <f>+_xlfn.XLOOKUP(PROYECTOS[[#This Row],[MUNICIPIO]],'4.CAP_ENDMNT'!B:B,'4.CAP_ENDMNT'!D:D,0,0,1)</f>
        <v>12764062914.553999</v>
      </c>
      <c r="V356" s="140">
        <f>+_xlfn.XLOOKUP(PROYECTOS[[#This Row],[MUNICIPIO]],'4.CAP_ENDMNT'!B:B,'4.CAP_ENDMNT'!E:E,0,0,1)</f>
        <v>4266060462.2200003</v>
      </c>
      <c r="W356" s="140">
        <f>+_xlfn.XLOOKUP(PROYECTOS[[#This Row],[MUNICIPIO]],'4.CAP_ENDMNT'!B:B,'4.CAP_ENDMNT'!F:F,0,0,1)</f>
        <v>8498002452.3339987</v>
      </c>
      <c r="X356" s="140">
        <f>+_xlfn.XLOOKUP(PROYECTOS[[#This Row],[MUNICIPIO]],'4.CAP_ENDMNT'!B:B,'4.CAP_ENDMNT'!G:G,0,0,1)</f>
        <v>4258957687</v>
      </c>
      <c r="Y356" s="140">
        <f>+_xlfn.XLOOKUP(PROYECTOS[[#This Row],[MUNICIPIO]],'4.CAP_ENDMNT'!B:B,'4.CAP_ENDMNT'!H:H,0,0,1)</f>
        <v>500000000</v>
      </c>
      <c r="Z356" s="140">
        <f>+_xlfn.XLOOKUP(PROYECTOS[[#This Row],[MUNICIPIO]],'4.CAP_ENDMNT'!B:B,'4.CAP_ENDMNT'!I:I,0,0,1)</f>
        <v>4758957687</v>
      </c>
      <c r="AA356" s="134">
        <f>+_xlfn.XLOOKUP(PROYECTOS[[#This Row],[MUNICIPIO]],'4.CAP_ENDMNT'!B:B,'4.CAP_ENDMNT'!J:J,0,0,1)</f>
        <v>0.37284035019708983</v>
      </c>
      <c r="AB356" s="140">
        <f>+_xlfn.XLOOKUP(PROYECTOS[[#This Row],[MUNICIPIO]],'4.CAP_ENDMNT'!B:B,'4.CAP_ENDMNT'!K:K,0,0,1)</f>
        <v>8005105227.5539989</v>
      </c>
      <c r="AC356" s="140">
        <f>+_xlfn.XLOOKUP(PROYECTOS[[#This Row],[MUNICIPIO]],'4.CAP_ENDMNT'!B:B,'4.CAP_ENDMNT'!L:L,0,0,1)</f>
        <v>6404084182.0431995</v>
      </c>
      <c r="AD356" s="140">
        <f>+_xlfn.XLOOKUP(PROYECTOS[[#This Row],[MUNICIPIO]],'4.CAP_ENDMNT'!B:B,'4.CAP_ENDMNT'!M:M,0,0,1)</f>
        <v>4803063136.5323992</v>
      </c>
      <c r="AE356" s="134">
        <f>+_xlfn.XLOOKUP(PROYECTOS[[#This Row],[MUNICIPIO]],'4.CAP_ENDMNT'!B:B,'4.CAP_ENDMNT'!N:N,0,0,1)</f>
        <v>0.89493497675639244</v>
      </c>
      <c r="AF356" s="134">
        <f>+_xlfn.XLOOKUP(PROYECTOS[[#This Row],[MUNICIPIO]],'4.CAP_ENDMNT'!B:B,'4.CAP_ENDMNT'!O:O,0,0,1)</f>
        <v>0.64132957807138946</v>
      </c>
      <c r="AG356" s="134">
        <f>+_xlfn.XLOOKUP(PROYECTOS[[#This Row],[MUNICIPIO]],'4.CAP_ENDMNT'!B:B,'4.CAP_ENDMNT'!P:P,0,0,1)</f>
        <v>0.8</v>
      </c>
      <c r="AH356" s="44" t="str">
        <f>+_xlfn.XLOOKUP(PROYECTOS[[#This Row],[MUNICIPIO]],'4.CAP_ENDMNT'!B:B,'4.CAP_ENDMNT'!Q:Q,0,0,1)</f>
        <v>Cumple</v>
      </c>
      <c r="AI356" s="139">
        <f>+_xlfn.XLOOKUP(PROYECTOS[[#This Row],[MUNICIPIO]],'4.CAP_ENDMNT'!B:B,'4.CAP_ENDMNT'!V:V,0,0,1)</f>
        <v>960612627.30647993</v>
      </c>
      <c r="AJ356" s="139">
        <f>+_xlfn.XLOOKUP(PROYECTOS[[#This Row],[MUNICIPIO]],'4.CAP_ENDMNT'!B:B,'4.CAP_ENDMNT'!Y:Y,0,0,1)</f>
        <v>-8999039296.1611214</v>
      </c>
      <c r="AK356"/>
      <c r="AL356"/>
      <c r="AM356"/>
    </row>
    <row r="357" spans="1:39">
      <c r="A357" s="44">
        <v>375</v>
      </c>
      <c r="B357" s="37" t="s">
        <v>1245</v>
      </c>
      <c r="C357" s="118">
        <v>45747</v>
      </c>
      <c r="D357" s="34" t="s">
        <v>63</v>
      </c>
      <c r="E357" s="47" t="str">
        <f>+_xlfn.XLOOKUP(PROYECTOS[[#This Row],[MUNICIPIO]],MUNICIPIOS!A:A,MUNICIPIOS!E:E,0,0,1)</f>
        <v>Urabá</v>
      </c>
      <c r="F357" s="44">
        <f>+_xlfn.XLOOKUP(PROYECTOS[[#This Row],[MUNICIPIO]],MUNICIPIOS!A:A,MUNICIPIOS!F:F,0,0,1)</f>
        <v>-76.380566999999999</v>
      </c>
      <c r="G357" s="44" t="str">
        <f>+_xlfn.XLOOKUP(PROYECTOS[[#This Row],[MUNICIPIO]],MUNICIPIOS!A:A,MUNICIPIOS!G:G,0,0,1)</f>
        <v>8,276884</v>
      </c>
      <c r="H357" s="44">
        <f>+_xlfn.XLOOKUP(PROYECTOS[[#This Row],[MUNICIPIO]],MUNICIPIOS!A:A,MUNICIPIOS!B:B,0,0,1)</f>
        <v>1</v>
      </c>
      <c r="I357" s="44">
        <f>+_xlfn.XLOOKUP(PROYECTOS[[#This Row],[MUNICIPIO]],MUNICIPIOS!A:A,MUNICIPIOS!C:C,0,0,1)</f>
        <v>1</v>
      </c>
      <c r="J357" s="34" t="str" cm="1">
        <f t="array" ref="J357">_xlfn.TEXTJOIN(" ", TRUE, IF(radicados[ID PROYECTOS]=A357, radicados[RADICADO], ""))</f>
        <v/>
      </c>
      <c r="K357" s="45">
        <v>3</v>
      </c>
      <c r="L357" s="48">
        <v>1749677000</v>
      </c>
      <c r="M357" s="40" t="s">
        <v>435</v>
      </c>
      <c r="N357" s="40" t="s">
        <v>398</v>
      </c>
      <c r="O357" s="40" t="s">
        <v>25</v>
      </c>
      <c r="P357" s="53" t="s">
        <v>657</v>
      </c>
      <c r="Q357" s="45">
        <v>1</v>
      </c>
      <c r="R357" s="43" t="s">
        <v>922</v>
      </c>
      <c r="S357" s="43" t="s">
        <v>1643</v>
      </c>
      <c r="T357" s="44">
        <f>+_xlfn.XLOOKUP(PROYECTOS[[#This Row],[MUNICIPIO]],'4.CAP_ENDMNT'!B:B,'4.CAP_ENDMNT'!C:C,0,0,1)</f>
        <v>6</v>
      </c>
      <c r="U357" s="139">
        <f>+_xlfn.XLOOKUP(PROYECTOS[[#This Row],[MUNICIPIO]],'4.CAP_ENDMNT'!B:B,'4.CAP_ENDMNT'!D:D,0,0,1)</f>
        <v>19508372714.52</v>
      </c>
      <c r="V357" s="140">
        <f>+_xlfn.XLOOKUP(PROYECTOS[[#This Row],[MUNICIPIO]],'4.CAP_ENDMNT'!B:B,'4.CAP_ENDMNT'!E:E,0,0,1)</f>
        <v>5389834315.5</v>
      </c>
      <c r="W357" s="140">
        <f>+_xlfn.XLOOKUP(PROYECTOS[[#This Row],[MUNICIPIO]],'4.CAP_ENDMNT'!B:B,'4.CAP_ENDMNT'!F:F,0,0,1)</f>
        <v>14118538399.02</v>
      </c>
      <c r="X357" s="140">
        <f>+_xlfn.XLOOKUP(PROYECTOS[[#This Row],[MUNICIPIO]],'4.CAP_ENDMNT'!B:B,'4.CAP_ENDMNT'!G:G,0,0,1)</f>
        <v>2594281047</v>
      </c>
      <c r="Y357" s="140">
        <f>+_xlfn.XLOOKUP(PROYECTOS[[#This Row],[MUNICIPIO]],'4.CAP_ENDMNT'!B:B,'4.CAP_ENDMNT'!H:H,0,0,1)</f>
        <v>1833333333</v>
      </c>
      <c r="Z357" s="140">
        <f>+_xlfn.XLOOKUP(PROYECTOS[[#This Row],[MUNICIPIO]],'4.CAP_ENDMNT'!B:B,'4.CAP_ENDMNT'!I:I,0,0,1)</f>
        <v>4427614380</v>
      </c>
      <c r="AA357" s="134">
        <f>+_xlfn.XLOOKUP(PROYECTOS[[#This Row],[MUNICIPIO]],'4.CAP_ENDMNT'!B:B,'4.CAP_ENDMNT'!J:J,0,0,1)</f>
        <v>0.22695969801235882</v>
      </c>
      <c r="AB357" s="140">
        <f>+_xlfn.XLOOKUP(PROYECTOS[[#This Row],[MUNICIPIO]],'4.CAP_ENDMNT'!B:B,'4.CAP_ENDMNT'!K:K,0,0,1)</f>
        <v>15080758334.52</v>
      </c>
      <c r="AC357" s="140">
        <f>+_xlfn.XLOOKUP(PROYECTOS[[#This Row],[MUNICIPIO]],'4.CAP_ENDMNT'!B:B,'4.CAP_ENDMNT'!L:L,0,0,1)</f>
        <v>12064606667.616001</v>
      </c>
      <c r="AD357" s="140">
        <f>+_xlfn.XLOOKUP(PROYECTOS[[#This Row],[MUNICIPIO]],'4.CAP_ENDMNT'!B:B,'4.CAP_ENDMNT'!M:M,0,0,1)</f>
        <v>9048455000.7119999</v>
      </c>
      <c r="AE357" s="134">
        <f>+_xlfn.XLOOKUP(PROYECTOS[[#This Row],[MUNICIPIO]],'4.CAP_ENDMNT'!B:B,'4.CAP_ENDMNT'!N:N,0,0,1)</f>
        <v>0.58593202215591322</v>
      </c>
      <c r="AF357" s="134">
        <f>+_xlfn.XLOOKUP(PROYECTOS[[#This Row],[MUNICIPIO]],'4.CAP_ENDMNT'!B:B,'4.CAP_ENDMNT'!O:O,0,0,1)</f>
        <v>0.58851112900500024</v>
      </c>
      <c r="AG357" s="134">
        <f>+_xlfn.XLOOKUP(PROYECTOS[[#This Row],[MUNICIPIO]],'4.CAP_ENDMNT'!B:B,'4.CAP_ENDMNT'!P:P,0,0,1)</f>
        <v>0.8</v>
      </c>
      <c r="AH357" s="44" t="str">
        <f>+_xlfn.XLOOKUP(PROYECTOS[[#This Row],[MUNICIPIO]],'4.CAP_ENDMNT'!B:B,'4.CAP_ENDMNT'!Q:Q,0,0,1)</f>
        <v>Cumple</v>
      </c>
      <c r="AI357" s="139">
        <f>+_xlfn.XLOOKUP(PROYECTOS[[#This Row],[MUNICIPIO]],'4.CAP_ENDMNT'!B:B,'4.CAP_ENDMNT'!V:V,0,0,1)</f>
        <v>1809691000.1424</v>
      </c>
      <c r="AJ357" s="139">
        <f>+_xlfn.XLOOKUP(PROYECTOS[[#This Row],[MUNICIPIO]],'4.CAP_ENDMNT'!B:B,'4.CAP_ENDMNT'!Y:Y,0,0,1)</f>
        <v>-12348843887.145599</v>
      </c>
      <c r="AK357"/>
      <c r="AL357"/>
      <c r="AM357"/>
    </row>
    <row r="358" spans="1:39">
      <c r="A358" s="44">
        <v>376</v>
      </c>
      <c r="B358" s="37" t="s">
        <v>678</v>
      </c>
      <c r="C358" s="118">
        <v>45747</v>
      </c>
      <c r="D358" s="34" t="s">
        <v>477</v>
      </c>
      <c r="E358" s="47" t="str">
        <f>+_xlfn.XLOOKUP(PROYECTOS[[#This Row],[MUNICIPIO]],MUNICIPIOS!A:A,MUNICIPIOS!E:E,0,0,1)</f>
        <v>Norte</v>
      </c>
      <c r="F358" s="44">
        <f>+_xlfn.XLOOKUP(PROYECTOS[[#This Row],[MUNICIPIO]],MUNICIPIOS!A:A,MUNICIPIOS!F:F,0,0,1)</f>
        <v>-75.335115999999999</v>
      </c>
      <c r="G358" s="44" t="str">
        <f>+_xlfn.XLOOKUP(PROYECTOS[[#This Row],[MUNICIPIO]],MUNICIPIOS!A:A,MUNICIPIOS!G:G,0,0,1)</f>
        <v>6,885175</v>
      </c>
      <c r="H358" s="44">
        <f>+_xlfn.XLOOKUP(PROYECTOS[[#This Row],[MUNICIPIO]],MUNICIPIOS!A:A,MUNICIPIOS!B:B,0,0,1)</f>
        <v>0</v>
      </c>
      <c r="I358" s="44">
        <f>+_xlfn.XLOOKUP(PROYECTOS[[#This Row],[MUNICIPIO]],MUNICIPIOS!A:A,MUNICIPIOS!C:C,0,0,1)</f>
        <v>1</v>
      </c>
      <c r="J358" s="34" t="str" cm="1">
        <f t="array" ref="J358">_xlfn.TEXTJOIN(" ", TRUE, IF(radicados[ID PROYECTOS]=A358, radicados[RADICADO], ""))</f>
        <v/>
      </c>
      <c r="K358" s="128">
        <v>2</v>
      </c>
      <c r="L358" s="48">
        <v>1368359324</v>
      </c>
      <c r="M358" s="40" t="s">
        <v>435</v>
      </c>
      <c r="N358" s="40" t="s">
        <v>398</v>
      </c>
      <c r="O358" s="40" t="s">
        <v>25</v>
      </c>
      <c r="P358" s="53" t="s">
        <v>657</v>
      </c>
      <c r="Q358" s="45"/>
      <c r="R358" s="50"/>
      <c r="S358" s="50"/>
      <c r="T358" s="44">
        <f>+_xlfn.XLOOKUP(PROYECTOS[[#This Row],[MUNICIPIO]],'4.CAP_ENDMNT'!B:B,'4.CAP_ENDMNT'!C:C,0,0,1)</f>
        <v>6</v>
      </c>
      <c r="U358" s="139">
        <f>+_xlfn.XLOOKUP(PROYECTOS[[#This Row],[MUNICIPIO]],'4.CAP_ENDMNT'!B:B,'4.CAP_ENDMNT'!D:D,0,0,1)</f>
        <v>12764062914.553999</v>
      </c>
      <c r="V358" s="140">
        <f>+_xlfn.XLOOKUP(PROYECTOS[[#This Row],[MUNICIPIO]],'4.CAP_ENDMNT'!B:B,'4.CAP_ENDMNT'!E:E,0,0,1)</f>
        <v>4266060462.2200003</v>
      </c>
      <c r="W358" s="140">
        <f>+_xlfn.XLOOKUP(PROYECTOS[[#This Row],[MUNICIPIO]],'4.CAP_ENDMNT'!B:B,'4.CAP_ENDMNT'!F:F,0,0,1)</f>
        <v>8498002452.3339987</v>
      </c>
      <c r="X358" s="140">
        <f>+_xlfn.XLOOKUP(PROYECTOS[[#This Row],[MUNICIPIO]],'4.CAP_ENDMNT'!B:B,'4.CAP_ENDMNT'!G:G,0,0,1)</f>
        <v>4258957687</v>
      </c>
      <c r="Y358" s="140">
        <f>+_xlfn.XLOOKUP(PROYECTOS[[#This Row],[MUNICIPIO]],'4.CAP_ENDMNT'!B:B,'4.CAP_ENDMNT'!H:H,0,0,1)</f>
        <v>500000000</v>
      </c>
      <c r="Z358" s="140">
        <f>+_xlfn.XLOOKUP(PROYECTOS[[#This Row],[MUNICIPIO]],'4.CAP_ENDMNT'!B:B,'4.CAP_ENDMNT'!I:I,0,0,1)</f>
        <v>4758957687</v>
      </c>
      <c r="AA358" s="134">
        <f>+_xlfn.XLOOKUP(PROYECTOS[[#This Row],[MUNICIPIO]],'4.CAP_ENDMNT'!B:B,'4.CAP_ENDMNT'!J:J,0,0,1)</f>
        <v>0.37284035019708983</v>
      </c>
      <c r="AB358" s="140">
        <f>+_xlfn.XLOOKUP(PROYECTOS[[#This Row],[MUNICIPIO]],'4.CAP_ENDMNT'!B:B,'4.CAP_ENDMNT'!K:K,0,0,1)</f>
        <v>8005105227.5539989</v>
      </c>
      <c r="AC358" s="140">
        <f>+_xlfn.XLOOKUP(PROYECTOS[[#This Row],[MUNICIPIO]],'4.CAP_ENDMNT'!B:B,'4.CAP_ENDMNT'!L:L,0,0,1)</f>
        <v>6404084182.0431995</v>
      </c>
      <c r="AD358" s="140">
        <f>+_xlfn.XLOOKUP(PROYECTOS[[#This Row],[MUNICIPIO]],'4.CAP_ENDMNT'!B:B,'4.CAP_ENDMNT'!M:M,0,0,1)</f>
        <v>4803063136.5323992</v>
      </c>
      <c r="AE358" s="134">
        <f>+_xlfn.XLOOKUP(PROYECTOS[[#This Row],[MUNICIPIO]],'4.CAP_ENDMNT'!B:B,'4.CAP_ENDMNT'!N:N,0,0,1)</f>
        <v>0.89493497675639244</v>
      </c>
      <c r="AF358" s="134">
        <f>+_xlfn.XLOOKUP(PROYECTOS[[#This Row],[MUNICIPIO]],'4.CAP_ENDMNT'!B:B,'4.CAP_ENDMNT'!O:O,0,0,1)</f>
        <v>0.64132957807138946</v>
      </c>
      <c r="AG358" s="134">
        <f>+_xlfn.XLOOKUP(PROYECTOS[[#This Row],[MUNICIPIO]],'4.CAP_ENDMNT'!B:B,'4.CAP_ENDMNT'!P:P,0,0,1)</f>
        <v>0.8</v>
      </c>
      <c r="AH358" s="44" t="str">
        <f>+_xlfn.XLOOKUP(PROYECTOS[[#This Row],[MUNICIPIO]],'4.CAP_ENDMNT'!B:B,'4.CAP_ENDMNT'!Q:Q,0,0,1)</f>
        <v>Cumple</v>
      </c>
      <c r="AI358" s="139">
        <f>+_xlfn.XLOOKUP(PROYECTOS[[#This Row],[MUNICIPIO]],'4.CAP_ENDMNT'!B:B,'4.CAP_ENDMNT'!V:V,0,0,1)</f>
        <v>960612627.30647993</v>
      </c>
      <c r="AJ358" s="139">
        <f>+_xlfn.XLOOKUP(PROYECTOS[[#This Row],[MUNICIPIO]],'4.CAP_ENDMNT'!B:B,'4.CAP_ENDMNT'!Y:Y,0,0,1)</f>
        <v>-8999039296.1611214</v>
      </c>
      <c r="AK358"/>
      <c r="AL358"/>
      <c r="AM358"/>
    </row>
    <row r="359" spans="1:39">
      <c r="A359" s="44">
        <v>377</v>
      </c>
      <c r="B359" s="37" t="s">
        <v>679</v>
      </c>
      <c r="C359" s="118">
        <v>45747</v>
      </c>
      <c r="D359" s="34" t="s">
        <v>477</v>
      </c>
      <c r="E359" s="47" t="str">
        <f>+_xlfn.XLOOKUP(PROYECTOS[[#This Row],[MUNICIPIO]],MUNICIPIOS!A:A,MUNICIPIOS!E:E,0,0,1)</f>
        <v>Norte</v>
      </c>
      <c r="F359" s="44">
        <f>+_xlfn.XLOOKUP(PROYECTOS[[#This Row],[MUNICIPIO]],MUNICIPIOS!A:A,MUNICIPIOS!F:F,0,0,1)</f>
        <v>-75.335115999999999</v>
      </c>
      <c r="G359" s="44" t="str">
        <f>+_xlfn.XLOOKUP(PROYECTOS[[#This Row],[MUNICIPIO]],MUNICIPIOS!A:A,MUNICIPIOS!G:G,0,0,1)</f>
        <v>6,885175</v>
      </c>
      <c r="H359" s="44">
        <f>+_xlfn.XLOOKUP(PROYECTOS[[#This Row],[MUNICIPIO]],MUNICIPIOS!A:A,MUNICIPIOS!B:B,0,0,1)</f>
        <v>0</v>
      </c>
      <c r="I359" s="44">
        <f>+_xlfn.XLOOKUP(PROYECTOS[[#This Row],[MUNICIPIO]],MUNICIPIOS!A:A,MUNICIPIOS!C:C,0,0,1)</f>
        <v>1</v>
      </c>
      <c r="J359" s="34" t="str" cm="1">
        <f t="array" ref="J359">_xlfn.TEXTJOIN(" ", TRUE, IF(radicados[ID PROYECTOS]=A359, radicados[RADICADO], ""))</f>
        <v/>
      </c>
      <c r="K359" s="128">
        <v>2</v>
      </c>
      <c r="L359" s="48">
        <v>545343196</v>
      </c>
      <c r="M359" s="40" t="s">
        <v>435</v>
      </c>
      <c r="N359" s="40" t="s">
        <v>398</v>
      </c>
      <c r="O359" s="40" t="s">
        <v>25</v>
      </c>
      <c r="P359" s="53" t="s">
        <v>657</v>
      </c>
      <c r="Q359" s="45"/>
      <c r="R359" s="50"/>
      <c r="S359" s="50"/>
      <c r="T359" s="44">
        <f>+_xlfn.XLOOKUP(PROYECTOS[[#This Row],[MUNICIPIO]],'4.CAP_ENDMNT'!B:B,'4.CAP_ENDMNT'!C:C,0,0,1)</f>
        <v>6</v>
      </c>
      <c r="U359" s="139">
        <f>+_xlfn.XLOOKUP(PROYECTOS[[#This Row],[MUNICIPIO]],'4.CAP_ENDMNT'!B:B,'4.CAP_ENDMNT'!D:D,0,0,1)</f>
        <v>12764062914.553999</v>
      </c>
      <c r="V359" s="140">
        <f>+_xlfn.XLOOKUP(PROYECTOS[[#This Row],[MUNICIPIO]],'4.CAP_ENDMNT'!B:B,'4.CAP_ENDMNT'!E:E,0,0,1)</f>
        <v>4266060462.2200003</v>
      </c>
      <c r="W359" s="140">
        <f>+_xlfn.XLOOKUP(PROYECTOS[[#This Row],[MUNICIPIO]],'4.CAP_ENDMNT'!B:B,'4.CAP_ENDMNT'!F:F,0,0,1)</f>
        <v>8498002452.3339987</v>
      </c>
      <c r="X359" s="140">
        <f>+_xlfn.XLOOKUP(PROYECTOS[[#This Row],[MUNICIPIO]],'4.CAP_ENDMNT'!B:B,'4.CAP_ENDMNT'!G:G,0,0,1)</f>
        <v>4258957687</v>
      </c>
      <c r="Y359" s="140">
        <f>+_xlfn.XLOOKUP(PROYECTOS[[#This Row],[MUNICIPIO]],'4.CAP_ENDMNT'!B:B,'4.CAP_ENDMNT'!H:H,0,0,1)</f>
        <v>500000000</v>
      </c>
      <c r="Z359" s="140">
        <f>+_xlfn.XLOOKUP(PROYECTOS[[#This Row],[MUNICIPIO]],'4.CAP_ENDMNT'!B:B,'4.CAP_ENDMNT'!I:I,0,0,1)</f>
        <v>4758957687</v>
      </c>
      <c r="AA359" s="134">
        <f>+_xlfn.XLOOKUP(PROYECTOS[[#This Row],[MUNICIPIO]],'4.CAP_ENDMNT'!B:B,'4.CAP_ENDMNT'!J:J,0,0,1)</f>
        <v>0.37284035019708983</v>
      </c>
      <c r="AB359" s="140">
        <f>+_xlfn.XLOOKUP(PROYECTOS[[#This Row],[MUNICIPIO]],'4.CAP_ENDMNT'!B:B,'4.CAP_ENDMNT'!K:K,0,0,1)</f>
        <v>8005105227.5539989</v>
      </c>
      <c r="AC359" s="140">
        <f>+_xlfn.XLOOKUP(PROYECTOS[[#This Row],[MUNICIPIO]],'4.CAP_ENDMNT'!B:B,'4.CAP_ENDMNT'!L:L,0,0,1)</f>
        <v>6404084182.0431995</v>
      </c>
      <c r="AD359" s="140">
        <f>+_xlfn.XLOOKUP(PROYECTOS[[#This Row],[MUNICIPIO]],'4.CAP_ENDMNT'!B:B,'4.CAP_ENDMNT'!M:M,0,0,1)</f>
        <v>4803063136.5323992</v>
      </c>
      <c r="AE359" s="134">
        <f>+_xlfn.XLOOKUP(PROYECTOS[[#This Row],[MUNICIPIO]],'4.CAP_ENDMNT'!B:B,'4.CAP_ENDMNT'!N:N,0,0,1)</f>
        <v>0.89493497675639244</v>
      </c>
      <c r="AF359" s="134">
        <f>+_xlfn.XLOOKUP(PROYECTOS[[#This Row],[MUNICIPIO]],'4.CAP_ENDMNT'!B:B,'4.CAP_ENDMNT'!O:O,0,0,1)</f>
        <v>0.64132957807138946</v>
      </c>
      <c r="AG359" s="134">
        <f>+_xlfn.XLOOKUP(PROYECTOS[[#This Row],[MUNICIPIO]],'4.CAP_ENDMNT'!B:B,'4.CAP_ENDMNT'!P:P,0,0,1)</f>
        <v>0.8</v>
      </c>
      <c r="AH359" s="44" t="str">
        <f>+_xlfn.XLOOKUP(PROYECTOS[[#This Row],[MUNICIPIO]],'4.CAP_ENDMNT'!B:B,'4.CAP_ENDMNT'!Q:Q,0,0,1)</f>
        <v>Cumple</v>
      </c>
      <c r="AI359" s="139">
        <f>+_xlfn.XLOOKUP(PROYECTOS[[#This Row],[MUNICIPIO]],'4.CAP_ENDMNT'!B:B,'4.CAP_ENDMNT'!V:V,0,0,1)</f>
        <v>960612627.30647993</v>
      </c>
      <c r="AJ359" s="139">
        <f>+_xlfn.XLOOKUP(PROYECTOS[[#This Row],[MUNICIPIO]],'4.CAP_ENDMNT'!B:B,'4.CAP_ENDMNT'!Y:Y,0,0,1)</f>
        <v>-8999039296.1611214</v>
      </c>
      <c r="AK359"/>
      <c r="AL359"/>
      <c r="AM359"/>
    </row>
    <row r="360" spans="1:39">
      <c r="A360" s="44">
        <v>378</v>
      </c>
      <c r="B360" s="37" t="s">
        <v>680</v>
      </c>
      <c r="C360" s="118">
        <v>45747</v>
      </c>
      <c r="D360" s="34" t="s">
        <v>477</v>
      </c>
      <c r="E360" s="47" t="str">
        <f>+_xlfn.XLOOKUP(PROYECTOS[[#This Row],[MUNICIPIO]],MUNICIPIOS!A:A,MUNICIPIOS!E:E,0,0,1)</f>
        <v>Norte</v>
      </c>
      <c r="F360" s="44">
        <f>+_xlfn.XLOOKUP(PROYECTOS[[#This Row],[MUNICIPIO]],MUNICIPIOS!A:A,MUNICIPIOS!F:F,0,0,1)</f>
        <v>-75.335115999999999</v>
      </c>
      <c r="G360" s="44" t="str">
        <f>+_xlfn.XLOOKUP(PROYECTOS[[#This Row],[MUNICIPIO]],MUNICIPIOS!A:A,MUNICIPIOS!G:G,0,0,1)</f>
        <v>6,885175</v>
      </c>
      <c r="H360" s="44">
        <f>+_xlfn.XLOOKUP(PROYECTOS[[#This Row],[MUNICIPIO]],MUNICIPIOS!A:A,MUNICIPIOS!B:B,0,0,1)</f>
        <v>0</v>
      </c>
      <c r="I360" s="44">
        <f>+_xlfn.XLOOKUP(PROYECTOS[[#This Row],[MUNICIPIO]],MUNICIPIOS!A:A,MUNICIPIOS!C:C,0,0,1)</f>
        <v>1</v>
      </c>
      <c r="J360" s="34" t="str" cm="1">
        <f t="array" ref="J360">_xlfn.TEXTJOIN(" ", TRUE, IF(radicados[ID PROYECTOS]=A360, radicados[RADICADO], ""))</f>
        <v/>
      </c>
      <c r="K360" s="128">
        <v>2</v>
      </c>
      <c r="L360" s="48">
        <v>1779119065</v>
      </c>
      <c r="M360" s="40" t="s">
        <v>435</v>
      </c>
      <c r="N360" s="40" t="s">
        <v>398</v>
      </c>
      <c r="O360" s="40" t="s">
        <v>25</v>
      </c>
      <c r="P360" s="53" t="s">
        <v>657</v>
      </c>
      <c r="Q360" s="45"/>
      <c r="R360" s="50"/>
      <c r="S360" s="50"/>
      <c r="T360" s="44">
        <f>+_xlfn.XLOOKUP(PROYECTOS[[#This Row],[MUNICIPIO]],'4.CAP_ENDMNT'!B:B,'4.CAP_ENDMNT'!C:C,0,0,1)</f>
        <v>6</v>
      </c>
      <c r="U360" s="139">
        <f>+_xlfn.XLOOKUP(PROYECTOS[[#This Row],[MUNICIPIO]],'4.CAP_ENDMNT'!B:B,'4.CAP_ENDMNT'!D:D,0,0,1)</f>
        <v>12764062914.553999</v>
      </c>
      <c r="V360" s="140">
        <f>+_xlfn.XLOOKUP(PROYECTOS[[#This Row],[MUNICIPIO]],'4.CAP_ENDMNT'!B:B,'4.CAP_ENDMNT'!E:E,0,0,1)</f>
        <v>4266060462.2200003</v>
      </c>
      <c r="W360" s="140">
        <f>+_xlfn.XLOOKUP(PROYECTOS[[#This Row],[MUNICIPIO]],'4.CAP_ENDMNT'!B:B,'4.CAP_ENDMNT'!F:F,0,0,1)</f>
        <v>8498002452.3339987</v>
      </c>
      <c r="X360" s="140">
        <f>+_xlfn.XLOOKUP(PROYECTOS[[#This Row],[MUNICIPIO]],'4.CAP_ENDMNT'!B:B,'4.CAP_ENDMNT'!G:G,0,0,1)</f>
        <v>4258957687</v>
      </c>
      <c r="Y360" s="140">
        <f>+_xlfn.XLOOKUP(PROYECTOS[[#This Row],[MUNICIPIO]],'4.CAP_ENDMNT'!B:B,'4.CAP_ENDMNT'!H:H,0,0,1)</f>
        <v>500000000</v>
      </c>
      <c r="Z360" s="140">
        <f>+_xlfn.XLOOKUP(PROYECTOS[[#This Row],[MUNICIPIO]],'4.CAP_ENDMNT'!B:B,'4.CAP_ENDMNT'!I:I,0,0,1)</f>
        <v>4758957687</v>
      </c>
      <c r="AA360" s="134">
        <f>+_xlfn.XLOOKUP(PROYECTOS[[#This Row],[MUNICIPIO]],'4.CAP_ENDMNT'!B:B,'4.CAP_ENDMNT'!J:J,0,0,1)</f>
        <v>0.37284035019708983</v>
      </c>
      <c r="AB360" s="140">
        <f>+_xlfn.XLOOKUP(PROYECTOS[[#This Row],[MUNICIPIO]],'4.CAP_ENDMNT'!B:B,'4.CAP_ENDMNT'!K:K,0,0,1)</f>
        <v>8005105227.5539989</v>
      </c>
      <c r="AC360" s="140">
        <f>+_xlfn.XLOOKUP(PROYECTOS[[#This Row],[MUNICIPIO]],'4.CAP_ENDMNT'!B:B,'4.CAP_ENDMNT'!L:L,0,0,1)</f>
        <v>6404084182.0431995</v>
      </c>
      <c r="AD360" s="140">
        <f>+_xlfn.XLOOKUP(PROYECTOS[[#This Row],[MUNICIPIO]],'4.CAP_ENDMNT'!B:B,'4.CAP_ENDMNT'!M:M,0,0,1)</f>
        <v>4803063136.5323992</v>
      </c>
      <c r="AE360" s="134">
        <f>+_xlfn.XLOOKUP(PROYECTOS[[#This Row],[MUNICIPIO]],'4.CAP_ENDMNT'!B:B,'4.CAP_ENDMNT'!N:N,0,0,1)</f>
        <v>0.89493497675639244</v>
      </c>
      <c r="AF360" s="134">
        <f>+_xlfn.XLOOKUP(PROYECTOS[[#This Row],[MUNICIPIO]],'4.CAP_ENDMNT'!B:B,'4.CAP_ENDMNT'!O:O,0,0,1)</f>
        <v>0.64132957807138946</v>
      </c>
      <c r="AG360" s="134">
        <f>+_xlfn.XLOOKUP(PROYECTOS[[#This Row],[MUNICIPIO]],'4.CAP_ENDMNT'!B:B,'4.CAP_ENDMNT'!P:P,0,0,1)</f>
        <v>0.8</v>
      </c>
      <c r="AH360" s="44" t="str">
        <f>+_xlfn.XLOOKUP(PROYECTOS[[#This Row],[MUNICIPIO]],'4.CAP_ENDMNT'!B:B,'4.CAP_ENDMNT'!Q:Q,0,0,1)</f>
        <v>Cumple</v>
      </c>
      <c r="AI360" s="139">
        <f>+_xlfn.XLOOKUP(PROYECTOS[[#This Row],[MUNICIPIO]],'4.CAP_ENDMNT'!B:B,'4.CAP_ENDMNT'!V:V,0,0,1)</f>
        <v>960612627.30647993</v>
      </c>
      <c r="AJ360" s="139">
        <f>+_xlfn.XLOOKUP(PROYECTOS[[#This Row],[MUNICIPIO]],'4.CAP_ENDMNT'!B:B,'4.CAP_ENDMNT'!Y:Y,0,0,1)</f>
        <v>-8999039296.1611214</v>
      </c>
      <c r="AK360"/>
      <c r="AL360"/>
      <c r="AM360"/>
    </row>
    <row r="361" spans="1:39">
      <c r="A361" s="44">
        <v>379</v>
      </c>
      <c r="B361" s="192" t="s">
        <v>681</v>
      </c>
      <c r="C361" s="118">
        <v>45747</v>
      </c>
      <c r="D361" s="34" t="s">
        <v>74</v>
      </c>
      <c r="E361" s="47" t="str">
        <f>+_xlfn.XLOOKUP(PROYECTOS[[#This Row],[MUNICIPIO]],MUNICIPIOS!A:A,MUNICIPIOS!E:E,0,0,1)</f>
        <v>Urabá</v>
      </c>
      <c r="F361" s="44">
        <f>+_xlfn.XLOOKUP(PROYECTOS[[#This Row],[MUNICIPIO]],MUNICIPIOS!A:A,MUNICIPIOS!F:F,0,0,1)</f>
        <v>-76.728858000000002</v>
      </c>
      <c r="G361" s="44">
        <f>+_xlfn.XLOOKUP(PROYECTOS[[#This Row],[MUNICIPIO]],MUNICIPIOS!A:A,MUNICIPIOS!G:G,0,0,1)</f>
        <v>8.0899289999999997</v>
      </c>
      <c r="H361" s="44">
        <f>+_xlfn.XLOOKUP(PROYECTOS[[#This Row],[MUNICIPIO]],MUNICIPIOS!A:A,MUNICIPIOS!B:B,0,0,1)</f>
        <v>1</v>
      </c>
      <c r="I361" s="44">
        <f>+_xlfn.XLOOKUP(PROYECTOS[[#This Row],[MUNICIPIO]],MUNICIPIOS!A:A,MUNICIPIOS!C:C,0,0,1)</f>
        <v>1</v>
      </c>
      <c r="J361" s="34" t="str" cm="1">
        <f t="array" ref="J361">_xlfn.TEXTJOIN(" ", TRUE, IF(radicados[ID PROYECTOS]=A361, radicados[RADICADO], ""))</f>
        <v/>
      </c>
      <c r="K361" s="142">
        <v>3</v>
      </c>
      <c r="L361" s="48">
        <v>6868201452</v>
      </c>
      <c r="M361" s="40" t="s">
        <v>428</v>
      </c>
      <c r="N361" s="40" t="s">
        <v>398</v>
      </c>
      <c r="O361" s="40" t="s">
        <v>25</v>
      </c>
      <c r="P361" s="236"/>
      <c r="Q361" s="45">
        <v>1</v>
      </c>
      <c r="R361" s="43" t="s">
        <v>922</v>
      </c>
      <c r="S361" s="43" t="s">
        <v>1643</v>
      </c>
      <c r="T361" s="44">
        <f>+_xlfn.XLOOKUP(PROYECTOS[[#This Row],[MUNICIPIO]],'4.CAP_ENDMNT'!B:B,'4.CAP_ENDMNT'!C:C,0,0,1)</f>
        <v>5</v>
      </c>
      <c r="U361" s="139">
        <f>+_xlfn.XLOOKUP(PROYECTOS[[#This Row],[MUNICIPIO]],'4.CAP_ENDMNT'!B:B,'4.CAP_ENDMNT'!D:D,0,0,1)</f>
        <v>57277943756.629501</v>
      </c>
      <c r="V361" s="140">
        <f>+_xlfn.XLOOKUP(PROYECTOS[[#This Row],[MUNICIPIO]],'4.CAP_ENDMNT'!B:B,'4.CAP_ENDMNT'!E:E,0,0,1)</f>
        <v>34159399600.959999</v>
      </c>
      <c r="W361" s="140">
        <f>+_xlfn.XLOOKUP(PROYECTOS[[#This Row],[MUNICIPIO]],'4.CAP_ENDMNT'!B:B,'4.CAP_ENDMNT'!F:F,0,0,1)</f>
        <v>23118544155.669502</v>
      </c>
      <c r="X361" s="140">
        <f>+_xlfn.XLOOKUP(PROYECTOS[[#This Row],[MUNICIPIO]],'4.CAP_ENDMNT'!B:B,'4.CAP_ENDMNT'!G:G,0,0,1)</f>
        <v>3450000000</v>
      </c>
      <c r="Y361" s="140">
        <f>+_xlfn.XLOOKUP(PROYECTOS[[#This Row],[MUNICIPIO]],'4.CAP_ENDMNT'!B:B,'4.CAP_ENDMNT'!H:H,0,0,1)</f>
        <v>21452083665</v>
      </c>
      <c r="Z361" s="140">
        <f>+_xlfn.XLOOKUP(PROYECTOS[[#This Row],[MUNICIPIO]],'4.CAP_ENDMNT'!B:B,'4.CAP_ENDMNT'!I:I,0,0,1)</f>
        <v>24902083665</v>
      </c>
      <c r="AA361" s="134">
        <f>+_xlfn.XLOOKUP(PROYECTOS[[#This Row],[MUNICIPIO]],'4.CAP_ENDMNT'!B:B,'4.CAP_ENDMNT'!J:J,0,0,1)</f>
        <v>0.43475868775610099</v>
      </c>
      <c r="AB361" s="140">
        <f>+_xlfn.XLOOKUP(PROYECTOS[[#This Row],[MUNICIPIO]],'4.CAP_ENDMNT'!B:B,'4.CAP_ENDMNT'!K:K,0,0,1)</f>
        <v>32375860091.629501</v>
      </c>
      <c r="AC361" s="140">
        <f>+_xlfn.XLOOKUP(PROYECTOS[[#This Row],[MUNICIPIO]],'4.CAP_ENDMNT'!B:B,'4.CAP_ENDMNT'!L:L,0,0,1)</f>
        <v>25900688073.303604</v>
      </c>
      <c r="AD361" s="140">
        <f>+_xlfn.XLOOKUP(PROYECTOS[[#This Row],[MUNICIPIO]],'4.CAP_ENDMNT'!B:B,'4.CAP_ENDMNT'!M:M,0,0,1)</f>
        <v>19425516054.977699</v>
      </c>
      <c r="AE361" s="134">
        <f>+_xlfn.XLOOKUP(PROYECTOS[[#This Row],[MUNICIPIO]],'4.CAP_ENDMNT'!B:B,'4.CAP_ENDMNT'!N:N,0,0,1)</f>
        <v>0.13854262343712995</v>
      </c>
      <c r="AF361" s="134">
        <f>+_xlfn.XLOOKUP(PROYECTOS[[#This Row],[MUNICIPIO]],'4.CAP_ENDMNT'!B:B,'4.CAP_ENDMNT'!O:O,0,0,1)</f>
        <v>0.87015152665365447</v>
      </c>
      <c r="AG361" s="134">
        <f>+_xlfn.XLOOKUP(PROYECTOS[[#This Row],[MUNICIPIO]],'4.CAP_ENDMNT'!B:B,'4.CAP_ENDMNT'!P:P,0,0,1)</f>
        <v>0.8</v>
      </c>
      <c r="AH361" s="44" t="str">
        <f>+_xlfn.XLOOKUP(PROYECTOS[[#This Row],[MUNICIPIO]],'4.CAP_ENDMNT'!B:B,'4.CAP_ENDMNT'!Q:Q,0,0,1)</f>
        <v>Incumple</v>
      </c>
      <c r="AI361" s="139">
        <f>+_xlfn.XLOOKUP(PROYECTOS[[#This Row],[MUNICIPIO]],'4.CAP_ENDMNT'!B:B,'4.CAP_ENDMNT'!V:V,0,0,1)</f>
        <v>3885103210.9955401</v>
      </c>
      <c r="AJ361" s="139">
        <f>+_xlfn.XLOOKUP(PROYECTOS[[#This Row],[MUNICIPIO]],'4.CAP_ENDMNT'!B:B,'4.CAP_ENDMNT'!Y:Y,0,0,1)</f>
        <v>-114052861009.72676</v>
      </c>
      <c r="AK361"/>
      <c r="AL361"/>
      <c r="AM361"/>
    </row>
    <row r="362" spans="1:39">
      <c r="A362" s="44">
        <v>380</v>
      </c>
      <c r="B362" s="192" t="s">
        <v>682</v>
      </c>
      <c r="C362" s="118">
        <v>45747</v>
      </c>
      <c r="D362" s="34" t="s">
        <v>74</v>
      </c>
      <c r="E362" s="47" t="str">
        <f>+_xlfn.XLOOKUP(PROYECTOS[[#This Row],[MUNICIPIO]],MUNICIPIOS!A:A,MUNICIPIOS!E:E,0,0,1)</f>
        <v>Urabá</v>
      </c>
      <c r="F362" s="44">
        <f>+_xlfn.XLOOKUP(PROYECTOS[[#This Row],[MUNICIPIO]],MUNICIPIOS!A:A,MUNICIPIOS!F:F,0,0,1)</f>
        <v>-76.728858000000002</v>
      </c>
      <c r="G362" s="44">
        <f>+_xlfn.XLOOKUP(PROYECTOS[[#This Row],[MUNICIPIO]],MUNICIPIOS!A:A,MUNICIPIOS!G:G,0,0,1)</f>
        <v>8.0899289999999997</v>
      </c>
      <c r="H362" s="44">
        <f>+_xlfn.XLOOKUP(PROYECTOS[[#This Row],[MUNICIPIO]],MUNICIPIOS!A:A,MUNICIPIOS!B:B,0,0,1)</f>
        <v>1</v>
      </c>
      <c r="I362" s="44">
        <f>+_xlfn.XLOOKUP(PROYECTOS[[#This Row],[MUNICIPIO]],MUNICIPIOS!A:A,MUNICIPIOS!C:C,0,0,1)</f>
        <v>1</v>
      </c>
      <c r="J362" s="34" t="str" cm="1">
        <f t="array" ref="J362">_xlfn.TEXTJOIN(" ", TRUE, IF(radicados[ID PROYECTOS]=A362, radicados[RADICADO], ""))</f>
        <v/>
      </c>
      <c r="K362" s="142">
        <v>3</v>
      </c>
      <c r="L362" s="48">
        <v>3521945000</v>
      </c>
      <c r="M362" s="40" t="s">
        <v>428</v>
      </c>
      <c r="N362" s="40" t="s">
        <v>398</v>
      </c>
      <c r="O362" s="40" t="s">
        <v>25</v>
      </c>
      <c r="P362" s="236"/>
      <c r="Q362" s="45">
        <v>1</v>
      </c>
      <c r="R362" s="43" t="s">
        <v>922</v>
      </c>
      <c r="S362" s="43" t="s">
        <v>1643</v>
      </c>
      <c r="T362" s="44">
        <f>+_xlfn.XLOOKUP(PROYECTOS[[#This Row],[MUNICIPIO]],'4.CAP_ENDMNT'!B:B,'4.CAP_ENDMNT'!C:C,0,0,1)</f>
        <v>5</v>
      </c>
      <c r="U362" s="139">
        <f>+_xlfn.XLOOKUP(PROYECTOS[[#This Row],[MUNICIPIO]],'4.CAP_ENDMNT'!B:B,'4.CAP_ENDMNT'!D:D,0,0,1)</f>
        <v>57277943756.629501</v>
      </c>
      <c r="V362" s="140">
        <f>+_xlfn.XLOOKUP(PROYECTOS[[#This Row],[MUNICIPIO]],'4.CAP_ENDMNT'!B:B,'4.CAP_ENDMNT'!E:E,0,0,1)</f>
        <v>34159399600.959999</v>
      </c>
      <c r="W362" s="140">
        <f>+_xlfn.XLOOKUP(PROYECTOS[[#This Row],[MUNICIPIO]],'4.CAP_ENDMNT'!B:B,'4.CAP_ENDMNT'!F:F,0,0,1)</f>
        <v>23118544155.669502</v>
      </c>
      <c r="X362" s="140">
        <f>+_xlfn.XLOOKUP(PROYECTOS[[#This Row],[MUNICIPIO]],'4.CAP_ENDMNT'!B:B,'4.CAP_ENDMNT'!G:G,0,0,1)</f>
        <v>3450000000</v>
      </c>
      <c r="Y362" s="140">
        <f>+_xlfn.XLOOKUP(PROYECTOS[[#This Row],[MUNICIPIO]],'4.CAP_ENDMNT'!B:B,'4.CAP_ENDMNT'!H:H,0,0,1)</f>
        <v>21452083665</v>
      </c>
      <c r="Z362" s="140">
        <f>+_xlfn.XLOOKUP(PROYECTOS[[#This Row],[MUNICIPIO]],'4.CAP_ENDMNT'!B:B,'4.CAP_ENDMNT'!I:I,0,0,1)</f>
        <v>24902083665</v>
      </c>
      <c r="AA362" s="134">
        <f>+_xlfn.XLOOKUP(PROYECTOS[[#This Row],[MUNICIPIO]],'4.CAP_ENDMNT'!B:B,'4.CAP_ENDMNT'!J:J,0,0,1)</f>
        <v>0.43475868775610099</v>
      </c>
      <c r="AB362" s="140">
        <f>+_xlfn.XLOOKUP(PROYECTOS[[#This Row],[MUNICIPIO]],'4.CAP_ENDMNT'!B:B,'4.CAP_ENDMNT'!K:K,0,0,1)</f>
        <v>32375860091.629501</v>
      </c>
      <c r="AC362" s="140">
        <f>+_xlfn.XLOOKUP(PROYECTOS[[#This Row],[MUNICIPIO]],'4.CAP_ENDMNT'!B:B,'4.CAP_ENDMNT'!L:L,0,0,1)</f>
        <v>25900688073.303604</v>
      </c>
      <c r="AD362" s="140">
        <f>+_xlfn.XLOOKUP(PROYECTOS[[#This Row],[MUNICIPIO]],'4.CAP_ENDMNT'!B:B,'4.CAP_ENDMNT'!M:M,0,0,1)</f>
        <v>19425516054.977699</v>
      </c>
      <c r="AE362" s="134">
        <f>+_xlfn.XLOOKUP(PROYECTOS[[#This Row],[MUNICIPIO]],'4.CAP_ENDMNT'!B:B,'4.CAP_ENDMNT'!N:N,0,0,1)</f>
        <v>0.13854262343712995</v>
      </c>
      <c r="AF362" s="134">
        <f>+_xlfn.XLOOKUP(PROYECTOS[[#This Row],[MUNICIPIO]],'4.CAP_ENDMNT'!B:B,'4.CAP_ENDMNT'!O:O,0,0,1)</f>
        <v>0.87015152665365447</v>
      </c>
      <c r="AG362" s="134">
        <f>+_xlfn.XLOOKUP(PROYECTOS[[#This Row],[MUNICIPIO]],'4.CAP_ENDMNT'!B:B,'4.CAP_ENDMNT'!P:P,0,0,1)</f>
        <v>0.8</v>
      </c>
      <c r="AH362" s="44" t="str">
        <f>+_xlfn.XLOOKUP(PROYECTOS[[#This Row],[MUNICIPIO]],'4.CAP_ENDMNT'!B:B,'4.CAP_ENDMNT'!Q:Q,0,0,1)</f>
        <v>Incumple</v>
      </c>
      <c r="AI362" s="139">
        <f>+_xlfn.XLOOKUP(PROYECTOS[[#This Row],[MUNICIPIO]],'4.CAP_ENDMNT'!B:B,'4.CAP_ENDMNT'!V:V,0,0,1)</f>
        <v>3885103210.9955401</v>
      </c>
      <c r="AJ362" s="139">
        <f>+_xlfn.XLOOKUP(PROYECTOS[[#This Row],[MUNICIPIO]],'4.CAP_ENDMNT'!B:B,'4.CAP_ENDMNT'!Y:Y,0,0,1)</f>
        <v>-114052861009.72676</v>
      </c>
      <c r="AK362"/>
      <c r="AL362"/>
      <c r="AM362"/>
    </row>
    <row r="363" spans="1:39">
      <c r="A363" s="44">
        <v>381</v>
      </c>
      <c r="B363" s="37" t="s">
        <v>683</v>
      </c>
      <c r="C363" s="118">
        <v>45747</v>
      </c>
      <c r="D363" s="34" t="s">
        <v>125</v>
      </c>
      <c r="E363" s="47" t="str">
        <f>+_xlfn.XLOOKUP(PROYECTOS[[#This Row],[MUNICIPIO]],MUNICIPIOS!A:A,MUNICIPIOS!E:E,0,0,1)</f>
        <v>Oriente</v>
      </c>
      <c r="F363" s="44">
        <f>+_xlfn.XLOOKUP(PROYECTOS[[#This Row],[MUNICIPIO]],MUNICIPIOS!A:A,MUNICIPIOS!F:F,0,0,1)</f>
        <v>-75.185483000000005</v>
      </c>
      <c r="G363" s="44" t="str">
        <f>+_xlfn.XLOOKUP(PROYECTOS[[#This Row],[MUNICIPIO]],MUNICIPIOS!A:A,MUNICIPIOS!G:G,0,0,1)</f>
        <v>6,058295</v>
      </c>
      <c r="H363" s="44">
        <f>+_xlfn.XLOOKUP(PROYECTOS[[#This Row],[MUNICIPIO]],MUNICIPIOS!A:A,MUNICIPIOS!B:B,0,0,1)</f>
        <v>0</v>
      </c>
      <c r="I363" s="44">
        <f>+_xlfn.XLOOKUP(PROYECTOS[[#This Row],[MUNICIPIO]],MUNICIPIOS!A:A,MUNICIPIOS!C:C,0,0,1)</f>
        <v>1</v>
      </c>
      <c r="J363" s="34" t="str" cm="1">
        <f t="array" ref="J363">_xlfn.TEXTJOIN(" ", TRUE, IF(radicados[ID PROYECTOS]=A363, radicados[RADICADO], ""))</f>
        <v/>
      </c>
      <c r="K363" s="45">
        <v>3</v>
      </c>
      <c r="L363" s="48"/>
      <c r="M363" s="40" t="s">
        <v>435</v>
      </c>
      <c r="N363" s="40" t="s">
        <v>398</v>
      </c>
      <c r="O363" s="40" t="s">
        <v>25</v>
      </c>
      <c r="P363" s="53" t="s">
        <v>657</v>
      </c>
      <c r="Q363" s="45">
        <v>1</v>
      </c>
      <c r="R363" s="49" t="s">
        <v>190</v>
      </c>
      <c r="S363" s="43" t="s">
        <v>1255</v>
      </c>
      <c r="T363" s="44">
        <f>+_xlfn.XLOOKUP(PROYECTOS[[#This Row],[MUNICIPIO]],'4.CAP_ENDMNT'!B:B,'4.CAP_ENDMNT'!C:C,0,0,1)</f>
        <v>6</v>
      </c>
      <c r="U363" s="139">
        <f>+_xlfn.XLOOKUP(PROYECTOS[[#This Row],[MUNICIPIO]],'4.CAP_ENDMNT'!B:B,'4.CAP_ENDMNT'!D:D,0,0,1)</f>
        <v>12327690626.8465</v>
      </c>
      <c r="V363" s="140">
        <f>+_xlfn.XLOOKUP(PROYECTOS[[#This Row],[MUNICIPIO]],'4.CAP_ENDMNT'!B:B,'4.CAP_ENDMNT'!E:E,0,0,1)</f>
        <v>4723680091.2799997</v>
      </c>
      <c r="W363" s="140">
        <f>+_xlfn.XLOOKUP(PROYECTOS[[#This Row],[MUNICIPIO]],'4.CAP_ENDMNT'!B:B,'4.CAP_ENDMNT'!F:F,0,0,1)</f>
        <v>7604010535.5665007</v>
      </c>
      <c r="X363" s="140">
        <f>+_xlfn.XLOOKUP(PROYECTOS[[#This Row],[MUNICIPIO]],'4.CAP_ENDMNT'!B:B,'4.CAP_ENDMNT'!G:G,0,0,1)</f>
        <v>445297438</v>
      </c>
      <c r="Y363" s="140">
        <f>+_xlfn.XLOOKUP(PROYECTOS[[#This Row],[MUNICIPIO]],'4.CAP_ENDMNT'!B:B,'4.CAP_ENDMNT'!H:H,0,0,1)</f>
        <v>33508702</v>
      </c>
      <c r="Z363" s="140">
        <f>+_xlfn.XLOOKUP(PROYECTOS[[#This Row],[MUNICIPIO]],'4.CAP_ENDMNT'!B:B,'4.CAP_ENDMNT'!I:I,0,0,1)</f>
        <v>478806140</v>
      </c>
      <c r="AA363" s="134">
        <f>+_xlfn.XLOOKUP(PROYECTOS[[#This Row],[MUNICIPIO]],'4.CAP_ENDMNT'!B:B,'4.CAP_ENDMNT'!J:J,0,0,1)</f>
        <v>3.8839889359105498E-2</v>
      </c>
      <c r="AB363" s="140">
        <f>+_xlfn.XLOOKUP(PROYECTOS[[#This Row],[MUNICIPIO]],'4.CAP_ENDMNT'!B:B,'4.CAP_ENDMNT'!K:K,0,0,1)</f>
        <v>11848884486.8465</v>
      </c>
      <c r="AC363" s="140">
        <f>+_xlfn.XLOOKUP(PROYECTOS[[#This Row],[MUNICIPIO]],'4.CAP_ENDMNT'!B:B,'4.CAP_ENDMNT'!L:L,0,0,1)</f>
        <v>9479107589.4772015</v>
      </c>
      <c r="AD363" s="140">
        <f>+_xlfn.XLOOKUP(PROYECTOS[[#This Row],[MUNICIPIO]],'4.CAP_ENDMNT'!B:B,'4.CAP_ENDMNT'!M:M,0,0,1)</f>
        <v>7109330692.1078997</v>
      </c>
      <c r="AE363" s="134">
        <f>+_xlfn.XLOOKUP(PROYECTOS[[#This Row],[MUNICIPIO]],'4.CAP_ENDMNT'!B:B,'4.CAP_ENDMNT'!N:N,0,0,1)</f>
        <v>0.93001613972619479</v>
      </c>
      <c r="AF363" s="134">
        <f>+_xlfn.XLOOKUP(PROYECTOS[[#This Row],[MUNICIPIO]],'4.CAP_ENDMNT'!B:B,'4.CAP_ENDMNT'!O:O,0,0,1)</f>
        <v>0.63996045822337311</v>
      </c>
      <c r="AG363" s="134">
        <f>+_xlfn.XLOOKUP(PROYECTOS[[#This Row],[MUNICIPIO]],'4.CAP_ENDMNT'!B:B,'4.CAP_ENDMNT'!P:P,0,0,1)</f>
        <v>0.8</v>
      </c>
      <c r="AH363" s="44" t="str">
        <f>+_xlfn.XLOOKUP(PROYECTOS[[#This Row],[MUNICIPIO]],'4.CAP_ENDMNT'!B:B,'4.CAP_ENDMNT'!Q:Q,0,0,1)</f>
        <v>Cumple</v>
      </c>
      <c r="AI363" s="139">
        <f>+_xlfn.XLOOKUP(PROYECTOS[[#This Row],[MUNICIPIO]],'4.CAP_ENDMNT'!B:B,'4.CAP_ENDMNT'!V:V,0,0,1)</f>
        <v>1421866138.4215801</v>
      </c>
      <c r="AJ363" s="139">
        <f>+_xlfn.XLOOKUP(PROYECTOS[[#This Row],[MUNICIPIO]],'4.CAP_ENDMNT'!B:B,'4.CAP_ENDMNT'!Y:Y,0,0,1)</f>
        <v>4809429397.52948</v>
      </c>
      <c r="AK363"/>
      <c r="AL363"/>
      <c r="AM363"/>
    </row>
    <row r="364" spans="1:39">
      <c r="A364" s="44">
        <v>382</v>
      </c>
      <c r="B364" s="37" t="s">
        <v>684</v>
      </c>
      <c r="C364" s="118">
        <v>45747</v>
      </c>
      <c r="D364" s="34" t="s">
        <v>11</v>
      </c>
      <c r="E364" s="47" t="str">
        <f>+_xlfn.XLOOKUP(PROYECTOS[[#This Row],[MUNICIPIO]],MUNICIPIOS!A:A,MUNICIPIOS!E:E,0,0,1)</f>
        <v>Magdalena Medio</v>
      </c>
      <c r="F364" s="44">
        <f>+_xlfn.XLOOKUP(PROYECTOS[[#This Row],[MUNICIPIO]],MUNICIPIOS!A:A,MUNICIPIOS!F:F,0,0,1)</f>
        <v>-74.641189999999995</v>
      </c>
      <c r="G364" s="44" t="str">
        <f>+_xlfn.XLOOKUP(PROYECTOS[[#This Row],[MUNICIPIO]],MUNICIPIOS!A:A,MUNICIPIOS!G:G,0,0,1)</f>
        <v>5,871318</v>
      </c>
      <c r="H364" s="44">
        <f>+_xlfn.XLOOKUP(PROYECTOS[[#This Row],[MUNICIPIO]],MUNICIPIOS!A:A,MUNICIPIOS!B:B,0,0,1)</f>
        <v>0</v>
      </c>
      <c r="I364" s="44">
        <f>+_xlfn.XLOOKUP(PROYECTOS[[#This Row],[MUNICIPIO]],MUNICIPIOS!A:A,MUNICIPIOS!C:C,0,0,1)</f>
        <v>0</v>
      </c>
      <c r="J364" s="34" t="str" cm="1">
        <f t="array" ref="J364">_xlfn.TEXTJOIN(" ", TRUE, IF(radicados[ID PROYECTOS]=A364, radicados[RADICADO], ""))</f>
        <v/>
      </c>
      <c r="K364" s="45">
        <v>2</v>
      </c>
      <c r="L364" s="72"/>
      <c r="M364" s="40" t="s">
        <v>435</v>
      </c>
      <c r="N364" s="40" t="s">
        <v>397</v>
      </c>
      <c r="O364" s="40" t="s">
        <v>56</v>
      </c>
      <c r="P364" s="58" t="s">
        <v>685</v>
      </c>
      <c r="Q364" s="45"/>
      <c r="R364" s="50"/>
      <c r="S364" s="50"/>
      <c r="T364" s="44">
        <f>+_xlfn.XLOOKUP(PROYECTOS[[#This Row],[MUNICIPIO]],'4.CAP_ENDMNT'!B:B,'4.CAP_ENDMNT'!C:C,0,0,1)</f>
        <v>6</v>
      </c>
      <c r="U364" s="139">
        <f>+_xlfn.XLOOKUP(PROYECTOS[[#This Row],[MUNICIPIO]],'4.CAP_ENDMNT'!B:B,'4.CAP_ENDMNT'!D:D,0,0,1)</f>
        <v>22896432570.9105</v>
      </c>
      <c r="V364" s="140">
        <f>+_xlfn.XLOOKUP(PROYECTOS[[#This Row],[MUNICIPIO]],'4.CAP_ENDMNT'!B:B,'4.CAP_ENDMNT'!E:E,0,0,1)</f>
        <v>6514105665.9899998</v>
      </c>
      <c r="W364" s="140">
        <f>+_xlfn.XLOOKUP(PROYECTOS[[#This Row],[MUNICIPIO]],'4.CAP_ENDMNT'!B:B,'4.CAP_ENDMNT'!F:F,0,0,1)</f>
        <v>16382326904.9205</v>
      </c>
      <c r="X364" s="140">
        <f>+_xlfn.XLOOKUP(PROYECTOS[[#This Row],[MUNICIPIO]],'4.CAP_ENDMNT'!B:B,'4.CAP_ENDMNT'!G:G,0,0,1)</f>
        <v>15087488121</v>
      </c>
      <c r="Y364" s="140">
        <f>+_xlfn.XLOOKUP(PROYECTOS[[#This Row],[MUNICIPIO]],'4.CAP_ENDMNT'!B:B,'4.CAP_ENDMNT'!H:H,0,0,1)</f>
        <v>152370595</v>
      </c>
      <c r="Z364" s="140">
        <f>+_xlfn.XLOOKUP(PROYECTOS[[#This Row],[MUNICIPIO]],'4.CAP_ENDMNT'!B:B,'4.CAP_ENDMNT'!I:I,0,0,1)</f>
        <v>15239858716</v>
      </c>
      <c r="AA364" s="134">
        <f>+_xlfn.XLOOKUP(PROYECTOS[[#This Row],[MUNICIPIO]],'4.CAP_ENDMNT'!B:B,'4.CAP_ENDMNT'!J:J,0,0,1)</f>
        <v>0.66559970287082904</v>
      </c>
      <c r="AB364" s="140">
        <f>+_xlfn.XLOOKUP(PROYECTOS[[#This Row],[MUNICIPIO]],'4.CAP_ENDMNT'!B:B,'4.CAP_ENDMNT'!K:K,0,0,1)</f>
        <v>7656573854.9104996</v>
      </c>
      <c r="AC364" s="140">
        <f>+_xlfn.XLOOKUP(PROYECTOS[[#This Row],[MUNICIPIO]],'4.CAP_ENDMNT'!B:B,'4.CAP_ENDMNT'!L:L,0,0,1)</f>
        <v>6125259083.9284</v>
      </c>
      <c r="AD364" s="140">
        <f>+_xlfn.XLOOKUP(PROYECTOS[[#This Row],[MUNICIPIO]],'4.CAP_ENDMNT'!B:B,'4.CAP_ENDMNT'!M:M,0,0,1)</f>
        <v>4593944312.9462996</v>
      </c>
      <c r="AE364" s="134">
        <f>+_xlfn.XLOOKUP(PROYECTOS[[#This Row],[MUNICIPIO]],'4.CAP_ENDMNT'!B:B,'4.CAP_ENDMNT'!N:N,0,0,1)</f>
        <v>0.99000183677293352</v>
      </c>
      <c r="AF364" s="134">
        <f>+_xlfn.XLOOKUP(PROYECTOS[[#This Row],[MUNICIPIO]],'4.CAP_ENDMNT'!B:B,'4.CAP_ENDMNT'!O:O,0,0,1)</f>
        <v>0.53987925149269589</v>
      </c>
      <c r="AG364" s="134">
        <f>+_xlfn.XLOOKUP(PROYECTOS[[#This Row],[MUNICIPIO]],'4.CAP_ENDMNT'!B:B,'4.CAP_ENDMNT'!P:P,0,0,1)</f>
        <v>0.8</v>
      </c>
      <c r="AH364" s="44" t="str">
        <f>+_xlfn.XLOOKUP(PROYECTOS[[#This Row],[MUNICIPIO]],'4.CAP_ENDMNT'!B:B,'4.CAP_ENDMNT'!Q:Q,0,0,1)</f>
        <v>Cumple</v>
      </c>
      <c r="AI364" s="139">
        <f>+_xlfn.XLOOKUP(PROYECTOS[[#This Row],[MUNICIPIO]],'4.CAP_ENDMNT'!B:B,'4.CAP_ENDMNT'!V:V,0,0,1)</f>
        <v>918788862.58925998</v>
      </c>
      <c r="AJ364" s="139">
        <f>+_xlfn.XLOOKUP(PROYECTOS[[#This Row],[MUNICIPIO]],'4.CAP_ENDMNT'!B:B,'4.CAP_ENDMNT'!Y:Y,0,0,1)</f>
        <v>-5124042499.4644403</v>
      </c>
      <c r="AK364"/>
      <c r="AL364"/>
      <c r="AM364"/>
    </row>
    <row r="365" spans="1:39">
      <c r="A365" s="44">
        <v>383</v>
      </c>
      <c r="B365" s="37" t="s">
        <v>348</v>
      </c>
      <c r="C365" s="118">
        <f>+_xlfn.XLOOKUP(PROYECTOS[[#This Row],[ID_NECESIDAD]],'1.RADICADOS'!G:G,'1.RADICADOS'!C:C,0,0,1)*1</f>
        <v>45712</v>
      </c>
      <c r="D365" s="34" t="s">
        <v>244</v>
      </c>
      <c r="E365" s="47" t="str">
        <f>+_xlfn.XLOOKUP(PROYECTOS[[#This Row],[MUNICIPIO]],MUNICIPIOS!A:A,MUNICIPIOS!E:E,0,0,1)</f>
        <v>Nordeste</v>
      </c>
      <c r="F365" s="44">
        <f>+_xlfn.XLOOKUP(PROYECTOS[[#This Row],[MUNICIPIO]],MUNICIPIOS!A:A,MUNICIPIOS!F:F,0,0,1)</f>
        <v>-75.087046999999998</v>
      </c>
      <c r="G365" s="44" t="str">
        <f>+_xlfn.XLOOKUP(PROYECTOS[[#This Row],[MUNICIPIO]],MUNICIPIOS!A:A,MUNICIPIOS!G:G,0,0,1)</f>
        <v>6,537829</v>
      </c>
      <c r="H365" s="44">
        <f>+_xlfn.XLOOKUP(PROYECTOS[[#This Row],[MUNICIPIO]],MUNICIPIOS!A:A,MUNICIPIOS!B:B,0,0,1)</f>
        <v>0</v>
      </c>
      <c r="I365" s="44">
        <f>+_xlfn.XLOOKUP(PROYECTOS[[#This Row],[MUNICIPIO]],MUNICIPIOS!A:A,MUNICIPIOS!C:C,0,0,1)</f>
        <v>0</v>
      </c>
      <c r="J365" s="34" t="str" cm="1">
        <f t="array" ref="J365">_xlfn.TEXTJOIN(" ", TRUE, IF(radicados[ID PROYECTOS]=A365, radicados[RADICADO], ""))</f>
        <v>2025010087091</v>
      </c>
      <c r="K365" s="45">
        <v>3</v>
      </c>
      <c r="L365" s="48">
        <v>5134606831</v>
      </c>
      <c r="M365" s="40" t="s">
        <v>288</v>
      </c>
      <c r="N365" s="92" t="s">
        <v>398</v>
      </c>
      <c r="O365" s="92" t="s">
        <v>25</v>
      </c>
      <c r="P365" s="37" t="s">
        <v>349</v>
      </c>
      <c r="Q365" s="45"/>
      <c r="R365" s="50"/>
      <c r="S365" s="50"/>
      <c r="T365" s="44">
        <f>+_xlfn.XLOOKUP(PROYECTOS[[#This Row],[MUNICIPIO]],'4.CAP_ENDMNT'!B:B,'4.CAP_ENDMNT'!C:C,0,0,1)</f>
        <v>6</v>
      </c>
      <c r="U365" s="139">
        <f>+_xlfn.XLOOKUP(PROYECTOS[[#This Row],[MUNICIPIO]],'4.CAP_ENDMNT'!B:B,'4.CAP_ENDMNT'!D:D,0,0,1)</f>
        <v>11769915072.3085</v>
      </c>
      <c r="V365" s="140">
        <f>+_xlfn.XLOOKUP(PROYECTOS[[#This Row],[MUNICIPIO]],'4.CAP_ENDMNT'!B:B,'4.CAP_ENDMNT'!E:E,0,0,1)</f>
        <v>4043512144.3800001</v>
      </c>
      <c r="W365" s="140">
        <f>+_xlfn.XLOOKUP(PROYECTOS[[#This Row],[MUNICIPIO]],'4.CAP_ENDMNT'!B:B,'4.CAP_ENDMNT'!F:F,0,0,1)</f>
        <v>7726402927.9285002</v>
      </c>
      <c r="X365" s="140">
        <f>+_xlfn.XLOOKUP(PROYECTOS[[#This Row],[MUNICIPIO]],'4.CAP_ENDMNT'!B:B,'4.CAP_ENDMNT'!G:G,0,0,1)</f>
        <v>3010151420</v>
      </c>
      <c r="Y365" s="140">
        <f>+_xlfn.XLOOKUP(PROYECTOS[[#This Row],[MUNICIPIO]],'4.CAP_ENDMNT'!B:B,'4.CAP_ENDMNT'!H:H,0,0,1)</f>
        <v>0</v>
      </c>
      <c r="Z365" s="140">
        <f>+_xlfn.XLOOKUP(PROYECTOS[[#This Row],[MUNICIPIO]],'4.CAP_ENDMNT'!B:B,'4.CAP_ENDMNT'!I:I,0,0,1)</f>
        <v>3010151420</v>
      </c>
      <c r="AA365" s="134">
        <f>+_xlfn.XLOOKUP(PROYECTOS[[#This Row],[MUNICIPIO]],'4.CAP_ENDMNT'!B:B,'4.CAP_ENDMNT'!J:J,0,0,1)</f>
        <v>0.255749629585866</v>
      </c>
      <c r="AB365" s="140">
        <f>+_xlfn.XLOOKUP(PROYECTOS[[#This Row],[MUNICIPIO]],'4.CAP_ENDMNT'!B:B,'4.CAP_ENDMNT'!K:K,0,0,1)</f>
        <v>8759763652.3085003</v>
      </c>
      <c r="AC365" s="140">
        <f>+_xlfn.XLOOKUP(PROYECTOS[[#This Row],[MUNICIPIO]],'4.CAP_ENDMNT'!B:B,'4.CAP_ENDMNT'!L:L,0,0,1)</f>
        <v>7007810921.8468008</v>
      </c>
      <c r="AD365" s="140">
        <f>+_xlfn.XLOOKUP(PROYECTOS[[#This Row],[MUNICIPIO]],'4.CAP_ENDMNT'!B:B,'4.CAP_ENDMNT'!M:M,0,0,1)</f>
        <v>5255858191.3851004</v>
      </c>
      <c r="AE365" s="134">
        <f>+_xlfn.XLOOKUP(PROYECTOS[[#This Row],[MUNICIPIO]],'4.CAP_ENDMNT'!B:B,'4.CAP_ENDMNT'!N:N,0,0,1)</f>
        <v>1</v>
      </c>
      <c r="AF365" s="134">
        <f>+_xlfn.XLOOKUP(PROYECTOS[[#This Row],[MUNICIPIO]],'4.CAP_ENDMNT'!B:B,'4.CAP_ENDMNT'!O:O,0,0,1)</f>
        <v>0.52320001604697897</v>
      </c>
      <c r="AG365" s="134">
        <f>+_xlfn.XLOOKUP(PROYECTOS[[#This Row],[MUNICIPIO]],'4.CAP_ENDMNT'!B:B,'4.CAP_ENDMNT'!P:P,0,0,1)</f>
        <v>0.8</v>
      </c>
      <c r="AH365" s="44" t="str">
        <f>+_xlfn.XLOOKUP(PROYECTOS[[#This Row],[MUNICIPIO]],'4.CAP_ENDMNT'!B:B,'4.CAP_ENDMNT'!Q:Q,0,0,1)</f>
        <v>Cumple</v>
      </c>
      <c r="AI365" s="139">
        <f>+_xlfn.XLOOKUP(PROYECTOS[[#This Row],[MUNICIPIO]],'4.CAP_ENDMNT'!B:B,'4.CAP_ENDMNT'!V:V,0,0,1)</f>
        <v>1051171638.2770201</v>
      </c>
      <c r="AJ365" s="139">
        <f>+_xlfn.XLOOKUP(PROYECTOS[[#This Row],[MUNICIPIO]],'4.CAP_ENDMNT'!B:B,'4.CAP_ENDMNT'!Y:Y,0,0,1)</f>
        <v>-11518386102.337879</v>
      </c>
      <c r="AK365"/>
      <c r="AL365"/>
      <c r="AM365"/>
    </row>
    <row r="366" spans="1:39">
      <c r="A366" s="44">
        <v>384</v>
      </c>
      <c r="B366" s="37" t="s">
        <v>350</v>
      </c>
      <c r="C366" s="118">
        <f>+_xlfn.XLOOKUP(PROYECTOS[[#This Row],[ID_NECESIDAD]],'1.RADICADOS'!G:G,'1.RADICADOS'!C:C,0,0,1)*1</f>
        <v>45712</v>
      </c>
      <c r="D366" s="34" t="s">
        <v>244</v>
      </c>
      <c r="E366" s="47" t="str">
        <f>+_xlfn.XLOOKUP(PROYECTOS[[#This Row],[MUNICIPIO]],MUNICIPIOS!A:A,MUNICIPIOS!E:E,0,0,1)</f>
        <v>Nordeste</v>
      </c>
      <c r="F366" s="44">
        <f>+_xlfn.XLOOKUP(PROYECTOS[[#This Row],[MUNICIPIO]],MUNICIPIOS!A:A,MUNICIPIOS!F:F,0,0,1)</f>
        <v>-75.087046999999998</v>
      </c>
      <c r="G366" s="44" t="str">
        <f>+_xlfn.XLOOKUP(PROYECTOS[[#This Row],[MUNICIPIO]],MUNICIPIOS!A:A,MUNICIPIOS!G:G,0,0,1)</f>
        <v>6,537829</v>
      </c>
      <c r="H366" s="44">
        <f>+_xlfn.XLOOKUP(PROYECTOS[[#This Row],[MUNICIPIO]],MUNICIPIOS!A:A,MUNICIPIOS!B:B,0,0,1)</f>
        <v>0</v>
      </c>
      <c r="I366" s="44">
        <f>+_xlfn.XLOOKUP(PROYECTOS[[#This Row],[MUNICIPIO]],MUNICIPIOS!A:A,MUNICIPIOS!C:C,0,0,1)</f>
        <v>0</v>
      </c>
      <c r="J366" s="34" t="str" cm="1">
        <f t="array" ref="J366">_xlfn.TEXTJOIN(" ", TRUE, IF(radicados[ID PROYECTOS]=A366, radicados[RADICADO], ""))</f>
        <v>2025010087091</v>
      </c>
      <c r="K366" s="45">
        <v>3</v>
      </c>
      <c r="L366" s="48">
        <v>7365388005</v>
      </c>
      <c r="M366" s="40" t="s">
        <v>401</v>
      </c>
      <c r="N366" s="92" t="s">
        <v>394</v>
      </c>
      <c r="O366" s="92" t="s">
        <v>18</v>
      </c>
      <c r="P366" s="37" t="s">
        <v>1470</v>
      </c>
      <c r="Q366" s="45"/>
      <c r="R366" s="50"/>
      <c r="S366" s="50"/>
      <c r="T366" s="44">
        <f>+_xlfn.XLOOKUP(PROYECTOS[[#This Row],[MUNICIPIO]],'4.CAP_ENDMNT'!B:B,'4.CAP_ENDMNT'!C:C,0,0,1)</f>
        <v>6</v>
      </c>
      <c r="U366" s="139">
        <f>+_xlfn.XLOOKUP(PROYECTOS[[#This Row],[MUNICIPIO]],'4.CAP_ENDMNT'!B:B,'4.CAP_ENDMNT'!D:D,0,0,1)</f>
        <v>11769915072.3085</v>
      </c>
      <c r="V366" s="140">
        <f>+_xlfn.XLOOKUP(PROYECTOS[[#This Row],[MUNICIPIO]],'4.CAP_ENDMNT'!B:B,'4.CAP_ENDMNT'!E:E,0,0,1)</f>
        <v>4043512144.3800001</v>
      </c>
      <c r="W366" s="140">
        <f>+_xlfn.XLOOKUP(PROYECTOS[[#This Row],[MUNICIPIO]],'4.CAP_ENDMNT'!B:B,'4.CAP_ENDMNT'!F:F,0,0,1)</f>
        <v>7726402927.9285002</v>
      </c>
      <c r="X366" s="140">
        <f>+_xlfn.XLOOKUP(PROYECTOS[[#This Row],[MUNICIPIO]],'4.CAP_ENDMNT'!B:B,'4.CAP_ENDMNT'!G:G,0,0,1)</f>
        <v>3010151420</v>
      </c>
      <c r="Y366" s="140">
        <f>+_xlfn.XLOOKUP(PROYECTOS[[#This Row],[MUNICIPIO]],'4.CAP_ENDMNT'!B:B,'4.CAP_ENDMNT'!H:H,0,0,1)</f>
        <v>0</v>
      </c>
      <c r="Z366" s="140">
        <f>+_xlfn.XLOOKUP(PROYECTOS[[#This Row],[MUNICIPIO]],'4.CAP_ENDMNT'!B:B,'4.CAP_ENDMNT'!I:I,0,0,1)</f>
        <v>3010151420</v>
      </c>
      <c r="AA366" s="134">
        <f>+_xlfn.XLOOKUP(PROYECTOS[[#This Row],[MUNICIPIO]],'4.CAP_ENDMNT'!B:B,'4.CAP_ENDMNT'!J:J,0,0,1)</f>
        <v>0.255749629585866</v>
      </c>
      <c r="AB366" s="140">
        <f>+_xlfn.XLOOKUP(PROYECTOS[[#This Row],[MUNICIPIO]],'4.CAP_ENDMNT'!B:B,'4.CAP_ENDMNT'!K:K,0,0,1)</f>
        <v>8759763652.3085003</v>
      </c>
      <c r="AC366" s="140">
        <f>+_xlfn.XLOOKUP(PROYECTOS[[#This Row],[MUNICIPIO]],'4.CAP_ENDMNT'!B:B,'4.CAP_ENDMNT'!L:L,0,0,1)</f>
        <v>7007810921.8468008</v>
      </c>
      <c r="AD366" s="140">
        <f>+_xlfn.XLOOKUP(PROYECTOS[[#This Row],[MUNICIPIO]],'4.CAP_ENDMNT'!B:B,'4.CAP_ENDMNT'!M:M,0,0,1)</f>
        <v>5255858191.3851004</v>
      </c>
      <c r="AE366" s="134">
        <f>+_xlfn.XLOOKUP(PROYECTOS[[#This Row],[MUNICIPIO]],'4.CAP_ENDMNT'!B:B,'4.CAP_ENDMNT'!N:N,0,0,1)</f>
        <v>1</v>
      </c>
      <c r="AF366" s="134">
        <f>+_xlfn.XLOOKUP(PROYECTOS[[#This Row],[MUNICIPIO]],'4.CAP_ENDMNT'!B:B,'4.CAP_ENDMNT'!O:O,0,0,1)</f>
        <v>0.52320001604697897</v>
      </c>
      <c r="AG366" s="134">
        <f>+_xlfn.XLOOKUP(PROYECTOS[[#This Row],[MUNICIPIO]],'4.CAP_ENDMNT'!B:B,'4.CAP_ENDMNT'!P:P,0,0,1)</f>
        <v>0.8</v>
      </c>
      <c r="AH366" s="44" t="str">
        <f>+_xlfn.XLOOKUP(PROYECTOS[[#This Row],[MUNICIPIO]],'4.CAP_ENDMNT'!B:B,'4.CAP_ENDMNT'!Q:Q,0,0,1)</f>
        <v>Cumple</v>
      </c>
      <c r="AI366" s="139">
        <f>+_xlfn.XLOOKUP(PROYECTOS[[#This Row],[MUNICIPIO]],'4.CAP_ENDMNT'!B:B,'4.CAP_ENDMNT'!V:V,0,0,1)</f>
        <v>1051171638.2770201</v>
      </c>
      <c r="AJ366" s="139">
        <f>+_xlfn.XLOOKUP(PROYECTOS[[#This Row],[MUNICIPIO]],'4.CAP_ENDMNT'!B:B,'4.CAP_ENDMNT'!Y:Y,0,0,1)</f>
        <v>-11518386102.337879</v>
      </c>
      <c r="AK366"/>
      <c r="AL366"/>
      <c r="AM366"/>
    </row>
    <row r="367" spans="1:39">
      <c r="A367" s="44">
        <v>385</v>
      </c>
      <c r="B367" s="37" t="s">
        <v>1471</v>
      </c>
      <c r="C367" s="118">
        <f>+_xlfn.XLOOKUP(PROYECTOS[[#This Row],[ID_NECESIDAD]],'1.RADICADOS'!G:G,'1.RADICADOS'!C:C,0,0,1)*1</f>
        <v>45713</v>
      </c>
      <c r="D367" s="67" t="s">
        <v>193</v>
      </c>
      <c r="E367" s="47" t="str">
        <f>+_xlfn.XLOOKUP(PROYECTOS[[#This Row],[MUNICIPIO]],MUNICIPIOS!A:A,MUNICIPIOS!E:E,0,0,1)</f>
        <v>Urabá</v>
      </c>
      <c r="F367" s="44">
        <f>+_xlfn.XLOOKUP(PROYECTOS[[#This Row],[MUNICIPIO]],MUNICIPIOS!A:A,MUNICIPIOS!F:F,0,0,1)</f>
        <v>-76.426708000000005</v>
      </c>
      <c r="G367" s="44" t="str">
        <f>+_xlfn.XLOOKUP(PROYECTOS[[#This Row],[MUNICIPIO]],MUNICIPIOS!A:A,MUNICIPIOS!G:G,0,0,1)</f>
        <v>8,849317</v>
      </c>
      <c r="H367" s="44">
        <f>+_xlfn.XLOOKUP(PROYECTOS[[#This Row],[MUNICIPIO]],MUNICIPIOS!A:A,MUNICIPIOS!B:B,0,0,1)</f>
        <v>0</v>
      </c>
      <c r="I367" s="44">
        <f>+_xlfn.XLOOKUP(PROYECTOS[[#This Row],[MUNICIPIO]],MUNICIPIOS!A:A,MUNICIPIOS!C:C,0,0,1)</f>
        <v>0</v>
      </c>
      <c r="J367" s="34" t="str" cm="1">
        <f t="array" ref="J367">_xlfn.TEXTJOIN(" ", TRUE, IF(radicados[ID PROYECTOS]=A367, radicados[RADICADO], ""))</f>
        <v>2025010088949</v>
      </c>
      <c r="K367" s="45">
        <v>3</v>
      </c>
      <c r="L367" s="48">
        <v>16142060924</v>
      </c>
      <c r="M367" s="40" t="s">
        <v>401</v>
      </c>
      <c r="N367" s="92" t="s">
        <v>398</v>
      </c>
      <c r="O367" s="92" t="s">
        <v>25</v>
      </c>
      <c r="P367" s="69" t="s">
        <v>356</v>
      </c>
      <c r="Q367" s="45"/>
      <c r="R367" s="50"/>
      <c r="S367" s="50"/>
      <c r="T367" s="44">
        <f>+_xlfn.XLOOKUP(PROYECTOS[[#This Row],[MUNICIPIO]],'4.CAP_ENDMNT'!B:B,'4.CAP_ENDMNT'!C:C,0,0,1)</f>
        <v>6</v>
      </c>
      <c r="U367" s="139">
        <f>+_xlfn.XLOOKUP(PROYECTOS[[#This Row],[MUNICIPIO]],'4.CAP_ENDMNT'!B:B,'4.CAP_ENDMNT'!D:D,0,0,1)</f>
        <v>19782037469.424</v>
      </c>
      <c r="V367" s="140">
        <f>+_xlfn.XLOOKUP(PROYECTOS[[#This Row],[MUNICIPIO]],'4.CAP_ENDMNT'!B:B,'4.CAP_ENDMNT'!E:E,0,0,1)</f>
        <v>6224691780.3400002</v>
      </c>
      <c r="W367" s="140">
        <f>+_xlfn.XLOOKUP(PROYECTOS[[#This Row],[MUNICIPIO]],'4.CAP_ENDMNT'!B:B,'4.CAP_ENDMNT'!F:F,0,0,1)</f>
        <v>13557345689.084</v>
      </c>
      <c r="X367" s="140">
        <f>+_xlfn.XLOOKUP(PROYECTOS[[#This Row],[MUNICIPIO]],'4.CAP_ENDMNT'!B:B,'4.CAP_ENDMNT'!G:G,0,0,1)</f>
        <v>5530076291</v>
      </c>
      <c r="Y367" s="140">
        <f>+_xlfn.XLOOKUP(PROYECTOS[[#This Row],[MUNICIPIO]],'4.CAP_ENDMNT'!B:B,'4.CAP_ENDMNT'!H:H,0,0,1)</f>
        <v>135075758</v>
      </c>
      <c r="Z367" s="140">
        <f>+_xlfn.XLOOKUP(PROYECTOS[[#This Row],[MUNICIPIO]],'4.CAP_ENDMNT'!B:B,'4.CAP_ENDMNT'!I:I,0,0,1)</f>
        <v>5665152049</v>
      </c>
      <c r="AA367" s="134">
        <f>+_xlfn.XLOOKUP(PROYECTOS[[#This Row],[MUNICIPIO]],'4.CAP_ENDMNT'!B:B,'4.CAP_ENDMNT'!J:J,0,0,1)</f>
        <v>0.28637859258715448</v>
      </c>
      <c r="AB367" s="140">
        <f>+_xlfn.XLOOKUP(PROYECTOS[[#This Row],[MUNICIPIO]],'4.CAP_ENDMNT'!B:B,'4.CAP_ENDMNT'!K:K,0,0,1)</f>
        <v>14116885420.424</v>
      </c>
      <c r="AC367" s="140">
        <f>+_xlfn.XLOOKUP(PROYECTOS[[#This Row],[MUNICIPIO]],'4.CAP_ENDMNT'!B:B,'4.CAP_ENDMNT'!L:L,0,0,1)</f>
        <v>11293508336.339201</v>
      </c>
      <c r="AD367" s="140">
        <f>+_xlfn.XLOOKUP(PROYECTOS[[#This Row],[MUNICIPIO]],'4.CAP_ENDMNT'!B:B,'4.CAP_ENDMNT'!M:M,0,0,1)</f>
        <v>8470131252.2543993</v>
      </c>
      <c r="AE367" s="134">
        <f>+_xlfn.XLOOKUP(PROYECTOS[[#This Row],[MUNICIPIO]],'4.CAP_ENDMNT'!B:B,'4.CAP_ENDMNT'!N:N,0,0,1)</f>
        <v>0.97615672856938707</v>
      </c>
      <c r="AF367" s="134">
        <f>+_xlfn.XLOOKUP(PROYECTOS[[#This Row],[MUNICIPIO]],'4.CAP_ENDMNT'!B:B,'4.CAP_ENDMNT'!O:O,0,0,1)</f>
        <v>0.63121490876418529</v>
      </c>
      <c r="AG367" s="134">
        <f>+_xlfn.XLOOKUP(PROYECTOS[[#This Row],[MUNICIPIO]],'4.CAP_ENDMNT'!B:B,'4.CAP_ENDMNT'!P:P,0,0,1)</f>
        <v>0.8</v>
      </c>
      <c r="AH367" s="44" t="str">
        <f>+_xlfn.XLOOKUP(PROYECTOS[[#This Row],[MUNICIPIO]],'4.CAP_ENDMNT'!B:B,'4.CAP_ENDMNT'!Q:Q,0,0,1)</f>
        <v>Cumple</v>
      </c>
      <c r="AI367" s="139">
        <f>+_xlfn.XLOOKUP(PROYECTOS[[#This Row],[MUNICIPIO]],'4.CAP_ENDMNT'!B:B,'4.CAP_ENDMNT'!V:V,0,0,1)</f>
        <v>1694026250.4508801</v>
      </c>
      <c r="AJ367" s="139">
        <f>+_xlfn.XLOOKUP(PROYECTOS[[#This Row],[MUNICIPIO]],'4.CAP_ENDMNT'!B:B,'4.CAP_ENDMNT'!Y:Y,0,0,1)</f>
        <v>-28540377224.29472</v>
      </c>
      <c r="AK367"/>
      <c r="AL367"/>
      <c r="AM367"/>
    </row>
    <row r="368" spans="1:39">
      <c r="A368" s="44">
        <v>386</v>
      </c>
      <c r="B368" s="37" t="s">
        <v>1472</v>
      </c>
      <c r="C368" s="118">
        <f>+_xlfn.XLOOKUP(PROYECTOS[[#This Row],[ID_NECESIDAD]],'1.RADICADOS'!G:G,'1.RADICADOS'!C:C,0,0,1)*1</f>
        <v>45713</v>
      </c>
      <c r="D368" s="34" t="s">
        <v>115</v>
      </c>
      <c r="E368" s="47" t="str">
        <f>+_xlfn.XLOOKUP(PROYECTOS[[#This Row],[MUNICIPIO]],MUNICIPIOS!A:A,MUNICIPIOS!E:E,0,0,1)</f>
        <v>Oriente</v>
      </c>
      <c r="F368" s="44">
        <f>+_xlfn.XLOOKUP(PROYECTOS[[#This Row],[MUNICIPIO]],MUNICIPIOS!A:A,MUNICIPIOS!F:F,0,0,1)</f>
        <v>-75.429433000000003</v>
      </c>
      <c r="G368" s="44" t="str">
        <f>+_xlfn.XLOOKUP(PROYECTOS[[#This Row],[MUNICIPIO]],MUNICIPIOS!A:A,MUNICIPIOS!G:G,0,0,1)</f>
        <v>6,028062</v>
      </c>
      <c r="H368" s="44">
        <f>+_xlfn.XLOOKUP(PROYECTOS[[#This Row],[MUNICIPIO]],MUNICIPIOS!A:A,MUNICIPIOS!B:B,0,0,1)</f>
        <v>0</v>
      </c>
      <c r="I368" s="44">
        <f>+_xlfn.XLOOKUP(PROYECTOS[[#This Row],[MUNICIPIO]],MUNICIPIOS!A:A,MUNICIPIOS!C:C,0,0,1)</f>
        <v>0</v>
      </c>
      <c r="J368" s="34" t="str" cm="1">
        <f t="array" ref="J368">_xlfn.TEXTJOIN(" ", TRUE, IF(radicados[ID PROYECTOS]=A368, radicados[RADICADO], ""))</f>
        <v>2025010089650</v>
      </c>
      <c r="K368" s="45">
        <v>1</v>
      </c>
      <c r="L368" s="48"/>
      <c r="M368" s="40" t="s">
        <v>288</v>
      </c>
      <c r="N368" s="92" t="s">
        <v>398</v>
      </c>
      <c r="O368" s="92" t="s">
        <v>25</v>
      </c>
      <c r="P368" s="13" t="s">
        <v>978</v>
      </c>
      <c r="Q368" s="45"/>
      <c r="R368" s="50"/>
      <c r="S368" s="50"/>
      <c r="T368" s="44">
        <f>+_xlfn.XLOOKUP(PROYECTOS[[#This Row],[MUNICIPIO]],'4.CAP_ENDMNT'!B:B,'4.CAP_ENDMNT'!C:C,0,0,1)</f>
        <v>2</v>
      </c>
      <c r="U368" s="139">
        <f>+_xlfn.XLOOKUP(PROYECTOS[[#This Row],[MUNICIPIO]],'4.CAP_ENDMNT'!B:B,'4.CAP_ENDMNT'!D:D,0,0,1)</f>
        <v>102691614388.099</v>
      </c>
      <c r="V368" s="140">
        <f>+_xlfn.XLOOKUP(PROYECTOS[[#This Row],[MUNICIPIO]],'4.CAP_ENDMNT'!B:B,'4.CAP_ENDMNT'!E:E,0,0,1)</f>
        <v>29123622287.32</v>
      </c>
      <c r="W368" s="140">
        <f>+_xlfn.XLOOKUP(PROYECTOS[[#This Row],[MUNICIPIO]],'4.CAP_ENDMNT'!B:B,'4.CAP_ENDMNT'!F:F,0,0,1)</f>
        <v>73567992100.778992</v>
      </c>
      <c r="X368" s="140">
        <f>+_xlfn.XLOOKUP(PROYECTOS[[#This Row],[MUNICIPIO]],'4.CAP_ENDMNT'!B:B,'4.CAP_ENDMNT'!G:G,0,0,1)</f>
        <v>5166195556</v>
      </c>
      <c r="Y368" s="140">
        <f>+_xlfn.XLOOKUP(PROYECTOS[[#This Row],[MUNICIPIO]],'4.CAP_ENDMNT'!B:B,'4.CAP_ENDMNT'!H:H,0,0,1)</f>
        <v>27283390599</v>
      </c>
      <c r="Z368" s="140">
        <f>+_xlfn.XLOOKUP(PROYECTOS[[#This Row],[MUNICIPIO]],'4.CAP_ENDMNT'!B:B,'4.CAP_ENDMNT'!I:I,0,0,1)</f>
        <v>32449586155</v>
      </c>
      <c r="AA368" s="134">
        <f>+_xlfn.XLOOKUP(PROYECTOS[[#This Row],[MUNICIPIO]],'4.CAP_ENDMNT'!B:B,'4.CAP_ENDMNT'!J:J,0,0,1)</f>
        <v>0.3159906127521217</v>
      </c>
      <c r="AB368" s="140">
        <f>+_xlfn.XLOOKUP(PROYECTOS[[#This Row],[MUNICIPIO]],'4.CAP_ENDMNT'!B:B,'4.CAP_ENDMNT'!K:K,0,0,1)</f>
        <v>70242028233.098999</v>
      </c>
      <c r="AC368" s="140">
        <f>+_xlfn.XLOOKUP(PROYECTOS[[#This Row],[MUNICIPIO]],'4.CAP_ENDMNT'!B:B,'4.CAP_ENDMNT'!L:L,0,0,1)</f>
        <v>56193622586.479202</v>
      </c>
      <c r="AD368" s="140">
        <f>+_xlfn.XLOOKUP(PROYECTOS[[#This Row],[MUNICIPIO]],'4.CAP_ENDMNT'!B:B,'4.CAP_ENDMNT'!M:M,0,0,1)</f>
        <v>42145216939.859398</v>
      </c>
      <c r="AE368" s="134">
        <f>+_xlfn.XLOOKUP(PROYECTOS[[#This Row],[MUNICIPIO]],'4.CAP_ENDMNT'!B:B,'4.CAP_ENDMNT'!N:N,0,0,1)</f>
        <v>0.15920682412783146</v>
      </c>
      <c r="AF368" s="134">
        <f>+_xlfn.XLOOKUP(PROYECTOS[[#This Row],[MUNICIPIO]],'4.CAP_ENDMNT'!B:B,'4.CAP_ENDMNT'!O:O,0,0,1)</f>
        <v>0.28977187660096981</v>
      </c>
      <c r="AG368" s="134">
        <f>+_xlfn.XLOOKUP(PROYECTOS[[#This Row],[MUNICIPIO]],'4.CAP_ENDMNT'!B:B,'4.CAP_ENDMNT'!P:P,0,0,1)</f>
        <v>0.7</v>
      </c>
      <c r="AH368" s="44" t="str">
        <f>+_xlfn.XLOOKUP(PROYECTOS[[#This Row],[MUNICIPIO]],'4.CAP_ENDMNT'!B:B,'4.CAP_ENDMNT'!Q:Q,0,0,1)</f>
        <v>Cumple</v>
      </c>
      <c r="AI368" s="139">
        <f>+_xlfn.XLOOKUP(PROYECTOS[[#This Row],[MUNICIPIO]],'4.CAP_ENDMNT'!B:B,'4.CAP_ENDMNT'!V:V,0,0,1)</f>
        <v>8429043387.97188</v>
      </c>
      <c r="AJ368" s="139">
        <f>+_xlfn.XLOOKUP(PROYECTOS[[#This Row],[MUNICIPIO]],'4.CAP_ENDMNT'!B:B,'4.CAP_ENDMNT'!Y:Y,0,0,1)</f>
        <v>45609749252.831276</v>
      </c>
      <c r="AK368"/>
      <c r="AL368"/>
      <c r="AM368"/>
    </row>
    <row r="369" spans="1:39">
      <c r="A369" s="44">
        <v>387</v>
      </c>
      <c r="B369" s="37" t="s">
        <v>360</v>
      </c>
      <c r="C369" s="118">
        <f>+_xlfn.XLOOKUP(PROYECTOS[[#This Row],[ID_NECESIDAD]],'1.RADICADOS'!G:G,'1.RADICADOS'!C:C,0,0,1)*1</f>
        <v>45720</v>
      </c>
      <c r="D369" s="34" t="s">
        <v>359</v>
      </c>
      <c r="E369" s="47" t="str">
        <f>+_xlfn.XLOOKUP(PROYECTOS[[#This Row],[MUNICIPIO]],MUNICIPIOS!A:A,MUNICIPIOS!E:E,0,0,1)</f>
        <v>Suroeste</v>
      </c>
      <c r="F369" s="44">
        <f>+_xlfn.XLOOKUP(PROYECTOS[[#This Row],[MUNICIPIO]],MUNICIPIOS!A:A,MUNICIPIOS!F:F,0,0,1)</f>
        <v>-75.643867999999998</v>
      </c>
      <c r="G369" s="44" t="str">
        <f>+_xlfn.XLOOKUP(PROYECTOS[[#This Row],[MUNICIPIO]],MUNICIPIOS!A:A,MUNICIPIOS!G:G,0,0,1)</f>
        <v>5,54853</v>
      </c>
      <c r="H369" s="44">
        <f>+_xlfn.XLOOKUP(PROYECTOS[[#This Row],[MUNICIPIO]],MUNICIPIOS!A:A,MUNICIPIOS!B:B,0,0,1)</f>
        <v>0</v>
      </c>
      <c r="I369" s="44">
        <f>+_xlfn.XLOOKUP(PROYECTOS[[#This Row],[MUNICIPIO]],MUNICIPIOS!A:A,MUNICIPIOS!C:C,0,0,1)</f>
        <v>0</v>
      </c>
      <c r="J369" s="34" t="str" cm="1">
        <f t="array" ref="J369">_xlfn.TEXTJOIN(" ", TRUE, IF(radicados[ID PROYECTOS]=A369, radicados[RADICADO], ""))</f>
        <v>2025010102267</v>
      </c>
      <c r="K369" s="45">
        <v>3</v>
      </c>
      <c r="L369" s="48">
        <v>4178212674</v>
      </c>
      <c r="M369" s="40" t="s">
        <v>288</v>
      </c>
      <c r="N369" s="92" t="s">
        <v>398</v>
      </c>
      <c r="O369" s="92" t="s">
        <v>25</v>
      </c>
      <c r="P369" s="69" t="s">
        <v>361</v>
      </c>
      <c r="Q369" s="45"/>
      <c r="R369" s="50"/>
      <c r="S369" s="50"/>
      <c r="T369" s="44">
        <f>+_xlfn.XLOOKUP(PROYECTOS[[#This Row],[MUNICIPIO]],'4.CAP_ENDMNT'!B:B,'4.CAP_ENDMNT'!C:C,0,0,1)</f>
        <v>6</v>
      </c>
      <c r="U369" s="139">
        <f>+_xlfn.XLOOKUP(PROYECTOS[[#This Row],[MUNICIPIO]],'4.CAP_ENDMNT'!B:B,'4.CAP_ENDMNT'!D:D,0,0,1)</f>
        <v>4632250570.3755007</v>
      </c>
      <c r="V369" s="140">
        <f>+_xlfn.XLOOKUP(PROYECTOS[[#This Row],[MUNICIPIO]],'4.CAP_ENDMNT'!B:B,'4.CAP_ENDMNT'!E:E,0,0,1)</f>
        <v>2678094476.75</v>
      </c>
      <c r="W369" s="140">
        <f>+_xlfn.XLOOKUP(PROYECTOS[[#This Row],[MUNICIPIO]],'4.CAP_ENDMNT'!B:B,'4.CAP_ENDMNT'!F:F,0,0,1)</f>
        <v>1954156093.6255007</v>
      </c>
      <c r="X369" s="140">
        <f>+_xlfn.XLOOKUP(PROYECTOS[[#This Row],[MUNICIPIO]],'4.CAP_ENDMNT'!B:B,'4.CAP_ENDMNT'!G:G,0,0,1)</f>
        <v>1940610936.6700001</v>
      </c>
      <c r="Y369" s="140">
        <f>+_xlfn.XLOOKUP(PROYECTOS[[#This Row],[MUNICIPIO]],'4.CAP_ENDMNT'!B:B,'4.CAP_ENDMNT'!H:H,0,0,1)</f>
        <v>0</v>
      </c>
      <c r="Z369" s="140">
        <f>+_xlfn.XLOOKUP(PROYECTOS[[#This Row],[MUNICIPIO]],'4.CAP_ENDMNT'!B:B,'4.CAP_ENDMNT'!I:I,0,0,1)</f>
        <v>1940610936.6700001</v>
      </c>
      <c r="AA369" s="134">
        <f>+_xlfn.XLOOKUP(PROYECTOS[[#This Row],[MUNICIPIO]],'4.CAP_ENDMNT'!B:B,'4.CAP_ENDMNT'!J:J,0,0,1)</f>
        <v>0.41893479361430352</v>
      </c>
      <c r="AB369" s="140">
        <f>+_xlfn.XLOOKUP(PROYECTOS[[#This Row],[MUNICIPIO]],'4.CAP_ENDMNT'!B:B,'4.CAP_ENDMNT'!K:K,0,0,1)</f>
        <v>2691639633.7055006</v>
      </c>
      <c r="AC369" s="140">
        <f>+_xlfn.XLOOKUP(PROYECTOS[[#This Row],[MUNICIPIO]],'4.CAP_ENDMNT'!B:B,'4.CAP_ENDMNT'!L:L,0,0,1)</f>
        <v>2153311706.9644008</v>
      </c>
      <c r="AD369" s="140">
        <f>+_xlfn.XLOOKUP(PROYECTOS[[#This Row],[MUNICIPIO]],'4.CAP_ENDMNT'!B:B,'4.CAP_ENDMNT'!M:M,0,0,1)</f>
        <v>1614983780.2233002</v>
      </c>
      <c r="AE369" s="134">
        <f>+_xlfn.XLOOKUP(PROYECTOS[[#This Row],[MUNICIPIO]],'4.CAP_ENDMNT'!B:B,'4.CAP_ENDMNT'!N:N,0,0,1)</f>
        <v>1</v>
      </c>
      <c r="AF369" s="134">
        <f>+_xlfn.XLOOKUP(PROYECTOS[[#This Row],[MUNICIPIO]],'4.CAP_ENDMNT'!B:B,'4.CAP_ENDMNT'!O:O,0,0,1)</f>
        <v>0.76459744811231467</v>
      </c>
      <c r="AG369" s="134">
        <f>+_xlfn.XLOOKUP(PROYECTOS[[#This Row],[MUNICIPIO]],'4.CAP_ENDMNT'!B:B,'4.CAP_ENDMNT'!P:P,0,0,1)</f>
        <v>0.8</v>
      </c>
      <c r="AH369" s="44" t="str">
        <f>+_xlfn.XLOOKUP(PROYECTOS[[#This Row],[MUNICIPIO]],'4.CAP_ENDMNT'!B:B,'4.CAP_ENDMNT'!Q:Q,0,0,1)</f>
        <v>Riesgo</v>
      </c>
      <c r="AI369" s="139">
        <f>+_xlfn.XLOOKUP(PROYECTOS[[#This Row],[MUNICIPIO]],'4.CAP_ENDMNT'!B:B,'4.CAP_ENDMNT'!V:V,0,0,1)</f>
        <v>322996756.04466009</v>
      </c>
      <c r="AJ369" s="139">
        <f>+_xlfn.XLOOKUP(PROYECTOS[[#This Row],[MUNICIPIO]],'4.CAP_ENDMNT'!B:B,'4.CAP_ENDMNT'!Y:Y,0,0,1)</f>
        <v>-11822870077.73204</v>
      </c>
      <c r="AK369"/>
      <c r="AL369"/>
      <c r="AM369"/>
    </row>
    <row r="370" spans="1:39">
      <c r="A370" s="44">
        <v>388</v>
      </c>
      <c r="B370" s="37" t="s">
        <v>363</v>
      </c>
      <c r="C370" s="118">
        <f>+_xlfn.XLOOKUP(PROYECTOS[[#This Row],[ID_NECESIDAD]],'1.RADICADOS'!G:G,'1.RADICADOS'!C:C,0,0,1)*1</f>
        <v>45721</v>
      </c>
      <c r="D370" s="34" t="s">
        <v>362</v>
      </c>
      <c r="E370" s="47" t="str">
        <f>+_xlfn.XLOOKUP(PROYECTOS[[#This Row],[MUNICIPIO]],MUNICIPIOS!A:A,MUNICIPIOS!E:E,0,0,1)</f>
        <v>Occidente</v>
      </c>
      <c r="F370" s="44">
        <f>+_xlfn.XLOOKUP(PROYECTOS[[#This Row],[MUNICIPIO]],MUNICIPIOS!A:A,MUNICIPIOS!F:F,0,0,1)</f>
        <v>-76.261613999999994</v>
      </c>
      <c r="G370" s="44" t="str">
        <f>+_xlfn.XLOOKUP(PROYECTOS[[#This Row],[MUNICIPIO]],MUNICIPIOS!A:A,MUNICIPIOS!G:G,0,0,1)</f>
        <v>6,998112</v>
      </c>
      <c r="H370" s="44">
        <f>+_xlfn.XLOOKUP(PROYECTOS[[#This Row],[MUNICIPIO]],MUNICIPIOS!A:A,MUNICIPIOS!B:B,0,0,1)</f>
        <v>1</v>
      </c>
      <c r="I370" s="44">
        <f>+_xlfn.XLOOKUP(PROYECTOS[[#This Row],[MUNICIPIO]],MUNICIPIOS!A:A,MUNICIPIOS!C:C,0,0,1)</f>
        <v>1</v>
      </c>
      <c r="J370" s="34" t="str" cm="1">
        <f t="array" ref="J370">_xlfn.TEXTJOIN(" ", TRUE, IF(radicados[ID PROYECTOS]=A370, radicados[RADICADO], ""))</f>
        <v>2025010105056 2025010105063</v>
      </c>
      <c r="K370" s="45">
        <v>3</v>
      </c>
      <c r="L370" s="215"/>
      <c r="M370" s="40" t="s">
        <v>288</v>
      </c>
      <c r="N370" s="92" t="s">
        <v>398</v>
      </c>
      <c r="O370" s="92" t="s">
        <v>25</v>
      </c>
      <c r="P370" s="69" t="s">
        <v>364</v>
      </c>
      <c r="Q370" s="45">
        <v>1</v>
      </c>
      <c r="R370" s="43" t="s">
        <v>922</v>
      </c>
      <c r="S370" s="43" t="s">
        <v>1639</v>
      </c>
      <c r="T370" s="44">
        <f>+_xlfn.XLOOKUP(PROYECTOS[[#This Row],[MUNICIPIO]],'4.CAP_ENDMNT'!B:B,'4.CAP_ENDMNT'!C:C,0,0,1)</f>
        <v>6</v>
      </c>
      <c r="U370" s="139">
        <f>+_xlfn.XLOOKUP(PROYECTOS[[#This Row],[MUNICIPIO]],'4.CAP_ENDMNT'!B:B,'4.CAP_ENDMNT'!D:D,0,0,1)</f>
        <v>24612921465.534</v>
      </c>
      <c r="V370" s="140">
        <f>+_xlfn.XLOOKUP(PROYECTOS[[#This Row],[MUNICIPIO]],'4.CAP_ENDMNT'!B:B,'4.CAP_ENDMNT'!E:E,0,0,1)</f>
        <v>6692367651.6599998</v>
      </c>
      <c r="W370" s="140">
        <f>+_xlfn.XLOOKUP(PROYECTOS[[#This Row],[MUNICIPIO]],'4.CAP_ENDMNT'!B:B,'4.CAP_ENDMNT'!F:F,0,0,1)</f>
        <v>17920553813.874001</v>
      </c>
      <c r="X370" s="140">
        <f>+_xlfn.XLOOKUP(PROYECTOS[[#This Row],[MUNICIPIO]],'4.CAP_ENDMNT'!B:B,'4.CAP_ENDMNT'!G:G,0,0,1)</f>
        <v>830923107</v>
      </c>
      <c r="Y370" s="140">
        <f>+_xlfn.XLOOKUP(PROYECTOS[[#This Row],[MUNICIPIO]],'4.CAP_ENDMNT'!B:B,'4.CAP_ENDMNT'!H:H,0,0,1)</f>
        <v>8409573820</v>
      </c>
      <c r="Z370" s="140">
        <f>+_xlfn.XLOOKUP(PROYECTOS[[#This Row],[MUNICIPIO]],'4.CAP_ENDMNT'!B:B,'4.CAP_ENDMNT'!I:I,0,0,1)</f>
        <v>9240496927</v>
      </c>
      <c r="AA370" s="134">
        <f>+_xlfn.XLOOKUP(PROYECTOS[[#This Row],[MUNICIPIO]],'4.CAP_ENDMNT'!B:B,'4.CAP_ENDMNT'!J:J,0,0,1)</f>
        <v>0.37543275551176097</v>
      </c>
      <c r="AB370" s="140">
        <f>+_xlfn.XLOOKUP(PROYECTOS[[#This Row],[MUNICIPIO]],'4.CAP_ENDMNT'!B:B,'4.CAP_ENDMNT'!K:K,0,0,1)</f>
        <v>15372424538.534</v>
      </c>
      <c r="AC370" s="140">
        <f>+_xlfn.XLOOKUP(PROYECTOS[[#This Row],[MUNICIPIO]],'4.CAP_ENDMNT'!B:B,'4.CAP_ENDMNT'!L:L,0,0,1)</f>
        <v>12297939630.827202</v>
      </c>
      <c r="AD370" s="140">
        <f>+_xlfn.XLOOKUP(PROYECTOS[[#This Row],[MUNICIPIO]],'4.CAP_ENDMNT'!B:B,'4.CAP_ENDMNT'!M:M,0,0,1)</f>
        <v>9223454723.1203995</v>
      </c>
      <c r="AE370" s="134">
        <f>+_xlfn.XLOOKUP(PROYECTOS[[#This Row],[MUNICIPIO]],'4.CAP_ENDMNT'!B:B,'4.CAP_ENDMNT'!N:N,0,0,1)</f>
        <v>8.9921907183596203E-2</v>
      </c>
      <c r="AF370" s="134">
        <f>+_xlfn.XLOOKUP(PROYECTOS[[#This Row],[MUNICIPIO]],'4.CAP_ENDMNT'!B:B,'4.CAP_ENDMNT'!O:O,0,0,1)</f>
        <v>0.49254696748300181</v>
      </c>
      <c r="AG370" s="134">
        <f>+_xlfn.XLOOKUP(PROYECTOS[[#This Row],[MUNICIPIO]],'4.CAP_ENDMNT'!B:B,'4.CAP_ENDMNT'!P:P,0,0,1)</f>
        <v>0.8</v>
      </c>
      <c r="AH370" s="44" t="str">
        <f>+_xlfn.XLOOKUP(PROYECTOS[[#This Row],[MUNICIPIO]],'4.CAP_ENDMNT'!B:B,'4.CAP_ENDMNT'!Q:Q,0,0,1)</f>
        <v>Cumple</v>
      </c>
      <c r="AI370" s="139">
        <f>+_xlfn.XLOOKUP(PROYECTOS[[#This Row],[MUNICIPIO]],'4.CAP_ENDMNT'!B:B,'4.CAP_ENDMNT'!V:V,0,0,1)</f>
        <v>1844690944.6240799</v>
      </c>
      <c r="AJ370" s="139">
        <f>+_xlfn.XLOOKUP(PROYECTOS[[#This Row],[MUNICIPIO]],'4.CAP_ENDMNT'!B:B,'4.CAP_ENDMNT'!Y:Y,0,0,1)</f>
        <v>10069545667.74448</v>
      </c>
      <c r="AK370"/>
      <c r="AL370"/>
      <c r="AM370"/>
    </row>
    <row r="371" spans="1:39">
      <c r="A371" s="44">
        <v>389</v>
      </c>
      <c r="B371" s="37" t="s">
        <v>686</v>
      </c>
      <c r="C371" s="118">
        <v>45747</v>
      </c>
      <c r="D371" s="34" t="s">
        <v>45</v>
      </c>
      <c r="E371" s="47" t="str">
        <f>+_xlfn.XLOOKUP(PROYECTOS[[#This Row],[MUNICIPIO]],MUNICIPIOS!A:A,MUNICIPIOS!E:E,0,0,1)</f>
        <v>Bajo Cauca</v>
      </c>
      <c r="F371" s="44">
        <f>+_xlfn.XLOOKUP(PROYECTOS[[#This Row],[MUNICIPIO]],MUNICIPIOS!A:A,MUNICIPIOS!F:F,0,0,1)</f>
        <v>-75.197996000000003</v>
      </c>
      <c r="G371" s="44" t="str">
        <f>+_xlfn.XLOOKUP(PROYECTOS[[#This Row],[MUNICIPIO]],MUNICIPIOS!A:A,MUNICIPIOS!G:G,0,0,1)</f>
        <v>7,977278</v>
      </c>
      <c r="H371" s="44">
        <f>+_xlfn.XLOOKUP(PROYECTOS[[#This Row],[MUNICIPIO]],MUNICIPIOS!A:A,MUNICIPIOS!B:B,0,0,1)</f>
        <v>1</v>
      </c>
      <c r="I371" s="44">
        <f>+_xlfn.XLOOKUP(PROYECTOS[[#This Row],[MUNICIPIO]],MUNICIPIOS!A:A,MUNICIPIOS!C:C,0,0,1)</f>
        <v>1</v>
      </c>
      <c r="J371" s="34" t="str" cm="1">
        <f t="array" ref="J371">_xlfn.TEXTJOIN(" ", TRUE, IF(radicados[ID PROYECTOS]=A371, radicados[RADICADO], ""))</f>
        <v/>
      </c>
      <c r="K371" s="45">
        <v>3</v>
      </c>
      <c r="L371" s="48">
        <v>2800000000</v>
      </c>
      <c r="M371" s="34" t="s">
        <v>288</v>
      </c>
      <c r="N371" s="34" t="s">
        <v>398</v>
      </c>
      <c r="O371" s="34" t="s">
        <v>25</v>
      </c>
      <c r="P371" s="37" t="s">
        <v>687</v>
      </c>
      <c r="Q371" s="45"/>
      <c r="R371" s="50"/>
      <c r="S371" s="50"/>
      <c r="T371" s="44">
        <f>+_xlfn.XLOOKUP(PROYECTOS[[#This Row],[MUNICIPIO]],'4.CAP_ENDMNT'!B:B,'4.CAP_ENDMNT'!C:C,0,0,1)</f>
        <v>5</v>
      </c>
      <c r="U371" s="139">
        <f>+_xlfn.XLOOKUP(PROYECTOS[[#This Row],[MUNICIPIO]],'4.CAP_ENDMNT'!B:B,'4.CAP_ENDMNT'!D:D,0,0,1)</f>
        <v>55415011363.643501</v>
      </c>
      <c r="V371" s="140">
        <f>+_xlfn.XLOOKUP(PROYECTOS[[#This Row],[MUNICIPIO]],'4.CAP_ENDMNT'!B:B,'4.CAP_ENDMNT'!E:E,0,0,1)</f>
        <v>24252117123.400002</v>
      </c>
      <c r="W371" s="140">
        <f>+_xlfn.XLOOKUP(PROYECTOS[[#This Row],[MUNICIPIO]],'4.CAP_ENDMNT'!B:B,'4.CAP_ENDMNT'!F:F,0,0,1)</f>
        <v>31162894240.2435</v>
      </c>
      <c r="X371" s="140">
        <f>+_xlfn.XLOOKUP(PROYECTOS[[#This Row],[MUNICIPIO]],'4.CAP_ENDMNT'!B:B,'4.CAP_ENDMNT'!G:G,0,0,1)</f>
        <v>8970758412</v>
      </c>
      <c r="Y371" s="140">
        <f>+_xlfn.XLOOKUP(PROYECTOS[[#This Row],[MUNICIPIO]],'4.CAP_ENDMNT'!B:B,'4.CAP_ENDMNT'!H:H,0,0,1)</f>
        <v>3572173854.98</v>
      </c>
      <c r="Z371" s="140">
        <f>+_xlfn.XLOOKUP(PROYECTOS[[#This Row],[MUNICIPIO]],'4.CAP_ENDMNT'!B:B,'4.CAP_ENDMNT'!I:I,0,0,1)</f>
        <v>12542932266.98</v>
      </c>
      <c r="AA371" s="134">
        <f>+_xlfn.XLOOKUP(PROYECTOS[[#This Row],[MUNICIPIO]],'4.CAP_ENDMNT'!B:B,'4.CAP_ENDMNT'!J:J,0,0,1)</f>
        <v>0.22634538834019124</v>
      </c>
      <c r="AB371" s="140">
        <f>+_xlfn.XLOOKUP(PROYECTOS[[#This Row],[MUNICIPIO]],'4.CAP_ENDMNT'!B:B,'4.CAP_ENDMNT'!K:K,0,0,1)</f>
        <v>42872079096.663498</v>
      </c>
      <c r="AC371" s="140">
        <f>+_xlfn.XLOOKUP(PROYECTOS[[#This Row],[MUNICIPIO]],'4.CAP_ENDMNT'!B:B,'4.CAP_ENDMNT'!L:L,0,0,1)</f>
        <v>34297663277.330799</v>
      </c>
      <c r="AD371" s="140">
        <f>+_xlfn.XLOOKUP(PROYECTOS[[#This Row],[MUNICIPIO]],'4.CAP_ENDMNT'!B:B,'4.CAP_ENDMNT'!M:M,0,0,1)</f>
        <v>25723247457.998096</v>
      </c>
      <c r="AE371" s="134">
        <f>+_xlfn.XLOOKUP(PROYECTOS[[#This Row],[MUNICIPIO]],'4.CAP_ENDMNT'!B:B,'4.CAP_ENDMNT'!N:N,0,0,1)</f>
        <v>0.71520424578996133</v>
      </c>
      <c r="AF371" s="134">
        <f>+_xlfn.XLOOKUP(PROYECTOS[[#This Row],[MUNICIPIO]],'4.CAP_ENDMNT'!B:B,'4.CAP_ENDMNT'!O:O,0,0,1)</f>
        <v>0.67052010826145281</v>
      </c>
      <c r="AG371" s="134">
        <f>+_xlfn.XLOOKUP(PROYECTOS[[#This Row],[MUNICIPIO]],'4.CAP_ENDMNT'!B:B,'4.CAP_ENDMNT'!P:P,0,0,1)</f>
        <v>0.8</v>
      </c>
      <c r="AH371" s="44" t="str">
        <f>+_xlfn.XLOOKUP(PROYECTOS[[#This Row],[MUNICIPIO]],'4.CAP_ENDMNT'!B:B,'4.CAP_ENDMNT'!Q:Q,0,0,1)</f>
        <v>Cumple</v>
      </c>
      <c r="AI371" s="139">
        <f>+_xlfn.XLOOKUP(PROYECTOS[[#This Row],[MUNICIPIO]],'4.CAP_ENDMNT'!B:B,'4.CAP_ENDMNT'!V:V,0,0,1)</f>
        <v>5144649491.5996199</v>
      </c>
      <c r="AJ371" s="139">
        <f>+_xlfn.XLOOKUP(PROYECTOS[[#This Row],[MUNICIPIO]],'4.CAP_ENDMNT'!B:B,'4.CAP_ENDMNT'!Y:Y,0,0,1)</f>
        <v>3549126953.5977173</v>
      </c>
      <c r="AK371"/>
      <c r="AL371"/>
      <c r="AM371"/>
    </row>
    <row r="372" spans="1:39">
      <c r="A372" s="44">
        <v>390</v>
      </c>
      <c r="B372" s="37" t="s">
        <v>688</v>
      </c>
      <c r="C372" s="118">
        <v>45747</v>
      </c>
      <c r="D372" s="34" t="s">
        <v>45</v>
      </c>
      <c r="E372" s="47" t="str">
        <f>+_xlfn.XLOOKUP(PROYECTOS[[#This Row],[MUNICIPIO]],MUNICIPIOS!A:A,MUNICIPIOS!E:E,0,0,1)</f>
        <v>Bajo Cauca</v>
      </c>
      <c r="F372" s="44">
        <f>+_xlfn.XLOOKUP(PROYECTOS[[#This Row],[MUNICIPIO]],MUNICIPIOS!A:A,MUNICIPIOS!F:F,0,0,1)</f>
        <v>-75.197996000000003</v>
      </c>
      <c r="G372" s="44" t="str">
        <f>+_xlfn.XLOOKUP(PROYECTOS[[#This Row],[MUNICIPIO]],MUNICIPIOS!A:A,MUNICIPIOS!G:G,0,0,1)</f>
        <v>7,977278</v>
      </c>
      <c r="H372" s="44">
        <f>+_xlfn.XLOOKUP(PROYECTOS[[#This Row],[MUNICIPIO]],MUNICIPIOS!A:A,MUNICIPIOS!B:B,0,0,1)</f>
        <v>1</v>
      </c>
      <c r="I372" s="44">
        <f>+_xlfn.XLOOKUP(PROYECTOS[[#This Row],[MUNICIPIO]],MUNICIPIOS!A:A,MUNICIPIOS!C:C,0,0,1)</f>
        <v>1</v>
      </c>
      <c r="J372" s="34" t="str" cm="1">
        <f t="array" ref="J372">_xlfn.TEXTJOIN(" ", TRUE, IF(radicados[ID PROYECTOS]=A372, radicados[RADICADO], ""))</f>
        <v/>
      </c>
      <c r="K372" s="45">
        <v>3</v>
      </c>
      <c r="L372" s="48">
        <v>3000000000</v>
      </c>
      <c r="M372" s="34" t="s">
        <v>288</v>
      </c>
      <c r="N372" s="34" t="s">
        <v>398</v>
      </c>
      <c r="O372" s="34" t="s">
        <v>25</v>
      </c>
      <c r="P372" s="37" t="s">
        <v>687</v>
      </c>
      <c r="Q372" s="45"/>
      <c r="R372" s="50"/>
      <c r="S372" s="50"/>
      <c r="T372" s="44">
        <f>+_xlfn.XLOOKUP(PROYECTOS[[#This Row],[MUNICIPIO]],'4.CAP_ENDMNT'!B:B,'4.CAP_ENDMNT'!C:C,0,0,1)</f>
        <v>5</v>
      </c>
      <c r="U372" s="139">
        <f>+_xlfn.XLOOKUP(PROYECTOS[[#This Row],[MUNICIPIO]],'4.CAP_ENDMNT'!B:B,'4.CAP_ENDMNT'!D:D,0,0,1)</f>
        <v>55415011363.643501</v>
      </c>
      <c r="V372" s="140">
        <f>+_xlfn.XLOOKUP(PROYECTOS[[#This Row],[MUNICIPIO]],'4.CAP_ENDMNT'!B:B,'4.CAP_ENDMNT'!E:E,0,0,1)</f>
        <v>24252117123.400002</v>
      </c>
      <c r="W372" s="140">
        <f>+_xlfn.XLOOKUP(PROYECTOS[[#This Row],[MUNICIPIO]],'4.CAP_ENDMNT'!B:B,'4.CAP_ENDMNT'!F:F,0,0,1)</f>
        <v>31162894240.2435</v>
      </c>
      <c r="X372" s="140">
        <f>+_xlfn.XLOOKUP(PROYECTOS[[#This Row],[MUNICIPIO]],'4.CAP_ENDMNT'!B:B,'4.CAP_ENDMNT'!G:G,0,0,1)</f>
        <v>8970758412</v>
      </c>
      <c r="Y372" s="140">
        <f>+_xlfn.XLOOKUP(PROYECTOS[[#This Row],[MUNICIPIO]],'4.CAP_ENDMNT'!B:B,'4.CAP_ENDMNT'!H:H,0,0,1)</f>
        <v>3572173854.98</v>
      </c>
      <c r="Z372" s="140">
        <f>+_xlfn.XLOOKUP(PROYECTOS[[#This Row],[MUNICIPIO]],'4.CAP_ENDMNT'!B:B,'4.CAP_ENDMNT'!I:I,0,0,1)</f>
        <v>12542932266.98</v>
      </c>
      <c r="AA372" s="134">
        <f>+_xlfn.XLOOKUP(PROYECTOS[[#This Row],[MUNICIPIO]],'4.CAP_ENDMNT'!B:B,'4.CAP_ENDMNT'!J:J,0,0,1)</f>
        <v>0.22634538834019124</v>
      </c>
      <c r="AB372" s="140">
        <f>+_xlfn.XLOOKUP(PROYECTOS[[#This Row],[MUNICIPIO]],'4.CAP_ENDMNT'!B:B,'4.CAP_ENDMNT'!K:K,0,0,1)</f>
        <v>42872079096.663498</v>
      </c>
      <c r="AC372" s="140">
        <f>+_xlfn.XLOOKUP(PROYECTOS[[#This Row],[MUNICIPIO]],'4.CAP_ENDMNT'!B:B,'4.CAP_ENDMNT'!L:L,0,0,1)</f>
        <v>34297663277.330799</v>
      </c>
      <c r="AD372" s="140">
        <f>+_xlfn.XLOOKUP(PROYECTOS[[#This Row],[MUNICIPIO]],'4.CAP_ENDMNT'!B:B,'4.CAP_ENDMNT'!M:M,0,0,1)</f>
        <v>25723247457.998096</v>
      </c>
      <c r="AE372" s="134">
        <f>+_xlfn.XLOOKUP(PROYECTOS[[#This Row],[MUNICIPIO]],'4.CAP_ENDMNT'!B:B,'4.CAP_ENDMNT'!N:N,0,0,1)</f>
        <v>0.71520424578996133</v>
      </c>
      <c r="AF372" s="134">
        <f>+_xlfn.XLOOKUP(PROYECTOS[[#This Row],[MUNICIPIO]],'4.CAP_ENDMNT'!B:B,'4.CAP_ENDMNT'!O:O,0,0,1)</f>
        <v>0.67052010826145281</v>
      </c>
      <c r="AG372" s="134">
        <f>+_xlfn.XLOOKUP(PROYECTOS[[#This Row],[MUNICIPIO]],'4.CAP_ENDMNT'!B:B,'4.CAP_ENDMNT'!P:P,0,0,1)</f>
        <v>0.8</v>
      </c>
      <c r="AH372" s="44" t="str">
        <f>+_xlfn.XLOOKUP(PROYECTOS[[#This Row],[MUNICIPIO]],'4.CAP_ENDMNT'!B:B,'4.CAP_ENDMNT'!Q:Q,0,0,1)</f>
        <v>Cumple</v>
      </c>
      <c r="AI372" s="139">
        <f>+_xlfn.XLOOKUP(PROYECTOS[[#This Row],[MUNICIPIO]],'4.CAP_ENDMNT'!B:B,'4.CAP_ENDMNT'!V:V,0,0,1)</f>
        <v>5144649491.5996199</v>
      </c>
      <c r="AJ372" s="139">
        <f>+_xlfn.XLOOKUP(PROYECTOS[[#This Row],[MUNICIPIO]],'4.CAP_ENDMNT'!B:B,'4.CAP_ENDMNT'!Y:Y,0,0,1)</f>
        <v>3549126953.5977173</v>
      </c>
      <c r="AK372"/>
      <c r="AL372"/>
      <c r="AM372"/>
    </row>
    <row r="373" spans="1:39">
      <c r="A373" s="44">
        <v>391</v>
      </c>
      <c r="B373" s="37" t="s">
        <v>689</v>
      </c>
      <c r="C373" s="118">
        <v>45747</v>
      </c>
      <c r="D373" s="34" t="s">
        <v>45</v>
      </c>
      <c r="E373" s="47" t="str">
        <f>+_xlfn.XLOOKUP(PROYECTOS[[#This Row],[MUNICIPIO]],MUNICIPIOS!A:A,MUNICIPIOS!E:E,0,0,1)</f>
        <v>Bajo Cauca</v>
      </c>
      <c r="F373" s="44">
        <f>+_xlfn.XLOOKUP(PROYECTOS[[#This Row],[MUNICIPIO]],MUNICIPIOS!A:A,MUNICIPIOS!F:F,0,0,1)</f>
        <v>-75.197996000000003</v>
      </c>
      <c r="G373" s="44" t="str">
        <f>+_xlfn.XLOOKUP(PROYECTOS[[#This Row],[MUNICIPIO]],MUNICIPIOS!A:A,MUNICIPIOS!G:G,0,0,1)</f>
        <v>7,977278</v>
      </c>
      <c r="H373" s="44">
        <f>+_xlfn.XLOOKUP(PROYECTOS[[#This Row],[MUNICIPIO]],MUNICIPIOS!A:A,MUNICIPIOS!B:B,0,0,1)</f>
        <v>1</v>
      </c>
      <c r="I373" s="44">
        <f>+_xlfn.XLOOKUP(PROYECTOS[[#This Row],[MUNICIPIO]],MUNICIPIOS!A:A,MUNICIPIOS!C:C,0,0,1)</f>
        <v>1</v>
      </c>
      <c r="J373" s="34" t="str" cm="1">
        <f t="array" ref="J373">_xlfn.TEXTJOIN(" ", TRUE, IF(radicados[ID PROYECTOS]=A373, radicados[RADICADO], ""))</f>
        <v/>
      </c>
      <c r="K373" s="45">
        <v>3</v>
      </c>
      <c r="L373" s="48">
        <v>8000000000</v>
      </c>
      <c r="M373" s="34" t="s">
        <v>288</v>
      </c>
      <c r="N373" s="34" t="s">
        <v>398</v>
      </c>
      <c r="O373" s="34" t="s">
        <v>25</v>
      </c>
      <c r="P373" s="37" t="s">
        <v>687</v>
      </c>
      <c r="Q373" s="45"/>
      <c r="R373" s="50"/>
      <c r="S373" s="50"/>
      <c r="T373" s="44">
        <f>+_xlfn.XLOOKUP(PROYECTOS[[#This Row],[MUNICIPIO]],'4.CAP_ENDMNT'!B:B,'4.CAP_ENDMNT'!C:C,0,0,1)</f>
        <v>5</v>
      </c>
      <c r="U373" s="139">
        <f>+_xlfn.XLOOKUP(PROYECTOS[[#This Row],[MUNICIPIO]],'4.CAP_ENDMNT'!B:B,'4.CAP_ENDMNT'!D:D,0,0,1)</f>
        <v>55415011363.643501</v>
      </c>
      <c r="V373" s="140">
        <f>+_xlfn.XLOOKUP(PROYECTOS[[#This Row],[MUNICIPIO]],'4.CAP_ENDMNT'!B:B,'4.CAP_ENDMNT'!E:E,0,0,1)</f>
        <v>24252117123.400002</v>
      </c>
      <c r="W373" s="140">
        <f>+_xlfn.XLOOKUP(PROYECTOS[[#This Row],[MUNICIPIO]],'4.CAP_ENDMNT'!B:B,'4.CAP_ENDMNT'!F:F,0,0,1)</f>
        <v>31162894240.2435</v>
      </c>
      <c r="X373" s="140">
        <f>+_xlfn.XLOOKUP(PROYECTOS[[#This Row],[MUNICIPIO]],'4.CAP_ENDMNT'!B:B,'4.CAP_ENDMNT'!G:G,0,0,1)</f>
        <v>8970758412</v>
      </c>
      <c r="Y373" s="140">
        <f>+_xlfn.XLOOKUP(PROYECTOS[[#This Row],[MUNICIPIO]],'4.CAP_ENDMNT'!B:B,'4.CAP_ENDMNT'!H:H,0,0,1)</f>
        <v>3572173854.98</v>
      </c>
      <c r="Z373" s="140">
        <f>+_xlfn.XLOOKUP(PROYECTOS[[#This Row],[MUNICIPIO]],'4.CAP_ENDMNT'!B:B,'4.CAP_ENDMNT'!I:I,0,0,1)</f>
        <v>12542932266.98</v>
      </c>
      <c r="AA373" s="134">
        <f>+_xlfn.XLOOKUP(PROYECTOS[[#This Row],[MUNICIPIO]],'4.CAP_ENDMNT'!B:B,'4.CAP_ENDMNT'!J:J,0,0,1)</f>
        <v>0.22634538834019124</v>
      </c>
      <c r="AB373" s="140">
        <f>+_xlfn.XLOOKUP(PROYECTOS[[#This Row],[MUNICIPIO]],'4.CAP_ENDMNT'!B:B,'4.CAP_ENDMNT'!K:K,0,0,1)</f>
        <v>42872079096.663498</v>
      </c>
      <c r="AC373" s="140">
        <f>+_xlfn.XLOOKUP(PROYECTOS[[#This Row],[MUNICIPIO]],'4.CAP_ENDMNT'!B:B,'4.CAP_ENDMNT'!L:L,0,0,1)</f>
        <v>34297663277.330799</v>
      </c>
      <c r="AD373" s="140">
        <f>+_xlfn.XLOOKUP(PROYECTOS[[#This Row],[MUNICIPIO]],'4.CAP_ENDMNT'!B:B,'4.CAP_ENDMNT'!M:M,0,0,1)</f>
        <v>25723247457.998096</v>
      </c>
      <c r="AE373" s="134">
        <f>+_xlfn.XLOOKUP(PROYECTOS[[#This Row],[MUNICIPIO]],'4.CAP_ENDMNT'!B:B,'4.CAP_ENDMNT'!N:N,0,0,1)</f>
        <v>0.71520424578996133</v>
      </c>
      <c r="AF373" s="134">
        <f>+_xlfn.XLOOKUP(PROYECTOS[[#This Row],[MUNICIPIO]],'4.CAP_ENDMNT'!B:B,'4.CAP_ENDMNT'!O:O,0,0,1)</f>
        <v>0.67052010826145281</v>
      </c>
      <c r="AG373" s="134">
        <f>+_xlfn.XLOOKUP(PROYECTOS[[#This Row],[MUNICIPIO]],'4.CAP_ENDMNT'!B:B,'4.CAP_ENDMNT'!P:P,0,0,1)</f>
        <v>0.8</v>
      </c>
      <c r="AH373" s="44" t="str">
        <f>+_xlfn.XLOOKUP(PROYECTOS[[#This Row],[MUNICIPIO]],'4.CAP_ENDMNT'!B:B,'4.CAP_ENDMNT'!Q:Q,0,0,1)</f>
        <v>Cumple</v>
      </c>
      <c r="AI373" s="139">
        <f>+_xlfn.XLOOKUP(PROYECTOS[[#This Row],[MUNICIPIO]],'4.CAP_ENDMNT'!B:B,'4.CAP_ENDMNT'!V:V,0,0,1)</f>
        <v>5144649491.5996199</v>
      </c>
      <c r="AJ373" s="139">
        <f>+_xlfn.XLOOKUP(PROYECTOS[[#This Row],[MUNICIPIO]],'4.CAP_ENDMNT'!B:B,'4.CAP_ENDMNT'!Y:Y,0,0,1)</f>
        <v>3549126953.5977173</v>
      </c>
      <c r="AK373"/>
      <c r="AL373"/>
      <c r="AM373"/>
    </row>
    <row r="374" spans="1:39">
      <c r="A374" s="44">
        <v>392</v>
      </c>
      <c r="B374" s="37" t="s">
        <v>690</v>
      </c>
      <c r="C374" s="118">
        <v>45747</v>
      </c>
      <c r="D374" s="34" t="s">
        <v>45</v>
      </c>
      <c r="E374" s="47" t="str">
        <f>+_xlfn.XLOOKUP(PROYECTOS[[#This Row],[MUNICIPIO]],MUNICIPIOS!A:A,MUNICIPIOS!E:E,0,0,1)</f>
        <v>Bajo Cauca</v>
      </c>
      <c r="F374" s="44">
        <f>+_xlfn.XLOOKUP(PROYECTOS[[#This Row],[MUNICIPIO]],MUNICIPIOS!A:A,MUNICIPIOS!F:F,0,0,1)</f>
        <v>-75.197996000000003</v>
      </c>
      <c r="G374" s="44" t="str">
        <f>+_xlfn.XLOOKUP(PROYECTOS[[#This Row],[MUNICIPIO]],MUNICIPIOS!A:A,MUNICIPIOS!G:G,0,0,1)</f>
        <v>7,977278</v>
      </c>
      <c r="H374" s="44">
        <f>+_xlfn.XLOOKUP(PROYECTOS[[#This Row],[MUNICIPIO]],MUNICIPIOS!A:A,MUNICIPIOS!B:B,0,0,1)</f>
        <v>1</v>
      </c>
      <c r="I374" s="44">
        <f>+_xlfn.XLOOKUP(PROYECTOS[[#This Row],[MUNICIPIO]],MUNICIPIOS!A:A,MUNICIPIOS!C:C,0,0,1)</f>
        <v>1</v>
      </c>
      <c r="J374" s="34" t="str" cm="1">
        <f t="array" ref="J374">_xlfn.TEXTJOIN(" ", TRUE, IF(radicados[ID PROYECTOS]=A374, radicados[RADICADO], ""))</f>
        <v/>
      </c>
      <c r="K374" s="45">
        <v>3</v>
      </c>
      <c r="L374" s="48">
        <v>1800000000</v>
      </c>
      <c r="M374" s="34" t="s">
        <v>401</v>
      </c>
      <c r="N374" s="34" t="s">
        <v>398</v>
      </c>
      <c r="O374" s="34" t="s">
        <v>25</v>
      </c>
      <c r="P374" s="37" t="s">
        <v>687</v>
      </c>
      <c r="Q374" s="45"/>
      <c r="R374" s="50"/>
      <c r="S374" s="50"/>
      <c r="T374" s="44">
        <f>+_xlfn.XLOOKUP(PROYECTOS[[#This Row],[MUNICIPIO]],'4.CAP_ENDMNT'!B:B,'4.CAP_ENDMNT'!C:C,0,0,1)</f>
        <v>5</v>
      </c>
      <c r="U374" s="139">
        <f>+_xlfn.XLOOKUP(PROYECTOS[[#This Row],[MUNICIPIO]],'4.CAP_ENDMNT'!B:B,'4.CAP_ENDMNT'!D:D,0,0,1)</f>
        <v>55415011363.643501</v>
      </c>
      <c r="V374" s="140">
        <f>+_xlfn.XLOOKUP(PROYECTOS[[#This Row],[MUNICIPIO]],'4.CAP_ENDMNT'!B:B,'4.CAP_ENDMNT'!E:E,0,0,1)</f>
        <v>24252117123.400002</v>
      </c>
      <c r="W374" s="140">
        <f>+_xlfn.XLOOKUP(PROYECTOS[[#This Row],[MUNICIPIO]],'4.CAP_ENDMNT'!B:B,'4.CAP_ENDMNT'!F:F,0,0,1)</f>
        <v>31162894240.2435</v>
      </c>
      <c r="X374" s="140">
        <f>+_xlfn.XLOOKUP(PROYECTOS[[#This Row],[MUNICIPIO]],'4.CAP_ENDMNT'!B:B,'4.CAP_ENDMNT'!G:G,0,0,1)</f>
        <v>8970758412</v>
      </c>
      <c r="Y374" s="140">
        <f>+_xlfn.XLOOKUP(PROYECTOS[[#This Row],[MUNICIPIO]],'4.CAP_ENDMNT'!B:B,'4.CAP_ENDMNT'!H:H,0,0,1)</f>
        <v>3572173854.98</v>
      </c>
      <c r="Z374" s="140">
        <f>+_xlfn.XLOOKUP(PROYECTOS[[#This Row],[MUNICIPIO]],'4.CAP_ENDMNT'!B:B,'4.CAP_ENDMNT'!I:I,0,0,1)</f>
        <v>12542932266.98</v>
      </c>
      <c r="AA374" s="134">
        <f>+_xlfn.XLOOKUP(PROYECTOS[[#This Row],[MUNICIPIO]],'4.CAP_ENDMNT'!B:B,'4.CAP_ENDMNT'!J:J,0,0,1)</f>
        <v>0.22634538834019124</v>
      </c>
      <c r="AB374" s="140">
        <f>+_xlfn.XLOOKUP(PROYECTOS[[#This Row],[MUNICIPIO]],'4.CAP_ENDMNT'!B:B,'4.CAP_ENDMNT'!K:K,0,0,1)</f>
        <v>42872079096.663498</v>
      </c>
      <c r="AC374" s="140">
        <f>+_xlfn.XLOOKUP(PROYECTOS[[#This Row],[MUNICIPIO]],'4.CAP_ENDMNT'!B:B,'4.CAP_ENDMNT'!L:L,0,0,1)</f>
        <v>34297663277.330799</v>
      </c>
      <c r="AD374" s="140">
        <f>+_xlfn.XLOOKUP(PROYECTOS[[#This Row],[MUNICIPIO]],'4.CAP_ENDMNT'!B:B,'4.CAP_ENDMNT'!M:M,0,0,1)</f>
        <v>25723247457.998096</v>
      </c>
      <c r="AE374" s="134">
        <f>+_xlfn.XLOOKUP(PROYECTOS[[#This Row],[MUNICIPIO]],'4.CAP_ENDMNT'!B:B,'4.CAP_ENDMNT'!N:N,0,0,1)</f>
        <v>0.71520424578996133</v>
      </c>
      <c r="AF374" s="134">
        <f>+_xlfn.XLOOKUP(PROYECTOS[[#This Row],[MUNICIPIO]],'4.CAP_ENDMNT'!B:B,'4.CAP_ENDMNT'!O:O,0,0,1)</f>
        <v>0.67052010826145281</v>
      </c>
      <c r="AG374" s="134">
        <f>+_xlfn.XLOOKUP(PROYECTOS[[#This Row],[MUNICIPIO]],'4.CAP_ENDMNT'!B:B,'4.CAP_ENDMNT'!P:P,0,0,1)</f>
        <v>0.8</v>
      </c>
      <c r="AH374" s="44" t="str">
        <f>+_xlfn.XLOOKUP(PROYECTOS[[#This Row],[MUNICIPIO]],'4.CAP_ENDMNT'!B:B,'4.CAP_ENDMNT'!Q:Q,0,0,1)</f>
        <v>Cumple</v>
      </c>
      <c r="AI374" s="139">
        <f>+_xlfn.XLOOKUP(PROYECTOS[[#This Row],[MUNICIPIO]],'4.CAP_ENDMNT'!B:B,'4.CAP_ENDMNT'!V:V,0,0,1)</f>
        <v>5144649491.5996199</v>
      </c>
      <c r="AJ374" s="139">
        <f>+_xlfn.XLOOKUP(PROYECTOS[[#This Row],[MUNICIPIO]],'4.CAP_ENDMNT'!B:B,'4.CAP_ENDMNT'!Y:Y,0,0,1)</f>
        <v>3549126953.5977173</v>
      </c>
      <c r="AK374"/>
      <c r="AL374"/>
      <c r="AM374"/>
    </row>
    <row r="375" spans="1:39">
      <c r="A375" s="44">
        <v>393</v>
      </c>
      <c r="B375" s="37" t="s">
        <v>1473</v>
      </c>
      <c r="C375" s="118">
        <v>45747</v>
      </c>
      <c r="D375" s="34" t="s">
        <v>692</v>
      </c>
      <c r="E375" s="47" t="str">
        <f>+_xlfn.XLOOKUP(PROYECTOS[[#This Row],[MUNICIPIO]],MUNICIPIOS!A:A,MUNICIPIOS!E:E,0,0,1)</f>
        <v>Bajo Cauca</v>
      </c>
      <c r="F375" s="44">
        <f>+_xlfn.XLOOKUP(PROYECTOS[[#This Row],[MUNICIPIO]],MUNICIPIOS!A:A,MUNICIPIOS!F:F,0,0,1)</f>
        <v>-75.401407000000006</v>
      </c>
      <c r="G375" s="44">
        <f>+_xlfn.XLOOKUP(PROYECTOS[[#This Row],[MUNICIPIO]],MUNICIPIOS!A:A,MUNICIPIOS!G:G,0,0,1)</f>
        <v>7.5801270000000001</v>
      </c>
      <c r="H375" s="44">
        <f>+_xlfn.XLOOKUP(PROYECTOS[[#This Row],[MUNICIPIO]],MUNICIPIOS!A:A,MUNICIPIOS!B:B,0,0,1)</f>
        <v>1</v>
      </c>
      <c r="I375" s="44">
        <f>+_xlfn.XLOOKUP(PROYECTOS[[#This Row],[MUNICIPIO]],MUNICIPIOS!A:A,MUNICIPIOS!C:C,0,0,1)</f>
        <v>1</v>
      </c>
      <c r="J375" s="34" t="str" cm="1">
        <f t="array" ref="J375">_xlfn.TEXTJOIN(" ", TRUE, IF(radicados[ID PROYECTOS]=A375, radicados[RADICADO], ""))</f>
        <v/>
      </c>
      <c r="K375" s="45">
        <v>3</v>
      </c>
      <c r="L375" s="48">
        <v>4000000000</v>
      </c>
      <c r="M375" s="34" t="s">
        <v>401</v>
      </c>
      <c r="N375" s="34" t="s">
        <v>398</v>
      </c>
      <c r="O375" s="34" t="s">
        <v>25</v>
      </c>
      <c r="P375" s="37" t="s">
        <v>687</v>
      </c>
      <c r="Q375" s="45"/>
      <c r="R375" s="50"/>
      <c r="S375" s="50"/>
      <c r="T375" s="44">
        <f>+_xlfn.XLOOKUP(PROYECTOS[[#This Row],[MUNICIPIO]],'4.CAP_ENDMNT'!B:B,'4.CAP_ENDMNT'!C:C,0,0,1)</f>
        <v>6</v>
      </c>
      <c r="U375" s="139">
        <f>+_xlfn.XLOOKUP(PROYECTOS[[#This Row],[MUNICIPIO]],'4.CAP_ENDMNT'!B:B,'4.CAP_ENDMNT'!D:D,0,0,1)</f>
        <v>12386294028.284</v>
      </c>
      <c r="V375" s="140">
        <f>+_xlfn.XLOOKUP(PROYECTOS[[#This Row],[MUNICIPIO]],'4.CAP_ENDMNT'!B:B,'4.CAP_ENDMNT'!E:E,0,0,1)</f>
        <v>5371610026.9800005</v>
      </c>
      <c r="W375" s="140">
        <f>+_xlfn.XLOOKUP(PROYECTOS[[#This Row],[MUNICIPIO]],'4.CAP_ENDMNT'!B:B,'4.CAP_ENDMNT'!F:F,0,0,1)</f>
        <v>7014684001.3039999</v>
      </c>
      <c r="X375" s="140">
        <f>+_xlfn.XLOOKUP(PROYECTOS[[#This Row],[MUNICIPIO]],'4.CAP_ENDMNT'!B:B,'4.CAP_ENDMNT'!G:G,0,0,1)</f>
        <v>1476389847</v>
      </c>
      <c r="Y375" s="140">
        <f>+_xlfn.XLOOKUP(PROYECTOS[[#This Row],[MUNICIPIO]],'4.CAP_ENDMNT'!B:B,'4.CAP_ENDMNT'!H:H,0,0,1)</f>
        <v>1615533927.0799999</v>
      </c>
      <c r="Z375" s="140">
        <f>+_xlfn.XLOOKUP(PROYECTOS[[#This Row],[MUNICIPIO]],'4.CAP_ENDMNT'!B:B,'4.CAP_ENDMNT'!I:I,0,0,1)</f>
        <v>3091923774.0799999</v>
      </c>
      <c r="AA375" s="134">
        <f>+_xlfn.XLOOKUP(PROYECTOS[[#This Row],[MUNICIPIO]],'4.CAP_ENDMNT'!B:B,'4.CAP_ENDMNT'!J:J,0,0,1)</f>
        <v>0.24962460660304184</v>
      </c>
      <c r="AB375" s="140">
        <f>+_xlfn.XLOOKUP(PROYECTOS[[#This Row],[MUNICIPIO]],'4.CAP_ENDMNT'!B:B,'4.CAP_ENDMNT'!K:K,0,0,1)</f>
        <v>9294370254.2040005</v>
      </c>
      <c r="AC375" s="140">
        <f>+_xlfn.XLOOKUP(PROYECTOS[[#This Row],[MUNICIPIO]],'4.CAP_ENDMNT'!B:B,'4.CAP_ENDMNT'!L:L,0,0,1)</f>
        <v>7435496203.3632011</v>
      </c>
      <c r="AD375" s="140">
        <f>+_xlfn.XLOOKUP(PROYECTOS[[#This Row],[MUNICIPIO]],'4.CAP_ENDMNT'!B:B,'4.CAP_ENDMNT'!M:M,0,0,1)</f>
        <v>5576622152.5223999</v>
      </c>
      <c r="AE375" s="134">
        <f>+_xlfn.XLOOKUP(PROYECTOS[[#This Row],[MUNICIPIO]],'4.CAP_ENDMNT'!B:B,'4.CAP_ENDMNT'!N:N,0,0,1)</f>
        <v>0.47749878550589397</v>
      </c>
      <c r="AF375" s="134">
        <f>+_xlfn.XLOOKUP(PROYECTOS[[#This Row],[MUNICIPIO]],'4.CAP_ENDMNT'!B:B,'4.CAP_ENDMNT'!O:O,0,0,1)</f>
        <v>0.88953529502502671</v>
      </c>
      <c r="AG375" s="134">
        <f>+_xlfn.XLOOKUP(PROYECTOS[[#This Row],[MUNICIPIO]],'4.CAP_ENDMNT'!B:B,'4.CAP_ENDMNT'!P:P,0,0,1)</f>
        <v>0.8</v>
      </c>
      <c r="AH375" s="44" t="str">
        <f>+_xlfn.XLOOKUP(PROYECTOS[[#This Row],[MUNICIPIO]],'4.CAP_ENDMNT'!B:B,'4.CAP_ENDMNT'!Q:Q,0,0,1)</f>
        <v>Incumple</v>
      </c>
      <c r="AI375" s="139">
        <f>+_xlfn.XLOOKUP(PROYECTOS[[#This Row],[MUNICIPIO]],'4.CAP_ENDMNT'!B:B,'4.CAP_ENDMNT'!V:V,0,0,1)</f>
        <v>1115324430.5044801</v>
      </c>
      <c r="AJ375" s="139">
        <f>+_xlfn.XLOOKUP(PROYECTOS[[#This Row],[MUNICIPIO]],'4.CAP_ENDMNT'!B:B,'4.CAP_ENDMNT'!Y:Y,0,0,1)</f>
        <v>-530367397.97311974</v>
      </c>
      <c r="AK375"/>
      <c r="AL375"/>
      <c r="AM375"/>
    </row>
    <row r="376" spans="1:39">
      <c r="A376" s="44">
        <v>394</v>
      </c>
      <c r="B376" s="37" t="s">
        <v>1474</v>
      </c>
      <c r="C376" s="118">
        <v>45747</v>
      </c>
      <c r="D376" s="34" t="s">
        <v>329</v>
      </c>
      <c r="E376" s="47" t="str">
        <f>+_xlfn.XLOOKUP(PROYECTOS[[#This Row],[MUNICIPIO]],MUNICIPIOS!A:A,MUNICIPIOS!E:E,0,0,1)</f>
        <v>Bajo Cauca</v>
      </c>
      <c r="F376" s="44">
        <f>+_xlfn.XLOOKUP(PROYECTOS[[#This Row],[MUNICIPIO]],MUNICIPIOS!A:A,MUNICIPIOS!F:F,0,0,1)</f>
        <v>-74.776470000000003</v>
      </c>
      <c r="G376" s="44" t="str">
        <f>+_xlfn.XLOOKUP(PROYECTOS[[#This Row],[MUNICIPIO]],MUNICIPIOS!A:A,MUNICIPIOS!G:G,0,0,1)</f>
        <v>8,094129</v>
      </c>
      <c r="H376" s="44">
        <f>+_xlfn.XLOOKUP(PROYECTOS[[#This Row],[MUNICIPIO]],MUNICIPIOS!A:A,MUNICIPIOS!B:B,0,0,1)</f>
        <v>1</v>
      </c>
      <c r="I376" s="44">
        <f>+_xlfn.XLOOKUP(PROYECTOS[[#This Row],[MUNICIPIO]],MUNICIPIOS!A:A,MUNICIPIOS!C:C,0,0,1)</f>
        <v>1</v>
      </c>
      <c r="J376" s="34" t="str" cm="1">
        <f t="array" ref="J376">_xlfn.TEXTJOIN(" ", TRUE, IF(radicados[ID PROYECTOS]=A376, radicados[RADICADO], ""))</f>
        <v/>
      </c>
      <c r="K376" s="45">
        <v>1</v>
      </c>
      <c r="L376" s="72"/>
      <c r="M376" s="34" t="s">
        <v>396</v>
      </c>
      <c r="N376" s="40" t="s">
        <v>397</v>
      </c>
      <c r="O376" s="40" t="s">
        <v>56</v>
      </c>
      <c r="P376" s="37" t="s">
        <v>687</v>
      </c>
      <c r="Q376" s="45"/>
      <c r="R376" s="50"/>
      <c r="S376" s="50"/>
      <c r="T376" s="44">
        <f>+_xlfn.XLOOKUP(PROYECTOS[[#This Row],[MUNICIPIO]],'4.CAP_ENDMNT'!B:B,'4.CAP_ENDMNT'!C:C,0,0,1)</f>
        <v>6</v>
      </c>
      <c r="U376" s="139">
        <f>+_xlfn.XLOOKUP(PROYECTOS[[#This Row],[MUNICIPIO]],'4.CAP_ENDMNT'!B:B,'4.CAP_ENDMNT'!D:D,0,0,1)</f>
        <v>17207529181.433002</v>
      </c>
      <c r="V376" s="140">
        <f>+_xlfn.XLOOKUP(PROYECTOS[[#This Row],[MUNICIPIO]],'4.CAP_ENDMNT'!B:B,'4.CAP_ENDMNT'!E:E,0,0,1)</f>
        <v>3556882387.1300001</v>
      </c>
      <c r="W376" s="140">
        <f>+_xlfn.XLOOKUP(PROYECTOS[[#This Row],[MUNICIPIO]],'4.CAP_ENDMNT'!B:B,'4.CAP_ENDMNT'!F:F,0,0,1)</f>
        <v>13650646794.303001</v>
      </c>
      <c r="X376" s="140">
        <f>+_xlfn.XLOOKUP(PROYECTOS[[#This Row],[MUNICIPIO]],'4.CAP_ENDMNT'!B:B,'4.CAP_ENDMNT'!G:G,0,0,1)</f>
        <v>2981910160</v>
      </c>
      <c r="Y376" s="140">
        <f>+_xlfn.XLOOKUP(PROYECTOS[[#This Row],[MUNICIPIO]],'4.CAP_ENDMNT'!B:B,'4.CAP_ENDMNT'!H:H,0,0,1)</f>
        <v>5898924731</v>
      </c>
      <c r="Z376" s="140">
        <f>+_xlfn.XLOOKUP(PROYECTOS[[#This Row],[MUNICIPIO]],'4.CAP_ENDMNT'!B:B,'4.CAP_ENDMNT'!I:I,0,0,1)</f>
        <v>8880834891</v>
      </c>
      <c r="AA376" s="134">
        <f>+_xlfn.XLOOKUP(PROYECTOS[[#This Row],[MUNICIPIO]],'4.CAP_ENDMNT'!B:B,'4.CAP_ENDMNT'!J:J,0,0,1)</f>
        <v>0.51610168998478057</v>
      </c>
      <c r="AB376" s="140">
        <f>+_xlfn.XLOOKUP(PROYECTOS[[#This Row],[MUNICIPIO]],'4.CAP_ENDMNT'!B:B,'4.CAP_ENDMNT'!K:K,0,0,1)</f>
        <v>8326694290.4330025</v>
      </c>
      <c r="AC376" s="140">
        <f>+_xlfn.XLOOKUP(PROYECTOS[[#This Row],[MUNICIPIO]],'4.CAP_ENDMNT'!B:B,'4.CAP_ENDMNT'!L:L,0,0,1)</f>
        <v>6661355432.3464022</v>
      </c>
      <c r="AD376" s="140">
        <f>+_xlfn.XLOOKUP(PROYECTOS[[#This Row],[MUNICIPIO]],'4.CAP_ENDMNT'!B:B,'4.CAP_ENDMNT'!M:M,0,0,1)</f>
        <v>4996016574.2598009</v>
      </c>
      <c r="AE376" s="134">
        <f>+_xlfn.XLOOKUP(PROYECTOS[[#This Row],[MUNICIPIO]],'4.CAP_ENDMNT'!B:B,'4.CAP_ENDMNT'!N:N,0,0,1)</f>
        <v>0.3357691249301259</v>
      </c>
      <c r="AF376" s="134">
        <f>+_xlfn.XLOOKUP(PROYECTOS[[#This Row],[MUNICIPIO]],'4.CAP_ENDMNT'!B:B,'4.CAP_ENDMNT'!O:O,0,0,1)</f>
        <v>0.46603493316730282</v>
      </c>
      <c r="AG376" s="134">
        <f>+_xlfn.XLOOKUP(PROYECTOS[[#This Row],[MUNICIPIO]],'4.CAP_ENDMNT'!B:B,'4.CAP_ENDMNT'!P:P,0,0,1)</f>
        <v>0.8</v>
      </c>
      <c r="AH376" s="44" t="str">
        <f>+_xlfn.XLOOKUP(PROYECTOS[[#This Row],[MUNICIPIO]],'4.CAP_ENDMNT'!B:B,'4.CAP_ENDMNT'!Q:Q,0,0,1)</f>
        <v>Cumple</v>
      </c>
      <c r="AI376" s="139">
        <f>+_xlfn.XLOOKUP(PROYECTOS[[#This Row],[MUNICIPIO]],'4.CAP_ENDMNT'!B:B,'4.CAP_ENDMNT'!V:V,0,0,1)</f>
        <v>999203314.85196018</v>
      </c>
      <c r="AJ376" s="139">
        <f>+_xlfn.XLOOKUP(PROYECTOS[[#This Row],[MUNICIPIO]],'4.CAP_ENDMNT'!B:B,'4.CAP_ENDMNT'!Y:Y,0,0,1)</f>
        <v>-4219206551.8882389</v>
      </c>
      <c r="AK376"/>
      <c r="AL376"/>
      <c r="AM376"/>
    </row>
    <row r="377" spans="1:39">
      <c r="A377" s="44">
        <v>395</v>
      </c>
      <c r="B377" s="37" t="s">
        <v>694</v>
      </c>
      <c r="C377" s="118">
        <v>45747</v>
      </c>
      <c r="D377" s="34" t="s">
        <v>170</v>
      </c>
      <c r="E377" s="47" t="str">
        <f>+_xlfn.XLOOKUP(PROYECTOS[[#This Row],[MUNICIPIO]],MUNICIPIOS!A:A,MUNICIPIOS!E:E,0,0,1)</f>
        <v>Bajo Cauca</v>
      </c>
      <c r="F377" s="44">
        <f>+_xlfn.XLOOKUP(PROYECTOS[[#This Row],[MUNICIPIO]],MUNICIPIOS!A:A,MUNICIPIOS!F:F,0,0,1)</f>
        <v>-74.799097000000003</v>
      </c>
      <c r="G377" s="44" t="str">
        <f>+_xlfn.XLOOKUP(PROYECTOS[[#This Row],[MUNICIPIO]],MUNICIPIOS!A:A,MUNICIPIOS!G:G,0,0,1)</f>
        <v>7,5975</v>
      </c>
      <c r="H377" s="44">
        <f>+_xlfn.XLOOKUP(PROYECTOS[[#This Row],[MUNICIPIO]],MUNICIPIOS!A:A,MUNICIPIOS!B:B,0,0,1)</f>
        <v>1</v>
      </c>
      <c r="I377" s="44">
        <f>+_xlfn.XLOOKUP(PROYECTOS[[#This Row],[MUNICIPIO]],MUNICIPIOS!A:A,MUNICIPIOS!C:C,0,0,1)</f>
        <v>1</v>
      </c>
      <c r="J377" s="34" t="str" cm="1">
        <f t="array" ref="J377">_xlfn.TEXTJOIN(" ", TRUE, IF(radicados[ID PROYECTOS]=A377, radicados[RADICADO], ""))</f>
        <v/>
      </c>
      <c r="K377" s="45">
        <v>1</v>
      </c>
      <c r="L377" s="72"/>
      <c r="M377" s="34" t="s">
        <v>288</v>
      </c>
      <c r="N377" s="34" t="s">
        <v>398</v>
      </c>
      <c r="O377" s="34" t="s">
        <v>25</v>
      </c>
      <c r="P377" s="37" t="s">
        <v>687</v>
      </c>
      <c r="Q377" s="45"/>
      <c r="R377" s="50"/>
      <c r="S377" s="50"/>
      <c r="T377" s="44">
        <f>+_xlfn.XLOOKUP(PROYECTOS[[#This Row],[MUNICIPIO]],'4.CAP_ENDMNT'!B:B,'4.CAP_ENDMNT'!C:C,0,0,1)</f>
        <v>6</v>
      </c>
      <c r="U377" s="139">
        <f>+_xlfn.XLOOKUP(PROYECTOS[[#This Row],[MUNICIPIO]],'4.CAP_ENDMNT'!B:B,'4.CAP_ENDMNT'!D:D,0,0,1)</f>
        <v>50634494381.026505</v>
      </c>
      <c r="V377" s="140">
        <f>+_xlfn.XLOOKUP(PROYECTOS[[#This Row],[MUNICIPIO]],'4.CAP_ENDMNT'!B:B,'4.CAP_ENDMNT'!E:E,0,0,1)</f>
        <v>15839182742.690001</v>
      </c>
      <c r="W377" s="140">
        <f>+_xlfn.XLOOKUP(PROYECTOS[[#This Row],[MUNICIPIO]],'4.CAP_ENDMNT'!B:B,'4.CAP_ENDMNT'!F:F,0,0,1)</f>
        <v>34795311638.336502</v>
      </c>
      <c r="X377" s="140">
        <f>+_xlfn.XLOOKUP(PROYECTOS[[#This Row],[MUNICIPIO]],'4.CAP_ENDMNT'!B:B,'4.CAP_ENDMNT'!G:G,0,0,1)</f>
        <v>67652077</v>
      </c>
      <c r="Y377" s="140">
        <f>+_xlfn.XLOOKUP(PROYECTOS[[#This Row],[MUNICIPIO]],'4.CAP_ENDMNT'!B:B,'4.CAP_ENDMNT'!H:H,0,0,1)</f>
        <v>17477834894.650002</v>
      </c>
      <c r="Z377" s="140">
        <f>+_xlfn.XLOOKUP(PROYECTOS[[#This Row],[MUNICIPIO]],'4.CAP_ENDMNT'!B:B,'4.CAP_ENDMNT'!I:I,0,0,1)</f>
        <v>17545486971.650002</v>
      </c>
      <c r="AA377" s="134">
        <f>+_xlfn.XLOOKUP(PROYECTOS[[#This Row],[MUNICIPIO]],'4.CAP_ENDMNT'!B:B,'4.CAP_ENDMNT'!J:J,0,0,1)</f>
        <v>0.34651253431345719</v>
      </c>
      <c r="AB377" s="140">
        <f>+_xlfn.XLOOKUP(PROYECTOS[[#This Row],[MUNICIPIO]],'4.CAP_ENDMNT'!B:B,'4.CAP_ENDMNT'!K:K,0,0,1)</f>
        <v>33089007409.376503</v>
      </c>
      <c r="AC377" s="140">
        <f>+_xlfn.XLOOKUP(PROYECTOS[[#This Row],[MUNICIPIO]],'4.CAP_ENDMNT'!B:B,'4.CAP_ENDMNT'!L:L,0,0,1)</f>
        <v>26471205927.501205</v>
      </c>
      <c r="AD377" s="140">
        <f>+_xlfn.XLOOKUP(PROYECTOS[[#This Row],[MUNICIPIO]],'4.CAP_ENDMNT'!B:B,'4.CAP_ENDMNT'!M:M,0,0,1)</f>
        <v>19853404445.6259</v>
      </c>
      <c r="AE377" s="134">
        <f>+_xlfn.XLOOKUP(PROYECTOS[[#This Row],[MUNICIPIO]],'4.CAP_ENDMNT'!B:B,'4.CAP_ENDMNT'!N:N,0,0,1)</f>
        <v>3.8558107340829141E-3</v>
      </c>
      <c r="AF377" s="134">
        <f>+_xlfn.XLOOKUP(PROYECTOS[[#This Row],[MUNICIPIO]],'4.CAP_ENDMNT'!B:B,'4.CAP_ENDMNT'!O:O,0,0,1)</f>
        <v>0.40594992695874271</v>
      </c>
      <c r="AG377" s="134">
        <f>+_xlfn.XLOOKUP(PROYECTOS[[#This Row],[MUNICIPIO]],'4.CAP_ENDMNT'!B:B,'4.CAP_ENDMNT'!P:P,0,0,1)</f>
        <v>0.8</v>
      </c>
      <c r="AH377" s="44" t="str">
        <f>+_xlfn.XLOOKUP(PROYECTOS[[#This Row],[MUNICIPIO]],'4.CAP_ENDMNT'!B:B,'4.CAP_ENDMNT'!Q:Q,0,0,1)</f>
        <v>Cumple</v>
      </c>
      <c r="AI377" s="139">
        <f>+_xlfn.XLOOKUP(PROYECTOS[[#This Row],[MUNICIPIO]],'4.CAP_ENDMNT'!B:B,'4.CAP_ENDMNT'!V:V,0,0,1)</f>
        <v>3970680889.1251802</v>
      </c>
      <c r="AJ377" s="139">
        <f>+_xlfn.XLOOKUP(PROYECTOS[[#This Row],[MUNICIPIO]],'4.CAP_ENDMNT'!B:B,'4.CAP_ENDMNT'!Y:Y,0,0,1)</f>
        <v>-9892273308.2489204</v>
      </c>
      <c r="AK377"/>
      <c r="AL377"/>
      <c r="AM377"/>
    </row>
    <row r="378" spans="1:39">
      <c r="A378" s="3">
        <v>397</v>
      </c>
      <c r="B378" s="59" t="s">
        <v>231</v>
      </c>
      <c r="C378" s="119">
        <f>+_xlfn.XLOOKUP(PROYECTOS[[#This Row],[ID_NECESIDAD]],'1.RADICADOS'!G:G,'1.RADICADOS'!C:C,0,0,1)*1</f>
        <v>45515</v>
      </c>
      <c r="D378" s="34" t="s">
        <v>230</v>
      </c>
      <c r="E378" s="47" t="str">
        <f>+_xlfn.XLOOKUP(PROYECTOS[[#This Row],[MUNICIPIO]],MUNICIPIOS!A:A,MUNICIPIOS!E:E,0,0,1)</f>
        <v>Suroeste</v>
      </c>
      <c r="F378" s="44">
        <f>+_xlfn.XLOOKUP(PROYECTOS[[#This Row],[MUNICIPIO]],MUNICIPIOS!A:A,MUNICIPIOS!F:F,0,0,1)</f>
        <v>-75.906587000000002</v>
      </c>
      <c r="G378" s="44" t="str">
        <f>+_xlfn.XLOOKUP(PROYECTOS[[#This Row],[MUNICIPIO]],MUNICIPIOS!A:A,MUNICIPIOS!G:G,0,0,1)</f>
        <v>5,799461</v>
      </c>
      <c r="H378" s="44">
        <f>+_xlfn.XLOOKUP(PROYECTOS[[#This Row],[MUNICIPIO]],MUNICIPIOS!A:A,MUNICIPIOS!B:B,0,0,1)</f>
        <v>0</v>
      </c>
      <c r="I378" s="44">
        <f>+_xlfn.XLOOKUP(PROYECTOS[[#This Row],[MUNICIPIO]],MUNICIPIOS!A:A,MUNICIPIOS!C:C,0,0,1)</f>
        <v>0</v>
      </c>
      <c r="J378" s="34" t="str" cm="1">
        <f t="array" ref="J378">_xlfn.TEXTJOIN(" ", TRUE, IF(radicados[ID PROYECTOS]=A378, radicados[RADICADO], ""))</f>
        <v>2024010512526 2025010027600</v>
      </c>
      <c r="K378" s="45">
        <v>3</v>
      </c>
      <c r="L378" s="214">
        <v>3893893359</v>
      </c>
      <c r="M378" s="34" t="s">
        <v>288</v>
      </c>
      <c r="N378" s="34" t="s">
        <v>398</v>
      </c>
      <c r="O378" s="34" t="s">
        <v>25</v>
      </c>
      <c r="P378" s="37" t="s">
        <v>1475</v>
      </c>
      <c r="Q378" s="45">
        <v>1</v>
      </c>
      <c r="R378" s="43" t="s">
        <v>922</v>
      </c>
      <c r="S378" s="43" t="s">
        <v>1639</v>
      </c>
      <c r="T378" s="3">
        <f>+_xlfn.XLOOKUP(PROYECTOS[[#This Row],[MUNICIPIO]],'4.CAP_ENDMNT'!B:B,'4.CAP_ENDMNT'!C:C,0,0,1)</f>
        <v>6</v>
      </c>
      <c r="U378" s="175">
        <f>+_xlfn.XLOOKUP(PROYECTOS[[#This Row],[MUNICIPIO]],'4.CAP_ENDMNT'!B:B,'4.CAP_ENDMNT'!D:D,0,0,1)</f>
        <v>6274381972.2840004</v>
      </c>
      <c r="V378" s="176">
        <f>+_xlfn.XLOOKUP(PROYECTOS[[#This Row],[MUNICIPIO]],'4.CAP_ENDMNT'!B:B,'4.CAP_ENDMNT'!E:E,0,0,1)</f>
        <v>2404546434.0300002</v>
      </c>
      <c r="W378" s="176">
        <f>+_xlfn.XLOOKUP(PROYECTOS[[#This Row],[MUNICIPIO]],'4.CAP_ENDMNT'!B:B,'4.CAP_ENDMNT'!F:F,0,0,1)</f>
        <v>3869835538.2540002</v>
      </c>
      <c r="X378" s="176">
        <f>+_xlfn.XLOOKUP(PROYECTOS[[#This Row],[MUNICIPIO]],'4.CAP_ENDMNT'!B:B,'4.CAP_ENDMNT'!G:G,0,0,1)</f>
        <v>1292225834</v>
      </c>
      <c r="Y378" s="176">
        <f>+_xlfn.XLOOKUP(PROYECTOS[[#This Row],[MUNICIPIO]],'4.CAP_ENDMNT'!B:B,'4.CAP_ENDMNT'!H:H,0,0,1)</f>
        <v>0</v>
      </c>
      <c r="Z378" s="176">
        <f>+_xlfn.XLOOKUP(PROYECTOS[[#This Row],[MUNICIPIO]],'4.CAP_ENDMNT'!B:B,'4.CAP_ENDMNT'!I:I,0,0,1)</f>
        <v>1292225834</v>
      </c>
      <c r="AA378" s="177">
        <f>+_xlfn.XLOOKUP(PROYECTOS[[#This Row],[MUNICIPIO]],'4.CAP_ENDMNT'!B:B,'4.CAP_ENDMNT'!J:J,0,0,1)</f>
        <v>0.20595268820230975</v>
      </c>
      <c r="AB378" s="176">
        <f>+_xlfn.XLOOKUP(PROYECTOS[[#This Row],[MUNICIPIO]],'4.CAP_ENDMNT'!B:B,'4.CAP_ENDMNT'!K:K,0,0,1)</f>
        <v>4982156138.2840004</v>
      </c>
      <c r="AC378" s="176">
        <f>+_xlfn.XLOOKUP(PROYECTOS[[#This Row],[MUNICIPIO]],'4.CAP_ENDMNT'!B:B,'4.CAP_ENDMNT'!L:L,0,0,1)</f>
        <v>3985724910.6272006</v>
      </c>
      <c r="AD378" s="176">
        <f>+_xlfn.XLOOKUP(PROYECTOS[[#This Row],[MUNICIPIO]],'4.CAP_ENDMNT'!B:B,'4.CAP_ENDMNT'!M:M,0,0,1)</f>
        <v>2989293682.9704003</v>
      </c>
      <c r="AE378" s="177">
        <f>+_xlfn.XLOOKUP(PROYECTOS[[#This Row],[MUNICIPIO]],'4.CAP_ENDMNT'!B:B,'4.CAP_ENDMNT'!N:N,0,0,1)</f>
        <v>1</v>
      </c>
      <c r="AF378" s="177">
        <f>+_xlfn.XLOOKUP(PROYECTOS[[#This Row],[MUNICIPIO]],'4.CAP_ENDMNT'!B:B,'4.CAP_ENDMNT'!O:O,0,0,1)</f>
        <v>0.75496548270760855</v>
      </c>
      <c r="AG378" s="177">
        <f>+_xlfn.XLOOKUP(PROYECTOS[[#This Row],[MUNICIPIO]],'4.CAP_ENDMNT'!B:B,'4.CAP_ENDMNT'!P:P,0,0,1)</f>
        <v>0.8</v>
      </c>
      <c r="AH378" s="3" t="str">
        <f>+_xlfn.XLOOKUP(PROYECTOS[[#This Row],[MUNICIPIO]],'4.CAP_ENDMNT'!B:B,'4.CAP_ENDMNT'!Q:Q,0,0,1)</f>
        <v>Riesgo</v>
      </c>
      <c r="AI378" s="175">
        <f>+_xlfn.XLOOKUP(PROYECTOS[[#This Row],[MUNICIPIO]],'4.CAP_ENDMNT'!B:B,'4.CAP_ENDMNT'!V:V,0,0,1)</f>
        <v>597858736.59408009</v>
      </c>
      <c r="AJ378" s="175">
        <f>+_xlfn.XLOOKUP(PROYECTOS[[#This Row],[MUNICIPIO]],'4.CAP_ENDMNT'!B:B,'4.CAP_ENDMNT'!Y:Y,0,0,1)</f>
        <v>-2938227867.4355197</v>
      </c>
      <c r="AK378"/>
      <c r="AL378"/>
      <c r="AM378"/>
    </row>
    <row r="379" spans="1:39">
      <c r="A379" s="44">
        <v>398</v>
      </c>
      <c r="B379" s="37" t="s">
        <v>1219</v>
      </c>
      <c r="C379" s="118">
        <f>+_xlfn.XLOOKUP(PROYECTOS[[#This Row],[ID_NECESIDAD]],'1.RADICADOS'!G:G,'1.RADICADOS'!C:C,0,0,1)*1</f>
        <v>45708</v>
      </c>
      <c r="D379" s="34" t="s">
        <v>61</v>
      </c>
      <c r="E379" s="47" t="str">
        <f>+_xlfn.XLOOKUP(PROYECTOS[[#This Row],[MUNICIPIO]],MUNICIPIOS!A:A,MUNICIPIOS!E:E,0,0,1)</f>
        <v>Suroeste</v>
      </c>
      <c r="F379" s="44">
        <f>+_xlfn.XLOOKUP(PROYECTOS[[#This Row],[MUNICIPIO]],MUNICIPIOS!A:A,MUNICIPIOS!F:F,0,0,1)</f>
        <v>-75.675072</v>
      </c>
      <c r="G379" s="44" t="str">
        <f>+_xlfn.XLOOKUP(PROYECTOS[[#This Row],[MUNICIPIO]],MUNICIPIOS!A:A,MUNICIPIOS!G:G,0,0,1)</f>
        <v>5,928039</v>
      </c>
      <c r="H379" s="44">
        <f>+_xlfn.XLOOKUP(PROYECTOS[[#This Row],[MUNICIPIO]],MUNICIPIOS!A:A,MUNICIPIOS!B:B,0,0,1)</f>
        <v>0</v>
      </c>
      <c r="I379" s="44">
        <f>+_xlfn.XLOOKUP(PROYECTOS[[#This Row],[MUNICIPIO]],MUNICIPIOS!A:A,MUNICIPIOS!C:C,0,0,1)</f>
        <v>0</v>
      </c>
      <c r="J379" s="34" t="str" cm="1">
        <f t="array" ref="J379">_xlfn.TEXTJOIN(" ", TRUE, IF(radicados[ID PROYECTOS]=A379, radicados[RADICADO], ""))</f>
        <v>2025010080871 2025050284678 2025050284679 2025010150616</v>
      </c>
      <c r="K379" s="45">
        <v>1</v>
      </c>
      <c r="L379" s="185">
        <v>638423715</v>
      </c>
      <c r="M379" s="34" t="s">
        <v>407</v>
      </c>
      <c r="N379" s="40" t="s">
        <v>397</v>
      </c>
      <c r="O379" s="40" t="s">
        <v>56</v>
      </c>
      <c r="P379" s="37" t="s">
        <v>1224</v>
      </c>
      <c r="Q379" s="45"/>
      <c r="R379" s="50"/>
      <c r="S379" s="50"/>
      <c r="T379" s="44">
        <f>+_xlfn.XLOOKUP(PROYECTOS[[#This Row],[MUNICIPIO]],'4.CAP_ENDMNT'!B:B,'4.CAP_ENDMNT'!C:C,0,0,1)</f>
        <v>6</v>
      </c>
      <c r="U379" s="139">
        <f>+_xlfn.XLOOKUP(PROYECTOS[[#This Row],[MUNICIPIO]],'4.CAP_ENDMNT'!B:B,'4.CAP_ENDMNT'!D:D,0,0,1)</f>
        <v>17515986067.273998</v>
      </c>
      <c r="V379" s="140">
        <f>+_xlfn.XLOOKUP(PROYECTOS[[#This Row],[MUNICIPIO]],'4.CAP_ENDMNT'!B:B,'4.CAP_ENDMNT'!E:E,0,0,1)</f>
        <v>8346764868.3600006</v>
      </c>
      <c r="W379" s="140">
        <f>+_xlfn.XLOOKUP(PROYECTOS[[#This Row],[MUNICIPIO]],'4.CAP_ENDMNT'!B:B,'4.CAP_ENDMNT'!F:F,0,0,1)</f>
        <v>9169221198.9139977</v>
      </c>
      <c r="X379" s="140">
        <f>+_xlfn.XLOOKUP(PROYECTOS[[#This Row],[MUNICIPIO]],'4.CAP_ENDMNT'!B:B,'4.CAP_ENDMNT'!G:G,0,0,1)</f>
        <v>0</v>
      </c>
      <c r="Y379" s="140">
        <f>+_xlfn.XLOOKUP(PROYECTOS[[#This Row],[MUNICIPIO]],'4.CAP_ENDMNT'!B:B,'4.CAP_ENDMNT'!H:H,0,0,1)</f>
        <v>6328650461</v>
      </c>
      <c r="Z379" s="140">
        <f>+_xlfn.XLOOKUP(PROYECTOS[[#This Row],[MUNICIPIO]],'4.CAP_ENDMNT'!B:B,'4.CAP_ENDMNT'!I:I,0,0,1)</f>
        <v>6328650461</v>
      </c>
      <c r="AA379" s="134">
        <f>+_xlfn.XLOOKUP(PROYECTOS[[#This Row],[MUNICIPIO]],'4.CAP_ENDMNT'!B:B,'4.CAP_ENDMNT'!J:J,0,0,1)</f>
        <v>0.36130711891945022</v>
      </c>
      <c r="AB379" s="140">
        <f>+_xlfn.XLOOKUP(PROYECTOS[[#This Row],[MUNICIPIO]],'4.CAP_ENDMNT'!B:B,'4.CAP_ENDMNT'!K:K,0,0,1)</f>
        <v>11187335606.273998</v>
      </c>
      <c r="AC379" s="140">
        <f>+_xlfn.XLOOKUP(PROYECTOS[[#This Row],[MUNICIPIO]],'4.CAP_ENDMNT'!B:B,'4.CAP_ENDMNT'!L:L,0,0,1)</f>
        <v>8949868485.0191994</v>
      </c>
      <c r="AD379" s="140">
        <f>+_xlfn.XLOOKUP(PROYECTOS[[#This Row],[MUNICIPIO]],'4.CAP_ENDMNT'!B:B,'4.CAP_ENDMNT'!M:M,0,0,1)</f>
        <v>6712401363.7643986</v>
      </c>
      <c r="AE379" s="134">
        <f>+_xlfn.XLOOKUP(PROYECTOS[[#This Row],[MUNICIPIO]],'4.CAP_ENDMNT'!B:B,'4.CAP_ENDMNT'!N:N,0,0,1)</f>
        <v>0</v>
      </c>
      <c r="AF379" s="134">
        <f>+_xlfn.XLOOKUP(PROYECTOS[[#This Row],[MUNICIPIO]],'4.CAP_ENDMNT'!B:B,'4.CAP_ENDMNT'!O:O,0,0,1)</f>
        <v>0.67376313277740918</v>
      </c>
      <c r="AG379" s="134">
        <f>+_xlfn.XLOOKUP(PROYECTOS[[#This Row],[MUNICIPIO]],'4.CAP_ENDMNT'!B:B,'4.CAP_ENDMNT'!P:P,0,0,1)</f>
        <v>0.8</v>
      </c>
      <c r="AH379" s="44" t="str">
        <f>+_xlfn.XLOOKUP(PROYECTOS[[#This Row],[MUNICIPIO]],'4.CAP_ENDMNT'!B:B,'4.CAP_ENDMNT'!Q:Q,0,0,1)</f>
        <v>Cumple</v>
      </c>
      <c r="AI379" s="139">
        <f>+_xlfn.XLOOKUP(PROYECTOS[[#This Row],[MUNICIPIO]],'4.CAP_ENDMNT'!B:B,'4.CAP_ENDMNT'!V:V,0,0,1)</f>
        <v>1342480272.7528799</v>
      </c>
      <c r="AJ379" s="139">
        <f>+_xlfn.XLOOKUP(PROYECTOS[[#This Row],[MUNICIPIO]],'4.CAP_ENDMNT'!B:B,'4.CAP_ENDMNT'!Y:Y,0,0,1)</f>
        <v>3280962216.5172787</v>
      </c>
      <c r="AK379"/>
      <c r="AL379"/>
      <c r="AM379"/>
    </row>
    <row r="380" spans="1:39" ht="15" customHeight="1">
      <c r="A380" s="44">
        <v>399</v>
      </c>
      <c r="B380" s="37" t="s">
        <v>370</v>
      </c>
      <c r="C380" s="118">
        <f>+_xlfn.XLOOKUP(PROYECTOS[[#This Row],[ID_NECESIDAD]],'1.RADICADOS'!G:G,'1.RADICADOS'!C:C,0,0,1)*1</f>
        <v>45714</v>
      </c>
      <c r="D380" s="34" t="s">
        <v>369</v>
      </c>
      <c r="E380" s="47" t="str">
        <f>+_xlfn.XLOOKUP(PROYECTOS[[#This Row],[MUNICIPIO]],MUNICIPIOS!A:A,MUNICIPIOS!E:E,0,0,1)</f>
        <v>Nordeste</v>
      </c>
      <c r="F380" s="44">
        <f>+_xlfn.XLOOKUP(PROYECTOS[[#This Row],[MUNICIPIO]],MUNICIPIOS!A:A,MUNICIPIOS!F:F,0,0,1)</f>
        <v>-75.164902999999995</v>
      </c>
      <c r="G380" s="44" t="str">
        <f>+_xlfn.XLOOKUP(PROYECTOS[[#This Row],[MUNICIPIO]],MUNICIPIOS!A:A,MUNICIPIOS!G:G,0,0,1)</f>
        <v>6,473032</v>
      </c>
      <c r="H380" s="44">
        <f>+_xlfn.XLOOKUP(PROYECTOS[[#This Row],[MUNICIPIO]],MUNICIPIOS!A:A,MUNICIPIOS!B:B,0,0,1)</f>
        <v>0</v>
      </c>
      <c r="I380" s="44">
        <f>+_xlfn.XLOOKUP(PROYECTOS[[#This Row],[MUNICIPIO]],MUNICIPIOS!A:A,MUNICIPIOS!C:C,0,0,1)</f>
        <v>1</v>
      </c>
      <c r="J380" s="34" t="str" cm="1">
        <f t="array" ref="J380">_xlfn.TEXTJOIN(" ", TRUE, IF(radicados[ID PROYECTOS]=A380, radicados[RADICADO], ""))</f>
        <v>2025010291398</v>
      </c>
      <c r="K380" s="45">
        <v>3</v>
      </c>
      <c r="L380" s="48"/>
      <c r="M380" s="34" t="s">
        <v>288</v>
      </c>
      <c r="N380" s="92" t="s">
        <v>398</v>
      </c>
      <c r="O380" s="92" t="s">
        <v>25</v>
      </c>
      <c r="P380" s="37"/>
      <c r="Q380" s="45"/>
      <c r="R380" s="50"/>
      <c r="S380" s="50"/>
      <c r="T380" s="44">
        <f>+_xlfn.XLOOKUP(PROYECTOS[[#This Row],[MUNICIPIO]],'4.CAP_ENDMNT'!B:B,'4.CAP_ENDMNT'!C:C,0,0,1)</f>
        <v>6</v>
      </c>
      <c r="U380" s="139">
        <f>+_xlfn.XLOOKUP(PROYECTOS[[#This Row],[MUNICIPIO]],'4.CAP_ENDMNT'!B:B,'4.CAP_ENDMNT'!D:D,0,0,1)</f>
        <v>13758623676.126001</v>
      </c>
      <c r="V380" s="140">
        <f>+_xlfn.XLOOKUP(PROYECTOS[[#This Row],[MUNICIPIO]],'4.CAP_ENDMNT'!B:B,'4.CAP_ENDMNT'!E:E,0,0,1)</f>
        <v>4170961872.3800001</v>
      </c>
      <c r="W380" s="140">
        <f>+_xlfn.XLOOKUP(PROYECTOS[[#This Row],[MUNICIPIO]],'4.CAP_ENDMNT'!B:B,'4.CAP_ENDMNT'!F:F,0,0,1)</f>
        <v>9587661803.7460022</v>
      </c>
      <c r="X380" s="140">
        <f>+_xlfn.XLOOKUP(PROYECTOS[[#This Row],[MUNICIPIO]],'4.CAP_ENDMNT'!B:B,'4.CAP_ENDMNT'!G:G,0,0,1)</f>
        <v>5765015946</v>
      </c>
      <c r="Y380" s="140">
        <f>+_xlfn.XLOOKUP(PROYECTOS[[#This Row],[MUNICIPIO]],'4.CAP_ENDMNT'!B:B,'4.CAP_ENDMNT'!H:H,0,0,1)</f>
        <v>0</v>
      </c>
      <c r="Z380" s="140">
        <f>+_xlfn.XLOOKUP(PROYECTOS[[#This Row],[MUNICIPIO]],'4.CAP_ENDMNT'!B:B,'4.CAP_ENDMNT'!I:I,0,0,1)</f>
        <v>5765015946</v>
      </c>
      <c r="AA380" s="134">
        <f>+_xlfn.XLOOKUP(PROYECTOS[[#This Row],[MUNICIPIO]],'4.CAP_ENDMNT'!B:B,'4.CAP_ENDMNT'!J:J,0,0,1)</f>
        <v>0.41901109309381507</v>
      </c>
      <c r="AB380" s="140">
        <f>+_xlfn.XLOOKUP(PROYECTOS[[#This Row],[MUNICIPIO]],'4.CAP_ENDMNT'!B:B,'4.CAP_ENDMNT'!K:K,0,0,1)</f>
        <v>7993607730.1260014</v>
      </c>
      <c r="AC380" s="140">
        <f>+_xlfn.XLOOKUP(PROYECTOS[[#This Row],[MUNICIPIO]],'4.CAP_ENDMNT'!B:B,'4.CAP_ENDMNT'!L:L,0,0,1)</f>
        <v>6394886184.1008015</v>
      </c>
      <c r="AD380" s="140">
        <f>+_xlfn.XLOOKUP(PROYECTOS[[#This Row],[MUNICIPIO]],'4.CAP_ENDMNT'!B:B,'4.CAP_ENDMNT'!M:M,0,0,1)</f>
        <v>4796164638.0756006</v>
      </c>
      <c r="AE380" s="134">
        <f>+_xlfn.XLOOKUP(PROYECTOS[[#This Row],[MUNICIPIO]],'4.CAP_ENDMNT'!B:B,'4.CAP_ENDMNT'!N:N,0,0,1)</f>
        <v>1</v>
      </c>
      <c r="AF380" s="134">
        <f>+_xlfn.XLOOKUP(PROYECTOS[[#This Row],[MUNICIPIO]],'4.CAP_ENDMNT'!B:B,'4.CAP_ENDMNT'!O:O,0,0,1)</f>
        <v>0.61660684639206742</v>
      </c>
      <c r="AG380" s="134">
        <f>+_xlfn.XLOOKUP(PROYECTOS[[#This Row],[MUNICIPIO]],'4.CAP_ENDMNT'!B:B,'4.CAP_ENDMNT'!P:P,0,0,1)</f>
        <v>0.8</v>
      </c>
      <c r="AH380" s="44" t="str">
        <f>+_xlfn.XLOOKUP(PROYECTOS[[#This Row],[MUNICIPIO]],'4.CAP_ENDMNT'!B:B,'4.CAP_ENDMNT'!Q:Q,0,0,1)</f>
        <v>Cumple</v>
      </c>
      <c r="AI380" s="139">
        <f>+_xlfn.XLOOKUP(PROYECTOS[[#This Row],[MUNICIPIO]],'4.CAP_ENDMNT'!B:B,'4.CAP_ENDMNT'!V:V,0,0,1)</f>
        <v>959232927.61512017</v>
      </c>
      <c r="AJ380" s="139">
        <f>+_xlfn.XLOOKUP(PROYECTOS[[#This Row],[MUNICIPIO]],'4.CAP_ENDMNT'!B:B,'4.CAP_ENDMNT'!Y:Y,0,0,1)</f>
        <v>-12238697187.30928</v>
      </c>
      <c r="AK380"/>
      <c r="AL380"/>
      <c r="AM380"/>
    </row>
    <row r="381" spans="1:39" ht="15" customHeight="1">
      <c r="A381" s="44">
        <v>400</v>
      </c>
      <c r="B381" s="37" t="s">
        <v>372</v>
      </c>
      <c r="C381" s="118">
        <f>+_xlfn.XLOOKUP(PROYECTOS[[#This Row],[ID_NECESIDAD]],'1.RADICADOS'!G:G,'1.RADICADOS'!C:C,0,0,1)*1</f>
        <v>45726</v>
      </c>
      <c r="D381" s="34" t="s">
        <v>230</v>
      </c>
      <c r="E381" s="47" t="str">
        <f>+_xlfn.XLOOKUP(PROYECTOS[[#This Row],[MUNICIPIO]],MUNICIPIOS!A:A,MUNICIPIOS!E:E,0,0,1)</f>
        <v>Suroeste</v>
      </c>
      <c r="F381" s="44">
        <f>+_xlfn.XLOOKUP(PROYECTOS[[#This Row],[MUNICIPIO]],MUNICIPIOS!A:A,MUNICIPIOS!F:F,0,0,1)</f>
        <v>-75.906587000000002</v>
      </c>
      <c r="G381" s="44" t="str">
        <f>+_xlfn.XLOOKUP(PROYECTOS[[#This Row],[MUNICIPIO]],MUNICIPIOS!A:A,MUNICIPIOS!G:G,0,0,1)</f>
        <v>5,799461</v>
      </c>
      <c r="H381" s="44">
        <f>+_xlfn.XLOOKUP(PROYECTOS[[#This Row],[MUNICIPIO]],MUNICIPIOS!A:A,MUNICIPIOS!B:B,0,0,1)</f>
        <v>0</v>
      </c>
      <c r="I381" s="44">
        <f>+_xlfn.XLOOKUP(PROYECTOS[[#This Row],[MUNICIPIO]],MUNICIPIOS!A:A,MUNICIPIOS!C:C,0,0,1)</f>
        <v>0</v>
      </c>
      <c r="J381" s="34" t="str" cm="1">
        <f t="array" ref="J381">_xlfn.TEXTJOIN(" ", TRUE, IF(radicados[ID PROYECTOS]=A381, radicados[RADICADO], ""))</f>
        <v>2025010116063</v>
      </c>
      <c r="K381" s="45">
        <v>3</v>
      </c>
      <c r="L381" s="48">
        <v>2631486928</v>
      </c>
      <c r="M381" s="40" t="s">
        <v>401</v>
      </c>
      <c r="N381" s="92" t="s">
        <v>394</v>
      </c>
      <c r="O381" s="92" t="s">
        <v>18</v>
      </c>
      <c r="P381" s="37" t="s">
        <v>373</v>
      </c>
      <c r="Q381" s="45"/>
      <c r="R381" s="50"/>
      <c r="S381" s="50"/>
      <c r="T381" s="44">
        <f>+_xlfn.XLOOKUP(PROYECTOS[[#This Row],[MUNICIPIO]],'4.CAP_ENDMNT'!B:B,'4.CAP_ENDMNT'!C:C,0,0,1)</f>
        <v>6</v>
      </c>
      <c r="U381" s="139">
        <f>+_xlfn.XLOOKUP(PROYECTOS[[#This Row],[MUNICIPIO]],'4.CAP_ENDMNT'!B:B,'4.CAP_ENDMNT'!D:D,0,0,1)</f>
        <v>6274381972.2840004</v>
      </c>
      <c r="V381" s="140">
        <f>+_xlfn.XLOOKUP(PROYECTOS[[#This Row],[MUNICIPIO]],'4.CAP_ENDMNT'!B:B,'4.CAP_ENDMNT'!E:E,0,0,1)</f>
        <v>2404546434.0300002</v>
      </c>
      <c r="W381" s="140">
        <f>+_xlfn.XLOOKUP(PROYECTOS[[#This Row],[MUNICIPIO]],'4.CAP_ENDMNT'!B:B,'4.CAP_ENDMNT'!F:F,0,0,1)</f>
        <v>3869835538.2540002</v>
      </c>
      <c r="X381" s="140">
        <f>+_xlfn.XLOOKUP(PROYECTOS[[#This Row],[MUNICIPIO]],'4.CAP_ENDMNT'!B:B,'4.CAP_ENDMNT'!G:G,0,0,1)</f>
        <v>1292225834</v>
      </c>
      <c r="Y381" s="140">
        <f>+_xlfn.XLOOKUP(PROYECTOS[[#This Row],[MUNICIPIO]],'4.CAP_ENDMNT'!B:B,'4.CAP_ENDMNT'!H:H,0,0,1)</f>
        <v>0</v>
      </c>
      <c r="Z381" s="140">
        <f>+_xlfn.XLOOKUP(PROYECTOS[[#This Row],[MUNICIPIO]],'4.CAP_ENDMNT'!B:B,'4.CAP_ENDMNT'!I:I,0,0,1)</f>
        <v>1292225834</v>
      </c>
      <c r="AA381" s="134">
        <f>+_xlfn.XLOOKUP(PROYECTOS[[#This Row],[MUNICIPIO]],'4.CAP_ENDMNT'!B:B,'4.CAP_ENDMNT'!J:J,0,0,1)</f>
        <v>0.20595268820230975</v>
      </c>
      <c r="AB381" s="140">
        <f>+_xlfn.XLOOKUP(PROYECTOS[[#This Row],[MUNICIPIO]],'4.CAP_ENDMNT'!B:B,'4.CAP_ENDMNT'!K:K,0,0,1)</f>
        <v>4982156138.2840004</v>
      </c>
      <c r="AC381" s="140">
        <f>+_xlfn.XLOOKUP(PROYECTOS[[#This Row],[MUNICIPIO]],'4.CAP_ENDMNT'!B:B,'4.CAP_ENDMNT'!L:L,0,0,1)</f>
        <v>3985724910.6272006</v>
      </c>
      <c r="AD381" s="140">
        <f>+_xlfn.XLOOKUP(PROYECTOS[[#This Row],[MUNICIPIO]],'4.CAP_ENDMNT'!B:B,'4.CAP_ENDMNT'!M:M,0,0,1)</f>
        <v>2989293682.9704003</v>
      </c>
      <c r="AE381" s="134">
        <f>+_xlfn.XLOOKUP(PROYECTOS[[#This Row],[MUNICIPIO]],'4.CAP_ENDMNT'!B:B,'4.CAP_ENDMNT'!N:N,0,0,1)</f>
        <v>1</v>
      </c>
      <c r="AF381" s="134">
        <f>+_xlfn.XLOOKUP(PROYECTOS[[#This Row],[MUNICIPIO]],'4.CAP_ENDMNT'!B:B,'4.CAP_ENDMNT'!O:O,0,0,1)</f>
        <v>0.75496548270760855</v>
      </c>
      <c r="AG381" s="134">
        <f>+_xlfn.XLOOKUP(PROYECTOS[[#This Row],[MUNICIPIO]],'4.CAP_ENDMNT'!B:B,'4.CAP_ENDMNT'!P:P,0,0,1)</f>
        <v>0.8</v>
      </c>
      <c r="AH381" s="44" t="str">
        <f>+_xlfn.XLOOKUP(PROYECTOS[[#This Row],[MUNICIPIO]],'4.CAP_ENDMNT'!B:B,'4.CAP_ENDMNT'!Q:Q,0,0,1)</f>
        <v>Riesgo</v>
      </c>
      <c r="AI381" s="139">
        <f>+_xlfn.XLOOKUP(PROYECTOS[[#This Row],[MUNICIPIO]],'4.CAP_ENDMNT'!B:B,'4.CAP_ENDMNT'!V:V,0,0,1)</f>
        <v>597858736.59408009</v>
      </c>
      <c r="AJ381" s="139">
        <f>+_xlfn.XLOOKUP(PROYECTOS[[#This Row],[MUNICIPIO]],'4.CAP_ENDMNT'!B:B,'4.CAP_ENDMNT'!Y:Y,0,0,1)</f>
        <v>-2938227867.4355197</v>
      </c>
      <c r="AK381"/>
      <c r="AL381"/>
      <c r="AM381"/>
    </row>
    <row r="382" spans="1:39" ht="15" customHeight="1">
      <c r="A382" s="44">
        <v>401</v>
      </c>
      <c r="B382" s="37" t="s">
        <v>699</v>
      </c>
      <c r="C382" s="118">
        <v>45747</v>
      </c>
      <c r="D382" s="34" t="s">
        <v>182</v>
      </c>
      <c r="E382" s="47" t="str">
        <f>+_xlfn.XLOOKUP(PROYECTOS[[#This Row],[MUNICIPIO]],MUNICIPIOS!A:A,MUNICIPIOS!E:E,0,0,1)</f>
        <v>Occidente</v>
      </c>
      <c r="F382" s="44">
        <f>+_xlfn.XLOOKUP(PROYECTOS[[#This Row],[MUNICIPIO]],MUNICIPIOS!A:A,MUNICIPIOS!F:F,0,0,1)</f>
        <v>-76.028227999999999</v>
      </c>
      <c r="G382" s="44" t="str">
        <f>+_xlfn.XLOOKUP(PROYECTOS[[#This Row],[MUNICIPIO]],MUNICIPIOS!A:A,MUNICIPIOS!G:G,0,0,1)</f>
        <v>6,753859</v>
      </c>
      <c r="H382" s="44">
        <f>+_xlfn.XLOOKUP(PROYECTOS[[#This Row],[MUNICIPIO]],MUNICIPIOS!A:A,MUNICIPIOS!B:B,0,0,1)</f>
        <v>0</v>
      </c>
      <c r="I382" s="44">
        <f>+_xlfn.XLOOKUP(PROYECTOS[[#This Row],[MUNICIPIO]],MUNICIPIOS!A:A,MUNICIPIOS!C:C,0,0,1)</f>
        <v>0</v>
      </c>
      <c r="J382" s="34"/>
      <c r="K382" s="45">
        <v>1</v>
      </c>
      <c r="L382" s="48"/>
      <c r="M382" s="34" t="s">
        <v>407</v>
      </c>
      <c r="N382" s="34" t="s">
        <v>398</v>
      </c>
      <c r="O382" s="34" t="s">
        <v>25</v>
      </c>
      <c r="P382" s="37" t="s">
        <v>1476</v>
      </c>
      <c r="Q382" s="45"/>
      <c r="R382" s="50"/>
      <c r="S382" s="50"/>
      <c r="T382" s="44">
        <f>+_xlfn.XLOOKUP(PROYECTOS[[#This Row],[MUNICIPIO]],'4.CAP_ENDMNT'!B:B,'4.CAP_ENDMNT'!C:C,0,0,1)</f>
        <v>6</v>
      </c>
      <c r="U382" s="139">
        <f>+_xlfn.XLOOKUP(PROYECTOS[[#This Row],[MUNICIPIO]],'4.CAP_ENDMNT'!B:B,'4.CAP_ENDMNT'!D:D,0,0,1)</f>
        <v>17304408242.457001</v>
      </c>
      <c r="V382" s="140">
        <f>+_xlfn.XLOOKUP(PROYECTOS[[#This Row],[MUNICIPIO]],'4.CAP_ENDMNT'!B:B,'4.CAP_ENDMNT'!E:E,0,0,1)</f>
        <v>4260885029.46</v>
      </c>
      <c r="W382" s="140">
        <f>+_xlfn.XLOOKUP(PROYECTOS[[#This Row],[MUNICIPIO]],'4.CAP_ENDMNT'!B:B,'4.CAP_ENDMNT'!F:F,0,0,1)</f>
        <v>13043523212.997002</v>
      </c>
      <c r="X382" s="140">
        <f>+_xlfn.XLOOKUP(PROYECTOS[[#This Row],[MUNICIPIO]],'4.CAP_ENDMNT'!B:B,'4.CAP_ENDMNT'!G:G,0,0,1)</f>
        <v>3210633884</v>
      </c>
      <c r="Y382" s="140">
        <f>+_xlfn.XLOOKUP(PROYECTOS[[#This Row],[MUNICIPIO]],'4.CAP_ENDMNT'!B:B,'4.CAP_ENDMNT'!H:H,0,0,1)</f>
        <v>0</v>
      </c>
      <c r="Z382" s="140">
        <f>+_xlfn.XLOOKUP(PROYECTOS[[#This Row],[MUNICIPIO]],'4.CAP_ENDMNT'!B:B,'4.CAP_ENDMNT'!I:I,0,0,1)</f>
        <v>3210633884</v>
      </c>
      <c r="AA382" s="134">
        <f>+_xlfn.XLOOKUP(PROYECTOS[[#This Row],[MUNICIPIO]],'4.CAP_ENDMNT'!B:B,'4.CAP_ENDMNT'!J:J,0,0,1)</f>
        <v>0.1855384962614666</v>
      </c>
      <c r="AB382" s="140">
        <f>+_xlfn.XLOOKUP(PROYECTOS[[#This Row],[MUNICIPIO]],'4.CAP_ENDMNT'!B:B,'4.CAP_ENDMNT'!K:K,0,0,1)</f>
        <v>14093774358.457001</v>
      </c>
      <c r="AC382" s="140">
        <f>+_xlfn.XLOOKUP(PROYECTOS[[#This Row],[MUNICIPIO]],'4.CAP_ENDMNT'!B:B,'4.CAP_ENDMNT'!L:L,0,0,1)</f>
        <v>11275019486.765602</v>
      </c>
      <c r="AD382" s="140">
        <f>+_xlfn.XLOOKUP(PROYECTOS[[#This Row],[MUNICIPIO]],'4.CAP_ENDMNT'!B:B,'4.CAP_ENDMNT'!M:M,0,0,1)</f>
        <v>8456264615.0741997</v>
      </c>
      <c r="AE382" s="134">
        <f>+_xlfn.XLOOKUP(PROYECTOS[[#This Row],[MUNICIPIO]],'4.CAP_ENDMNT'!B:B,'4.CAP_ENDMNT'!N:N,0,0,1)</f>
        <v>1</v>
      </c>
      <c r="AF382" s="134">
        <f>+_xlfn.XLOOKUP(PROYECTOS[[#This Row],[MUNICIPIO]],'4.CAP_ENDMNT'!B:B,'4.CAP_ENDMNT'!O:O,0,0,1)</f>
        <v>0.3794626866525494</v>
      </c>
      <c r="AG382" s="134">
        <f>+_xlfn.XLOOKUP(PROYECTOS[[#This Row],[MUNICIPIO]],'4.CAP_ENDMNT'!B:B,'4.CAP_ENDMNT'!P:P,0,0,1)</f>
        <v>0.8</v>
      </c>
      <c r="AH382" s="44" t="str">
        <f>+_xlfn.XLOOKUP(PROYECTOS[[#This Row],[MUNICIPIO]],'4.CAP_ENDMNT'!B:B,'4.CAP_ENDMNT'!Q:Q,0,0,1)</f>
        <v>Cumple</v>
      </c>
      <c r="AI382" s="139">
        <f>+_xlfn.XLOOKUP(PROYECTOS[[#This Row],[MUNICIPIO]],'4.CAP_ENDMNT'!B:B,'4.CAP_ENDMNT'!V:V,0,0,1)</f>
        <v>1691252923.0148401</v>
      </c>
      <c r="AJ382" s="139">
        <f>+_xlfn.XLOOKUP(PROYECTOS[[#This Row],[MUNICIPIO]],'4.CAP_ENDMNT'!B:B,'4.CAP_ENDMNT'!Y:Y,0,0,1)</f>
        <v>-145378147798.91095</v>
      </c>
      <c r="AK382"/>
      <c r="AL382"/>
      <c r="AM382"/>
    </row>
    <row r="383" spans="1:39" ht="15" customHeight="1">
      <c r="A383" s="44">
        <v>402</v>
      </c>
      <c r="B383" s="37" t="s">
        <v>700</v>
      </c>
      <c r="C383" s="118">
        <v>45747</v>
      </c>
      <c r="D383" s="34" t="s">
        <v>168</v>
      </c>
      <c r="E383" s="47" t="str">
        <f>+_xlfn.XLOOKUP(PROYECTOS[[#This Row],[MUNICIPIO]],MUNICIPIOS!A:A,MUNICIPIOS!E:E,0,0,1)</f>
        <v>Occidente</v>
      </c>
      <c r="F383" s="44">
        <f>+_xlfn.XLOOKUP(PROYECTOS[[#This Row],[MUNICIPIO]],MUNICIPIOS!A:A,MUNICIPIOS!F:F,0,0,1)</f>
        <v>-75.854442000000006</v>
      </c>
      <c r="G383" s="44" t="str">
        <f>+_xlfn.XLOOKUP(PROYECTOS[[#This Row],[MUNICIPIO]],MUNICIPIOS!A:A,MUNICIPIOS!G:G,0,0,1)</f>
        <v>6,302641</v>
      </c>
      <c r="H383" s="44">
        <f>+_xlfn.XLOOKUP(PROYECTOS[[#This Row],[MUNICIPIO]],MUNICIPIOS!A:A,MUNICIPIOS!B:B,0,0,1)</f>
        <v>0</v>
      </c>
      <c r="I383" s="44">
        <f>+_xlfn.XLOOKUP(PROYECTOS[[#This Row],[MUNICIPIO]],MUNICIPIOS!A:A,MUNICIPIOS!C:C,0,0,1)</f>
        <v>0</v>
      </c>
      <c r="J383" s="34" t="str" cm="1">
        <f t="array" ref="J383">_xlfn.TEXTJOIN(" ", TRUE, IF(radicados[ID PROYECTOS]=A383, radicados[RADICADO], ""))</f>
        <v/>
      </c>
      <c r="K383" s="142">
        <v>2</v>
      </c>
      <c r="L383" s="48"/>
      <c r="M383" s="34" t="s">
        <v>407</v>
      </c>
      <c r="N383" s="40" t="s">
        <v>394</v>
      </c>
      <c r="O383" s="40" t="s">
        <v>18</v>
      </c>
      <c r="P383" s="37" t="s">
        <v>952</v>
      </c>
      <c r="Q383" s="45"/>
      <c r="R383" s="50"/>
      <c r="S383" s="50"/>
      <c r="T383" s="44">
        <f>+_xlfn.XLOOKUP(PROYECTOS[[#This Row],[MUNICIPIO]],'4.CAP_ENDMNT'!B:B,'4.CAP_ENDMNT'!C:C,0,0,1)</f>
        <v>6</v>
      </c>
      <c r="U383" s="139">
        <f>+_xlfn.XLOOKUP(PROYECTOS[[#This Row],[MUNICIPIO]],'4.CAP_ENDMNT'!B:B,'4.CAP_ENDMNT'!D:D,0,0,1)</f>
        <v>7049911897.9460001</v>
      </c>
      <c r="V383" s="140">
        <f>+_xlfn.XLOOKUP(PROYECTOS[[#This Row],[MUNICIPIO]],'4.CAP_ENDMNT'!B:B,'4.CAP_ENDMNT'!E:E,0,0,1)</f>
        <v>2502449802.4500003</v>
      </c>
      <c r="W383" s="140">
        <f>+_xlfn.XLOOKUP(PROYECTOS[[#This Row],[MUNICIPIO]],'4.CAP_ENDMNT'!B:B,'4.CAP_ENDMNT'!F:F,0,0,1)</f>
        <v>4547462095.4960003</v>
      </c>
      <c r="X383" s="140">
        <f>+_xlfn.XLOOKUP(PROYECTOS[[#This Row],[MUNICIPIO]],'4.CAP_ENDMNT'!B:B,'4.CAP_ENDMNT'!G:G,0,0,1)</f>
        <v>1083993787</v>
      </c>
      <c r="Y383" s="140">
        <f>+_xlfn.XLOOKUP(PROYECTOS[[#This Row],[MUNICIPIO]],'4.CAP_ENDMNT'!B:B,'4.CAP_ENDMNT'!H:H,0,0,1)</f>
        <v>0</v>
      </c>
      <c r="Z383" s="140">
        <f>+_xlfn.XLOOKUP(PROYECTOS[[#This Row],[MUNICIPIO]],'4.CAP_ENDMNT'!B:B,'4.CAP_ENDMNT'!I:I,0,0,1)</f>
        <v>1083993787</v>
      </c>
      <c r="AA383" s="134">
        <f>+_xlfn.XLOOKUP(PROYECTOS[[#This Row],[MUNICIPIO]],'4.CAP_ENDMNT'!B:B,'4.CAP_ENDMNT'!J:J,0,0,1)</f>
        <v>0.15375990546999926</v>
      </c>
      <c r="AB383" s="140">
        <f>+_xlfn.XLOOKUP(PROYECTOS[[#This Row],[MUNICIPIO]],'4.CAP_ENDMNT'!B:B,'4.CAP_ENDMNT'!K:K,0,0,1)</f>
        <v>5965918110.9460001</v>
      </c>
      <c r="AC383" s="140">
        <f>+_xlfn.XLOOKUP(PROYECTOS[[#This Row],[MUNICIPIO]],'4.CAP_ENDMNT'!B:B,'4.CAP_ENDMNT'!L:L,0,0,1)</f>
        <v>4772734488.7568007</v>
      </c>
      <c r="AD383" s="140">
        <f>+_xlfn.XLOOKUP(PROYECTOS[[#This Row],[MUNICIPIO]],'4.CAP_ENDMNT'!B:B,'4.CAP_ENDMNT'!M:M,0,0,1)</f>
        <v>3579550866.5675998</v>
      </c>
      <c r="AE383" s="134">
        <f>+_xlfn.XLOOKUP(PROYECTOS[[#This Row],[MUNICIPIO]],'4.CAP_ENDMNT'!B:B,'4.CAP_ENDMNT'!N:N,0,0,1)</f>
        <v>1</v>
      </c>
      <c r="AF383" s="134">
        <f>+_xlfn.XLOOKUP(PROYECTOS[[#This Row],[MUNICIPIO]],'4.CAP_ENDMNT'!B:B,'4.CAP_ENDMNT'!O:O,0,0,1)</f>
        <v>0.68972189795110483</v>
      </c>
      <c r="AG383" s="134">
        <f>+_xlfn.XLOOKUP(PROYECTOS[[#This Row],[MUNICIPIO]],'4.CAP_ENDMNT'!B:B,'4.CAP_ENDMNT'!P:P,0,0,1)</f>
        <v>0.8</v>
      </c>
      <c r="AH383" s="44" t="str">
        <f>+_xlfn.XLOOKUP(PROYECTOS[[#This Row],[MUNICIPIO]],'4.CAP_ENDMNT'!B:B,'4.CAP_ENDMNT'!Q:Q,0,0,1)</f>
        <v>Cumple</v>
      </c>
      <c r="AI383" s="139">
        <f>+_xlfn.XLOOKUP(PROYECTOS[[#This Row],[MUNICIPIO]],'4.CAP_ENDMNT'!B:B,'4.CAP_ENDMNT'!V:V,0,0,1)</f>
        <v>715910173.31351995</v>
      </c>
      <c r="AJ383" s="139">
        <f>+_xlfn.XLOOKUP(PROYECTOS[[#This Row],[MUNICIPIO]],'4.CAP_ENDMNT'!B:B,'4.CAP_ENDMNT'!Y:Y,0,0,1)</f>
        <v>-2869466523.1188803</v>
      </c>
      <c r="AK383"/>
      <c r="AL383"/>
      <c r="AM383"/>
    </row>
    <row r="384" spans="1:39" ht="15" customHeight="1">
      <c r="A384" s="44">
        <v>403</v>
      </c>
      <c r="B384" s="37" t="s">
        <v>701</v>
      </c>
      <c r="C384" s="118">
        <v>45747</v>
      </c>
      <c r="D384" s="34" t="s">
        <v>244</v>
      </c>
      <c r="E384" s="47" t="str">
        <f>+_xlfn.XLOOKUP(PROYECTOS[[#This Row],[MUNICIPIO]],MUNICIPIOS!A:A,MUNICIPIOS!E:E,0,0,1)</f>
        <v>Nordeste</v>
      </c>
      <c r="F384" s="44">
        <f>+_xlfn.XLOOKUP(PROYECTOS[[#This Row],[MUNICIPIO]],MUNICIPIOS!A:A,MUNICIPIOS!F:F,0,0,1)</f>
        <v>-75.087046999999998</v>
      </c>
      <c r="G384" s="44" t="str">
        <f>+_xlfn.XLOOKUP(PROYECTOS[[#This Row],[MUNICIPIO]],MUNICIPIOS!A:A,MUNICIPIOS!G:G,0,0,1)</f>
        <v>6,537829</v>
      </c>
      <c r="H384" s="44">
        <f>+_xlfn.XLOOKUP(PROYECTOS[[#This Row],[MUNICIPIO]],MUNICIPIOS!A:A,MUNICIPIOS!B:B,0,0,1)</f>
        <v>0</v>
      </c>
      <c r="I384" s="44">
        <f>+_xlfn.XLOOKUP(PROYECTOS[[#This Row],[MUNICIPIO]],MUNICIPIOS!A:A,MUNICIPIOS!C:C,0,0,1)</f>
        <v>0</v>
      </c>
      <c r="J384" s="34" t="str" cm="1">
        <f t="array" ref="J384">_xlfn.TEXTJOIN(" ", TRUE, IF(radicados[ID PROYECTOS]=A384, radicados[RADICADO], ""))</f>
        <v/>
      </c>
      <c r="K384" s="45">
        <v>1</v>
      </c>
      <c r="L384" s="48"/>
      <c r="M384" s="34" t="s">
        <v>407</v>
      </c>
      <c r="N384" s="34" t="s">
        <v>398</v>
      </c>
      <c r="O384" s="34" t="s">
        <v>25</v>
      </c>
      <c r="P384" s="57" t="s">
        <v>1250</v>
      </c>
      <c r="Q384" s="45"/>
      <c r="R384" s="50"/>
      <c r="S384" s="50"/>
      <c r="T384" s="44">
        <f>+_xlfn.XLOOKUP(PROYECTOS[[#This Row],[MUNICIPIO]],'4.CAP_ENDMNT'!B:B,'4.CAP_ENDMNT'!C:C,0,0,1)</f>
        <v>6</v>
      </c>
      <c r="U384" s="139">
        <f>+_xlfn.XLOOKUP(PROYECTOS[[#This Row],[MUNICIPIO]],'4.CAP_ENDMNT'!B:B,'4.CAP_ENDMNT'!D:D,0,0,1)</f>
        <v>11769915072.3085</v>
      </c>
      <c r="V384" s="140">
        <f>+_xlfn.XLOOKUP(PROYECTOS[[#This Row],[MUNICIPIO]],'4.CAP_ENDMNT'!B:B,'4.CAP_ENDMNT'!E:E,0,0,1)</f>
        <v>4043512144.3800001</v>
      </c>
      <c r="W384" s="140">
        <f>+_xlfn.XLOOKUP(PROYECTOS[[#This Row],[MUNICIPIO]],'4.CAP_ENDMNT'!B:B,'4.CAP_ENDMNT'!F:F,0,0,1)</f>
        <v>7726402927.9285002</v>
      </c>
      <c r="X384" s="140">
        <f>+_xlfn.XLOOKUP(PROYECTOS[[#This Row],[MUNICIPIO]],'4.CAP_ENDMNT'!B:B,'4.CAP_ENDMNT'!G:G,0,0,1)</f>
        <v>3010151420</v>
      </c>
      <c r="Y384" s="140">
        <f>+_xlfn.XLOOKUP(PROYECTOS[[#This Row],[MUNICIPIO]],'4.CAP_ENDMNT'!B:B,'4.CAP_ENDMNT'!H:H,0,0,1)</f>
        <v>0</v>
      </c>
      <c r="Z384" s="140">
        <f>+_xlfn.XLOOKUP(PROYECTOS[[#This Row],[MUNICIPIO]],'4.CAP_ENDMNT'!B:B,'4.CAP_ENDMNT'!I:I,0,0,1)</f>
        <v>3010151420</v>
      </c>
      <c r="AA384" s="134">
        <f>+_xlfn.XLOOKUP(PROYECTOS[[#This Row],[MUNICIPIO]],'4.CAP_ENDMNT'!B:B,'4.CAP_ENDMNT'!J:J,0,0,1)</f>
        <v>0.255749629585866</v>
      </c>
      <c r="AB384" s="140">
        <f>+_xlfn.XLOOKUP(PROYECTOS[[#This Row],[MUNICIPIO]],'4.CAP_ENDMNT'!B:B,'4.CAP_ENDMNT'!K:K,0,0,1)</f>
        <v>8759763652.3085003</v>
      </c>
      <c r="AC384" s="140">
        <f>+_xlfn.XLOOKUP(PROYECTOS[[#This Row],[MUNICIPIO]],'4.CAP_ENDMNT'!B:B,'4.CAP_ENDMNT'!L:L,0,0,1)</f>
        <v>7007810921.8468008</v>
      </c>
      <c r="AD384" s="140">
        <f>+_xlfn.XLOOKUP(PROYECTOS[[#This Row],[MUNICIPIO]],'4.CAP_ENDMNT'!B:B,'4.CAP_ENDMNT'!M:M,0,0,1)</f>
        <v>5255858191.3851004</v>
      </c>
      <c r="AE384" s="134">
        <f>+_xlfn.XLOOKUP(PROYECTOS[[#This Row],[MUNICIPIO]],'4.CAP_ENDMNT'!B:B,'4.CAP_ENDMNT'!N:N,0,0,1)</f>
        <v>1</v>
      </c>
      <c r="AF384" s="134">
        <f>+_xlfn.XLOOKUP(PROYECTOS[[#This Row],[MUNICIPIO]],'4.CAP_ENDMNT'!B:B,'4.CAP_ENDMNT'!O:O,0,0,1)</f>
        <v>0.52320001604697897</v>
      </c>
      <c r="AG384" s="134">
        <f>+_xlfn.XLOOKUP(PROYECTOS[[#This Row],[MUNICIPIO]],'4.CAP_ENDMNT'!B:B,'4.CAP_ENDMNT'!P:P,0,0,1)</f>
        <v>0.8</v>
      </c>
      <c r="AH384" s="44" t="str">
        <f>+_xlfn.XLOOKUP(PROYECTOS[[#This Row],[MUNICIPIO]],'4.CAP_ENDMNT'!B:B,'4.CAP_ENDMNT'!Q:Q,0,0,1)</f>
        <v>Cumple</v>
      </c>
      <c r="AI384" s="139">
        <f>+_xlfn.XLOOKUP(PROYECTOS[[#This Row],[MUNICIPIO]],'4.CAP_ENDMNT'!B:B,'4.CAP_ENDMNT'!V:V,0,0,1)</f>
        <v>1051171638.2770201</v>
      </c>
      <c r="AJ384" s="139">
        <f>+_xlfn.XLOOKUP(PROYECTOS[[#This Row],[MUNICIPIO]],'4.CAP_ENDMNT'!B:B,'4.CAP_ENDMNT'!Y:Y,0,0,1)</f>
        <v>-11518386102.337879</v>
      </c>
      <c r="AK384"/>
      <c r="AL384"/>
      <c r="AM384"/>
    </row>
    <row r="385" spans="1:39" ht="15" customHeight="1">
      <c r="A385" s="44">
        <v>404</v>
      </c>
      <c r="B385" s="36" t="s">
        <v>703</v>
      </c>
      <c r="C385" s="118">
        <v>45747</v>
      </c>
      <c r="D385" s="34" t="s">
        <v>141</v>
      </c>
      <c r="E385" s="47" t="str">
        <f>+_xlfn.XLOOKUP(PROYECTOS[[#This Row],[MUNICIPIO]],MUNICIPIOS!A:A,MUNICIPIOS!E:E,0,0,1)</f>
        <v>Oriente</v>
      </c>
      <c r="F385" s="44">
        <f>+_xlfn.XLOOKUP(PROYECTOS[[#This Row],[MUNICIPIO]],MUNICIPIOS!A:A,MUNICIPIOS!F:F,0,0,1)</f>
        <v>-75.141069999999999</v>
      </c>
      <c r="G385" s="44" t="str">
        <f>+_xlfn.XLOOKUP(PROYECTOS[[#This Row],[MUNICIPIO]],MUNICIPIOS!A:A,MUNICIPIOS!G:G,0,0,1)</f>
        <v>5,731474</v>
      </c>
      <c r="H385" s="44">
        <f>+_xlfn.XLOOKUP(PROYECTOS[[#This Row],[MUNICIPIO]],MUNICIPIOS!A:A,MUNICIPIOS!B:B,0,0,1)</f>
        <v>0</v>
      </c>
      <c r="I385" s="44">
        <f>+_xlfn.XLOOKUP(PROYECTOS[[#This Row],[MUNICIPIO]],MUNICIPIOS!A:A,MUNICIPIOS!C:C,0,0,1)</f>
        <v>1</v>
      </c>
      <c r="J385" s="34" t="str" cm="1">
        <f t="array" ref="J385">_xlfn.TEXTJOIN(" ", TRUE, IF(radicados[ID PROYECTOS]=A385, radicados[RADICADO], ""))</f>
        <v/>
      </c>
      <c r="K385" s="142">
        <v>2</v>
      </c>
      <c r="L385" s="48">
        <v>2886353537</v>
      </c>
      <c r="M385" s="34" t="s">
        <v>407</v>
      </c>
      <c r="N385" s="40" t="s">
        <v>398</v>
      </c>
      <c r="O385" s="40" t="s">
        <v>25</v>
      </c>
      <c r="P385" s="37" t="s">
        <v>1477</v>
      </c>
      <c r="Q385" s="45">
        <v>1</v>
      </c>
      <c r="R385" s="43" t="s">
        <v>922</v>
      </c>
      <c r="S385" s="43" t="s">
        <v>1643</v>
      </c>
      <c r="T385" s="44">
        <f>+_xlfn.XLOOKUP(PROYECTOS[[#This Row],[MUNICIPIO]],'4.CAP_ENDMNT'!B:B,'4.CAP_ENDMNT'!C:C,0,0,1)</f>
        <v>6</v>
      </c>
      <c r="U385" s="139">
        <f>+_xlfn.XLOOKUP(PROYECTOS[[#This Row],[MUNICIPIO]],'4.CAP_ENDMNT'!B:B,'4.CAP_ENDMNT'!D:D,0,0,1)</f>
        <v>7397887197.3409996</v>
      </c>
      <c r="V385" s="140">
        <f>+_xlfn.XLOOKUP(PROYECTOS[[#This Row],[MUNICIPIO]],'4.CAP_ENDMNT'!B:B,'4.CAP_ENDMNT'!E:E,0,0,1)</f>
        <v>2145550795.75</v>
      </c>
      <c r="W385" s="140">
        <f>+_xlfn.XLOOKUP(PROYECTOS[[#This Row],[MUNICIPIO]],'4.CAP_ENDMNT'!B:B,'4.CAP_ENDMNT'!F:F,0,0,1)</f>
        <v>5252336401.5909996</v>
      </c>
      <c r="X385" s="140">
        <f>+_xlfn.XLOOKUP(PROYECTOS[[#This Row],[MUNICIPIO]],'4.CAP_ENDMNT'!B:B,'4.CAP_ENDMNT'!G:G,0,0,1)</f>
        <v>913988424</v>
      </c>
      <c r="Y385" s="140">
        <f>+_xlfn.XLOOKUP(PROYECTOS[[#This Row],[MUNICIPIO]],'4.CAP_ENDMNT'!B:B,'4.CAP_ENDMNT'!H:H,0,0,1)</f>
        <v>0</v>
      </c>
      <c r="Z385" s="140">
        <f>+_xlfn.XLOOKUP(PROYECTOS[[#This Row],[MUNICIPIO]],'4.CAP_ENDMNT'!B:B,'4.CAP_ENDMNT'!I:I,0,0,1)</f>
        <v>913988424</v>
      </c>
      <c r="AA385" s="134">
        <f>+_xlfn.XLOOKUP(PROYECTOS[[#This Row],[MUNICIPIO]],'4.CAP_ENDMNT'!B:B,'4.CAP_ENDMNT'!J:J,0,0,1)</f>
        <v>0.12354722363548773</v>
      </c>
      <c r="AB385" s="140">
        <f>+_xlfn.XLOOKUP(PROYECTOS[[#This Row],[MUNICIPIO]],'4.CAP_ENDMNT'!B:B,'4.CAP_ENDMNT'!K:K,0,0,1)</f>
        <v>6483898773.3409996</v>
      </c>
      <c r="AC385" s="140">
        <f>+_xlfn.XLOOKUP(PROYECTOS[[#This Row],[MUNICIPIO]],'4.CAP_ENDMNT'!B:B,'4.CAP_ENDMNT'!L:L,0,0,1)</f>
        <v>5187119018.6728001</v>
      </c>
      <c r="AD385" s="140">
        <f>+_xlfn.XLOOKUP(PROYECTOS[[#This Row],[MUNICIPIO]],'4.CAP_ENDMNT'!B:B,'4.CAP_ENDMNT'!M:M,0,0,1)</f>
        <v>3890339264.0045996</v>
      </c>
      <c r="AE385" s="134">
        <f>+_xlfn.XLOOKUP(PROYECTOS[[#This Row],[MUNICIPIO]],'4.CAP_ENDMNT'!B:B,'4.CAP_ENDMNT'!N:N,0,0,1)</f>
        <v>1</v>
      </c>
      <c r="AF385" s="134">
        <f>+_xlfn.XLOOKUP(PROYECTOS[[#This Row],[MUNICIPIO]],'4.CAP_ENDMNT'!B:B,'4.CAP_ENDMNT'!O:O,0,0,1)</f>
        <v>0.55936476249157852</v>
      </c>
      <c r="AG385" s="134">
        <f>+_xlfn.XLOOKUP(PROYECTOS[[#This Row],[MUNICIPIO]],'4.CAP_ENDMNT'!B:B,'4.CAP_ENDMNT'!P:P,0,0,1)</f>
        <v>0.8</v>
      </c>
      <c r="AH385" s="44" t="str">
        <f>+_xlfn.XLOOKUP(PROYECTOS[[#This Row],[MUNICIPIO]],'4.CAP_ENDMNT'!B:B,'4.CAP_ENDMNT'!Q:Q,0,0,1)</f>
        <v>Cumple</v>
      </c>
      <c r="AI385" s="139">
        <f>+_xlfn.XLOOKUP(PROYECTOS[[#This Row],[MUNICIPIO]],'4.CAP_ENDMNT'!B:B,'4.CAP_ENDMNT'!V:V,0,0,1)</f>
        <v>778067852.80092001</v>
      </c>
      <c r="AJ385" s="139">
        <f>+_xlfn.XLOOKUP(PROYECTOS[[#This Row],[MUNICIPIO]],'4.CAP_ENDMNT'!B:B,'4.CAP_ENDMNT'!Y:Y,0,0,1)</f>
        <v>-57612554588.194481</v>
      </c>
      <c r="AK385"/>
      <c r="AL385"/>
      <c r="AM385"/>
    </row>
    <row r="386" spans="1:39" ht="15" customHeight="1">
      <c r="A386" s="44">
        <v>405</v>
      </c>
      <c r="B386" s="37" t="s">
        <v>704</v>
      </c>
      <c r="C386" s="118">
        <v>45747</v>
      </c>
      <c r="D386" s="34" t="s">
        <v>182</v>
      </c>
      <c r="E386" s="47" t="str">
        <f>+_xlfn.XLOOKUP(PROYECTOS[[#This Row],[MUNICIPIO]],MUNICIPIOS!A:A,MUNICIPIOS!E:E,0,0,1)</f>
        <v>Occidente</v>
      </c>
      <c r="F386" s="44">
        <f>+_xlfn.XLOOKUP(PROYECTOS[[#This Row],[MUNICIPIO]],MUNICIPIOS!A:A,MUNICIPIOS!F:F,0,0,1)</f>
        <v>-76.028227999999999</v>
      </c>
      <c r="G386" s="44" t="str">
        <f>+_xlfn.XLOOKUP(PROYECTOS[[#This Row],[MUNICIPIO]],MUNICIPIOS!A:A,MUNICIPIOS!G:G,0,0,1)</f>
        <v>6,753859</v>
      </c>
      <c r="H386" s="44">
        <f>+_xlfn.XLOOKUP(PROYECTOS[[#This Row],[MUNICIPIO]],MUNICIPIOS!A:A,MUNICIPIOS!B:B,0,0,1)</f>
        <v>0</v>
      </c>
      <c r="I386" s="44">
        <f>+_xlfn.XLOOKUP(PROYECTOS[[#This Row],[MUNICIPIO]],MUNICIPIOS!A:A,MUNICIPIOS!C:C,0,0,1)</f>
        <v>0</v>
      </c>
      <c r="J386" s="34" t="str" cm="1">
        <f t="array" ref="J386">_xlfn.TEXTJOIN(" ", TRUE, IF(radicados[ID PROYECTOS]=A386, radicados[RADICADO], ""))</f>
        <v/>
      </c>
      <c r="K386" s="45">
        <v>1</v>
      </c>
      <c r="L386" s="48"/>
      <c r="M386" s="34" t="s">
        <v>407</v>
      </c>
      <c r="N386" s="34" t="s">
        <v>398</v>
      </c>
      <c r="O386" s="34" t="s">
        <v>25</v>
      </c>
      <c r="P386" s="37" t="s">
        <v>705</v>
      </c>
      <c r="Q386" s="45"/>
      <c r="R386" s="50"/>
      <c r="S386" s="50"/>
      <c r="T386" s="44">
        <f>+_xlfn.XLOOKUP(PROYECTOS[[#This Row],[MUNICIPIO]],'4.CAP_ENDMNT'!B:B,'4.CAP_ENDMNT'!C:C,0,0,1)</f>
        <v>6</v>
      </c>
      <c r="U386" s="139">
        <f>+_xlfn.XLOOKUP(PROYECTOS[[#This Row],[MUNICIPIO]],'4.CAP_ENDMNT'!B:B,'4.CAP_ENDMNT'!D:D,0,0,1)</f>
        <v>17304408242.457001</v>
      </c>
      <c r="V386" s="140">
        <f>+_xlfn.XLOOKUP(PROYECTOS[[#This Row],[MUNICIPIO]],'4.CAP_ENDMNT'!B:B,'4.CAP_ENDMNT'!E:E,0,0,1)</f>
        <v>4260885029.46</v>
      </c>
      <c r="W386" s="140">
        <f>+_xlfn.XLOOKUP(PROYECTOS[[#This Row],[MUNICIPIO]],'4.CAP_ENDMNT'!B:B,'4.CAP_ENDMNT'!F:F,0,0,1)</f>
        <v>13043523212.997002</v>
      </c>
      <c r="X386" s="140">
        <f>+_xlfn.XLOOKUP(PROYECTOS[[#This Row],[MUNICIPIO]],'4.CAP_ENDMNT'!B:B,'4.CAP_ENDMNT'!G:G,0,0,1)</f>
        <v>3210633884</v>
      </c>
      <c r="Y386" s="140">
        <f>+_xlfn.XLOOKUP(PROYECTOS[[#This Row],[MUNICIPIO]],'4.CAP_ENDMNT'!B:B,'4.CAP_ENDMNT'!H:H,0,0,1)</f>
        <v>0</v>
      </c>
      <c r="Z386" s="140">
        <f>+_xlfn.XLOOKUP(PROYECTOS[[#This Row],[MUNICIPIO]],'4.CAP_ENDMNT'!B:B,'4.CAP_ENDMNT'!I:I,0,0,1)</f>
        <v>3210633884</v>
      </c>
      <c r="AA386" s="134">
        <f>+_xlfn.XLOOKUP(PROYECTOS[[#This Row],[MUNICIPIO]],'4.CAP_ENDMNT'!B:B,'4.CAP_ENDMNT'!J:J,0,0,1)</f>
        <v>0.1855384962614666</v>
      </c>
      <c r="AB386" s="140">
        <f>+_xlfn.XLOOKUP(PROYECTOS[[#This Row],[MUNICIPIO]],'4.CAP_ENDMNT'!B:B,'4.CAP_ENDMNT'!K:K,0,0,1)</f>
        <v>14093774358.457001</v>
      </c>
      <c r="AC386" s="140">
        <f>+_xlfn.XLOOKUP(PROYECTOS[[#This Row],[MUNICIPIO]],'4.CAP_ENDMNT'!B:B,'4.CAP_ENDMNT'!L:L,0,0,1)</f>
        <v>11275019486.765602</v>
      </c>
      <c r="AD386" s="140">
        <f>+_xlfn.XLOOKUP(PROYECTOS[[#This Row],[MUNICIPIO]],'4.CAP_ENDMNT'!B:B,'4.CAP_ENDMNT'!M:M,0,0,1)</f>
        <v>8456264615.0741997</v>
      </c>
      <c r="AE386" s="134">
        <f>+_xlfn.XLOOKUP(PROYECTOS[[#This Row],[MUNICIPIO]],'4.CAP_ENDMNT'!B:B,'4.CAP_ENDMNT'!N:N,0,0,1)</f>
        <v>1</v>
      </c>
      <c r="AF386" s="134">
        <f>+_xlfn.XLOOKUP(PROYECTOS[[#This Row],[MUNICIPIO]],'4.CAP_ENDMNT'!B:B,'4.CAP_ENDMNT'!O:O,0,0,1)</f>
        <v>0.3794626866525494</v>
      </c>
      <c r="AG386" s="134">
        <f>+_xlfn.XLOOKUP(PROYECTOS[[#This Row],[MUNICIPIO]],'4.CAP_ENDMNT'!B:B,'4.CAP_ENDMNT'!P:P,0,0,1)</f>
        <v>0.8</v>
      </c>
      <c r="AH386" s="44" t="str">
        <f>+_xlfn.XLOOKUP(PROYECTOS[[#This Row],[MUNICIPIO]],'4.CAP_ENDMNT'!B:B,'4.CAP_ENDMNT'!Q:Q,0,0,1)</f>
        <v>Cumple</v>
      </c>
      <c r="AI386" s="139">
        <f>+_xlfn.XLOOKUP(PROYECTOS[[#This Row],[MUNICIPIO]],'4.CAP_ENDMNT'!B:B,'4.CAP_ENDMNT'!V:V,0,0,1)</f>
        <v>1691252923.0148401</v>
      </c>
      <c r="AJ386" s="139">
        <f>+_xlfn.XLOOKUP(PROYECTOS[[#This Row],[MUNICIPIO]],'4.CAP_ENDMNT'!B:B,'4.CAP_ENDMNT'!Y:Y,0,0,1)</f>
        <v>-145378147798.91095</v>
      </c>
      <c r="AK386"/>
      <c r="AL386"/>
      <c r="AM386"/>
    </row>
    <row r="387" spans="1:39" ht="15" customHeight="1">
      <c r="A387" s="44">
        <v>406</v>
      </c>
      <c r="B387" s="37" t="s">
        <v>1478</v>
      </c>
      <c r="C387" s="118">
        <v>45747</v>
      </c>
      <c r="D387" s="34" t="s">
        <v>227</v>
      </c>
      <c r="E387" s="47" t="str">
        <f>+_xlfn.XLOOKUP(PROYECTOS[[#This Row],[MUNICIPIO]],MUNICIPIOS!A:A,MUNICIPIOS!E:E,0,0,1)</f>
        <v>Oriente</v>
      </c>
      <c r="F387" s="44">
        <f>+_xlfn.XLOOKUP(PROYECTOS[[#This Row],[MUNICIPIO]],MUNICIPIOS!A:A,MUNICIPIOS!F:F,0,0,1)</f>
        <v>-75.184445999999994</v>
      </c>
      <c r="G387" s="44" t="str">
        <f>+_xlfn.XLOOKUP(PROYECTOS[[#This Row],[MUNICIPIO]],MUNICIPIOS!A:A,MUNICIPIOS!G:G,0,0,1)</f>
        <v>6,142892</v>
      </c>
      <c r="H387" s="44">
        <f>+_xlfn.XLOOKUP(PROYECTOS[[#This Row],[MUNICIPIO]],MUNICIPIOS!A:A,MUNICIPIOS!B:B,0,0,1)</f>
        <v>0</v>
      </c>
      <c r="I387" s="44">
        <f>+_xlfn.XLOOKUP(PROYECTOS[[#This Row],[MUNICIPIO]],MUNICIPIOS!A:A,MUNICIPIOS!C:C,0,0,1)</f>
        <v>1</v>
      </c>
      <c r="J387" s="34" t="str" cm="1">
        <f t="array" ref="J387">_xlfn.TEXTJOIN(" ", TRUE, IF(radicados[ID PROYECTOS]=A387, radicados[RADICADO], ""))</f>
        <v/>
      </c>
      <c r="K387" s="45">
        <v>3</v>
      </c>
      <c r="L387" s="48">
        <v>6700000000</v>
      </c>
      <c r="M387" s="34" t="s">
        <v>288</v>
      </c>
      <c r="N387" s="40" t="s">
        <v>398</v>
      </c>
      <c r="O387" s="40" t="s">
        <v>25</v>
      </c>
      <c r="P387" s="37"/>
      <c r="Q387" s="45"/>
      <c r="R387" s="50"/>
      <c r="S387" s="50"/>
      <c r="T387" s="44">
        <f>+_xlfn.XLOOKUP(PROYECTOS[[#This Row],[MUNICIPIO]],'4.CAP_ENDMNT'!B:B,'4.CAP_ENDMNT'!C:C,0,0,1)</f>
        <v>6</v>
      </c>
      <c r="U387" s="139">
        <f>+_xlfn.XLOOKUP(PROYECTOS[[#This Row],[MUNICIPIO]],'4.CAP_ENDMNT'!B:B,'4.CAP_ENDMNT'!D:D,0,0,1)</f>
        <v>9100976268.0305004</v>
      </c>
      <c r="V387" s="140">
        <f>+_xlfn.XLOOKUP(PROYECTOS[[#This Row],[MUNICIPIO]],'4.CAP_ENDMNT'!B:B,'4.CAP_ENDMNT'!E:E,0,0,1)</f>
        <v>3221460794.1700001</v>
      </c>
      <c r="W387" s="140">
        <f>+_xlfn.XLOOKUP(PROYECTOS[[#This Row],[MUNICIPIO]],'4.CAP_ENDMNT'!B:B,'4.CAP_ENDMNT'!F:F,0,0,1)</f>
        <v>5879515473.8605003</v>
      </c>
      <c r="X387" s="140">
        <f>+_xlfn.XLOOKUP(PROYECTOS[[#This Row],[MUNICIPIO]],'4.CAP_ENDMNT'!B:B,'4.CAP_ENDMNT'!G:G,0,0,1)</f>
        <v>1026722956</v>
      </c>
      <c r="Y387" s="140">
        <f>+_xlfn.XLOOKUP(PROYECTOS[[#This Row],[MUNICIPIO]],'4.CAP_ENDMNT'!B:B,'4.CAP_ENDMNT'!H:H,0,0,1)</f>
        <v>190000000</v>
      </c>
      <c r="Z387" s="140">
        <f>+_xlfn.XLOOKUP(PROYECTOS[[#This Row],[MUNICIPIO]],'4.CAP_ENDMNT'!B:B,'4.CAP_ENDMNT'!I:I,0,0,1)</f>
        <v>1216722956</v>
      </c>
      <c r="AA387" s="134">
        <f>+_xlfn.XLOOKUP(PROYECTOS[[#This Row],[MUNICIPIO]],'4.CAP_ENDMNT'!B:B,'4.CAP_ENDMNT'!J:J,0,0,1)</f>
        <v>0.13369147662477152</v>
      </c>
      <c r="AB387" s="140">
        <f>+_xlfn.XLOOKUP(PROYECTOS[[#This Row],[MUNICIPIO]],'4.CAP_ENDMNT'!B:B,'4.CAP_ENDMNT'!K:K,0,0,1)</f>
        <v>7884253312.0305004</v>
      </c>
      <c r="AC387" s="140">
        <f>+_xlfn.XLOOKUP(PROYECTOS[[#This Row],[MUNICIPIO]],'4.CAP_ENDMNT'!B:B,'4.CAP_ENDMNT'!L:L,0,0,1)</f>
        <v>6307402649.6244011</v>
      </c>
      <c r="AD387" s="140">
        <f>+_xlfn.XLOOKUP(PROYECTOS[[#This Row],[MUNICIPIO]],'4.CAP_ENDMNT'!B:B,'4.CAP_ENDMNT'!M:M,0,0,1)</f>
        <v>4730551987.2182999</v>
      </c>
      <c r="AE387" s="134">
        <f>+_xlfn.XLOOKUP(PROYECTOS[[#This Row],[MUNICIPIO]],'4.CAP_ENDMNT'!B:B,'4.CAP_ENDMNT'!N:N,0,0,1)</f>
        <v>0.84384284108140062</v>
      </c>
      <c r="AF387" s="134">
        <f>+_xlfn.XLOOKUP(PROYECTOS[[#This Row],[MUNICIPIO]],'4.CAP_ENDMNT'!B:B,'4.CAP_ENDMNT'!O:O,0,0,1)</f>
        <v>0.65864601932480682</v>
      </c>
      <c r="AG387" s="134">
        <f>+_xlfn.XLOOKUP(PROYECTOS[[#This Row],[MUNICIPIO]],'4.CAP_ENDMNT'!B:B,'4.CAP_ENDMNT'!P:P,0,0,1)</f>
        <v>0.8</v>
      </c>
      <c r="AH387" s="44" t="str">
        <f>+_xlfn.XLOOKUP(PROYECTOS[[#This Row],[MUNICIPIO]],'4.CAP_ENDMNT'!B:B,'4.CAP_ENDMNT'!Q:Q,0,0,1)</f>
        <v>Cumple</v>
      </c>
      <c r="AI387" s="139">
        <f>+_xlfn.XLOOKUP(PROYECTOS[[#This Row],[MUNICIPIO]],'4.CAP_ENDMNT'!B:B,'4.CAP_ENDMNT'!V:V,0,0,1)</f>
        <v>946110397.44366002</v>
      </c>
      <c r="AJ387" s="139">
        <f>+_xlfn.XLOOKUP(PROYECTOS[[#This Row],[MUNICIPIO]],'4.CAP_ENDMNT'!B:B,'4.CAP_ENDMNT'!Y:Y,0,0,1)</f>
        <v>-37054965217.338043</v>
      </c>
      <c r="AK387"/>
      <c r="AL387"/>
      <c r="AM387"/>
    </row>
    <row r="388" spans="1:39" ht="15" customHeight="1">
      <c r="A388" s="44">
        <v>407</v>
      </c>
      <c r="B388" s="68" t="s">
        <v>374</v>
      </c>
      <c r="C388" s="121">
        <f>+_xlfn.XLOOKUP(PROYECTOS[[#This Row],[ID_NECESIDAD]],'1.RADICADOS'!G:G,'1.RADICADOS'!C:C,0,0,1)*1</f>
        <v>45729</v>
      </c>
      <c r="D388" s="34" t="s">
        <v>223</v>
      </c>
      <c r="E388" s="47" t="str">
        <f>+_xlfn.XLOOKUP(PROYECTOS[[#This Row],[MUNICIPIO]],MUNICIPIOS!A:A,MUNICIPIOS!E:E,0,0,1)</f>
        <v>Suroeste</v>
      </c>
      <c r="F388" s="44">
        <f>+_xlfn.XLOOKUP(PROYECTOS[[#This Row],[MUNICIPIO]],MUNICIPIOS!A:A,MUNICIPIOS!F:F,0,0,1)</f>
        <v>-76.021508999999995</v>
      </c>
      <c r="G388" s="44" t="str">
        <f>+_xlfn.XLOOKUP(PROYECTOS[[#This Row],[MUNICIPIO]],MUNICIPIOS!A:A,MUNICIPIOS!G:G,0,0,1)</f>
        <v>5,850273</v>
      </c>
      <c r="H388" s="44">
        <f>+_xlfn.XLOOKUP(PROYECTOS[[#This Row],[MUNICIPIO]],MUNICIPIOS!A:A,MUNICIPIOS!B:B,0,0,1)</f>
        <v>0</v>
      </c>
      <c r="I388" s="44">
        <f>+_xlfn.XLOOKUP(PROYECTOS[[#This Row],[MUNICIPIO]],MUNICIPIOS!A:A,MUNICIPIOS!C:C,0,0,1)</f>
        <v>0</v>
      </c>
      <c r="J388" s="34" t="str" cm="1">
        <f t="array" ref="J388">_xlfn.TEXTJOIN(" ", TRUE, IF(radicados[ID PROYECTOS]=A388, radicados[RADICADO], ""))</f>
        <v>2025010124005</v>
      </c>
      <c r="K388" s="45">
        <v>2</v>
      </c>
      <c r="L388" s="72"/>
      <c r="M388" s="34" t="s">
        <v>435</v>
      </c>
      <c r="N388" s="34" t="s">
        <v>398</v>
      </c>
      <c r="O388" s="34" t="s">
        <v>25</v>
      </c>
      <c r="P388" s="37"/>
      <c r="Q388" s="45"/>
      <c r="R388" s="50"/>
      <c r="S388" s="50"/>
      <c r="T388" s="44">
        <f>+_xlfn.XLOOKUP(PROYECTOS[[#This Row],[MUNICIPIO]],'4.CAP_ENDMNT'!B:B,'4.CAP_ENDMNT'!C:C,0,0,1)</f>
        <v>6</v>
      </c>
      <c r="U388" s="139">
        <f>+_xlfn.XLOOKUP(PROYECTOS[[#This Row],[MUNICIPIO]],'4.CAP_ENDMNT'!B:B,'4.CAP_ENDMNT'!D:D,0,0,1)</f>
        <v>18608617574.017002</v>
      </c>
      <c r="V388" s="140">
        <f>+_xlfn.XLOOKUP(PROYECTOS[[#This Row],[MUNICIPIO]],'4.CAP_ENDMNT'!B:B,'4.CAP_ENDMNT'!E:E,0,0,1)</f>
        <v>7376218347.0799999</v>
      </c>
      <c r="W388" s="140">
        <f>+_xlfn.XLOOKUP(PROYECTOS[[#This Row],[MUNICIPIO]],'4.CAP_ENDMNT'!B:B,'4.CAP_ENDMNT'!F:F,0,0,1)</f>
        <v>11232399226.937002</v>
      </c>
      <c r="X388" s="140">
        <f>+_xlfn.XLOOKUP(PROYECTOS[[#This Row],[MUNICIPIO]],'4.CAP_ENDMNT'!B:B,'4.CAP_ENDMNT'!G:G,0,0,1)</f>
        <v>2665498102.3000002</v>
      </c>
      <c r="Y388" s="140">
        <f>+_xlfn.XLOOKUP(PROYECTOS[[#This Row],[MUNICIPIO]],'4.CAP_ENDMNT'!B:B,'4.CAP_ENDMNT'!H:H,0,0,1)</f>
        <v>2057047588</v>
      </c>
      <c r="Z388" s="140">
        <f>+_xlfn.XLOOKUP(PROYECTOS[[#This Row],[MUNICIPIO]],'4.CAP_ENDMNT'!B:B,'4.CAP_ENDMNT'!I:I,0,0,1)</f>
        <v>4722545690.3000002</v>
      </c>
      <c r="AA388" s="134">
        <f>+_xlfn.XLOOKUP(PROYECTOS[[#This Row],[MUNICIPIO]],'4.CAP_ENDMNT'!B:B,'4.CAP_ENDMNT'!J:J,0,0,1)</f>
        <v>0.25378272574605631</v>
      </c>
      <c r="AB388" s="140">
        <f>+_xlfn.XLOOKUP(PROYECTOS[[#This Row],[MUNICIPIO]],'4.CAP_ENDMNT'!B:B,'4.CAP_ENDMNT'!K:K,0,0,1)</f>
        <v>13886071883.717003</v>
      </c>
      <c r="AC388" s="140">
        <f>+_xlfn.XLOOKUP(PROYECTOS[[#This Row],[MUNICIPIO]],'4.CAP_ENDMNT'!B:B,'4.CAP_ENDMNT'!L:L,0,0,1)</f>
        <v>11108857506.973602</v>
      </c>
      <c r="AD388" s="140">
        <f>+_xlfn.XLOOKUP(PROYECTOS[[#This Row],[MUNICIPIO]],'4.CAP_ENDMNT'!B:B,'4.CAP_ENDMNT'!M:M,0,0,1)</f>
        <v>8331643130.2302017</v>
      </c>
      <c r="AE388" s="134">
        <f>+_xlfn.XLOOKUP(PROYECTOS[[#This Row],[MUNICIPIO]],'4.CAP_ENDMNT'!B:B,'4.CAP_ENDMNT'!N:N,0,0,1)</f>
        <v>0.56441975940537148</v>
      </c>
      <c r="AF388" s="134">
        <f>+_xlfn.XLOOKUP(PROYECTOS[[#This Row],[MUNICIPIO]],'4.CAP_ENDMNT'!B:B,'4.CAP_ENDMNT'!O:O,0,0,1)</f>
        <v>0.57306836090110702</v>
      </c>
      <c r="AG388" s="134">
        <f>+_xlfn.XLOOKUP(PROYECTOS[[#This Row],[MUNICIPIO]],'4.CAP_ENDMNT'!B:B,'4.CAP_ENDMNT'!P:P,0,0,1)</f>
        <v>0.8</v>
      </c>
      <c r="AH388" s="44" t="str">
        <f>+_xlfn.XLOOKUP(PROYECTOS[[#This Row],[MUNICIPIO]],'4.CAP_ENDMNT'!B:B,'4.CAP_ENDMNT'!Q:Q,0,0,1)</f>
        <v>Cumple</v>
      </c>
      <c r="AI388" s="139">
        <f>+_xlfn.XLOOKUP(PROYECTOS[[#This Row],[MUNICIPIO]],'4.CAP_ENDMNT'!B:B,'4.CAP_ENDMNT'!V:V,0,0,1)</f>
        <v>1666328626.0460405</v>
      </c>
      <c r="AJ388" s="139">
        <f>+_xlfn.XLOOKUP(PROYECTOS[[#This Row],[MUNICIPIO]],'4.CAP_ENDMNT'!B:B,'4.CAP_ENDMNT'!Y:Y,0,0,1)</f>
        <v>-31544185823.723759</v>
      </c>
      <c r="AK388"/>
      <c r="AL388"/>
      <c r="AM388"/>
    </row>
    <row r="389" spans="1:39" ht="15" customHeight="1">
      <c r="A389" s="44">
        <v>408</v>
      </c>
      <c r="B389" s="71" t="s">
        <v>1479</v>
      </c>
      <c r="C389" s="122">
        <f>+_xlfn.XLOOKUP(PROYECTOS[[#This Row],[ID_NECESIDAD]],'1.RADICADOS'!G:G,'1.RADICADOS'!C:C,0,0,1)*1</f>
        <v>45729</v>
      </c>
      <c r="D389" s="67" t="s">
        <v>326</v>
      </c>
      <c r="E389" s="47" t="str">
        <f>+_xlfn.XLOOKUP(PROYECTOS[[#This Row],[MUNICIPIO]],MUNICIPIOS!A:A,MUNICIPIOS!E:E,0,0,1)</f>
        <v>Norte</v>
      </c>
      <c r="F389" s="44">
        <f>+_xlfn.XLOOKUP(PROYECTOS[[#This Row],[MUNICIPIO]],MUNICIPIOS!A:A,MUNICIPIOS!F:F,0,0,1)</f>
        <v>-75.517685</v>
      </c>
      <c r="G389" s="44" t="str">
        <f>+_xlfn.XLOOKUP(PROYECTOS[[#This Row],[MUNICIPIO]],MUNICIPIOS!A:A,MUNICIPIOS!G:G,0,0,1)</f>
        <v>6,566273</v>
      </c>
      <c r="H389" s="44">
        <f>+_xlfn.XLOOKUP(PROYECTOS[[#This Row],[MUNICIPIO]],MUNICIPIOS!A:A,MUNICIPIOS!B:B,0,0,1)</f>
        <v>0</v>
      </c>
      <c r="I389" s="44">
        <f>+_xlfn.XLOOKUP(PROYECTOS[[#This Row],[MUNICIPIO]],MUNICIPIOS!A:A,MUNICIPIOS!C:C,0,0,1)</f>
        <v>0</v>
      </c>
      <c r="J389" s="34" t="str" cm="1">
        <f t="array" ref="J389">_xlfn.TEXTJOIN(" ", TRUE, IF(radicados[ID PROYECTOS]=A389, radicados[RADICADO], ""))</f>
        <v>2025010122987</v>
      </c>
      <c r="K389" s="45">
        <v>3</v>
      </c>
      <c r="L389" s="70">
        <v>39642294947</v>
      </c>
      <c r="M389" s="34" t="s">
        <v>396</v>
      </c>
      <c r="N389" s="40" t="s">
        <v>398</v>
      </c>
      <c r="O389" s="40" t="s">
        <v>25</v>
      </c>
      <c r="P389" s="37" t="s">
        <v>1480</v>
      </c>
      <c r="Q389" s="45"/>
      <c r="R389" s="50"/>
      <c r="S389" s="50"/>
      <c r="T389" s="44">
        <f>+_xlfn.XLOOKUP(PROYECTOS[[#This Row],[MUNICIPIO]],'4.CAP_ENDMNT'!B:B,'4.CAP_ENDMNT'!C:C,0,0,1)</f>
        <v>6</v>
      </c>
      <c r="U389" s="139">
        <f>+_xlfn.XLOOKUP(PROYECTOS[[#This Row],[MUNICIPIO]],'4.CAP_ENDMNT'!B:B,'4.CAP_ENDMNT'!D:D,0,0,1)</f>
        <v>18940820544.593998</v>
      </c>
      <c r="V389" s="140">
        <f>+_xlfn.XLOOKUP(PROYECTOS[[#This Row],[MUNICIPIO]],'4.CAP_ENDMNT'!B:B,'4.CAP_ENDMNT'!E:E,0,0,1)</f>
        <v>5983055403.6199999</v>
      </c>
      <c r="W389" s="140">
        <f>+_xlfn.XLOOKUP(PROYECTOS[[#This Row],[MUNICIPIO]],'4.CAP_ENDMNT'!B:B,'4.CAP_ENDMNT'!F:F,0,0,1)</f>
        <v>12957765140.973999</v>
      </c>
      <c r="X389" s="140">
        <f>+_xlfn.XLOOKUP(PROYECTOS[[#This Row],[MUNICIPIO]],'4.CAP_ENDMNT'!B:B,'4.CAP_ENDMNT'!G:G,0,0,1)</f>
        <v>528703455</v>
      </c>
      <c r="Y389" s="140">
        <f>+_xlfn.XLOOKUP(PROYECTOS[[#This Row],[MUNICIPIO]],'4.CAP_ENDMNT'!B:B,'4.CAP_ENDMNT'!H:H,0,0,1)</f>
        <v>4617666038</v>
      </c>
      <c r="Z389" s="140">
        <f>+_xlfn.XLOOKUP(PROYECTOS[[#This Row],[MUNICIPIO]],'4.CAP_ENDMNT'!B:B,'4.CAP_ENDMNT'!I:I,0,0,1)</f>
        <v>5146369493</v>
      </c>
      <c r="AA389" s="134">
        <f>+_xlfn.XLOOKUP(PROYECTOS[[#This Row],[MUNICIPIO]],'4.CAP_ENDMNT'!B:B,'4.CAP_ENDMNT'!J:J,0,0,1)</f>
        <v>0.27170784290382038</v>
      </c>
      <c r="AB389" s="140">
        <f>+_xlfn.XLOOKUP(PROYECTOS[[#This Row],[MUNICIPIO]],'4.CAP_ENDMNT'!B:B,'4.CAP_ENDMNT'!K:K,0,0,1)</f>
        <v>13794451051.593998</v>
      </c>
      <c r="AC389" s="140">
        <f>+_xlfn.XLOOKUP(PROYECTOS[[#This Row],[MUNICIPIO]],'4.CAP_ENDMNT'!B:B,'4.CAP_ENDMNT'!L:L,0,0,1)</f>
        <v>11035560841.2752</v>
      </c>
      <c r="AD389" s="140">
        <f>+_xlfn.XLOOKUP(PROYECTOS[[#This Row],[MUNICIPIO]],'4.CAP_ENDMNT'!B:B,'4.CAP_ENDMNT'!M:M,0,0,1)</f>
        <v>8276670630.956398</v>
      </c>
      <c r="AE389" s="134">
        <f>+_xlfn.XLOOKUP(PROYECTOS[[#This Row],[MUNICIPIO]],'4.CAP_ENDMNT'!B:B,'4.CAP_ENDMNT'!N:N,0,0,1)</f>
        <v>0.10273328716858224</v>
      </c>
      <c r="AF389" s="134">
        <f>+_xlfn.XLOOKUP(PROYECTOS[[#This Row],[MUNICIPIO]],'4.CAP_ENDMNT'!B:B,'4.CAP_ENDMNT'!O:O,0,0,1)</f>
        <v>0.44981176046067123</v>
      </c>
      <c r="AG389" s="134">
        <f>+_xlfn.XLOOKUP(PROYECTOS[[#This Row],[MUNICIPIO]],'4.CAP_ENDMNT'!B:B,'4.CAP_ENDMNT'!P:P,0,0,1)</f>
        <v>0.8</v>
      </c>
      <c r="AH389" s="44" t="str">
        <f>+_xlfn.XLOOKUP(PROYECTOS[[#This Row],[MUNICIPIO]],'4.CAP_ENDMNT'!B:B,'4.CAP_ENDMNT'!Q:Q,0,0,1)</f>
        <v>Cumple</v>
      </c>
      <c r="AI389" s="139">
        <f>+_xlfn.XLOOKUP(PROYECTOS[[#This Row],[MUNICIPIO]],'4.CAP_ENDMNT'!B:B,'4.CAP_ENDMNT'!V:V,0,0,1)</f>
        <v>1655334126.1912796</v>
      </c>
      <c r="AJ389" s="139">
        <f>+_xlfn.XLOOKUP(PROYECTOS[[#This Row],[MUNICIPIO]],'4.CAP_ENDMNT'!B:B,'4.CAP_ENDMNT'!Y:Y,0,0,1)</f>
        <v>-37406438811.852325</v>
      </c>
      <c r="AK389"/>
      <c r="AL389"/>
      <c r="AM389"/>
    </row>
    <row r="390" spans="1:39" ht="15" customHeight="1">
      <c r="A390" s="44">
        <v>409</v>
      </c>
      <c r="B390" s="37" t="s">
        <v>962</v>
      </c>
      <c r="C390" s="122">
        <f>+_xlfn.XLOOKUP(PROYECTOS[[#This Row],[ID_NECESIDAD]],'1.RADICADOS'!G:G,'1.RADICADOS'!C:C,0,0,1)*1</f>
        <v>45728</v>
      </c>
      <c r="D390" s="67" t="s">
        <v>95</v>
      </c>
      <c r="E390" s="47" t="str">
        <f>+_xlfn.XLOOKUP(PROYECTOS[[#This Row],[MUNICIPIO]],MUNICIPIOS!A:A,MUNICIPIOS!E:E,0,0,1)</f>
        <v>Occidente</v>
      </c>
      <c r="F390" s="44">
        <f>+_xlfn.XLOOKUP(PROYECTOS[[#This Row],[MUNICIPIO]],MUNICIPIOS!A:A,MUNICIPIOS!F:F,0,0,1)</f>
        <v>-75.747377999999998</v>
      </c>
      <c r="G390" s="44">
        <f>+_xlfn.XLOOKUP(PROYECTOS[[#This Row],[MUNICIPIO]],MUNICIPIOS!A:A,MUNICIPIOS!G:G,0,0,1)</f>
        <v>6.5007450000000002</v>
      </c>
      <c r="H390" s="44">
        <f>+_xlfn.XLOOKUP(PROYECTOS[[#This Row],[MUNICIPIO]],MUNICIPIOS!A:A,MUNICIPIOS!B:B,0,0,1)</f>
        <v>0</v>
      </c>
      <c r="I390" s="44">
        <f>+_xlfn.XLOOKUP(PROYECTOS[[#This Row],[MUNICIPIO]],MUNICIPIOS!A:A,MUNICIPIOS!C:C,0,0,1)</f>
        <v>0</v>
      </c>
      <c r="J390" s="34" t="str" cm="1">
        <f t="array" ref="J390">_xlfn.TEXTJOIN(" ", TRUE, IF(radicados[ID PROYECTOS]=A390, radicados[RADICADO], ""))</f>
        <v>2024010555821</v>
      </c>
      <c r="K390" s="45">
        <v>3</v>
      </c>
      <c r="L390" s="70">
        <v>3853795225</v>
      </c>
      <c r="M390" s="34" t="s">
        <v>396</v>
      </c>
      <c r="N390" s="40" t="s">
        <v>398</v>
      </c>
      <c r="O390" s="40" t="s">
        <v>25</v>
      </c>
      <c r="P390" s="37"/>
      <c r="Q390" s="45"/>
      <c r="R390" s="50"/>
      <c r="S390" s="50"/>
      <c r="T390" s="44">
        <f>+_xlfn.XLOOKUP(PROYECTOS[[#This Row],[MUNICIPIO]],'4.CAP_ENDMNT'!B:B,'4.CAP_ENDMNT'!C:C,0,0,1)</f>
        <v>6</v>
      </c>
      <c r="U390" s="139">
        <f>+_xlfn.XLOOKUP(PROYECTOS[[#This Row],[MUNICIPIO]],'4.CAP_ENDMNT'!B:B,'4.CAP_ENDMNT'!D:D,0,0,1)</f>
        <v>16347842057.745998</v>
      </c>
      <c r="V390" s="140">
        <f>+_xlfn.XLOOKUP(PROYECTOS[[#This Row],[MUNICIPIO]],'4.CAP_ENDMNT'!B:B,'4.CAP_ENDMNT'!E:E,0,0,1)</f>
        <v>7901643157.3299999</v>
      </c>
      <c r="W390" s="140">
        <f>+_xlfn.XLOOKUP(PROYECTOS[[#This Row],[MUNICIPIO]],'4.CAP_ENDMNT'!B:B,'4.CAP_ENDMNT'!F:F,0,0,1)</f>
        <v>8446198900.4159985</v>
      </c>
      <c r="X390" s="140">
        <f>+_xlfn.XLOOKUP(PROYECTOS[[#This Row],[MUNICIPIO]],'4.CAP_ENDMNT'!B:B,'4.CAP_ENDMNT'!G:G,0,0,1)</f>
        <v>1620905965.8499999</v>
      </c>
      <c r="Y390" s="140">
        <f>+_xlfn.XLOOKUP(PROYECTOS[[#This Row],[MUNICIPIO]],'4.CAP_ENDMNT'!B:B,'4.CAP_ENDMNT'!H:H,0,0,1)</f>
        <v>2416666620</v>
      </c>
      <c r="Z390" s="140">
        <f>+_xlfn.XLOOKUP(PROYECTOS[[#This Row],[MUNICIPIO]],'4.CAP_ENDMNT'!B:B,'4.CAP_ENDMNT'!I:I,0,0,1)</f>
        <v>4037572585.8499999</v>
      </c>
      <c r="AA390" s="134">
        <f>+_xlfn.XLOOKUP(PROYECTOS[[#This Row],[MUNICIPIO]],'4.CAP_ENDMNT'!B:B,'4.CAP_ENDMNT'!J:J,0,0,1)</f>
        <v>0.24697893285168493</v>
      </c>
      <c r="AB390" s="140">
        <f>+_xlfn.XLOOKUP(PROYECTOS[[#This Row],[MUNICIPIO]],'4.CAP_ENDMNT'!B:B,'4.CAP_ENDMNT'!K:K,0,0,1)</f>
        <v>12310269471.895998</v>
      </c>
      <c r="AC390" s="140">
        <f>+_xlfn.XLOOKUP(PROYECTOS[[#This Row],[MUNICIPIO]],'4.CAP_ENDMNT'!B:B,'4.CAP_ENDMNT'!L:L,0,0,1)</f>
        <v>9848215577.516798</v>
      </c>
      <c r="AD390" s="140">
        <f>+_xlfn.XLOOKUP(PROYECTOS[[#This Row],[MUNICIPIO]],'4.CAP_ENDMNT'!B:B,'4.CAP_ENDMNT'!M:M,0,0,1)</f>
        <v>7386161683.137599</v>
      </c>
      <c r="AE390" s="134">
        <f>+_xlfn.XLOOKUP(PROYECTOS[[#This Row],[MUNICIPIO]],'4.CAP_ENDMNT'!B:B,'4.CAP_ENDMNT'!N:N,0,0,1)</f>
        <v>0.40145556058375176</v>
      </c>
      <c r="AF390" s="134">
        <f>+_xlfn.XLOOKUP(PROYECTOS[[#This Row],[MUNICIPIO]],'4.CAP_ENDMNT'!B:B,'4.CAP_ENDMNT'!O:O,0,0,1)</f>
        <v>0.5852153455768756</v>
      </c>
      <c r="AG390" s="134">
        <f>+_xlfn.XLOOKUP(PROYECTOS[[#This Row],[MUNICIPIO]],'4.CAP_ENDMNT'!B:B,'4.CAP_ENDMNT'!P:P,0,0,1)</f>
        <v>0.8</v>
      </c>
      <c r="AH390" s="44" t="str">
        <f>+_xlfn.XLOOKUP(PROYECTOS[[#This Row],[MUNICIPIO]],'4.CAP_ENDMNT'!B:B,'4.CAP_ENDMNT'!Q:Q,0,0,1)</f>
        <v>Cumple</v>
      </c>
      <c r="AI390" s="139">
        <f>+_xlfn.XLOOKUP(PROYECTOS[[#This Row],[MUNICIPIO]],'4.CAP_ENDMNT'!B:B,'4.CAP_ENDMNT'!V:V,0,0,1)</f>
        <v>1477232336.6275198</v>
      </c>
      <c r="AJ390" s="139">
        <f>+_xlfn.XLOOKUP(PROYECTOS[[#This Row],[MUNICIPIO]],'4.CAP_ENDMNT'!B:B,'4.CAP_ENDMNT'!Y:Y,0,0,1)</f>
        <v>-11946219029.23488</v>
      </c>
      <c r="AK390"/>
      <c r="AL390"/>
      <c r="AM390"/>
    </row>
    <row r="391" spans="1:39" ht="15" customHeight="1">
      <c r="A391" s="44">
        <v>410</v>
      </c>
      <c r="B391" s="71" t="s">
        <v>1481</v>
      </c>
      <c r="C391" s="122">
        <f>+_xlfn.XLOOKUP(PROYECTOS[[#This Row],[ID_NECESIDAD]],'1.RADICADOS'!G:G,'1.RADICADOS'!C:C,0,0,1)*1</f>
        <v>45729</v>
      </c>
      <c r="D391" s="67" t="s">
        <v>118</v>
      </c>
      <c r="E391" s="47" t="str">
        <f>+_xlfn.XLOOKUP(PROYECTOS[[#This Row],[MUNICIPIO]],MUNICIPIOS!A:A,MUNICIPIOS!E:E,0,0,1)</f>
        <v>Urabá</v>
      </c>
      <c r="F391" s="44">
        <f>+_xlfn.XLOOKUP(PROYECTOS[[#This Row],[MUNICIPIO]],MUNICIPIOS!A:A,MUNICIPIOS!F:F,0,0,1)</f>
        <v>-76.681531000000007</v>
      </c>
      <c r="G391" s="44" t="str">
        <f>+_xlfn.XLOOKUP(PROYECTOS[[#This Row],[MUNICIPIO]],MUNICIPIOS!A:A,MUNICIPIOS!G:G,0,0,1)</f>
        <v>7,666147</v>
      </c>
      <c r="H391" s="44">
        <f>+_xlfn.XLOOKUP(PROYECTOS[[#This Row],[MUNICIPIO]],MUNICIPIOS!A:A,MUNICIPIOS!B:B,0,0,1)</f>
        <v>1</v>
      </c>
      <c r="I391" s="44">
        <f>+_xlfn.XLOOKUP(PROYECTOS[[#This Row],[MUNICIPIO]],MUNICIPIOS!A:A,MUNICIPIOS!C:C,0,0,1)</f>
        <v>1</v>
      </c>
      <c r="J391" s="34" t="str" cm="1">
        <f t="array" ref="J391">_xlfn.TEXTJOIN(" ", TRUE, IF(radicados[ID PROYECTOS]=A391, radicados[RADICADO], ""))</f>
        <v>2025010123714</v>
      </c>
      <c r="K391" s="45">
        <v>3</v>
      </c>
      <c r="L391" s="70">
        <v>5241523447</v>
      </c>
      <c r="M391" s="34" t="s">
        <v>707</v>
      </c>
      <c r="N391" s="40" t="s">
        <v>394</v>
      </c>
      <c r="O391" s="40" t="s">
        <v>18</v>
      </c>
      <c r="P391" s="37" t="s">
        <v>380</v>
      </c>
      <c r="Q391" s="45"/>
      <c r="R391" s="50"/>
      <c r="S391" s="50"/>
      <c r="T391" s="44">
        <f>+_xlfn.XLOOKUP(PROYECTOS[[#This Row],[MUNICIPIO]],'4.CAP_ENDMNT'!B:B,'4.CAP_ENDMNT'!C:C,0,0,1)</f>
        <v>6</v>
      </c>
      <c r="U391" s="139">
        <f>+_xlfn.XLOOKUP(PROYECTOS[[#This Row],[MUNICIPIO]],'4.CAP_ENDMNT'!B:B,'4.CAP_ENDMNT'!D:D,0,0,1)</f>
        <v>31480625713.601501</v>
      </c>
      <c r="V391" s="140">
        <f>+_xlfn.XLOOKUP(PROYECTOS[[#This Row],[MUNICIPIO]],'4.CAP_ENDMNT'!B:B,'4.CAP_ENDMNT'!E:E,0,0,1)</f>
        <v>12012746210.970001</v>
      </c>
      <c r="W391" s="140">
        <f>+_xlfn.XLOOKUP(PROYECTOS[[#This Row],[MUNICIPIO]],'4.CAP_ENDMNT'!B:B,'4.CAP_ENDMNT'!F:F,0,0,1)</f>
        <v>19467879502.6315</v>
      </c>
      <c r="X391" s="140">
        <f>+_xlfn.XLOOKUP(PROYECTOS[[#This Row],[MUNICIPIO]],'4.CAP_ENDMNT'!B:B,'4.CAP_ENDMNT'!G:G,0,0,1)</f>
        <v>990257688</v>
      </c>
      <c r="Y391" s="140">
        <f>+_xlfn.XLOOKUP(PROYECTOS[[#This Row],[MUNICIPIO]],'4.CAP_ENDMNT'!B:B,'4.CAP_ENDMNT'!H:H,0,0,1)</f>
        <v>4241046406.5999999</v>
      </c>
      <c r="Z391" s="140">
        <f>+_xlfn.XLOOKUP(PROYECTOS[[#This Row],[MUNICIPIO]],'4.CAP_ENDMNT'!B:B,'4.CAP_ENDMNT'!I:I,0,0,1)</f>
        <v>5231304094.6000004</v>
      </c>
      <c r="AA391" s="134">
        <f>+_xlfn.XLOOKUP(PROYECTOS[[#This Row],[MUNICIPIO]],'4.CAP_ENDMNT'!B:B,'4.CAP_ENDMNT'!J:J,0,0,1)</f>
        <v>0.16617535312647125</v>
      </c>
      <c r="AB391" s="140">
        <f>+_xlfn.XLOOKUP(PROYECTOS[[#This Row],[MUNICIPIO]],'4.CAP_ENDMNT'!B:B,'4.CAP_ENDMNT'!K:K,0,0,1)</f>
        <v>26249321619.001503</v>
      </c>
      <c r="AC391" s="140">
        <f>+_xlfn.XLOOKUP(PROYECTOS[[#This Row],[MUNICIPIO]],'4.CAP_ENDMNT'!B:B,'4.CAP_ENDMNT'!L:L,0,0,1)</f>
        <v>20999457295.201202</v>
      </c>
      <c r="AD391" s="140">
        <f>+_xlfn.XLOOKUP(PROYECTOS[[#This Row],[MUNICIPIO]],'4.CAP_ENDMNT'!B:B,'4.CAP_ENDMNT'!M:M,0,0,1)</f>
        <v>15749592971.400902</v>
      </c>
      <c r="AE391" s="134">
        <f>+_xlfn.XLOOKUP(PROYECTOS[[#This Row],[MUNICIPIO]],'4.CAP_ENDMNT'!B:B,'4.CAP_ENDMNT'!N:N,0,0,1)</f>
        <v>0.18929461375074541</v>
      </c>
      <c r="AF391" s="134">
        <f>+_xlfn.XLOOKUP(PROYECTOS[[#This Row],[MUNICIPIO]],'4.CAP_ENDMNT'!B:B,'4.CAP_ENDMNT'!O:O,0,0,1)</f>
        <v>0.57128723877428544</v>
      </c>
      <c r="AG391" s="134">
        <f>+_xlfn.XLOOKUP(PROYECTOS[[#This Row],[MUNICIPIO]],'4.CAP_ENDMNT'!B:B,'4.CAP_ENDMNT'!P:P,0,0,1)</f>
        <v>0.8</v>
      </c>
      <c r="AH391" s="44" t="str">
        <f>+_xlfn.XLOOKUP(PROYECTOS[[#This Row],[MUNICIPIO]],'4.CAP_ENDMNT'!B:B,'4.CAP_ENDMNT'!Q:Q,0,0,1)</f>
        <v>Cumple</v>
      </c>
      <c r="AI391" s="139">
        <f>+_xlfn.XLOOKUP(PROYECTOS[[#This Row],[MUNICIPIO]],'4.CAP_ENDMNT'!B:B,'4.CAP_ENDMNT'!V:V,0,0,1)</f>
        <v>3149918594.2801805</v>
      </c>
      <c r="AJ391" s="139">
        <f>+_xlfn.XLOOKUP(PROYECTOS[[#This Row],[MUNICIPIO]],'4.CAP_ENDMNT'!B:B,'4.CAP_ENDMNT'!Y:Y,0,0,1)</f>
        <v>-159577103574.2489</v>
      </c>
      <c r="AK391"/>
      <c r="AL391"/>
      <c r="AM391"/>
    </row>
    <row r="392" spans="1:39" ht="15" customHeight="1">
      <c r="A392" s="44">
        <v>411</v>
      </c>
      <c r="B392" s="37" t="s">
        <v>1482</v>
      </c>
      <c r="C392" s="118">
        <v>45747</v>
      </c>
      <c r="D392" s="67" t="s">
        <v>76</v>
      </c>
      <c r="E392" s="47" t="str">
        <f>+_xlfn.XLOOKUP(PROYECTOS[[#This Row],[MUNICIPIO]],MUNICIPIOS!A:A,MUNICIPIOS!E:E,0,0,1)</f>
        <v>Valle de Aburrá</v>
      </c>
      <c r="F392" s="44">
        <f>+_xlfn.XLOOKUP(PROYECTOS[[#This Row],[MUNICIPIO]],MUNICIPIOS!A:A,MUNICIPIOS!F:F,0,0,1)</f>
        <v>-75.582192000000006</v>
      </c>
      <c r="G392" s="44" t="str">
        <f>+_xlfn.XLOOKUP(PROYECTOS[[#This Row],[MUNICIPIO]],MUNICIPIOS!A:A,MUNICIPIOS!G:G,0,0,1)</f>
        <v>6,166695</v>
      </c>
      <c r="H392" s="44">
        <f>+_xlfn.XLOOKUP(PROYECTOS[[#This Row],[MUNICIPIO]],MUNICIPIOS!A:A,MUNICIPIOS!B:B,0,0,1)</f>
        <v>0</v>
      </c>
      <c r="I392" s="44">
        <f>+_xlfn.XLOOKUP(PROYECTOS[[#This Row],[MUNICIPIO]],MUNICIPIOS!A:A,MUNICIPIOS!C:C,0,0,1)</f>
        <v>0</v>
      </c>
      <c r="J392" s="34" t="str" cm="1">
        <f t="array" ref="J392">_xlfn.TEXTJOIN(" ", TRUE, IF(radicados[ID PROYECTOS]=A392, radicados[RADICADO], ""))</f>
        <v>2025010119542</v>
      </c>
      <c r="K392" s="45">
        <v>3</v>
      </c>
      <c r="L392" s="70">
        <v>18376102798</v>
      </c>
      <c r="M392" s="34" t="s">
        <v>396</v>
      </c>
      <c r="N392" s="40" t="s">
        <v>398</v>
      </c>
      <c r="O392" s="40" t="s">
        <v>25</v>
      </c>
      <c r="P392" s="37" t="s">
        <v>1483</v>
      </c>
      <c r="Q392" s="45"/>
      <c r="R392" s="50"/>
      <c r="S392" s="50"/>
      <c r="T392" s="44">
        <f>+_xlfn.XLOOKUP(PROYECTOS[[#This Row],[MUNICIPIO]],'4.CAP_ENDMNT'!B:B,'4.CAP_ENDMNT'!C:C,0,0,1)</f>
        <v>1</v>
      </c>
      <c r="U392" s="139">
        <f>+_xlfn.XLOOKUP(PROYECTOS[[#This Row],[MUNICIPIO]],'4.CAP_ENDMNT'!B:B,'4.CAP_ENDMNT'!D:D,0,0,1)</f>
        <v>529100951775.10547</v>
      </c>
      <c r="V392" s="140">
        <f>+_xlfn.XLOOKUP(PROYECTOS[[#This Row],[MUNICIPIO]],'4.CAP_ENDMNT'!B:B,'4.CAP_ENDMNT'!E:E,0,0,1)</f>
        <v>139843828606.55002</v>
      </c>
      <c r="W392" s="140">
        <f>+_xlfn.XLOOKUP(PROYECTOS[[#This Row],[MUNICIPIO]],'4.CAP_ENDMNT'!B:B,'4.CAP_ENDMNT'!F:F,0,0,1)</f>
        <v>389257123168.55542</v>
      </c>
      <c r="X392" s="140">
        <f>+_xlfn.XLOOKUP(PROYECTOS[[#This Row],[MUNICIPIO]],'4.CAP_ENDMNT'!B:B,'4.CAP_ENDMNT'!G:G,0,0,1)</f>
        <v>36309816121</v>
      </c>
      <c r="Y392" s="140">
        <f>+_xlfn.XLOOKUP(PROYECTOS[[#This Row],[MUNICIPIO]],'4.CAP_ENDMNT'!B:B,'4.CAP_ENDMNT'!H:H,0,0,1)</f>
        <v>162755467295</v>
      </c>
      <c r="Z392" s="140">
        <f>+_xlfn.XLOOKUP(PROYECTOS[[#This Row],[MUNICIPIO]],'4.CAP_ENDMNT'!B:B,'4.CAP_ENDMNT'!I:I,0,0,1)</f>
        <v>199065283416</v>
      </c>
      <c r="AA392" s="134">
        <f>+_xlfn.XLOOKUP(PROYECTOS[[#This Row],[MUNICIPIO]],'4.CAP_ENDMNT'!B:B,'4.CAP_ENDMNT'!J:J,0,0,1)</f>
        <v>0.37623308510057785</v>
      </c>
      <c r="AB392" s="140">
        <f>+_xlfn.XLOOKUP(PROYECTOS[[#This Row],[MUNICIPIO]],'4.CAP_ENDMNT'!B:B,'4.CAP_ENDMNT'!K:K,0,0,1)</f>
        <v>330035668359.10547</v>
      </c>
      <c r="AC392" s="140">
        <f>+_xlfn.XLOOKUP(PROYECTOS[[#This Row],[MUNICIPIO]],'4.CAP_ENDMNT'!B:B,'4.CAP_ENDMNT'!L:L,0,0,1)</f>
        <v>264028534687.28439</v>
      </c>
      <c r="AD392" s="140">
        <f>+_xlfn.XLOOKUP(PROYECTOS[[#This Row],[MUNICIPIO]],'4.CAP_ENDMNT'!B:B,'4.CAP_ENDMNT'!M:M,0,0,1)</f>
        <v>198021401015.46329</v>
      </c>
      <c r="AE392" s="134">
        <f>+_xlfn.XLOOKUP(PROYECTOS[[#This Row],[MUNICIPIO]],'4.CAP_ENDMNT'!B:B,'4.CAP_ENDMNT'!N:N,0,0,1)</f>
        <v>0.18240154937072053</v>
      </c>
      <c r="AF392" s="134">
        <f>+_xlfn.XLOOKUP(PROYECTOS[[#This Row],[MUNICIPIO]],'4.CAP_ENDMNT'!B:B,'4.CAP_ENDMNT'!O:O,0,0,1)</f>
        <v>0.24492606689818583</v>
      </c>
      <c r="AG392" s="134">
        <f>+_xlfn.XLOOKUP(PROYECTOS[[#This Row],[MUNICIPIO]],'4.CAP_ENDMNT'!B:B,'4.CAP_ENDMNT'!P:P,0,0,1)</f>
        <v>0.65</v>
      </c>
      <c r="AH392" s="44" t="str">
        <f>+_xlfn.XLOOKUP(PROYECTOS[[#This Row],[MUNICIPIO]],'4.CAP_ENDMNT'!B:B,'4.CAP_ENDMNT'!Q:Q,0,0,1)</f>
        <v>Cumple</v>
      </c>
      <c r="AI392" s="139">
        <f>+_xlfn.XLOOKUP(PROYECTOS[[#This Row],[MUNICIPIO]],'4.CAP_ENDMNT'!B:B,'4.CAP_ENDMNT'!V:V,0,0,1)</f>
        <v>39604280203.092659</v>
      </c>
      <c r="AJ392" s="139">
        <f>+_xlfn.XLOOKUP(PROYECTOS[[#This Row],[MUNICIPIO]],'4.CAP_ENDMNT'!B:B,'4.CAP_ENDMNT'!Y:Y,0,0,1)</f>
        <v>219249578420.55594</v>
      </c>
      <c r="AK392"/>
      <c r="AL392"/>
      <c r="AM392"/>
    </row>
    <row r="393" spans="1:39" ht="15" customHeight="1">
      <c r="A393" s="61">
        <v>412</v>
      </c>
      <c r="B393" s="62" t="s">
        <v>710</v>
      </c>
      <c r="C393" s="118">
        <v>45747</v>
      </c>
      <c r="D393" s="94" t="s">
        <v>166</v>
      </c>
      <c r="E393" s="47" t="str">
        <f>+_xlfn.XLOOKUP(PROYECTOS[[#This Row],[MUNICIPIO]],MUNICIPIOS!A:A,MUNICIPIOS!E:E,0,0,1)</f>
        <v>Occidente</v>
      </c>
      <c r="F393" s="44">
        <f>+_xlfn.XLOOKUP(PROYECTOS[[#This Row],[MUNICIPIO]],MUNICIPIOS!A:A,MUNICIPIOS!F:F,0,0,1)</f>
        <v>-75.826648000000006</v>
      </c>
      <c r="G393" s="44" t="str">
        <f>+_xlfn.XLOOKUP(PROYECTOS[[#This Row],[MUNICIPIO]],MUNICIPIOS!A:A,MUNICIPIOS!G:G,0,0,1)</f>
        <v>6,556484</v>
      </c>
      <c r="H393" s="44">
        <f>+_xlfn.XLOOKUP(PROYECTOS[[#This Row],[MUNICIPIO]],MUNICIPIOS!A:A,MUNICIPIOS!B:B,0,0,1)</f>
        <v>0</v>
      </c>
      <c r="I393" s="44">
        <f>+_xlfn.XLOOKUP(PROYECTOS[[#This Row],[MUNICIPIO]],MUNICIPIOS!A:A,MUNICIPIOS!C:C,0,0,1)</f>
        <v>1</v>
      </c>
      <c r="J393" s="62"/>
      <c r="K393" s="143">
        <v>3</v>
      </c>
      <c r="L393" s="187">
        <v>1052754655</v>
      </c>
      <c r="M393" s="150" t="s">
        <v>435</v>
      </c>
      <c r="N393" s="93" t="s">
        <v>398</v>
      </c>
      <c r="O393" s="40" t="s">
        <v>25</v>
      </c>
      <c r="P393" s="62" t="s">
        <v>1484</v>
      </c>
      <c r="Q393" s="61">
        <v>1</v>
      </c>
      <c r="R393" s="43" t="s">
        <v>922</v>
      </c>
      <c r="S393" s="43" t="s">
        <v>1643</v>
      </c>
      <c r="T393" s="44">
        <f>+_xlfn.XLOOKUP(PROYECTOS[[#This Row],[MUNICIPIO]],'4.CAP_ENDMNT'!B:B,'4.CAP_ENDMNT'!C:C,0,0,1)</f>
        <v>5</v>
      </c>
      <c r="U393" s="139">
        <f>+_xlfn.XLOOKUP(PROYECTOS[[#This Row],[MUNICIPIO]],'4.CAP_ENDMNT'!B:B,'4.CAP_ENDMNT'!D:D,0,0,1)</f>
        <v>40656193467.687004</v>
      </c>
      <c r="V393" s="140">
        <f>+_xlfn.XLOOKUP(PROYECTOS[[#This Row],[MUNICIPIO]],'4.CAP_ENDMNT'!B:B,'4.CAP_ENDMNT'!E:E,0,0,1)</f>
        <v>18778286398.540001</v>
      </c>
      <c r="W393" s="140">
        <f>+_xlfn.XLOOKUP(PROYECTOS[[#This Row],[MUNICIPIO]],'4.CAP_ENDMNT'!B:B,'4.CAP_ENDMNT'!F:F,0,0,1)</f>
        <v>21877907069.147003</v>
      </c>
      <c r="X393" s="140">
        <f>+_xlfn.XLOOKUP(PROYECTOS[[#This Row],[MUNICIPIO]],'4.CAP_ENDMNT'!B:B,'4.CAP_ENDMNT'!G:G,0,0,1)</f>
        <v>5492975516</v>
      </c>
      <c r="Y393" s="140">
        <f>+_xlfn.XLOOKUP(PROYECTOS[[#This Row],[MUNICIPIO]],'4.CAP_ENDMNT'!B:B,'4.CAP_ENDMNT'!H:H,0,0,1)</f>
        <v>2014055909</v>
      </c>
      <c r="Z393" s="140">
        <f>+_xlfn.XLOOKUP(PROYECTOS[[#This Row],[MUNICIPIO]],'4.CAP_ENDMNT'!B:B,'4.CAP_ENDMNT'!I:I,0,0,1)</f>
        <v>7507031425</v>
      </c>
      <c r="AA393" s="134">
        <f>+_xlfn.XLOOKUP(PROYECTOS[[#This Row],[MUNICIPIO]],'4.CAP_ENDMNT'!B:B,'4.CAP_ENDMNT'!J:J,0,0,1)</f>
        <v>0.18464668688096655</v>
      </c>
      <c r="AB393" s="140">
        <f>+_xlfn.XLOOKUP(PROYECTOS[[#This Row],[MUNICIPIO]],'4.CAP_ENDMNT'!B:B,'4.CAP_ENDMNT'!K:K,0,0,1)</f>
        <v>33149162042.687004</v>
      </c>
      <c r="AC393" s="140">
        <f>+_xlfn.XLOOKUP(PROYECTOS[[#This Row],[MUNICIPIO]],'4.CAP_ENDMNT'!B:B,'4.CAP_ENDMNT'!L:L,0,0,1)</f>
        <v>26519329634.149605</v>
      </c>
      <c r="AD393" s="140">
        <f>+_xlfn.XLOOKUP(PROYECTOS[[#This Row],[MUNICIPIO]],'4.CAP_ENDMNT'!B:B,'4.CAP_ENDMNT'!M:M,0,0,1)</f>
        <v>19889497225.612202</v>
      </c>
      <c r="AE393" s="134">
        <f>+_xlfn.XLOOKUP(PROYECTOS[[#This Row],[MUNICIPIO]],'4.CAP_ENDMNT'!B:B,'4.CAP_ENDMNT'!N:N,0,0,1)</f>
        <v>0.73171073957506449</v>
      </c>
      <c r="AF393" s="134">
        <f>+_xlfn.XLOOKUP(PROYECTOS[[#This Row],[MUNICIPIO]],'4.CAP_ENDMNT'!B:B,'4.CAP_ENDMNT'!O:O,0,0,1)</f>
        <v>0.53391906125286837</v>
      </c>
      <c r="AG393" s="134">
        <f>+_xlfn.XLOOKUP(PROYECTOS[[#This Row],[MUNICIPIO]],'4.CAP_ENDMNT'!B:B,'4.CAP_ENDMNT'!P:P,0,0,1)</f>
        <v>0.8</v>
      </c>
      <c r="AH393" s="44" t="str">
        <f>+_xlfn.XLOOKUP(PROYECTOS[[#This Row],[MUNICIPIO]],'4.CAP_ENDMNT'!B:B,'4.CAP_ENDMNT'!Q:Q,0,0,1)</f>
        <v>Cumple</v>
      </c>
      <c r="AI393" s="139">
        <f>+_xlfn.XLOOKUP(PROYECTOS[[#This Row],[MUNICIPIO]],'4.CAP_ENDMNT'!B:B,'4.CAP_ENDMNT'!V:V,0,0,1)</f>
        <v>3977899445.1224403</v>
      </c>
      <c r="AJ393" s="139">
        <f>+_xlfn.XLOOKUP(PROYECTOS[[#This Row],[MUNICIPIO]],'4.CAP_ENDMNT'!B:B,'4.CAP_ENDMNT'!Y:Y,0,0,1)</f>
        <v>-34393689178.265358</v>
      </c>
      <c r="AK393"/>
      <c r="AL393"/>
      <c r="AM393"/>
    </row>
    <row r="394" spans="1:39" ht="15" customHeight="1">
      <c r="A394" s="44">
        <v>414</v>
      </c>
      <c r="B394" t="s">
        <v>909</v>
      </c>
      <c r="C394" s="54">
        <f>+_xlfn.XLOOKUP(PROYECTOS[[#This Row],[ID_NECESIDAD]],'1.RADICADOS'!G:G,'1.RADICADOS'!C:C,0,0,1)*1</f>
        <v>45741</v>
      </c>
      <c r="D394" s="67" t="s">
        <v>452</v>
      </c>
      <c r="E394" s="47" t="str">
        <f>+_xlfn.XLOOKUP(PROYECTOS[[#This Row],[MUNICIPIO]],MUNICIPIOS!A:A,MUNICIPIOS!E:E,0,0,1)</f>
        <v>Occidente</v>
      </c>
      <c r="F394" s="44">
        <f>+_xlfn.XLOOKUP(PROYECTOS[[#This Row],[MUNICIPIO]],MUNICIPIOS!A:A,MUNICIPIOS!F:F,0,0,1)</f>
        <v>-75.910357000000005</v>
      </c>
      <c r="G394" s="44" t="str">
        <f>+_xlfn.XLOOKUP(PROYECTOS[[#This Row],[MUNICIPIO]],MUNICIPIOS!A:A,MUNICIPIOS!G:G,0,0,1)</f>
        <v>7,021029</v>
      </c>
      <c r="H394" s="44">
        <f>+_xlfn.XLOOKUP(PROYECTOS[[#This Row],[MUNICIPIO]],MUNICIPIOS!A:A,MUNICIPIOS!B:B,0,0,1)</f>
        <v>0</v>
      </c>
      <c r="I394" s="44">
        <f>+_xlfn.XLOOKUP(PROYECTOS[[#This Row],[MUNICIPIO]],MUNICIPIOS!A:A,MUNICIPIOS!C:C,0,0,1)</f>
        <v>0</v>
      </c>
      <c r="J394" s="34" t="str" cm="1">
        <f t="array" ref="J394">_xlfn.TEXTJOIN(" ", TRUE, IF(radicados[ID PROYECTOS]=A394, radicados[RADICADO], ""))</f>
        <v>2025010142801 2025010142897</v>
      </c>
      <c r="K394" s="142">
        <v>2</v>
      </c>
      <c r="L394" s="70"/>
      <c r="M394" s="34" t="s">
        <v>761</v>
      </c>
      <c r="N394" s="40" t="s">
        <v>394</v>
      </c>
      <c r="O394" s="40" t="s">
        <v>18</v>
      </c>
      <c r="P394" s="37" t="s">
        <v>955</v>
      </c>
      <c r="Q394" s="45"/>
      <c r="R394" s="50"/>
      <c r="S394" s="50"/>
      <c r="T394" s="44">
        <f>+_xlfn.XLOOKUP(PROYECTOS[[#This Row],[MUNICIPIO]],'4.CAP_ENDMNT'!B:B,'4.CAP_ENDMNT'!C:C,0,0,1)</f>
        <v>6</v>
      </c>
      <c r="U394" s="139">
        <f>+_xlfn.XLOOKUP(PROYECTOS[[#This Row],[MUNICIPIO]],'4.CAP_ENDMNT'!B:B,'4.CAP_ENDMNT'!D:D,0,0,1)</f>
        <v>13002660545.618999</v>
      </c>
      <c r="V394" s="140">
        <f>+_xlfn.XLOOKUP(PROYECTOS[[#This Row],[MUNICIPIO]],'4.CAP_ENDMNT'!B:B,'4.CAP_ENDMNT'!E:E,0,0,1)</f>
        <v>2851909764.96</v>
      </c>
      <c r="W394" s="140">
        <f>+_xlfn.XLOOKUP(PROYECTOS[[#This Row],[MUNICIPIO]],'4.CAP_ENDMNT'!B:B,'4.CAP_ENDMNT'!F:F,0,0,1)</f>
        <v>10150750780.659</v>
      </c>
      <c r="X394" s="140">
        <f>+_xlfn.XLOOKUP(PROYECTOS[[#This Row],[MUNICIPIO]],'4.CAP_ENDMNT'!B:B,'4.CAP_ENDMNT'!G:G,0,0,1)</f>
        <v>3580400217</v>
      </c>
      <c r="Y394" s="140">
        <f>+_xlfn.XLOOKUP(PROYECTOS[[#This Row],[MUNICIPIO]],'4.CAP_ENDMNT'!B:B,'4.CAP_ENDMNT'!H:H,0,0,1)</f>
        <v>0</v>
      </c>
      <c r="Z394" s="140">
        <f>+_xlfn.XLOOKUP(PROYECTOS[[#This Row],[MUNICIPIO]],'4.CAP_ENDMNT'!B:B,'4.CAP_ENDMNT'!I:I,0,0,1)</f>
        <v>3580400217</v>
      </c>
      <c r="AA394" s="134">
        <f>+_xlfn.XLOOKUP(PROYECTOS[[#This Row],[MUNICIPIO]],'4.CAP_ENDMNT'!B:B,'4.CAP_ENDMNT'!J:J,0,0,1)</f>
        <v>0.27535904705336234</v>
      </c>
      <c r="AB394" s="140">
        <f>+_xlfn.XLOOKUP(PROYECTOS[[#This Row],[MUNICIPIO]],'4.CAP_ENDMNT'!B:B,'4.CAP_ENDMNT'!K:K,0,0,1)</f>
        <v>9422260328.6189995</v>
      </c>
      <c r="AC394" s="140">
        <f>+_xlfn.XLOOKUP(PROYECTOS[[#This Row],[MUNICIPIO]],'4.CAP_ENDMNT'!B:B,'4.CAP_ENDMNT'!L:L,0,0,1)</f>
        <v>7537808262.8951998</v>
      </c>
      <c r="AD394" s="140">
        <f>+_xlfn.XLOOKUP(PROYECTOS[[#This Row],[MUNICIPIO]],'4.CAP_ENDMNT'!B:B,'4.CAP_ENDMNT'!M:M,0,0,1)</f>
        <v>5653356197.1713991</v>
      </c>
      <c r="AE394" s="134">
        <f>+_xlfn.XLOOKUP(PROYECTOS[[#This Row],[MUNICIPIO]],'4.CAP_ENDMNT'!B:B,'4.CAP_ENDMNT'!N:N,0,0,1)</f>
        <v>1</v>
      </c>
      <c r="AF394" s="134">
        <f>+_xlfn.XLOOKUP(PROYECTOS[[#This Row],[MUNICIPIO]],'4.CAP_ENDMNT'!B:B,'4.CAP_ENDMNT'!O:O,0,0,1)</f>
        <v>0.60546314083774588</v>
      </c>
      <c r="AG394" s="134">
        <f>+_xlfn.XLOOKUP(PROYECTOS[[#This Row],[MUNICIPIO]],'4.CAP_ENDMNT'!B:B,'4.CAP_ENDMNT'!P:P,0,0,1)</f>
        <v>0.8</v>
      </c>
      <c r="AH394" s="44" t="str">
        <f>+_xlfn.XLOOKUP(PROYECTOS[[#This Row],[MUNICIPIO]],'4.CAP_ENDMNT'!B:B,'4.CAP_ENDMNT'!Q:Q,0,0,1)</f>
        <v>Cumple</v>
      </c>
      <c r="AI394" s="139">
        <f>+_xlfn.XLOOKUP(PROYECTOS[[#This Row],[MUNICIPIO]],'4.CAP_ENDMNT'!B:B,'4.CAP_ENDMNT'!V:V,0,0,1)</f>
        <v>1130671239.4342799</v>
      </c>
      <c r="AJ394" s="139">
        <f>+_xlfn.XLOOKUP(PROYECTOS[[#This Row],[MUNICIPIO]],'4.CAP_ENDMNT'!B:B,'4.CAP_ENDMNT'!Y:Y,0,0,1)</f>
        <v>-65295013.394321442</v>
      </c>
      <c r="AK394"/>
      <c r="AL394"/>
      <c r="AM394"/>
    </row>
    <row r="395" spans="1:39" ht="15" customHeight="1">
      <c r="A395" s="44">
        <v>415</v>
      </c>
      <c r="B395" t="s">
        <v>910</v>
      </c>
      <c r="C395" s="54">
        <f>+_xlfn.XLOOKUP(PROYECTOS[[#This Row],[ID_NECESIDAD]],'1.RADICADOS'!G:G,'1.RADICADOS'!C:C,0,0,1)*1</f>
        <v>45741</v>
      </c>
      <c r="D395" s="67" t="s">
        <v>832</v>
      </c>
      <c r="E395" s="47" t="str">
        <f>+_xlfn.XLOOKUP(PROYECTOS[[#This Row],[MUNICIPIO]],MUNICIPIOS!A:A,MUNICIPIOS!E:E,0,0,1)</f>
        <v>Norte</v>
      </c>
      <c r="F395" s="44">
        <f>+_xlfn.XLOOKUP(PROYECTOS[[#This Row],[MUNICIPIO]],MUNICIPIOS!A:A,MUNICIPIOS!F:F,0,0,1)</f>
        <v>-75.764673000000002</v>
      </c>
      <c r="G395" s="44" t="str">
        <f>+_xlfn.XLOOKUP(PROYECTOS[[#This Row],[MUNICIPIO]],MUNICIPIOS!A:A,MUNICIPIOS!G:G,0,0,1)</f>
        <v>7,171629</v>
      </c>
      <c r="H395" s="44">
        <f>+_xlfn.XLOOKUP(PROYECTOS[[#This Row],[MUNICIPIO]],MUNICIPIOS!A:A,MUNICIPIOS!B:B,0,0,1)</f>
        <v>1</v>
      </c>
      <c r="I395" s="44">
        <f>+_xlfn.XLOOKUP(PROYECTOS[[#This Row],[MUNICIPIO]],MUNICIPIOS!A:A,MUNICIPIOS!C:C,0,0,1)</f>
        <v>1</v>
      </c>
      <c r="J395" s="34" t="str" cm="1">
        <f t="array" ref="J395">_xlfn.TEXTJOIN(" ", TRUE, IF(radicados[ID PROYECTOS]=A395, radicados[RADICADO], ""))</f>
        <v>2025010144661</v>
      </c>
      <c r="K395" s="45">
        <v>1</v>
      </c>
      <c r="L395" s="70"/>
      <c r="M395" s="34" t="s">
        <v>761</v>
      </c>
      <c r="N395" s="40" t="s">
        <v>394</v>
      </c>
      <c r="O395" s="40" t="s">
        <v>18</v>
      </c>
      <c r="P395" s="13" t="s">
        <v>914</v>
      </c>
      <c r="Q395" s="45"/>
      <c r="R395" s="50"/>
      <c r="S395" s="50"/>
      <c r="T395" s="44">
        <f>+_xlfn.XLOOKUP(PROYECTOS[[#This Row],[MUNICIPIO]],'4.CAP_ENDMNT'!B:B,'4.CAP_ENDMNT'!C:C,0,0,1)</f>
        <v>6</v>
      </c>
      <c r="U395" s="139">
        <f>+_xlfn.XLOOKUP(PROYECTOS[[#This Row],[MUNICIPIO]],'4.CAP_ENDMNT'!B:B,'4.CAP_ENDMNT'!D:D,0,0,1)</f>
        <v>18426107981.286503</v>
      </c>
      <c r="V395" s="140">
        <f>+_xlfn.XLOOKUP(PROYECTOS[[#This Row],[MUNICIPIO]],'4.CAP_ENDMNT'!B:B,'4.CAP_ENDMNT'!E:E,0,0,1)</f>
        <v>4869802105.2700005</v>
      </c>
      <c r="W395" s="140">
        <f>+_xlfn.XLOOKUP(PROYECTOS[[#This Row],[MUNICIPIO]],'4.CAP_ENDMNT'!B:B,'4.CAP_ENDMNT'!F:F,0,0,1)</f>
        <v>13556305876.016502</v>
      </c>
      <c r="X395" s="140">
        <f>+_xlfn.XLOOKUP(PROYECTOS[[#This Row],[MUNICIPIO]],'4.CAP_ENDMNT'!B:B,'4.CAP_ENDMNT'!G:G,0,0,1)</f>
        <v>951343820.02999997</v>
      </c>
      <c r="Y395" s="140">
        <f>+_xlfn.XLOOKUP(PROYECTOS[[#This Row],[MUNICIPIO]],'4.CAP_ENDMNT'!B:B,'4.CAP_ENDMNT'!H:H,0,0,1)</f>
        <v>9684082914</v>
      </c>
      <c r="Z395" s="140">
        <f>+_xlfn.XLOOKUP(PROYECTOS[[#This Row],[MUNICIPIO]],'4.CAP_ENDMNT'!B:B,'4.CAP_ENDMNT'!I:I,0,0,1)</f>
        <v>10635426734.030001</v>
      </c>
      <c r="AA395" s="134">
        <f>+_xlfn.XLOOKUP(PROYECTOS[[#This Row],[MUNICIPIO]],'4.CAP_ENDMNT'!B:B,'4.CAP_ENDMNT'!J:J,0,0,1)</f>
        <v>0.57719333593569011</v>
      </c>
      <c r="AB395" s="140">
        <f>+_xlfn.XLOOKUP(PROYECTOS[[#This Row],[MUNICIPIO]],'4.CAP_ENDMNT'!B:B,'4.CAP_ENDMNT'!K:K,0,0,1)</f>
        <v>7790681247.2565022</v>
      </c>
      <c r="AC395" s="140">
        <f>+_xlfn.XLOOKUP(PROYECTOS[[#This Row],[MUNICIPIO]],'4.CAP_ENDMNT'!B:B,'4.CAP_ENDMNT'!L:L,0,0,1)</f>
        <v>6232544997.8052025</v>
      </c>
      <c r="AD395" s="140">
        <f>+_xlfn.XLOOKUP(PROYECTOS[[#This Row],[MUNICIPIO]],'4.CAP_ENDMNT'!B:B,'4.CAP_ENDMNT'!M:M,0,0,1)</f>
        <v>4674408748.3539009</v>
      </c>
      <c r="AE395" s="134">
        <f>+_xlfn.XLOOKUP(PROYECTOS[[#This Row],[MUNICIPIO]],'4.CAP_ENDMNT'!B:B,'4.CAP_ENDMNT'!N:N,0,0,1)</f>
        <v>8.9450460599385329E-2</v>
      </c>
      <c r="AF395" s="134">
        <f>+_xlfn.XLOOKUP(PROYECTOS[[#This Row],[MUNICIPIO]],'4.CAP_ENDMNT'!B:B,'4.CAP_ENDMNT'!O:O,0,0,1)</f>
        <v>0.56172885881394896</v>
      </c>
      <c r="AG395" s="134">
        <f>+_xlfn.XLOOKUP(PROYECTOS[[#This Row],[MUNICIPIO]],'4.CAP_ENDMNT'!B:B,'4.CAP_ENDMNT'!P:P,0,0,1)</f>
        <v>0.8</v>
      </c>
      <c r="AH395" s="44" t="str">
        <f>+_xlfn.XLOOKUP(PROYECTOS[[#This Row],[MUNICIPIO]],'4.CAP_ENDMNT'!B:B,'4.CAP_ENDMNT'!Q:Q,0,0,1)</f>
        <v>Cumple</v>
      </c>
      <c r="AI395" s="139">
        <f>+_xlfn.XLOOKUP(PROYECTOS[[#This Row],[MUNICIPIO]],'4.CAP_ENDMNT'!B:B,'4.CAP_ENDMNT'!V:V,0,0,1)</f>
        <v>934881749.67078018</v>
      </c>
      <c r="AJ395" s="139">
        <f>+_xlfn.XLOOKUP(PROYECTOS[[#This Row],[MUNICIPIO]],'4.CAP_ENDMNT'!B:B,'4.CAP_ENDMNT'!Y:Y,0,0,1)</f>
        <v>-17632992525.975319</v>
      </c>
      <c r="AK395"/>
      <c r="AL395"/>
      <c r="AM395"/>
    </row>
    <row r="396" spans="1:39" ht="15" customHeight="1">
      <c r="A396" s="44">
        <v>416</v>
      </c>
      <c r="B396" t="s">
        <v>912</v>
      </c>
      <c r="C396" s="54">
        <f>+_xlfn.XLOOKUP(PROYECTOS[[#This Row],[ID_NECESIDAD]],'1.RADICADOS'!G:G,'1.RADICADOS'!C:C,0,0,1)*1</f>
        <v>45742</v>
      </c>
      <c r="D396" s="67" t="s">
        <v>101</v>
      </c>
      <c r="E396" s="47" t="str">
        <f>+_xlfn.XLOOKUP(PROYECTOS[[#This Row],[MUNICIPIO]],MUNICIPIOS!A:A,MUNICIPIOS!E:E,0,0,1)</f>
        <v>Suroeste</v>
      </c>
      <c r="F396" s="44">
        <f>+_xlfn.XLOOKUP(PROYECTOS[[#This Row],[MUNICIPIO]],MUNICIPIOS!A:A,MUNICIPIOS!F:F,0,0,1)</f>
        <v>-75.607810000000001</v>
      </c>
      <c r="G396" s="44" t="str">
        <f>+_xlfn.XLOOKUP(PROYECTOS[[#This Row],[MUNICIPIO]],MUNICIPIOS!A:A,MUNICIPIOS!G:G,0,0,1)</f>
        <v>5,743808</v>
      </c>
      <c r="H396" s="44">
        <f>+_xlfn.XLOOKUP(PROYECTOS[[#This Row],[MUNICIPIO]],MUNICIPIOS!A:A,MUNICIPIOS!B:B,0,0,1)</f>
        <v>0</v>
      </c>
      <c r="I396" s="44">
        <f>+_xlfn.XLOOKUP(PROYECTOS[[#This Row],[MUNICIPIO]],MUNICIPIOS!A:A,MUNICIPIOS!C:C,0,0,1)</f>
        <v>0</v>
      </c>
      <c r="J396" s="34" t="str" cm="1">
        <f t="array" ref="J396">_xlfn.TEXTJOIN(" ", TRUE, IF(radicados[ID PROYECTOS]=A396, radicados[RADICADO], ""))</f>
        <v>2025010147279</v>
      </c>
      <c r="K396" s="45">
        <v>2</v>
      </c>
      <c r="L396" s="70"/>
      <c r="M396" s="34" t="s">
        <v>761</v>
      </c>
      <c r="N396" s="40" t="s">
        <v>394</v>
      </c>
      <c r="O396" s="40" t="s">
        <v>18</v>
      </c>
      <c r="P396" s="13" t="s">
        <v>915</v>
      </c>
      <c r="Q396" s="45"/>
      <c r="R396" s="50"/>
      <c r="S396" s="50"/>
      <c r="T396" s="44">
        <f>+_xlfn.XLOOKUP(PROYECTOS[[#This Row],[MUNICIPIO]],'4.CAP_ENDMNT'!B:B,'4.CAP_ENDMNT'!C:C,0,0,1)</f>
        <v>6</v>
      </c>
      <c r="U396" s="139">
        <f>+_xlfn.XLOOKUP(PROYECTOS[[#This Row],[MUNICIPIO]],'4.CAP_ENDMNT'!B:B,'4.CAP_ENDMNT'!D:D,0,0,1)</f>
        <v>10783113038.2925</v>
      </c>
      <c r="V396" s="140">
        <f>+_xlfn.XLOOKUP(PROYECTOS[[#This Row],[MUNICIPIO]],'4.CAP_ENDMNT'!B:B,'4.CAP_ENDMNT'!E:E,0,0,1)</f>
        <v>5750561650.9200001</v>
      </c>
      <c r="W396" s="140">
        <f>+_xlfn.XLOOKUP(PROYECTOS[[#This Row],[MUNICIPIO]],'4.CAP_ENDMNT'!B:B,'4.CAP_ENDMNT'!F:F,0,0,1)</f>
        <v>5032551387.3724995</v>
      </c>
      <c r="X396" s="140">
        <f>+_xlfn.XLOOKUP(PROYECTOS[[#This Row],[MUNICIPIO]],'4.CAP_ENDMNT'!B:B,'4.CAP_ENDMNT'!G:G,0,0,1)</f>
        <v>4104930290</v>
      </c>
      <c r="Y396" s="140">
        <f>+_xlfn.XLOOKUP(PROYECTOS[[#This Row],[MUNICIPIO]],'4.CAP_ENDMNT'!B:B,'4.CAP_ENDMNT'!H:H,0,0,1)</f>
        <v>0</v>
      </c>
      <c r="Z396" s="140">
        <f>+_xlfn.XLOOKUP(PROYECTOS[[#This Row],[MUNICIPIO]],'4.CAP_ENDMNT'!B:B,'4.CAP_ENDMNT'!I:I,0,0,1)</f>
        <v>4104930290</v>
      </c>
      <c r="AA396" s="134">
        <f>+_xlfn.XLOOKUP(PROYECTOS[[#This Row],[MUNICIPIO]],'4.CAP_ENDMNT'!B:B,'4.CAP_ENDMNT'!J:J,0,0,1)</f>
        <v>0.38068137423977277</v>
      </c>
      <c r="AB396" s="140">
        <f>+_xlfn.XLOOKUP(PROYECTOS[[#This Row],[MUNICIPIO]],'4.CAP_ENDMNT'!B:B,'4.CAP_ENDMNT'!K:K,0,0,1)</f>
        <v>6678182748.2924995</v>
      </c>
      <c r="AC396" s="140">
        <f>+_xlfn.XLOOKUP(PROYECTOS[[#This Row],[MUNICIPIO]],'4.CAP_ENDMNT'!B:B,'4.CAP_ENDMNT'!L:L,0,0,1)</f>
        <v>5342546198.6339998</v>
      </c>
      <c r="AD396" s="140">
        <f>+_xlfn.XLOOKUP(PROYECTOS[[#This Row],[MUNICIPIO]],'4.CAP_ENDMNT'!B:B,'4.CAP_ENDMNT'!M:M,0,0,1)</f>
        <v>4006909648.9754996</v>
      </c>
      <c r="AE396" s="134">
        <f>+_xlfn.XLOOKUP(PROYECTOS[[#This Row],[MUNICIPIO]],'4.CAP_ENDMNT'!B:B,'4.CAP_ENDMNT'!N:N,0,0,1)</f>
        <v>1</v>
      </c>
      <c r="AF396" s="134">
        <f>+_xlfn.XLOOKUP(PROYECTOS[[#This Row],[MUNICIPIO]],'4.CAP_ENDMNT'!B:B,'4.CAP_ENDMNT'!O:O,0,0,1)</f>
        <v>0.6829525248720959</v>
      </c>
      <c r="AG396" s="134">
        <f>+_xlfn.XLOOKUP(PROYECTOS[[#This Row],[MUNICIPIO]],'4.CAP_ENDMNT'!B:B,'4.CAP_ENDMNT'!P:P,0,0,1)</f>
        <v>0.8</v>
      </c>
      <c r="AH396" s="44" t="str">
        <f>+_xlfn.XLOOKUP(PROYECTOS[[#This Row],[MUNICIPIO]],'4.CAP_ENDMNT'!B:B,'4.CAP_ENDMNT'!Q:Q,0,0,1)</f>
        <v>Cumple</v>
      </c>
      <c r="AI396" s="139">
        <f>+_xlfn.XLOOKUP(PROYECTOS[[#This Row],[MUNICIPIO]],'4.CAP_ENDMNT'!B:B,'4.CAP_ENDMNT'!V:V,0,0,1)</f>
        <v>801381929.79509997</v>
      </c>
      <c r="AJ396" s="139">
        <f>+_xlfn.XLOOKUP(PROYECTOS[[#This Row],[MUNICIPIO]],'4.CAP_ENDMNT'!B:B,'4.CAP_ENDMNT'!Y:Y,0,0,1)</f>
        <v>3545266902.7705994</v>
      </c>
      <c r="AK396"/>
      <c r="AL396"/>
      <c r="AM396"/>
    </row>
    <row r="397" spans="1:39" ht="15" customHeight="1">
      <c r="A397" s="44">
        <v>417</v>
      </c>
      <c r="B397" s="37" t="s">
        <v>927</v>
      </c>
      <c r="C397" s="118">
        <v>45744</v>
      </c>
      <c r="D397" s="46" t="s">
        <v>227</v>
      </c>
      <c r="E397" s="47" t="str">
        <f>+_xlfn.XLOOKUP(PROYECTOS[[#This Row],[MUNICIPIO]],MUNICIPIOS!A:A,MUNICIPIOS!E:E,0,0,1)</f>
        <v>Oriente</v>
      </c>
      <c r="F397" s="44">
        <f>+_xlfn.XLOOKUP(PROYECTOS[[#This Row],[MUNICIPIO]],MUNICIPIOS!A:A,MUNICIPIOS!F:F,0,0,1)</f>
        <v>-75.184445999999994</v>
      </c>
      <c r="G397" s="44" t="str">
        <f>+_xlfn.XLOOKUP(PROYECTOS[[#This Row],[MUNICIPIO]],MUNICIPIOS!A:A,MUNICIPIOS!G:G,0,0,1)</f>
        <v>6,142892</v>
      </c>
      <c r="H397" s="44">
        <f>+_xlfn.XLOOKUP(PROYECTOS[[#This Row],[MUNICIPIO]],MUNICIPIOS!A:A,MUNICIPIOS!B:B,0,0,1)</f>
        <v>0</v>
      </c>
      <c r="I397" s="44">
        <f>+_xlfn.XLOOKUP(PROYECTOS[[#This Row],[MUNICIPIO]],MUNICIPIOS!A:A,MUNICIPIOS!C:C,0,0,1)</f>
        <v>1</v>
      </c>
      <c r="J397" s="34" t="str" cm="1">
        <f t="array" ref="J397">_xlfn.TEXTJOIN(" ", TRUE, IF(radicados[ID PROYECTOS]=A397, radicados[RADICADO], ""))</f>
        <v/>
      </c>
      <c r="K397" s="45">
        <v>2</v>
      </c>
      <c r="L397" s="70"/>
      <c r="M397" s="34" t="s">
        <v>396</v>
      </c>
      <c r="N397" s="40" t="s">
        <v>397</v>
      </c>
      <c r="O397" s="40" t="s">
        <v>56</v>
      </c>
      <c r="P397" s="37" t="s">
        <v>928</v>
      </c>
      <c r="Q397" s="45"/>
      <c r="R397" s="50"/>
      <c r="S397" s="50"/>
      <c r="T397" s="44">
        <f>+_xlfn.XLOOKUP(PROYECTOS[[#This Row],[MUNICIPIO]],'4.CAP_ENDMNT'!B:B,'4.CAP_ENDMNT'!C:C,0,0,1)</f>
        <v>6</v>
      </c>
      <c r="U397" s="139">
        <f>+_xlfn.XLOOKUP(PROYECTOS[[#This Row],[MUNICIPIO]],'4.CAP_ENDMNT'!B:B,'4.CAP_ENDMNT'!D:D,0,0,1)</f>
        <v>9100976268.0305004</v>
      </c>
      <c r="V397" s="140">
        <f>+_xlfn.XLOOKUP(PROYECTOS[[#This Row],[MUNICIPIO]],'4.CAP_ENDMNT'!B:B,'4.CAP_ENDMNT'!E:E,0,0,1)</f>
        <v>3221460794.1700001</v>
      </c>
      <c r="W397" s="140">
        <f>+_xlfn.XLOOKUP(PROYECTOS[[#This Row],[MUNICIPIO]],'4.CAP_ENDMNT'!B:B,'4.CAP_ENDMNT'!F:F,0,0,1)</f>
        <v>5879515473.8605003</v>
      </c>
      <c r="X397" s="140">
        <f>+_xlfn.XLOOKUP(PROYECTOS[[#This Row],[MUNICIPIO]],'4.CAP_ENDMNT'!B:B,'4.CAP_ENDMNT'!G:G,0,0,1)</f>
        <v>1026722956</v>
      </c>
      <c r="Y397" s="140">
        <f>+_xlfn.XLOOKUP(PROYECTOS[[#This Row],[MUNICIPIO]],'4.CAP_ENDMNT'!B:B,'4.CAP_ENDMNT'!H:H,0,0,1)</f>
        <v>190000000</v>
      </c>
      <c r="Z397" s="140">
        <f>+_xlfn.XLOOKUP(PROYECTOS[[#This Row],[MUNICIPIO]],'4.CAP_ENDMNT'!B:B,'4.CAP_ENDMNT'!I:I,0,0,1)</f>
        <v>1216722956</v>
      </c>
      <c r="AA397" s="134">
        <f>+_xlfn.XLOOKUP(PROYECTOS[[#This Row],[MUNICIPIO]],'4.CAP_ENDMNT'!B:B,'4.CAP_ENDMNT'!J:J,0,0,1)</f>
        <v>0.13369147662477152</v>
      </c>
      <c r="AB397" s="140">
        <f>+_xlfn.XLOOKUP(PROYECTOS[[#This Row],[MUNICIPIO]],'4.CAP_ENDMNT'!B:B,'4.CAP_ENDMNT'!K:K,0,0,1)</f>
        <v>7884253312.0305004</v>
      </c>
      <c r="AC397" s="140">
        <f>+_xlfn.XLOOKUP(PROYECTOS[[#This Row],[MUNICIPIO]],'4.CAP_ENDMNT'!B:B,'4.CAP_ENDMNT'!L:L,0,0,1)</f>
        <v>6307402649.6244011</v>
      </c>
      <c r="AD397" s="140">
        <f>+_xlfn.XLOOKUP(PROYECTOS[[#This Row],[MUNICIPIO]],'4.CAP_ENDMNT'!B:B,'4.CAP_ENDMNT'!M:M,0,0,1)</f>
        <v>4730551987.2182999</v>
      </c>
      <c r="AE397" s="134">
        <f>+_xlfn.XLOOKUP(PROYECTOS[[#This Row],[MUNICIPIO]],'4.CAP_ENDMNT'!B:B,'4.CAP_ENDMNT'!N:N,0,0,1)</f>
        <v>0.84384284108140062</v>
      </c>
      <c r="AF397" s="134">
        <f>+_xlfn.XLOOKUP(PROYECTOS[[#This Row],[MUNICIPIO]],'4.CAP_ENDMNT'!B:B,'4.CAP_ENDMNT'!O:O,0,0,1)</f>
        <v>0.65864601932480682</v>
      </c>
      <c r="AG397" s="134">
        <f>+_xlfn.XLOOKUP(PROYECTOS[[#This Row],[MUNICIPIO]],'4.CAP_ENDMNT'!B:B,'4.CAP_ENDMNT'!P:P,0,0,1)</f>
        <v>0.8</v>
      </c>
      <c r="AH397" s="44" t="str">
        <f>+_xlfn.XLOOKUP(PROYECTOS[[#This Row],[MUNICIPIO]],'4.CAP_ENDMNT'!B:B,'4.CAP_ENDMNT'!Q:Q,0,0,1)</f>
        <v>Cumple</v>
      </c>
      <c r="AI397" s="139">
        <f>+_xlfn.XLOOKUP(PROYECTOS[[#This Row],[MUNICIPIO]],'4.CAP_ENDMNT'!B:B,'4.CAP_ENDMNT'!V:V,0,0,1)</f>
        <v>946110397.44366002</v>
      </c>
      <c r="AJ397" s="139">
        <f>+_xlfn.XLOOKUP(PROYECTOS[[#This Row],[MUNICIPIO]],'4.CAP_ENDMNT'!B:B,'4.CAP_ENDMNT'!Y:Y,0,0,1)</f>
        <v>-37054965217.338043</v>
      </c>
      <c r="AK397"/>
      <c r="AL397"/>
      <c r="AM397"/>
    </row>
    <row r="398" spans="1:39" ht="15" customHeight="1">
      <c r="A398" s="44">
        <v>418</v>
      </c>
      <c r="B398" t="s">
        <v>1569</v>
      </c>
      <c r="C398" s="118">
        <f>+_xlfn.XLOOKUP(PROYECTOS[[#This Row],[ID_NECESIDAD]],'1.RADICADOS'!G:G,'1.RADICADOS'!C:C,0,0,1)*1</f>
        <v>45742</v>
      </c>
      <c r="D398" s="46" t="s">
        <v>177</v>
      </c>
      <c r="E398" s="47" t="str">
        <f>+_xlfn.XLOOKUP(PROYECTOS[[#This Row],[MUNICIPIO]],MUNICIPIOS!A:A,MUNICIPIOS!E:E,0,0,1)</f>
        <v>Oriente</v>
      </c>
      <c r="F398" s="44">
        <f>+_xlfn.XLOOKUP(PROYECTOS[[#This Row],[MUNICIPIO]],MUNICIPIOS!A:A,MUNICIPIOS!F:F,0,0,1)</f>
        <v>-75.339344999999994</v>
      </c>
      <c r="G398" s="44" t="str">
        <f>+_xlfn.XLOOKUP(PROYECTOS[[#This Row],[MUNICIPIO]],MUNICIPIOS!A:A,MUNICIPIOS!G:G,0,0,1)</f>
        <v>6,173995</v>
      </c>
      <c r="H398" s="44">
        <f>+_xlfn.XLOOKUP(PROYECTOS[[#This Row],[MUNICIPIO]],MUNICIPIOS!A:A,MUNICIPIOS!B:B,0,0,1)</f>
        <v>0</v>
      </c>
      <c r="I398" s="44">
        <f>+_xlfn.XLOOKUP(PROYECTOS[[#This Row],[MUNICIPIO]],MUNICIPIOS!A:A,MUNICIPIOS!C:C,0,0,1)</f>
        <v>0</v>
      </c>
      <c r="J398" s="34" t="str" cm="1">
        <f t="array" ref="J398">_xlfn.TEXTJOIN(" ", TRUE, IF(radicados[ID PROYECTOS]=A398, radicados[RADICADO], ""))</f>
        <v>2025010142669</v>
      </c>
      <c r="K398" s="45">
        <v>3</v>
      </c>
      <c r="L398" s="70">
        <v>5048252540</v>
      </c>
      <c r="M398" s="34" t="s">
        <v>288</v>
      </c>
      <c r="N398" s="40" t="s">
        <v>398</v>
      </c>
      <c r="O398" s="40" t="s">
        <v>25</v>
      </c>
      <c r="P398" s="37" t="s">
        <v>986</v>
      </c>
      <c r="Q398" s="45"/>
      <c r="R398" s="50"/>
      <c r="S398" s="50"/>
      <c r="T398" s="44">
        <f>+_xlfn.XLOOKUP(PROYECTOS[[#This Row],[MUNICIPIO]],'4.CAP_ENDMNT'!B:B,'4.CAP_ENDMNT'!C:C,0,0,1)</f>
        <v>4</v>
      </c>
      <c r="U398" s="139">
        <f>+_xlfn.XLOOKUP(PROYECTOS[[#This Row],[MUNICIPIO]],'4.CAP_ENDMNT'!B:B,'4.CAP_ENDMNT'!D:D,0,0,1)</f>
        <v>62016835956.019493</v>
      </c>
      <c r="V398" s="44">
        <f>+_xlfn.XLOOKUP(PROYECTOS[[#This Row],[MUNICIPIO]],'4.CAP_ENDMNT'!B:B,'4.CAP_ENDMNT'!E:E,0,0,1)</f>
        <v>25368005936.310001</v>
      </c>
      <c r="W398" s="44">
        <f>+_xlfn.XLOOKUP(PROYECTOS[[#This Row],[MUNICIPIO]],'4.CAP_ENDMNT'!B:B,'4.CAP_ENDMNT'!F:F,0,0,1)</f>
        <v>36648830019.709488</v>
      </c>
      <c r="X398" s="44">
        <f>+_xlfn.XLOOKUP(PROYECTOS[[#This Row],[MUNICIPIO]],'4.CAP_ENDMNT'!B:B,'4.CAP_ENDMNT'!G:G,0,0,1)</f>
        <v>25635932166</v>
      </c>
      <c r="Y398" s="44">
        <f>+_xlfn.XLOOKUP(PROYECTOS[[#This Row],[MUNICIPIO]],'4.CAP_ENDMNT'!B:B,'4.CAP_ENDMNT'!H:H,0,0,1)</f>
        <v>7522176280</v>
      </c>
      <c r="Z398" s="44">
        <f>+_xlfn.XLOOKUP(PROYECTOS[[#This Row],[MUNICIPIO]],'4.CAP_ENDMNT'!B:B,'4.CAP_ENDMNT'!I:I,0,0,1)</f>
        <v>33158108446</v>
      </c>
      <c r="AA398" s="134">
        <f>+_xlfn.XLOOKUP(PROYECTOS[[#This Row],[MUNICIPIO]],'4.CAP_ENDMNT'!B:B,'4.CAP_ENDMNT'!J:J,0,0,1)</f>
        <v>0.53466301424204787</v>
      </c>
      <c r="AB398" s="140">
        <f>+_xlfn.XLOOKUP(PROYECTOS[[#This Row],[MUNICIPIO]],'4.CAP_ENDMNT'!B:B,'4.CAP_ENDMNT'!K:K,0,0,1)</f>
        <v>28858727510.019493</v>
      </c>
      <c r="AC398" s="140">
        <f>+_xlfn.XLOOKUP(PROYECTOS[[#This Row],[MUNICIPIO]],'4.CAP_ENDMNT'!B:B,'4.CAP_ENDMNT'!L:L,0,0,1)</f>
        <v>23086982008.015594</v>
      </c>
      <c r="AD398" s="140">
        <f>+_xlfn.XLOOKUP(PROYECTOS[[#This Row],[MUNICIPIO]],'4.CAP_ENDMNT'!B:B,'4.CAP_ENDMNT'!M:M,0,0,1)</f>
        <v>17315236506.011696</v>
      </c>
      <c r="AE398" s="134">
        <f>+_xlfn.XLOOKUP(PROYECTOS[[#This Row],[MUNICIPIO]],'4.CAP_ENDMNT'!B:B,'4.CAP_ENDMNT'!N:N,0,0,1)</f>
        <v>0.77314217750839676</v>
      </c>
      <c r="AF398" s="134">
        <f>+_xlfn.XLOOKUP(PROYECTOS[[#This Row],[MUNICIPIO]],'4.CAP_ENDMNT'!B:B,'4.CAP_ENDMNT'!O:O,0,0,1)</f>
        <v>0.52777286703387605</v>
      </c>
      <c r="AG398" s="134">
        <f>+_xlfn.XLOOKUP(PROYECTOS[[#This Row],[MUNICIPIO]],'4.CAP_ENDMNT'!B:B,'4.CAP_ENDMNT'!P:P,0,0,1)</f>
        <v>0.8</v>
      </c>
      <c r="AH398" s="44" t="str">
        <f>+_xlfn.XLOOKUP(PROYECTOS[[#This Row],[MUNICIPIO]],'4.CAP_ENDMNT'!B:B,'4.CAP_ENDMNT'!Q:Q,0,0,1)</f>
        <v>Cumple</v>
      </c>
      <c r="AI398" s="139">
        <f>+_xlfn.XLOOKUP(PROYECTOS[[#This Row],[MUNICIPIO]],'4.CAP_ENDMNT'!B:B,'4.CAP_ENDMNT'!V:V,0,0,1)</f>
        <v>3463047301.2023392</v>
      </c>
      <c r="AJ398" s="139">
        <f>+_xlfn.XLOOKUP(PROYECTOS[[#This Row],[MUNICIPIO]],'4.CAP_ENDMNT'!B:B,'4.CAP_ENDMNT'!Y:Y,0,0,1)</f>
        <v>-1514260574754.7859</v>
      </c>
      <c r="AK398"/>
      <c r="AL398"/>
      <c r="AM398"/>
    </row>
    <row r="399" spans="1:39" ht="15" customHeight="1">
      <c r="A399" s="174">
        <v>501</v>
      </c>
      <c r="B399" s="37" t="s">
        <v>1485</v>
      </c>
      <c r="C399" s="118">
        <f>+_xlfn.XLOOKUP(PROYECTOS[[#This Row],[ID_NECESIDAD]],'1.RADICADOS'!G:G,'1.RADICADOS'!C:C,0,0,1)*1</f>
        <v>45742</v>
      </c>
      <c r="D399" s="46" t="s">
        <v>63</v>
      </c>
      <c r="E399" s="47" t="str">
        <f>+_xlfn.XLOOKUP(PROYECTOS[[#This Row],[MUNICIPIO]],MUNICIPIOS!A:A,MUNICIPIOS!E:E,0,0,1)</f>
        <v>Urabá</v>
      </c>
      <c r="F399" s="44">
        <f>+_xlfn.XLOOKUP(PROYECTOS[[#This Row],[MUNICIPIO]],MUNICIPIOS!A:A,MUNICIPIOS!F:F,0,0,1)</f>
        <v>-76.380566999999999</v>
      </c>
      <c r="G399" s="44" t="str">
        <f>+_xlfn.XLOOKUP(PROYECTOS[[#This Row],[MUNICIPIO]],MUNICIPIOS!A:A,MUNICIPIOS!G:G,0,0,1)</f>
        <v>8,276884</v>
      </c>
      <c r="H399" s="44">
        <f>+_xlfn.XLOOKUP(PROYECTOS[[#This Row],[MUNICIPIO]],MUNICIPIOS!A:A,MUNICIPIOS!B:B,0,0,1)</f>
        <v>1</v>
      </c>
      <c r="I399" s="44">
        <f>+_xlfn.XLOOKUP(PROYECTOS[[#This Row],[MUNICIPIO]],MUNICIPIOS!A:A,MUNICIPIOS!C:C,0,0,1)</f>
        <v>1</v>
      </c>
      <c r="J399" s="34" t="str" cm="1">
        <f t="array" ref="J399">_xlfn.TEXTJOIN(" ", TRUE, IF(radicados[ID PROYECTOS]=A399, radicados[RADICADO], ""))</f>
        <v>2025010138651</v>
      </c>
      <c r="K399" s="45">
        <v>3</v>
      </c>
      <c r="L399" s="147">
        <v>5076162496</v>
      </c>
      <c r="M399" s="34" t="s">
        <v>288</v>
      </c>
      <c r="N399" s="40" t="s">
        <v>398</v>
      </c>
      <c r="O399" s="40" t="s">
        <v>25</v>
      </c>
      <c r="P399" s="37"/>
      <c r="Q399" s="45"/>
      <c r="R399" s="50"/>
      <c r="S399" s="50"/>
      <c r="T399" s="44">
        <f>+_xlfn.XLOOKUP(PROYECTOS[[#This Row],[MUNICIPIO]],'4.CAP_ENDMNT'!B:B,'4.CAP_ENDMNT'!C:C,0,0,1)</f>
        <v>6</v>
      </c>
      <c r="U399" s="139">
        <f>+_xlfn.XLOOKUP(PROYECTOS[[#This Row],[MUNICIPIO]],'4.CAP_ENDMNT'!B:B,'4.CAP_ENDMNT'!D:D,0,0,1)</f>
        <v>19508372714.52</v>
      </c>
      <c r="V399" s="44">
        <f>+_xlfn.XLOOKUP(PROYECTOS[[#This Row],[MUNICIPIO]],'4.CAP_ENDMNT'!B:B,'4.CAP_ENDMNT'!E:E,0,0,1)</f>
        <v>5389834315.5</v>
      </c>
      <c r="W399" s="44">
        <f>+_xlfn.XLOOKUP(PROYECTOS[[#This Row],[MUNICIPIO]],'4.CAP_ENDMNT'!B:B,'4.CAP_ENDMNT'!F:F,0,0,1)</f>
        <v>14118538399.02</v>
      </c>
      <c r="X399" s="44">
        <f>+_xlfn.XLOOKUP(PROYECTOS[[#This Row],[MUNICIPIO]],'4.CAP_ENDMNT'!B:B,'4.CAP_ENDMNT'!G:G,0,0,1)</f>
        <v>2594281047</v>
      </c>
      <c r="Y399" s="44">
        <f>+_xlfn.XLOOKUP(PROYECTOS[[#This Row],[MUNICIPIO]],'4.CAP_ENDMNT'!B:B,'4.CAP_ENDMNT'!H:H,0,0,1)</f>
        <v>1833333333</v>
      </c>
      <c r="Z399" s="44">
        <f>+_xlfn.XLOOKUP(PROYECTOS[[#This Row],[MUNICIPIO]],'4.CAP_ENDMNT'!B:B,'4.CAP_ENDMNT'!I:I,0,0,1)</f>
        <v>4427614380</v>
      </c>
      <c r="AA399" s="134">
        <f>+_xlfn.XLOOKUP(PROYECTOS[[#This Row],[MUNICIPIO]],'4.CAP_ENDMNT'!B:B,'4.CAP_ENDMNT'!J:J,0,0,1)</f>
        <v>0.22695969801235882</v>
      </c>
      <c r="AB399" s="140">
        <f>+_xlfn.XLOOKUP(PROYECTOS[[#This Row],[MUNICIPIO]],'4.CAP_ENDMNT'!B:B,'4.CAP_ENDMNT'!K:K,0,0,1)</f>
        <v>15080758334.52</v>
      </c>
      <c r="AC399" s="140">
        <f>+_xlfn.XLOOKUP(PROYECTOS[[#This Row],[MUNICIPIO]],'4.CAP_ENDMNT'!B:B,'4.CAP_ENDMNT'!L:L,0,0,1)</f>
        <v>12064606667.616001</v>
      </c>
      <c r="AD399" s="140">
        <f>+_xlfn.XLOOKUP(PROYECTOS[[#This Row],[MUNICIPIO]],'4.CAP_ENDMNT'!B:B,'4.CAP_ENDMNT'!M:M,0,0,1)</f>
        <v>9048455000.7119999</v>
      </c>
      <c r="AE399" s="134">
        <f>+_xlfn.XLOOKUP(PROYECTOS[[#This Row],[MUNICIPIO]],'4.CAP_ENDMNT'!B:B,'4.CAP_ENDMNT'!N:N,0,0,1)</f>
        <v>0.58593202215591322</v>
      </c>
      <c r="AF399" s="134">
        <f>+_xlfn.XLOOKUP(PROYECTOS[[#This Row],[MUNICIPIO]],'4.CAP_ENDMNT'!B:B,'4.CAP_ENDMNT'!O:O,0,0,1)</f>
        <v>0.58851112900500024</v>
      </c>
      <c r="AG399" s="134">
        <f>+_xlfn.XLOOKUP(PROYECTOS[[#This Row],[MUNICIPIO]],'4.CAP_ENDMNT'!B:B,'4.CAP_ENDMNT'!P:P,0,0,1)</f>
        <v>0.8</v>
      </c>
      <c r="AH399" s="44" t="str">
        <f>+_xlfn.XLOOKUP(PROYECTOS[[#This Row],[MUNICIPIO]],'4.CAP_ENDMNT'!B:B,'4.CAP_ENDMNT'!Q:Q,0,0,1)</f>
        <v>Cumple</v>
      </c>
      <c r="AI399" s="139">
        <f>+_xlfn.XLOOKUP(PROYECTOS[[#This Row],[MUNICIPIO]],'4.CAP_ENDMNT'!B:B,'4.CAP_ENDMNT'!V:V,0,0,1)</f>
        <v>1809691000.1424</v>
      </c>
      <c r="AJ399" s="139">
        <f>+_xlfn.XLOOKUP(PROYECTOS[[#This Row],[MUNICIPIO]],'4.CAP_ENDMNT'!B:B,'4.CAP_ENDMNT'!Y:Y,0,0,1)</f>
        <v>-12348843887.145599</v>
      </c>
      <c r="AK399"/>
      <c r="AL399"/>
      <c r="AM399"/>
    </row>
    <row r="400" spans="1:39" ht="15" customHeight="1">
      <c r="A400" s="44">
        <v>508</v>
      </c>
      <c r="B400" t="s">
        <v>1149</v>
      </c>
      <c r="C400" s="118">
        <f>+_xlfn.XLOOKUP(PROYECTOS[[#This Row],[ID_NECESIDAD]],'1.RADICADOS'!G:G,'1.RADICADOS'!C:C,0,0,1)*1</f>
        <v>45747</v>
      </c>
      <c r="D400" s="46" t="s">
        <v>211</v>
      </c>
      <c r="E400" s="47" t="str">
        <f>+_xlfn.XLOOKUP(PROYECTOS[[#This Row],[MUNICIPIO]],MUNICIPIOS!A:A,MUNICIPIOS!E:E,0,0,1)</f>
        <v>Oriente</v>
      </c>
      <c r="F400" s="44">
        <f>+_xlfn.XLOOKUP(PROYECTOS[[#This Row],[MUNICIPIO]],MUNICIPIOS!A:A,MUNICIPIOS!F:F,0,0,1)</f>
        <v>-75.333900999999997</v>
      </c>
      <c r="G400" s="44" t="str">
        <f>+_xlfn.XLOOKUP(PROYECTOS[[#This Row],[MUNICIPIO]],MUNICIPIOS!A:A,MUNICIPIOS!G:G,0,0,1)</f>
        <v>6,082885</v>
      </c>
      <c r="H400" s="44">
        <f>+_xlfn.XLOOKUP(PROYECTOS[[#This Row],[MUNICIPIO]],MUNICIPIOS!A:A,MUNICIPIOS!B:B,0,0,1)</f>
        <v>0</v>
      </c>
      <c r="I400" s="44">
        <f>+_xlfn.XLOOKUP(PROYECTOS[[#This Row],[MUNICIPIO]],MUNICIPIOS!A:A,MUNICIPIOS!C:C,0,0,1)</f>
        <v>0</v>
      </c>
      <c r="J400" s="34" t="str" cm="1">
        <f t="array" ref="J400">_xlfn.TEXTJOIN(" ", TRUE, IF(radicados[ID PROYECTOS]=A400, radicados[RADICADO], ""))</f>
        <v>2025010153503</v>
      </c>
      <c r="K400" s="45">
        <v>2</v>
      </c>
      <c r="L400" s="70">
        <v>4455284728</v>
      </c>
      <c r="M400" s="34" t="s">
        <v>426</v>
      </c>
      <c r="N400" s="40" t="s">
        <v>394</v>
      </c>
      <c r="O400" s="40" t="s">
        <v>18</v>
      </c>
      <c r="P400" s="37" t="s">
        <v>1486</v>
      </c>
      <c r="Q400" s="45"/>
      <c r="R400" s="144"/>
      <c r="S400" s="144"/>
      <c r="T400" s="44">
        <f>+_xlfn.XLOOKUP(PROYECTOS[[#This Row],[MUNICIPIO]],'4.CAP_ENDMNT'!B:B,'4.CAP_ENDMNT'!C:C,0,0,1)</f>
        <v>3</v>
      </c>
      <c r="U400" s="145">
        <f>+_xlfn.XLOOKUP(PROYECTOS[[#This Row],[MUNICIPIO]],'4.CAP_ENDMNT'!B:B,'4.CAP_ENDMNT'!D:D,0,0,1)</f>
        <v>70430942311.208496</v>
      </c>
      <c r="V400" s="44">
        <f>+_xlfn.XLOOKUP(PROYECTOS[[#This Row],[MUNICIPIO]],'4.CAP_ENDMNT'!B:B,'4.CAP_ENDMNT'!E:E,0,0,1)</f>
        <v>29041990033.869999</v>
      </c>
      <c r="W400" s="44">
        <f>+_xlfn.XLOOKUP(PROYECTOS[[#This Row],[MUNICIPIO]],'4.CAP_ENDMNT'!B:B,'4.CAP_ENDMNT'!F:F,0,0,1)</f>
        <v>41388952277.338501</v>
      </c>
      <c r="X400" s="44">
        <f>+_xlfn.XLOOKUP(PROYECTOS[[#This Row],[MUNICIPIO]],'4.CAP_ENDMNT'!B:B,'4.CAP_ENDMNT'!G:G,0,0,1)</f>
        <v>14609948257</v>
      </c>
      <c r="Y400" s="44">
        <f>+_xlfn.XLOOKUP(PROYECTOS[[#This Row],[MUNICIPIO]],'4.CAP_ENDMNT'!B:B,'4.CAP_ENDMNT'!H:H,0,0,1)</f>
        <v>2802411494.09375</v>
      </c>
      <c r="Z400" s="44">
        <f>+_xlfn.XLOOKUP(PROYECTOS[[#This Row],[MUNICIPIO]],'4.CAP_ENDMNT'!B:B,'4.CAP_ENDMNT'!I:I,0,0,1)</f>
        <v>17412359751.09375</v>
      </c>
      <c r="AA400" s="146">
        <f>+_xlfn.XLOOKUP(PROYECTOS[[#This Row],[MUNICIPIO]],'4.CAP_ENDMNT'!B:B,'4.CAP_ENDMNT'!J:J,0,0,1)</f>
        <v>0.24722599442379914</v>
      </c>
      <c r="AB400" s="44">
        <f>+_xlfn.XLOOKUP(PROYECTOS[[#This Row],[MUNICIPIO]],'4.CAP_ENDMNT'!B:B,'4.CAP_ENDMNT'!K:K,0,0,1)</f>
        <v>53018582560.114746</v>
      </c>
      <c r="AC400" s="44">
        <f>+_xlfn.XLOOKUP(PROYECTOS[[#This Row],[MUNICIPIO]],'4.CAP_ENDMNT'!B:B,'4.CAP_ENDMNT'!L:L,0,0,1)</f>
        <v>42414866048.091797</v>
      </c>
      <c r="AD400" s="44">
        <f>+_xlfn.XLOOKUP(PROYECTOS[[#This Row],[MUNICIPIO]],'4.CAP_ENDMNT'!B:B,'4.CAP_ENDMNT'!M:M,0,0,1)</f>
        <v>31811149536.068848</v>
      </c>
      <c r="AE400" s="146">
        <f>+_xlfn.XLOOKUP(PROYECTOS[[#This Row],[MUNICIPIO]],'4.CAP_ENDMNT'!B:B,'4.CAP_ENDMNT'!N:N,0,0,1)</f>
        <v>0.83905619145516919</v>
      </c>
      <c r="AF400" s="146">
        <f>+_xlfn.XLOOKUP(PROYECTOS[[#This Row],[MUNICIPIO]],'4.CAP_ENDMNT'!B:B,'4.CAP_ENDMNT'!O:O,0,0,1)</f>
        <v>0.45782837875910809</v>
      </c>
      <c r="AG400" s="146">
        <f>+_xlfn.XLOOKUP(PROYECTOS[[#This Row],[MUNICIPIO]],'4.CAP_ENDMNT'!B:B,'4.CAP_ENDMNT'!P:P,0,0,1)</f>
        <v>0.7</v>
      </c>
      <c r="AH400" s="44" t="str">
        <f>+_xlfn.XLOOKUP(PROYECTOS[[#This Row],[MUNICIPIO]],'4.CAP_ENDMNT'!B:B,'4.CAP_ENDMNT'!Q:Q,0,0,1)</f>
        <v>Cumple</v>
      </c>
      <c r="AI400" s="139">
        <f>+_xlfn.XLOOKUP(PROYECTOS[[#This Row],[MUNICIPIO]],'4.CAP_ENDMNT'!B:B,'4.CAP_ENDMNT'!V:V,0,0,1)</f>
        <v>6362229907.2137699</v>
      </c>
      <c r="AJ400" s="139">
        <f>+_xlfn.XLOOKUP(PROYECTOS[[#This Row],[MUNICIPIO]],'4.CAP_ENDMNT'!B:B,'4.CAP_ENDMNT'!Y:Y,0,0,1)</f>
        <v>28993841225.282616</v>
      </c>
      <c r="AK400"/>
      <c r="AL400"/>
      <c r="AM400"/>
    </row>
    <row r="401" spans="1:39" ht="15" customHeight="1">
      <c r="A401" s="44">
        <v>509</v>
      </c>
      <c r="B401" t="s">
        <v>1151</v>
      </c>
      <c r="C401" s="118">
        <f>+_xlfn.XLOOKUP(PROYECTOS[[#This Row],[ID_NECESIDAD]],'1.RADICADOS'!G:G,'1.RADICADOS'!C:C,0,0,1)*1</f>
        <v>45743</v>
      </c>
      <c r="D401" s="46" t="s">
        <v>477</v>
      </c>
      <c r="E401" s="47" t="str">
        <f>+_xlfn.XLOOKUP(PROYECTOS[[#This Row],[MUNICIPIO]],MUNICIPIOS!A:A,MUNICIPIOS!E:E,0,0,1)</f>
        <v>Norte</v>
      </c>
      <c r="F401" s="44">
        <f>+_xlfn.XLOOKUP(PROYECTOS[[#This Row],[MUNICIPIO]],MUNICIPIOS!A:A,MUNICIPIOS!F:F,0,0,1)</f>
        <v>-75.335115999999999</v>
      </c>
      <c r="G401" s="44" t="str">
        <f>+_xlfn.XLOOKUP(PROYECTOS[[#This Row],[MUNICIPIO]],MUNICIPIOS!A:A,MUNICIPIOS!G:G,0,0,1)</f>
        <v>6,885175</v>
      </c>
      <c r="H401" s="44">
        <f>+_xlfn.XLOOKUP(PROYECTOS[[#This Row],[MUNICIPIO]],MUNICIPIOS!A:A,MUNICIPIOS!B:B,0,0,1)</f>
        <v>0</v>
      </c>
      <c r="I401" s="44">
        <f>+_xlfn.XLOOKUP(PROYECTOS[[#This Row],[MUNICIPIO]],MUNICIPIOS!A:A,MUNICIPIOS!C:C,0,0,1)</f>
        <v>1</v>
      </c>
      <c r="J401" s="34" t="str" cm="1">
        <f t="array" ref="J401">_xlfn.TEXTJOIN(" ", TRUE, IF(radicados[ID PROYECTOS]=A401, radicados[RADICADO], ""))</f>
        <v>2025010148140</v>
      </c>
      <c r="K401" s="45">
        <v>3</v>
      </c>
      <c r="L401" s="70">
        <v>77355076</v>
      </c>
      <c r="M401" s="34" t="s">
        <v>401</v>
      </c>
      <c r="N401" s="40" t="s">
        <v>394</v>
      </c>
      <c r="O401" s="40" t="s">
        <v>18</v>
      </c>
      <c r="P401" s="37"/>
      <c r="Q401" s="45"/>
      <c r="R401" s="144"/>
      <c r="S401" s="144"/>
      <c r="T401" s="44">
        <f>+_xlfn.XLOOKUP(PROYECTOS[[#This Row],[MUNICIPIO]],'4.CAP_ENDMNT'!B:B,'4.CAP_ENDMNT'!C:C,0,0,1)</f>
        <v>6</v>
      </c>
      <c r="U401" s="145">
        <f>+_xlfn.XLOOKUP(PROYECTOS[[#This Row],[MUNICIPIO]],'4.CAP_ENDMNT'!B:B,'4.CAP_ENDMNT'!D:D,0,0,1)</f>
        <v>12764062914.553999</v>
      </c>
      <c r="V401" s="44">
        <f>+_xlfn.XLOOKUP(PROYECTOS[[#This Row],[MUNICIPIO]],'4.CAP_ENDMNT'!B:B,'4.CAP_ENDMNT'!E:E,0,0,1)</f>
        <v>4266060462.2200003</v>
      </c>
      <c r="W401" s="44">
        <f>+_xlfn.XLOOKUP(PROYECTOS[[#This Row],[MUNICIPIO]],'4.CAP_ENDMNT'!B:B,'4.CAP_ENDMNT'!F:F,0,0,1)</f>
        <v>8498002452.3339987</v>
      </c>
      <c r="X401" s="44">
        <f>+_xlfn.XLOOKUP(PROYECTOS[[#This Row],[MUNICIPIO]],'4.CAP_ENDMNT'!B:B,'4.CAP_ENDMNT'!G:G,0,0,1)</f>
        <v>4258957687</v>
      </c>
      <c r="Y401" s="44">
        <f>+_xlfn.XLOOKUP(PROYECTOS[[#This Row],[MUNICIPIO]],'4.CAP_ENDMNT'!B:B,'4.CAP_ENDMNT'!H:H,0,0,1)</f>
        <v>500000000</v>
      </c>
      <c r="Z401" s="44">
        <f>+_xlfn.XLOOKUP(PROYECTOS[[#This Row],[MUNICIPIO]],'4.CAP_ENDMNT'!B:B,'4.CAP_ENDMNT'!I:I,0,0,1)</f>
        <v>4758957687</v>
      </c>
      <c r="AA401" s="146">
        <f>+_xlfn.XLOOKUP(PROYECTOS[[#This Row],[MUNICIPIO]],'4.CAP_ENDMNT'!B:B,'4.CAP_ENDMNT'!J:J,0,0,1)</f>
        <v>0.37284035019708983</v>
      </c>
      <c r="AB401" s="44">
        <f>+_xlfn.XLOOKUP(PROYECTOS[[#This Row],[MUNICIPIO]],'4.CAP_ENDMNT'!B:B,'4.CAP_ENDMNT'!K:K,0,0,1)</f>
        <v>8005105227.5539989</v>
      </c>
      <c r="AC401" s="44">
        <f>+_xlfn.XLOOKUP(PROYECTOS[[#This Row],[MUNICIPIO]],'4.CAP_ENDMNT'!B:B,'4.CAP_ENDMNT'!L:L,0,0,1)</f>
        <v>6404084182.0431995</v>
      </c>
      <c r="AD401" s="44">
        <f>+_xlfn.XLOOKUP(PROYECTOS[[#This Row],[MUNICIPIO]],'4.CAP_ENDMNT'!B:B,'4.CAP_ENDMNT'!M:M,0,0,1)</f>
        <v>4803063136.5323992</v>
      </c>
      <c r="AE401" s="146">
        <f>+_xlfn.XLOOKUP(PROYECTOS[[#This Row],[MUNICIPIO]],'4.CAP_ENDMNT'!B:B,'4.CAP_ENDMNT'!N:N,0,0,1)</f>
        <v>0.89493497675639244</v>
      </c>
      <c r="AF401" s="146">
        <f>+_xlfn.XLOOKUP(PROYECTOS[[#This Row],[MUNICIPIO]],'4.CAP_ENDMNT'!B:B,'4.CAP_ENDMNT'!O:O,0,0,1)</f>
        <v>0.64132957807138946</v>
      </c>
      <c r="AG401" s="146">
        <f>+_xlfn.XLOOKUP(PROYECTOS[[#This Row],[MUNICIPIO]],'4.CAP_ENDMNT'!B:B,'4.CAP_ENDMNT'!P:P,0,0,1)</f>
        <v>0.8</v>
      </c>
      <c r="AH401" s="44" t="str">
        <f>+_xlfn.XLOOKUP(PROYECTOS[[#This Row],[MUNICIPIO]],'4.CAP_ENDMNT'!B:B,'4.CAP_ENDMNT'!Q:Q,0,0,1)</f>
        <v>Cumple</v>
      </c>
      <c r="AI401" s="139">
        <f>+_xlfn.XLOOKUP(PROYECTOS[[#This Row],[MUNICIPIO]],'4.CAP_ENDMNT'!B:B,'4.CAP_ENDMNT'!V:V,0,0,1)</f>
        <v>960612627.30647993</v>
      </c>
      <c r="AJ401" s="139">
        <f>+_xlfn.XLOOKUP(PROYECTOS[[#This Row],[MUNICIPIO]],'4.CAP_ENDMNT'!B:B,'4.CAP_ENDMNT'!Y:Y,0,0,1)</f>
        <v>-8999039296.1611214</v>
      </c>
      <c r="AK401"/>
      <c r="AL401"/>
      <c r="AM401"/>
    </row>
    <row r="402" spans="1:39" ht="15" customHeight="1">
      <c r="A402" s="44">
        <v>510</v>
      </c>
      <c r="B402" t="s">
        <v>1150</v>
      </c>
      <c r="C402" s="118">
        <f>+_xlfn.XLOOKUP(PROYECTOS[[#This Row],[ID_NECESIDAD]],'1.RADICADOS'!G:G,'1.RADICADOS'!C:C,0,0,1)*1</f>
        <v>45743</v>
      </c>
      <c r="D402" s="46" t="s">
        <v>477</v>
      </c>
      <c r="E402" s="47" t="str">
        <f>+_xlfn.XLOOKUP(PROYECTOS[[#This Row],[MUNICIPIO]],MUNICIPIOS!A:A,MUNICIPIOS!E:E,0,0,1)</f>
        <v>Norte</v>
      </c>
      <c r="F402" s="44">
        <f>+_xlfn.XLOOKUP(PROYECTOS[[#This Row],[MUNICIPIO]],MUNICIPIOS!A:A,MUNICIPIOS!F:F,0,0,1)</f>
        <v>-75.335115999999999</v>
      </c>
      <c r="G402" s="44" t="str">
        <f>+_xlfn.XLOOKUP(PROYECTOS[[#This Row],[MUNICIPIO]],MUNICIPIOS!A:A,MUNICIPIOS!G:G,0,0,1)</f>
        <v>6,885175</v>
      </c>
      <c r="H402" s="44">
        <f>+_xlfn.XLOOKUP(PROYECTOS[[#This Row],[MUNICIPIO]],MUNICIPIOS!A:A,MUNICIPIOS!B:B,0,0,1)</f>
        <v>0</v>
      </c>
      <c r="I402" s="44">
        <f>+_xlfn.XLOOKUP(PROYECTOS[[#This Row],[MUNICIPIO]],MUNICIPIOS!A:A,MUNICIPIOS!C:C,0,0,1)</f>
        <v>1</v>
      </c>
      <c r="J402" s="34" t="str" cm="1">
        <f t="array" ref="J402">_xlfn.TEXTJOIN(" ", TRUE, IF(radicados[ID PROYECTOS]=A402, radicados[RADICADO], ""))</f>
        <v>2025010148140</v>
      </c>
      <c r="K402" s="45">
        <v>3</v>
      </c>
      <c r="L402" s="70">
        <v>1540411797</v>
      </c>
      <c r="M402" s="34" t="s">
        <v>401</v>
      </c>
      <c r="N402" s="40" t="s">
        <v>394</v>
      </c>
      <c r="O402" s="40" t="s">
        <v>18</v>
      </c>
      <c r="P402" s="37"/>
      <c r="Q402" s="45"/>
      <c r="R402" s="144"/>
      <c r="S402" s="144"/>
      <c r="T402" s="44">
        <f>+_xlfn.XLOOKUP(PROYECTOS[[#This Row],[MUNICIPIO]],'4.CAP_ENDMNT'!B:B,'4.CAP_ENDMNT'!C:C,0,0,1)</f>
        <v>6</v>
      </c>
      <c r="U402" s="145">
        <f>+_xlfn.XLOOKUP(PROYECTOS[[#This Row],[MUNICIPIO]],'4.CAP_ENDMNT'!B:B,'4.CAP_ENDMNT'!D:D,0,0,1)</f>
        <v>12764062914.553999</v>
      </c>
      <c r="V402" s="44">
        <f>+_xlfn.XLOOKUP(PROYECTOS[[#This Row],[MUNICIPIO]],'4.CAP_ENDMNT'!B:B,'4.CAP_ENDMNT'!E:E,0,0,1)</f>
        <v>4266060462.2200003</v>
      </c>
      <c r="W402" s="44">
        <f>+_xlfn.XLOOKUP(PROYECTOS[[#This Row],[MUNICIPIO]],'4.CAP_ENDMNT'!B:B,'4.CAP_ENDMNT'!F:F,0,0,1)</f>
        <v>8498002452.3339987</v>
      </c>
      <c r="X402" s="44">
        <f>+_xlfn.XLOOKUP(PROYECTOS[[#This Row],[MUNICIPIO]],'4.CAP_ENDMNT'!B:B,'4.CAP_ENDMNT'!G:G,0,0,1)</f>
        <v>4258957687</v>
      </c>
      <c r="Y402" s="44">
        <f>+_xlfn.XLOOKUP(PROYECTOS[[#This Row],[MUNICIPIO]],'4.CAP_ENDMNT'!B:B,'4.CAP_ENDMNT'!H:H,0,0,1)</f>
        <v>500000000</v>
      </c>
      <c r="Z402" s="44">
        <f>+_xlfn.XLOOKUP(PROYECTOS[[#This Row],[MUNICIPIO]],'4.CAP_ENDMNT'!B:B,'4.CAP_ENDMNT'!I:I,0,0,1)</f>
        <v>4758957687</v>
      </c>
      <c r="AA402" s="146">
        <f>+_xlfn.XLOOKUP(PROYECTOS[[#This Row],[MUNICIPIO]],'4.CAP_ENDMNT'!B:B,'4.CAP_ENDMNT'!J:J,0,0,1)</f>
        <v>0.37284035019708983</v>
      </c>
      <c r="AB402" s="44">
        <f>+_xlfn.XLOOKUP(PROYECTOS[[#This Row],[MUNICIPIO]],'4.CAP_ENDMNT'!B:B,'4.CAP_ENDMNT'!K:K,0,0,1)</f>
        <v>8005105227.5539989</v>
      </c>
      <c r="AC402" s="44">
        <f>+_xlfn.XLOOKUP(PROYECTOS[[#This Row],[MUNICIPIO]],'4.CAP_ENDMNT'!B:B,'4.CAP_ENDMNT'!L:L,0,0,1)</f>
        <v>6404084182.0431995</v>
      </c>
      <c r="AD402" s="44">
        <f>+_xlfn.XLOOKUP(PROYECTOS[[#This Row],[MUNICIPIO]],'4.CAP_ENDMNT'!B:B,'4.CAP_ENDMNT'!M:M,0,0,1)</f>
        <v>4803063136.5323992</v>
      </c>
      <c r="AE402" s="146">
        <f>+_xlfn.XLOOKUP(PROYECTOS[[#This Row],[MUNICIPIO]],'4.CAP_ENDMNT'!B:B,'4.CAP_ENDMNT'!N:N,0,0,1)</f>
        <v>0.89493497675639244</v>
      </c>
      <c r="AF402" s="146">
        <f>+_xlfn.XLOOKUP(PROYECTOS[[#This Row],[MUNICIPIO]],'4.CAP_ENDMNT'!B:B,'4.CAP_ENDMNT'!O:O,0,0,1)</f>
        <v>0.64132957807138946</v>
      </c>
      <c r="AG402" s="146">
        <f>+_xlfn.XLOOKUP(PROYECTOS[[#This Row],[MUNICIPIO]],'4.CAP_ENDMNT'!B:B,'4.CAP_ENDMNT'!P:P,0,0,1)</f>
        <v>0.8</v>
      </c>
      <c r="AH402" s="44" t="str">
        <f>+_xlfn.XLOOKUP(PROYECTOS[[#This Row],[MUNICIPIO]],'4.CAP_ENDMNT'!B:B,'4.CAP_ENDMNT'!Q:Q,0,0,1)</f>
        <v>Cumple</v>
      </c>
      <c r="AI402" s="139">
        <f>+_xlfn.XLOOKUP(PROYECTOS[[#This Row],[MUNICIPIO]],'4.CAP_ENDMNT'!B:B,'4.CAP_ENDMNT'!V:V,0,0,1)</f>
        <v>960612627.30647993</v>
      </c>
      <c r="AJ402" s="139">
        <f>+_xlfn.XLOOKUP(PROYECTOS[[#This Row],[MUNICIPIO]],'4.CAP_ENDMNT'!B:B,'4.CAP_ENDMNT'!Y:Y,0,0,1)</f>
        <v>-8999039296.1611214</v>
      </c>
      <c r="AK402"/>
      <c r="AL402"/>
      <c r="AM402"/>
    </row>
    <row r="403" spans="1:39" ht="15" customHeight="1">
      <c r="A403" s="44">
        <v>511</v>
      </c>
      <c r="B403" t="s">
        <v>1152</v>
      </c>
      <c r="C403" s="118">
        <f>+_xlfn.XLOOKUP(PROYECTOS[[#This Row],[ID_NECESIDAD]],'1.RADICADOS'!G:G,'1.RADICADOS'!C:C,0,0,1)*1</f>
        <v>45743</v>
      </c>
      <c r="D403" s="46" t="s">
        <v>477</v>
      </c>
      <c r="E403" s="47" t="str">
        <f>+_xlfn.XLOOKUP(PROYECTOS[[#This Row],[MUNICIPIO]],MUNICIPIOS!A:A,MUNICIPIOS!E:E,0,0,1)</f>
        <v>Norte</v>
      </c>
      <c r="F403" s="44">
        <f>+_xlfn.XLOOKUP(PROYECTOS[[#This Row],[MUNICIPIO]],MUNICIPIOS!A:A,MUNICIPIOS!F:F,0,0,1)</f>
        <v>-75.335115999999999</v>
      </c>
      <c r="G403" s="44" t="str">
        <f>+_xlfn.XLOOKUP(PROYECTOS[[#This Row],[MUNICIPIO]],MUNICIPIOS!A:A,MUNICIPIOS!G:G,0,0,1)</f>
        <v>6,885175</v>
      </c>
      <c r="H403" s="44">
        <f>+_xlfn.XLOOKUP(PROYECTOS[[#This Row],[MUNICIPIO]],MUNICIPIOS!A:A,MUNICIPIOS!B:B,0,0,1)</f>
        <v>0</v>
      </c>
      <c r="I403" s="44">
        <f>+_xlfn.XLOOKUP(PROYECTOS[[#This Row],[MUNICIPIO]],MUNICIPIOS!A:A,MUNICIPIOS!C:C,0,0,1)</f>
        <v>1</v>
      </c>
      <c r="J403" s="34" t="str" cm="1">
        <f t="array" ref="J403">_xlfn.TEXTJOIN(" ", TRUE, IF(radicados[ID PROYECTOS]=A403, radicados[RADICADO], ""))</f>
        <v>2025010148140</v>
      </c>
      <c r="K403" s="45">
        <v>3</v>
      </c>
      <c r="L403" s="70">
        <v>483820114</v>
      </c>
      <c r="M403" s="34" t="s">
        <v>401</v>
      </c>
      <c r="N403" s="40" t="s">
        <v>394</v>
      </c>
      <c r="O403" s="40" t="s">
        <v>18</v>
      </c>
      <c r="P403" s="37"/>
      <c r="Q403" s="45"/>
      <c r="R403" s="144"/>
      <c r="S403" s="144"/>
      <c r="T403" s="44">
        <f>+_xlfn.XLOOKUP(PROYECTOS[[#This Row],[MUNICIPIO]],'4.CAP_ENDMNT'!B:B,'4.CAP_ENDMNT'!C:C,0,0,1)</f>
        <v>6</v>
      </c>
      <c r="U403" s="145">
        <f>+_xlfn.XLOOKUP(PROYECTOS[[#This Row],[MUNICIPIO]],'4.CAP_ENDMNT'!B:B,'4.CAP_ENDMNT'!D:D,0,0,1)</f>
        <v>12764062914.553999</v>
      </c>
      <c r="V403" s="44">
        <f>+_xlfn.XLOOKUP(PROYECTOS[[#This Row],[MUNICIPIO]],'4.CAP_ENDMNT'!B:B,'4.CAP_ENDMNT'!E:E,0,0,1)</f>
        <v>4266060462.2200003</v>
      </c>
      <c r="W403" s="44">
        <f>+_xlfn.XLOOKUP(PROYECTOS[[#This Row],[MUNICIPIO]],'4.CAP_ENDMNT'!B:B,'4.CAP_ENDMNT'!F:F,0,0,1)</f>
        <v>8498002452.3339987</v>
      </c>
      <c r="X403" s="44">
        <f>+_xlfn.XLOOKUP(PROYECTOS[[#This Row],[MUNICIPIO]],'4.CAP_ENDMNT'!B:B,'4.CAP_ENDMNT'!G:G,0,0,1)</f>
        <v>4258957687</v>
      </c>
      <c r="Y403" s="44">
        <f>+_xlfn.XLOOKUP(PROYECTOS[[#This Row],[MUNICIPIO]],'4.CAP_ENDMNT'!B:B,'4.CAP_ENDMNT'!H:H,0,0,1)</f>
        <v>500000000</v>
      </c>
      <c r="Z403" s="44">
        <f>+_xlfn.XLOOKUP(PROYECTOS[[#This Row],[MUNICIPIO]],'4.CAP_ENDMNT'!B:B,'4.CAP_ENDMNT'!I:I,0,0,1)</f>
        <v>4758957687</v>
      </c>
      <c r="AA403" s="146">
        <f>+_xlfn.XLOOKUP(PROYECTOS[[#This Row],[MUNICIPIO]],'4.CAP_ENDMNT'!B:B,'4.CAP_ENDMNT'!J:J,0,0,1)</f>
        <v>0.37284035019708983</v>
      </c>
      <c r="AB403" s="44">
        <f>+_xlfn.XLOOKUP(PROYECTOS[[#This Row],[MUNICIPIO]],'4.CAP_ENDMNT'!B:B,'4.CAP_ENDMNT'!K:K,0,0,1)</f>
        <v>8005105227.5539989</v>
      </c>
      <c r="AC403" s="44">
        <f>+_xlfn.XLOOKUP(PROYECTOS[[#This Row],[MUNICIPIO]],'4.CAP_ENDMNT'!B:B,'4.CAP_ENDMNT'!L:L,0,0,1)</f>
        <v>6404084182.0431995</v>
      </c>
      <c r="AD403" s="44">
        <f>+_xlfn.XLOOKUP(PROYECTOS[[#This Row],[MUNICIPIO]],'4.CAP_ENDMNT'!B:B,'4.CAP_ENDMNT'!M:M,0,0,1)</f>
        <v>4803063136.5323992</v>
      </c>
      <c r="AE403" s="146">
        <f>+_xlfn.XLOOKUP(PROYECTOS[[#This Row],[MUNICIPIO]],'4.CAP_ENDMNT'!B:B,'4.CAP_ENDMNT'!N:N,0,0,1)</f>
        <v>0.89493497675639244</v>
      </c>
      <c r="AF403" s="146">
        <f>+_xlfn.XLOOKUP(PROYECTOS[[#This Row],[MUNICIPIO]],'4.CAP_ENDMNT'!B:B,'4.CAP_ENDMNT'!O:O,0,0,1)</f>
        <v>0.64132957807138946</v>
      </c>
      <c r="AG403" s="146">
        <f>+_xlfn.XLOOKUP(PROYECTOS[[#This Row],[MUNICIPIO]],'4.CAP_ENDMNT'!B:B,'4.CAP_ENDMNT'!P:P,0,0,1)</f>
        <v>0.8</v>
      </c>
      <c r="AH403" s="44" t="str">
        <f>+_xlfn.XLOOKUP(PROYECTOS[[#This Row],[MUNICIPIO]],'4.CAP_ENDMNT'!B:B,'4.CAP_ENDMNT'!Q:Q,0,0,1)</f>
        <v>Cumple</v>
      </c>
      <c r="AI403" s="139">
        <f>+_xlfn.XLOOKUP(PROYECTOS[[#This Row],[MUNICIPIO]],'4.CAP_ENDMNT'!B:B,'4.CAP_ENDMNT'!V:V,0,0,1)</f>
        <v>960612627.30647993</v>
      </c>
      <c r="AJ403" s="139">
        <f>+_xlfn.XLOOKUP(PROYECTOS[[#This Row],[MUNICIPIO]],'4.CAP_ENDMNT'!B:B,'4.CAP_ENDMNT'!Y:Y,0,0,1)</f>
        <v>-8999039296.1611214</v>
      </c>
      <c r="AK403"/>
      <c r="AL403"/>
      <c r="AM403"/>
    </row>
    <row r="404" spans="1:39" ht="15" customHeight="1">
      <c r="A404" s="44">
        <v>512</v>
      </c>
      <c r="B404" t="s">
        <v>1153</v>
      </c>
      <c r="C404" s="118">
        <f>+_xlfn.XLOOKUP(PROYECTOS[[#This Row],[ID_NECESIDAD]],'1.RADICADOS'!G:G,'1.RADICADOS'!C:C,0,0,1)*1</f>
        <v>45744</v>
      </c>
      <c r="D404" s="46" t="s">
        <v>227</v>
      </c>
      <c r="E404" s="47" t="str">
        <f>+_xlfn.XLOOKUP(PROYECTOS[[#This Row],[MUNICIPIO]],MUNICIPIOS!A:A,MUNICIPIOS!E:E,0,0,1)</f>
        <v>Oriente</v>
      </c>
      <c r="F404" s="44">
        <f>+_xlfn.XLOOKUP(PROYECTOS[[#This Row],[MUNICIPIO]],MUNICIPIOS!A:A,MUNICIPIOS!F:F,0,0,1)</f>
        <v>-75.184445999999994</v>
      </c>
      <c r="G404" s="44" t="str">
        <f>+_xlfn.XLOOKUP(PROYECTOS[[#This Row],[MUNICIPIO]],MUNICIPIOS!A:A,MUNICIPIOS!G:G,0,0,1)</f>
        <v>6,142892</v>
      </c>
      <c r="H404" s="44">
        <f>+_xlfn.XLOOKUP(PROYECTOS[[#This Row],[MUNICIPIO]],MUNICIPIOS!A:A,MUNICIPIOS!B:B,0,0,1)</f>
        <v>0</v>
      </c>
      <c r="I404" s="44">
        <f>+_xlfn.XLOOKUP(PROYECTOS[[#This Row],[MUNICIPIO]],MUNICIPIOS!A:A,MUNICIPIOS!C:C,0,0,1)</f>
        <v>1</v>
      </c>
      <c r="J404" s="34" t="str" cm="1">
        <f t="array" ref="J404">_xlfn.TEXTJOIN(" ", TRUE, IF(radicados[ID PROYECTOS]=A404, radicados[RADICADO], ""))</f>
        <v>2025010152936</v>
      </c>
      <c r="K404" s="45">
        <v>2</v>
      </c>
      <c r="L404" s="70">
        <v>8212482639</v>
      </c>
      <c r="M404" s="34" t="s">
        <v>396</v>
      </c>
      <c r="N404" s="40" t="s">
        <v>398</v>
      </c>
      <c r="O404" s="40" t="s">
        <v>25</v>
      </c>
      <c r="P404" s="37" t="s">
        <v>1160</v>
      </c>
      <c r="Q404" s="45"/>
      <c r="R404" s="144"/>
      <c r="S404" s="144"/>
      <c r="T404" s="44">
        <f>+_xlfn.XLOOKUP(PROYECTOS[[#This Row],[MUNICIPIO]],'4.CAP_ENDMNT'!B:B,'4.CAP_ENDMNT'!C:C,0,0,1)</f>
        <v>6</v>
      </c>
      <c r="U404" s="145">
        <f>+_xlfn.XLOOKUP(PROYECTOS[[#This Row],[MUNICIPIO]],'4.CAP_ENDMNT'!B:B,'4.CAP_ENDMNT'!D:D,0,0,1)</f>
        <v>9100976268.0305004</v>
      </c>
      <c r="V404" s="44">
        <f>+_xlfn.XLOOKUP(PROYECTOS[[#This Row],[MUNICIPIO]],'4.CAP_ENDMNT'!B:B,'4.CAP_ENDMNT'!E:E,0,0,1)</f>
        <v>3221460794.1700001</v>
      </c>
      <c r="W404" s="44">
        <f>+_xlfn.XLOOKUP(PROYECTOS[[#This Row],[MUNICIPIO]],'4.CAP_ENDMNT'!B:B,'4.CAP_ENDMNT'!F:F,0,0,1)</f>
        <v>5879515473.8605003</v>
      </c>
      <c r="X404" s="44">
        <f>+_xlfn.XLOOKUP(PROYECTOS[[#This Row],[MUNICIPIO]],'4.CAP_ENDMNT'!B:B,'4.CAP_ENDMNT'!G:G,0,0,1)</f>
        <v>1026722956</v>
      </c>
      <c r="Y404" s="44">
        <f>+_xlfn.XLOOKUP(PROYECTOS[[#This Row],[MUNICIPIO]],'4.CAP_ENDMNT'!B:B,'4.CAP_ENDMNT'!H:H,0,0,1)</f>
        <v>190000000</v>
      </c>
      <c r="Z404" s="44">
        <f>+_xlfn.XLOOKUP(PROYECTOS[[#This Row],[MUNICIPIO]],'4.CAP_ENDMNT'!B:B,'4.CAP_ENDMNT'!I:I,0,0,1)</f>
        <v>1216722956</v>
      </c>
      <c r="AA404" s="146">
        <f>+_xlfn.XLOOKUP(PROYECTOS[[#This Row],[MUNICIPIO]],'4.CAP_ENDMNT'!B:B,'4.CAP_ENDMNT'!J:J,0,0,1)</f>
        <v>0.13369147662477152</v>
      </c>
      <c r="AB404" s="44">
        <f>+_xlfn.XLOOKUP(PROYECTOS[[#This Row],[MUNICIPIO]],'4.CAP_ENDMNT'!B:B,'4.CAP_ENDMNT'!K:K,0,0,1)</f>
        <v>7884253312.0305004</v>
      </c>
      <c r="AC404" s="44">
        <f>+_xlfn.XLOOKUP(PROYECTOS[[#This Row],[MUNICIPIO]],'4.CAP_ENDMNT'!B:B,'4.CAP_ENDMNT'!L:L,0,0,1)</f>
        <v>6307402649.6244011</v>
      </c>
      <c r="AD404" s="44">
        <f>+_xlfn.XLOOKUP(PROYECTOS[[#This Row],[MUNICIPIO]],'4.CAP_ENDMNT'!B:B,'4.CAP_ENDMNT'!M:M,0,0,1)</f>
        <v>4730551987.2182999</v>
      </c>
      <c r="AE404" s="146">
        <f>+_xlfn.XLOOKUP(PROYECTOS[[#This Row],[MUNICIPIO]],'4.CAP_ENDMNT'!B:B,'4.CAP_ENDMNT'!N:N,0,0,1)</f>
        <v>0.84384284108140062</v>
      </c>
      <c r="AF404" s="146">
        <f>+_xlfn.XLOOKUP(PROYECTOS[[#This Row],[MUNICIPIO]],'4.CAP_ENDMNT'!B:B,'4.CAP_ENDMNT'!O:O,0,0,1)</f>
        <v>0.65864601932480682</v>
      </c>
      <c r="AG404" s="146">
        <f>+_xlfn.XLOOKUP(PROYECTOS[[#This Row],[MUNICIPIO]],'4.CAP_ENDMNT'!B:B,'4.CAP_ENDMNT'!P:P,0,0,1)</f>
        <v>0.8</v>
      </c>
      <c r="AH404" s="44" t="str">
        <f>+_xlfn.XLOOKUP(PROYECTOS[[#This Row],[MUNICIPIO]],'4.CAP_ENDMNT'!B:B,'4.CAP_ENDMNT'!Q:Q,0,0,1)</f>
        <v>Cumple</v>
      </c>
      <c r="AI404" s="139">
        <f>+_xlfn.XLOOKUP(PROYECTOS[[#This Row],[MUNICIPIO]],'4.CAP_ENDMNT'!B:B,'4.CAP_ENDMNT'!V:V,0,0,1)</f>
        <v>946110397.44366002</v>
      </c>
      <c r="AJ404" s="139">
        <f>+_xlfn.XLOOKUP(PROYECTOS[[#This Row],[MUNICIPIO]],'4.CAP_ENDMNT'!B:B,'4.CAP_ENDMNT'!Y:Y,0,0,1)</f>
        <v>-37054965217.338043</v>
      </c>
      <c r="AK404"/>
      <c r="AL404"/>
      <c r="AM404"/>
    </row>
    <row r="405" spans="1:39" ht="15" customHeight="1">
      <c r="A405" s="44">
        <v>513</v>
      </c>
      <c r="B405" t="s">
        <v>1154</v>
      </c>
      <c r="C405" s="118">
        <f>+_xlfn.XLOOKUP(PROYECTOS[[#This Row],[ID_NECESIDAD]],'1.RADICADOS'!G:G,'1.RADICADOS'!C:C,0,0,1)*1</f>
        <v>45751</v>
      </c>
      <c r="D405" s="46" t="s">
        <v>200</v>
      </c>
      <c r="E405" s="47" t="str">
        <f>+_xlfn.XLOOKUP(PROYECTOS[[#This Row],[MUNICIPIO]],MUNICIPIOS!A:A,MUNICIPIOS!E:E,0,0,1)</f>
        <v>Bajo Cauca</v>
      </c>
      <c r="F405" s="44">
        <f>+_xlfn.XLOOKUP(PROYECTOS[[#This Row],[MUNICIPIO]],MUNICIPIOS!A:A,MUNICIPIOS!F:F,0,0,1)</f>
        <v>-74.867075</v>
      </c>
      <c r="G405" s="44">
        <f>+_xlfn.XLOOKUP(PROYECTOS[[#This Row],[MUNICIPIO]],MUNICIPIOS!A:A,MUNICIPIOS!G:G,0,0,1)</f>
        <v>7.4885830000000002</v>
      </c>
      <c r="H405" s="44">
        <f>+_xlfn.XLOOKUP(PROYECTOS[[#This Row],[MUNICIPIO]],MUNICIPIOS!A:A,MUNICIPIOS!B:B,0,0,1)</f>
        <v>1</v>
      </c>
      <c r="I405" s="44">
        <f>+_xlfn.XLOOKUP(PROYECTOS[[#This Row],[MUNICIPIO]],MUNICIPIOS!A:A,MUNICIPIOS!C:C,0,0,1)</f>
        <v>1</v>
      </c>
      <c r="J405" s="34" t="str" cm="1">
        <f t="array" ref="J405">_xlfn.TEXTJOIN(" ", TRUE, IF(radicados[ID PROYECTOS]=A405, radicados[RADICADO], ""))</f>
        <v>2025010165443</v>
      </c>
      <c r="K405" s="45">
        <v>3</v>
      </c>
      <c r="L405" s="70">
        <v>7806792761</v>
      </c>
      <c r="M405" s="34" t="s">
        <v>401</v>
      </c>
      <c r="N405" s="40" t="s">
        <v>398</v>
      </c>
      <c r="O405" s="40" t="s">
        <v>25</v>
      </c>
      <c r="P405" s="37"/>
      <c r="Q405" s="45"/>
      <c r="R405" s="144"/>
      <c r="S405" s="144"/>
      <c r="T405" s="44">
        <f>+_xlfn.XLOOKUP(PROYECTOS[[#This Row],[MUNICIPIO]],'4.CAP_ENDMNT'!B:B,'4.CAP_ENDMNT'!C:C,0,0,1)</f>
        <v>6</v>
      </c>
      <c r="U405" s="145">
        <f>+_xlfn.XLOOKUP(PROYECTOS[[#This Row],[MUNICIPIO]],'4.CAP_ENDMNT'!B:B,'4.CAP_ENDMNT'!D:D,0,0,1)</f>
        <v>26491016162.216</v>
      </c>
      <c r="V405" s="44">
        <f>+_xlfn.XLOOKUP(PROYECTOS[[#This Row],[MUNICIPIO]],'4.CAP_ENDMNT'!B:B,'4.CAP_ENDMNT'!E:E,0,0,1)</f>
        <v>7986352410.1199999</v>
      </c>
      <c r="W405" s="44">
        <f>+_xlfn.XLOOKUP(PROYECTOS[[#This Row],[MUNICIPIO]],'4.CAP_ENDMNT'!B:B,'4.CAP_ENDMNT'!F:F,0,0,1)</f>
        <v>18504663752.096001</v>
      </c>
      <c r="X405" s="44">
        <f>+_xlfn.XLOOKUP(PROYECTOS[[#This Row],[MUNICIPIO]],'4.CAP_ENDMNT'!B:B,'4.CAP_ENDMNT'!G:G,0,0,1)</f>
        <v>6804069561</v>
      </c>
      <c r="Y405" s="44">
        <f>+_xlfn.XLOOKUP(PROYECTOS[[#This Row],[MUNICIPIO]],'4.CAP_ENDMNT'!B:B,'4.CAP_ENDMNT'!H:H,0,0,1)</f>
        <v>0</v>
      </c>
      <c r="Z405" s="44">
        <f>+_xlfn.XLOOKUP(PROYECTOS[[#This Row],[MUNICIPIO]],'4.CAP_ENDMNT'!B:B,'4.CAP_ENDMNT'!I:I,0,0,1)</f>
        <v>6804069561</v>
      </c>
      <c r="AA405" s="146">
        <f>+_xlfn.XLOOKUP(PROYECTOS[[#This Row],[MUNICIPIO]],'4.CAP_ENDMNT'!B:B,'4.CAP_ENDMNT'!J:J,0,0,1)</f>
        <v>0.25684441545525194</v>
      </c>
      <c r="AB405" s="44">
        <f>+_xlfn.XLOOKUP(PROYECTOS[[#This Row],[MUNICIPIO]],'4.CAP_ENDMNT'!B:B,'4.CAP_ENDMNT'!K:K,0,0,1)</f>
        <v>19686946601.216</v>
      </c>
      <c r="AC405" s="44">
        <f>+_xlfn.XLOOKUP(PROYECTOS[[#This Row],[MUNICIPIO]],'4.CAP_ENDMNT'!B:B,'4.CAP_ENDMNT'!L:L,0,0,1)</f>
        <v>15749557280.972801</v>
      </c>
      <c r="AD405" s="44">
        <f>+_xlfn.XLOOKUP(PROYECTOS[[#This Row],[MUNICIPIO]],'4.CAP_ENDMNT'!B:B,'4.CAP_ENDMNT'!M:M,0,0,1)</f>
        <v>11812167960.729599</v>
      </c>
      <c r="AE405" s="146">
        <f>+_xlfn.XLOOKUP(PROYECTOS[[#This Row],[MUNICIPIO]],'4.CAP_ENDMNT'!B:B,'4.CAP_ENDMNT'!N:N,0,0,1)</f>
        <v>1</v>
      </c>
      <c r="AF405" s="146">
        <f>+_xlfn.XLOOKUP(PROYECTOS[[#This Row],[MUNICIPIO]],'4.CAP_ENDMNT'!B:B,'4.CAP_ENDMNT'!O:O,0,0,1)</f>
        <v>0.54140540347070121</v>
      </c>
      <c r="AG405" s="146">
        <f>+_xlfn.XLOOKUP(PROYECTOS[[#This Row],[MUNICIPIO]],'4.CAP_ENDMNT'!B:B,'4.CAP_ENDMNT'!P:P,0,0,1)</f>
        <v>0.8</v>
      </c>
      <c r="AH405" s="44" t="str">
        <f>+_xlfn.XLOOKUP(PROYECTOS[[#This Row],[MUNICIPIO]],'4.CAP_ENDMNT'!B:B,'4.CAP_ENDMNT'!Q:Q,0,0,1)</f>
        <v>Cumple</v>
      </c>
      <c r="AI405" s="139">
        <f>+_xlfn.XLOOKUP(PROYECTOS[[#This Row],[MUNICIPIO]],'4.CAP_ENDMNT'!B:B,'4.CAP_ENDMNT'!V:V,0,0,1)</f>
        <v>2362433592.1459198</v>
      </c>
      <c r="AJ405" s="139">
        <f>+_xlfn.XLOOKUP(PROYECTOS[[#This Row],[MUNICIPIO]],'4.CAP_ENDMNT'!B:B,'4.CAP_ENDMNT'!Y:Y,0,0,1)</f>
        <v>-15716605637.124481</v>
      </c>
      <c r="AK405"/>
      <c r="AL405"/>
      <c r="AM405"/>
    </row>
    <row r="406" spans="1:39" ht="15" customHeight="1">
      <c r="A406" s="44">
        <v>514</v>
      </c>
      <c r="B406" t="s">
        <v>1487</v>
      </c>
      <c r="C406" s="118">
        <f>+_xlfn.XLOOKUP(PROYECTOS[[#This Row],[ID_NECESIDAD]],'1.RADICADOS'!G:G,'1.RADICADOS'!C:C,0,0,1)*1</f>
        <v>45749</v>
      </c>
      <c r="D406" s="46" t="s">
        <v>448</v>
      </c>
      <c r="E406" s="47" t="str">
        <f>+_xlfn.XLOOKUP(PROYECTOS[[#This Row],[MUNICIPIO]],MUNICIPIOS!A:A,MUNICIPIOS!E:E,0,0,1)</f>
        <v>Occidente</v>
      </c>
      <c r="F406" s="44">
        <f>+_xlfn.XLOOKUP(PROYECTOS[[#This Row],[MUNICIPIO]],MUNICIPIOS!A:A,MUNICIPIOS!F:F,0,0,1)</f>
        <v>-75.982929999999996</v>
      </c>
      <c r="G406" s="44" t="str">
        <f>+_xlfn.XLOOKUP(PROYECTOS[[#This Row],[MUNICIPIO]],MUNICIPIOS!A:A,MUNICIPIOS!G:G,0,0,1)</f>
        <v>6,405607</v>
      </c>
      <c r="H406" s="44">
        <f>+_xlfn.XLOOKUP(PROYECTOS[[#This Row],[MUNICIPIO]],MUNICIPIOS!A:A,MUNICIPIOS!B:B,0,0,1)</f>
        <v>0</v>
      </c>
      <c r="I406" s="44">
        <f>+_xlfn.XLOOKUP(PROYECTOS[[#This Row],[MUNICIPIO]],MUNICIPIOS!A:A,MUNICIPIOS!C:C,0,0,1)</f>
        <v>1</v>
      </c>
      <c r="J406" s="34" t="str" cm="1">
        <f t="array" ref="J406">_xlfn.TEXTJOIN(" ", TRUE, IF(radicados[ID PROYECTOS]=A406, radicados[RADICADO], ""))</f>
        <v>2025010147040 2025010244316</v>
      </c>
      <c r="K406" s="45">
        <v>3</v>
      </c>
      <c r="L406" s="70">
        <v>5847441427</v>
      </c>
      <c r="M406" s="34" t="s">
        <v>435</v>
      </c>
      <c r="N406" s="40" t="s">
        <v>398</v>
      </c>
      <c r="O406" s="40" t="s">
        <v>25</v>
      </c>
      <c r="P406" s="37" t="s">
        <v>1488</v>
      </c>
      <c r="Q406" s="45">
        <v>1</v>
      </c>
      <c r="R406" s="43" t="s">
        <v>922</v>
      </c>
      <c r="S406" s="43" t="s">
        <v>1643</v>
      </c>
      <c r="T406" s="44">
        <f>+_xlfn.XLOOKUP(PROYECTOS[[#This Row],[MUNICIPIO]],'4.CAP_ENDMNT'!B:B,'4.CAP_ENDMNT'!C:C,0,0,1)</f>
        <v>6</v>
      </c>
      <c r="U406" s="145">
        <f>+_xlfn.XLOOKUP(PROYECTOS[[#This Row],[MUNICIPIO]],'4.CAP_ENDMNT'!B:B,'4.CAP_ENDMNT'!D:D,0,0,1)</f>
        <v>8536446221.1044998</v>
      </c>
      <c r="V406" s="44">
        <f>+_xlfn.XLOOKUP(PROYECTOS[[#This Row],[MUNICIPIO]],'4.CAP_ENDMNT'!B:B,'4.CAP_ENDMNT'!E:E,0,0,1)</f>
        <v>2840287960.8099999</v>
      </c>
      <c r="W406" s="44">
        <f>+_xlfn.XLOOKUP(PROYECTOS[[#This Row],[MUNICIPIO]],'4.CAP_ENDMNT'!B:B,'4.CAP_ENDMNT'!F:F,0,0,1)</f>
        <v>5696158260.2945004</v>
      </c>
      <c r="X406" s="44">
        <f>+_xlfn.XLOOKUP(PROYECTOS[[#This Row],[MUNICIPIO]],'4.CAP_ENDMNT'!B:B,'4.CAP_ENDMNT'!G:G,0,0,1)</f>
        <v>1059912604</v>
      </c>
      <c r="Y406" s="44">
        <f>+_xlfn.XLOOKUP(PROYECTOS[[#This Row],[MUNICIPIO]],'4.CAP_ENDMNT'!B:B,'4.CAP_ENDMNT'!H:H,0,0,1)</f>
        <v>559890374</v>
      </c>
      <c r="Z406" s="44">
        <f>+_xlfn.XLOOKUP(PROYECTOS[[#This Row],[MUNICIPIO]],'4.CAP_ENDMNT'!B:B,'4.CAP_ENDMNT'!I:I,0,0,1)</f>
        <v>1619802978</v>
      </c>
      <c r="AA406" s="146">
        <f>+_xlfn.XLOOKUP(PROYECTOS[[#This Row],[MUNICIPIO]],'4.CAP_ENDMNT'!B:B,'4.CAP_ENDMNT'!J:J,0,0,1)</f>
        <v>0.18975144176453554</v>
      </c>
      <c r="AB406" s="44">
        <f>+_xlfn.XLOOKUP(PROYECTOS[[#This Row],[MUNICIPIO]],'4.CAP_ENDMNT'!B:B,'4.CAP_ENDMNT'!K:K,0,0,1)</f>
        <v>6916643243.1044998</v>
      </c>
      <c r="AC406" s="44">
        <f>+_xlfn.XLOOKUP(PROYECTOS[[#This Row],[MUNICIPIO]],'4.CAP_ENDMNT'!B:B,'4.CAP_ENDMNT'!L:L,0,0,1)</f>
        <v>5533314594.4836006</v>
      </c>
      <c r="AD406" s="44">
        <f>+_xlfn.XLOOKUP(PROYECTOS[[#This Row],[MUNICIPIO]],'4.CAP_ENDMNT'!B:B,'4.CAP_ENDMNT'!M:M,0,0,1)</f>
        <v>4149985945.8626995</v>
      </c>
      <c r="AE406" s="146">
        <f>+_xlfn.XLOOKUP(PROYECTOS[[#This Row],[MUNICIPIO]],'4.CAP_ENDMNT'!B:B,'4.CAP_ENDMNT'!N:N,0,0,1)</f>
        <v>0.65434662017271583</v>
      </c>
      <c r="AF406" s="146">
        <f>+_xlfn.XLOOKUP(PROYECTOS[[#This Row],[MUNICIPIO]],'4.CAP_ENDMNT'!B:B,'4.CAP_ENDMNT'!O:O,0,0,1)</f>
        <v>0.62730744736284794</v>
      </c>
      <c r="AG406" s="146">
        <f>+_xlfn.XLOOKUP(PROYECTOS[[#This Row],[MUNICIPIO]],'4.CAP_ENDMNT'!B:B,'4.CAP_ENDMNT'!P:P,0,0,1)</f>
        <v>0.8</v>
      </c>
      <c r="AH406" s="44" t="str">
        <f>+_xlfn.XLOOKUP(PROYECTOS[[#This Row],[MUNICIPIO]],'4.CAP_ENDMNT'!B:B,'4.CAP_ENDMNT'!Q:Q,0,0,1)</f>
        <v>Cumple</v>
      </c>
      <c r="AI406" s="139">
        <f>+_xlfn.XLOOKUP(PROYECTOS[[#This Row],[MUNICIPIO]],'4.CAP_ENDMNT'!B:B,'4.CAP_ENDMNT'!V:V,0,0,1)</f>
        <v>829997189.17253995</v>
      </c>
      <c r="AJ406" s="139">
        <f>+_xlfn.XLOOKUP(PROYECTOS[[#This Row],[MUNICIPIO]],'4.CAP_ENDMNT'!B:B,'4.CAP_ENDMNT'!Y:Y,0,0,1)</f>
        <v>-7956520095.9647608</v>
      </c>
      <c r="AK406"/>
      <c r="AL406"/>
      <c r="AM406"/>
    </row>
    <row r="407" spans="1:39" ht="15" customHeight="1">
      <c r="A407" s="44">
        <v>515</v>
      </c>
      <c r="B407" t="s">
        <v>1156</v>
      </c>
      <c r="C407" s="118">
        <f>+_xlfn.XLOOKUP(PROYECTOS[[#This Row],[ID_NECESIDAD]],'1.RADICADOS'!G:G,'1.RADICADOS'!C:C,0,0,1)*1</f>
        <v>45750</v>
      </c>
      <c r="D407" s="46" t="s">
        <v>90</v>
      </c>
      <c r="E407" s="47" t="str">
        <f>+_xlfn.XLOOKUP(PROYECTOS[[#This Row],[MUNICIPIO]],MUNICIPIOS!A:A,MUNICIPIOS!E:E,0,0,1)</f>
        <v>Suroeste</v>
      </c>
      <c r="F407" s="44">
        <f>+_xlfn.XLOOKUP(PROYECTOS[[#This Row],[MUNICIPIO]],MUNICIPIOS!A:A,MUNICIPIOS!F:F,0,0,1)</f>
        <v>-75.624452000000005</v>
      </c>
      <c r="G407" s="44">
        <f>+_xlfn.XLOOKUP(PROYECTOS[[#This Row],[MUNICIPIO]],MUNICIPIOS!A:A,MUNICIPIOS!G:G,0,0,1)</f>
        <v>5.6145550000000002</v>
      </c>
      <c r="H407" s="44">
        <f>+_xlfn.XLOOKUP(PROYECTOS[[#This Row],[MUNICIPIO]],MUNICIPIOS!A:A,MUNICIPIOS!B:B,0,0,1)</f>
        <v>0</v>
      </c>
      <c r="I407" s="44">
        <f>+_xlfn.XLOOKUP(PROYECTOS[[#This Row],[MUNICIPIO]],MUNICIPIOS!A:A,MUNICIPIOS!C:C,0,0,1)</f>
        <v>0</v>
      </c>
      <c r="J407" s="34" t="str" cm="1">
        <f t="array" ref="J407">_xlfn.TEXTJOIN(" ", TRUE, IF(radicados[ID PROYECTOS]=A407, radicados[RADICADO], ""))</f>
        <v>2025010162556</v>
      </c>
      <c r="K407" s="45">
        <v>2</v>
      </c>
      <c r="L407" s="70">
        <v>2673683584</v>
      </c>
      <c r="M407" s="34" t="s">
        <v>407</v>
      </c>
      <c r="N407" s="40" t="s">
        <v>397</v>
      </c>
      <c r="O407" s="40" t="s">
        <v>56</v>
      </c>
      <c r="P407" s="37"/>
      <c r="Q407" s="45"/>
      <c r="R407" s="144"/>
      <c r="S407" s="144"/>
      <c r="T407" s="44">
        <f>+_xlfn.XLOOKUP(PROYECTOS[[#This Row],[MUNICIPIO]],'4.CAP_ENDMNT'!B:B,'4.CAP_ENDMNT'!C:C,0,0,1)</f>
        <v>6</v>
      </c>
      <c r="U407" s="145">
        <f>+_xlfn.XLOOKUP(PROYECTOS[[#This Row],[MUNICIPIO]],'4.CAP_ENDMNT'!B:B,'4.CAP_ENDMNT'!D:D,0,0,1)</f>
        <v>6485715716.868001</v>
      </c>
      <c r="V407" s="44">
        <f>+_xlfn.XLOOKUP(PROYECTOS[[#This Row],[MUNICIPIO]],'4.CAP_ENDMNT'!B:B,'4.CAP_ENDMNT'!E:E,0,0,1)</f>
        <v>3717110032.7600002</v>
      </c>
      <c r="W407" s="44">
        <f>+_xlfn.XLOOKUP(PROYECTOS[[#This Row],[MUNICIPIO]],'4.CAP_ENDMNT'!B:B,'4.CAP_ENDMNT'!F:F,0,0,1)</f>
        <v>2768605684.1080008</v>
      </c>
      <c r="X407" s="44">
        <f>+_xlfn.XLOOKUP(PROYECTOS[[#This Row],[MUNICIPIO]],'4.CAP_ENDMNT'!B:B,'4.CAP_ENDMNT'!G:G,0,0,1)</f>
        <v>598561755.20000005</v>
      </c>
      <c r="Y407" s="44">
        <f>+_xlfn.XLOOKUP(PROYECTOS[[#This Row],[MUNICIPIO]],'4.CAP_ENDMNT'!B:B,'4.CAP_ENDMNT'!H:H,0,0,1)</f>
        <v>823222224</v>
      </c>
      <c r="Z407" s="44">
        <f>+_xlfn.XLOOKUP(PROYECTOS[[#This Row],[MUNICIPIO]],'4.CAP_ENDMNT'!B:B,'4.CAP_ENDMNT'!I:I,0,0,1)</f>
        <v>1421783979.2</v>
      </c>
      <c r="AA407" s="146">
        <f>+_xlfn.XLOOKUP(PROYECTOS[[#This Row],[MUNICIPIO]],'4.CAP_ENDMNT'!B:B,'4.CAP_ENDMNT'!J:J,0,0,1)</f>
        <v>0.21921774577665112</v>
      </c>
      <c r="AB407" s="44">
        <f>+_xlfn.XLOOKUP(PROYECTOS[[#This Row],[MUNICIPIO]],'4.CAP_ENDMNT'!B:B,'4.CAP_ENDMNT'!K:K,0,0,1)</f>
        <v>5063931737.6680012</v>
      </c>
      <c r="AC407" s="44">
        <f>+_xlfn.XLOOKUP(PROYECTOS[[#This Row],[MUNICIPIO]],'4.CAP_ENDMNT'!B:B,'4.CAP_ENDMNT'!L:L,0,0,1)</f>
        <v>4051145390.1344013</v>
      </c>
      <c r="AD407" s="44">
        <f>+_xlfn.XLOOKUP(PROYECTOS[[#This Row],[MUNICIPIO]],'4.CAP_ENDMNT'!B:B,'4.CAP_ENDMNT'!M:M,0,0,1)</f>
        <v>3038359042.6008005</v>
      </c>
      <c r="AE407" s="146">
        <f>+_xlfn.XLOOKUP(PROYECTOS[[#This Row],[MUNICIPIO]],'4.CAP_ENDMNT'!B:B,'4.CAP_ENDMNT'!N:N,0,0,1)</f>
        <v>0.42099345889155032</v>
      </c>
      <c r="AF407" s="146">
        <f>+_xlfn.XLOOKUP(PROYECTOS[[#This Row],[MUNICIPIO]],'4.CAP_ENDMNT'!B:B,'4.CAP_ENDMNT'!O:O,0,0,1)</f>
        <v>0.68598337343648785</v>
      </c>
      <c r="AG407" s="146">
        <f>+_xlfn.XLOOKUP(PROYECTOS[[#This Row],[MUNICIPIO]],'4.CAP_ENDMNT'!B:B,'4.CAP_ENDMNT'!P:P,0,0,1)</f>
        <v>0.8</v>
      </c>
      <c r="AH407" s="44" t="str">
        <f>+_xlfn.XLOOKUP(PROYECTOS[[#This Row],[MUNICIPIO]],'4.CAP_ENDMNT'!B:B,'4.CAP_ENDMNT'!Q:Q,0,0,1)</f>
        <v>Cumple</v>
      </c>
      <c r="AI407" s="139">
        <f>+_xlfn.XLOOKUP(PROYECTOS[[#This Row],[MUNICIPIO]],'4.CAP_ENDMNT'!B:B,'4.CAP_ENDMNT'!V:V,0,0,1)</f>
        <v>607671808.52016008</v>
      </c>
      <c r="AJ407" s="139">
        <f>+_xlfn.XLOOKUP(PROYECTOS[[#This Row],[MUNICIPIO]],'4.CAP_ENDMNT'!B:B,'4.CAP_ENDMNT'!Y:Y,0,0,1)</f>
        <v>-1701336321.8790393</v>
      </c>
      <c r="AK407"/>
      <c r="AL407"/>
      <c r="AM407"/>
    </row>
    <row r="408" spans="1:39" ht="15" customHeight="1">
      <c r="A408" s="44">
        <v>516</v>
      </c>
      <c r="B408" t="s">
        <v>1157</v>
      </c>
      <c r="C408" s="118">
        <f>+_xlfn.XLOOKUP(PROYECTOS[[#This Row],[ID_NECESIDAD]],'1.RADICADOS'!G:G,'1.RADICADOS'!C:C,0,0,1)*1</f>
        <v>45749</v>
      </c>
      <c r="D408" s="46" t="s">
        <v>327</v>
      </c>
      <c r="E408" s="47" t="str">
        <f>+_xlfn.XLOOKUP(PROYECTOS[[#This Row],[MUNICIPIO]],MUNICIPIOS!A:A,MUNICIPIOS!E:E,0,0,1)</f>
        <v>Nordeste</v>
      </c>
      <c r="F408" s="44">
        <f>+_xlfn.XLOOKUP(PROYECTOS[[#This Row],[MUNICIPIO]],MUNICIPIOS!A:A,MUNICIPIOS!F:F,0,0,1)</f>
        <v>-75.019109</v>
      </c>
      <c r="G408" s="44" t="str">
        <f>+_xlfn.XLOOKUP(PROYECTOS[[#This Row],[MUNICIPIO]],MUNICIPIOS!A:A,MUNICIPIOS!G:G,0,0,1)</f>
        <v>6,485939</v>
      </c>
      <c r="H408" s="44">
        <f>+_xlfn.XLOOKUP(PROYECTOS[[#This Row],[MUNICIPIO]],MUNICIPIOS!A:A,MUNICIPIOS!B:B,0,0,1)</f>
        <v>0</v>
      </c>
      <c r="I408" s="44">
        <f>+_xlfn.XLOOKUP(PROYECTOS[[#This Row],[MUNICIPIO]],MUNICIPIOS!A:A,MUNICIPIOS!C:C,0,0,1)</f>
        <v>0</v>
      </c>
      <c r="J408" s="34" t="str" cm="1">
        <f t="array" ref="J408">_xlfn.TEXTJOIN(" ", TRUE, IF(radicados[ID PROYECTOS]=A408, radicados[RADICADO], ""))</f>
        <v>2025010161226</v>
      </c>
      <c r="K408" s="45">
        <v>1</v>
      </c>
      <c r="L408" s="36"/>
      <c r="M408" s="34" t="s">
        <v>435</v>
      </c>
      <c r="N408" s="40" t="s">
        <v>398</v>
      </c>
      <c r="O408" s="40" t="s">
        <v>25</v>
      </c>
      <c r="P408" s="13" t="s">
        <v>1161</v>
      </c>
      <c r="Q408" s="45"/>
      <c r="R408" s="166"/>
      <c r="S408" s="166"/>
      <c r="T408" s="44">
        <f>+_xlfn.XLOOKUP(PROYECTOS[[#This Row],[MUNICIPIO]],'4.CAP_ENDMNT'!B:B,'4.CAP_ENDMNT'!C:C,0,0,1)</f>
        <v>6</v>
      </c>
      <c r="U408" s="167">
        <f>+_xlfn.XLOOKUP(PROYECTOS[[#This Row],[MUNICIPIO]],'4.CAP_ENDMNT'!B:B,'4.CAP_ENDMNT'!D:D,0,0,1)</f>
        <v>13645854382.4415</v>
      </c>
      <c r="V408" s="44">
        <f>+_xlfn.XLOOKUP(PROYECTOS[[#This Row],[MUNICIPIO]],'4.CAP_ENDMNT'!B:B,'4.CAP_ENDMNT'!E:E,0,0,1)</f>
        <v>5036095672.2200003</v>
      </c>
      <c r="W408" s="44">
        <f>+_xlfn.XLOOKUP(PROYECTOS[[#This Row],[MUNICIPIO]],'4.CAP_ENDMNT'!B:B,'4.CAP_ENDMNT'!F:F,0,0,1)</f>
        <v>8609758710.2215004</v>
      </c>
      <c r="X408" s="44">
        <f>+_xlfn.XLOOKUP(PROYECTOS[[#This Row],[MUNICIPIO]],'4.CAP_ENDMNT'!B:B,'4.CAP_ENDMNT'!G:G,0,0,1)</f>
        <v>2357809963</v>
      </c>
      <c r="Y408" s="44">
        <f>+_xlfn.XLOOKUP(PROYECTOS[[#This Row],[MUNICIPIO]],'4.CAP_ENDMNT'!B:B,'4.CAP_ENDMNT'!H:H,0,0,1)</f>
        <v>1093248488</v>
      </c>
      <c r="Z408" s="44">
        <f>+_xlfn.XLOOKUP(PROYECTOS[[#This Row],[MUNICIPIO]],'4.CAP_ENDMNT'!B:B,'4.CAP_ENDMNT'!I:I,0,0,1)</f>
        <v>3451058451</v>
      </c>
      <c r="AA408" s="134">
        <f>+_xlfn.XLOOKUP(PROYECTOS[[#This Row],[MUNICIPIO]],'4.CAP_ENDMNT'!B:B,'4.CAP_ENDMNT'!J:J,0,0,1)</f>
        <v>0.25290160324739891</v>
      </c>
      <c r="AB408" s="140">
        <f>+_xlfn.XLOOKUP(PROYECTOS[[#This Row],[MUNICIPIO]],'4.CAP_ENDMNT'!B:B,'4.CAP_ENDMNT'!K:K,0,0,1)</f>
        <v>10194795931.4415</v>
      </c>
      <c r="AC408" s="140">
        <f>+_xlfn.XLOOKUP(PROYECTOS[[#This Row],[MUNICIPIO]],'4.CAP_ENDMNT'!B:B,'4.CAP_ENDMNT'!L:L,0,0,1)</f>
        <v>8155836745.1532001</v>
      </c>
      <c r="AD408" s="140">
        <f>+_xlfn.XLOOKUP(PROYECTOS[[#This Row],[MUNICIPIO]],'4.CAP_ENDMNT'!B:B,'4.CAP_ENDMNT'!M:M,0,0,1)</f>
        <v>6116877558.8648996</v>
      </c>
      <c r="AE408" s="134">
        <f>+_xlfn.XLOOKUP(PROYECTOS[[#This Row],[MUNICIPIO]],'4.CAP_ENDMNT'!B:B,'4.CAP_ENDMNT'!N:N,0,0,1)</f>
        <v>0.68321356954032075</v>
      </c>
      <c r="AF408" s="134">
        <f>+_xlfn.XLOOKUP(PROYECTOS[[#This Row],[MUNICIPIO]],'4.CAP_ENDMNT'!B:B,'4.CAP_ENDMNT'!O:O,0,0,1)</f>
        <v>0.58815143933117542</v>
      </c>
      <c r="AG408" s="134">
        <f>+_xlfn.XLOOKUP(PROYECTOS[[#This Row],[MUNICIPIO]],'4.CAP_ENDMNT'!B:B,'4.CAP_ENDMNT'!P:P,0,0,1)</f>
        <v>0.8</v>
      </c>
      <c r="AH408" s="44" t="str">
        <f>+_xlfn.XLOOKUP(PROYECTOS[[#This Row],[MUNICIPIO]],'4.CAP_ENDMNT'!B:B,'4.CAP_ENDMNT'!Q:Q,0,0,1)</f>
        <v>Cumple</v>
      </c>
      <c r="AI408" s="139">
        <f>+_xlfn.XLOOKUP(PROYECTOS[[#This Row],[MUNICIPIO]],'4.CAP_ENDMNT'!B:B,'4.CAP_ENDMNT'!V:V,0,0,1)</f>
        <v>1223375511.77298</v>
      </c>
      <c r="AJ408" s="139">
        <f>+_xlfn.XLOOKUP(PROYECTOS[[#This Row],[MUNICIPIO]],'4.CAP_ENDMNT'!B:B,'4.CAP_ENDMNT'!Y:Y,0,0,1)</f>
        <v>-3684666242.3621206</v>
      </c>
      <c r="AK408"/>
      <c r="AL408"/>
      <c r="AM408"/>
    </row>
    <row r="409" spans="1:39" ht="15" customHeight="1">
      <c r="A409" s="44">
        <v>517</v>
      </c>
      <c r="B409" t="s">
        <v>1489</v>
      </c>
      <c r="C409" s="118">
        <f>+_xlfn.XLOOKUP(PROYECTOS[[#This Row],[ID_NECESIDAD]],'1.RADICADOS'!G:G,'1.RADICADOS'!C:C,0,0,1)*1</f>
        <v>45747</v>
      </c>
      <c r="D409" s="46" t="s">
        <v>211</v>
      </c>
      <c r="E409" s="47" t="str">
        <f>+_xlfn.XLOOKUP(PROYECTOS[[#This Row],[MUNICIPIO]],MUNICIPIOS!A:A,MUNICIPIOS!E:E,0,0,1)</f>
        <v>Oriente</v>
      </c>
      <c r="F409" s="44">
        <f>+_xlfn.XLOOKUP(PROYECTOS[[#This Row],[MUNICIPIO]],MUNICIPIOS!A:A,MUNICIPIOS!F:F,0,0,1)</f>
        <v>-75.333900999999997</v>
      </c>
      <c r="G409" s="44" t="str">
        <f>+_xlfn.XLOOKUP(PROYECTOS[[#This Row],[MUNICIPIO]],MUNICIPIOS!A:A,MUNICIPIOS!G:G,0,0,1)</f>
        <v>6,082885</v>
      </c>
      <c r="H409" s="44">
        <f>+_xlfn.XLOOKUP(PROYECTOS[[#This Row],[MUNICIPIO]],MUNICIPIOS!A:A,MUNICIPIOS!B:B,0,0,1)</f>
        <v>0</v>
      </c>
      <c r="I409" s="44">
        <f>+_xlfn.XLOOKUP(PROYECTOS[[#This Row],[MUNICIPIO]],MUNICIPIOS!A:A,MUNICIPIOS!C:C,0,0,1)</f>
        <v>0</v>
      </c>
      <c r="J409" s="34" t="str" cm="1">
        <f t="array" ref="J409">_xlfn.TEXTJOIN(" ", TRUE, IF(radicados[ID PROYECTOS]=A409, radicados[RADICADO], ""))</f>
        <v>2025010153506</v>
      </c>
      <c r="K409" s="45">
        <v>3</v>
      </c>
      <c r="L409" s="70">
        <v>1976490339</v>
      </c>
      <c r="M409" s="34" t="s">
        <v>707</v>
      </c>
      <c r="N409" s="40" t="s">
        <v>394</v>
      </c>
      <c r="O409" s="40" t="s">
        <v>18</v>
      </c>
      <c r="P409" s="37" t="s">
        <v>1162</v>
      </c>
      <c r="Q409" s="45"/>
      <c r="R409" s="166"/>
      <c r="S409" s="166"/>
      <c r="T409" s="44">
        <f>+_xlfn.XLOOKUP(PROYECTOS[[#This Row],[MUNICIPIO]],'4.CAP_ENDMNT'!B:B,'4.CAP_ENDMNT'!C:C,0,0,1)</f>
        <v>3</v>
      </c>
      <c r="U409" s="167">
        <f>+_xlfn.XLOOKUP(PROYECTOS[[#This Row],[MUNICIPIO]],'4.CAP_ENDMNT'!B:B,'4.CAP_ENDMNT'!D:D,0,0,1)</f>
        <v>70430942311.208496</v>
      </c>
      <c r="V409" s="44">
        <f>+_xlfn.XLOOKUP(PROYECTOS[[#This Row],[MUNICIPIO]],'4.CAP_ENDMNT'!B:B,'4.CAP_ENDMNT'!E:E,0,0,1)</f>
        <v>29041990033.869999</v>
      </c>
      <c r="W409" s="44">
        <f>+_xlfn.XLOOKUP(PROYECTOS[[#This Row],[MUNICIPIO]],'4.CAP_ENDMNT'!B:B,'4.CAP_ENDMNT'!F:F,0,0,1)</f>
        <v>41388952277.338501</v>
      </c>
      <c r="X409" s="44">
        <f>+_xlfn.XLOOKUP(PROYECTOS[[#This Row],[MUNICIPIO]],'4.CAP_ENDMNT'!B:B,'4.CAP_ENDMNT'!G:G,0,0,1)</f>
        <v>14609948257</v>
      </c>
      <c r="Y409" s="44">
        <f>+_xlfn.XLOOKUP(PROYECTOS[[#This Row],[MUNICIPIO]],'4.CAP_ENDMNT'!B:B,'4.CAP_ENDMNT'!H:H,0,0,1)</f>
        <v>2802411494.09375</v>
      </c>
      <c r="Z409" s="44">
        <f>+_xlfn.XLOOKUP(PROYECTOS[[#This Row],[MUNICIPIO]],'4.CAP_ENDMNT'!B:B,'4.CAP_ENDMNT'!I:I,0,0,1)</f>
        <v>17412359751.09375</v>
      </c>
      <c r="AA409" s="134">
        <f>+_xlfn.XLOOKUP(PROYECTOS[[#This Row],[MUNICIPIO]],'4.CAP_ENDMNT'!B:B,'4.CAP_ENDMNT'!J:J,0,0,1)</f>
        <v>0.24722599442379914</v>
      </c>
      <c r="AB409" s="44">
        <f>+_xlfn.XLOOKUP(PROYECTOS[[#This Row],[MUNICIPIO]],'4.CAP_ENDMNT'!B:B,'4.CAP_ENDMNT'!K:K,0,0,1)</f>
        <v>53018582560.114746</v>
      </c>
      <c r="AC409" s="44">
        <f>+_xlfn.XLOOKUP(PROYECTOS[[#This Row],[MUNICIPIO]],'4.CAP_ENDMNT'!B:B,'4.CAP_ENDMNT'!L:L,0,0,1)</f>
        <v>42414866048.091797</v>
      </c>
      <c r="AD409" s="44">
        <f>+_xlfn.XLOOKUP(PROYECTOS[[#This Row],[MUNICIPIO]],'4.CAP_ENDMNT'!B:B,'4.CAP_ENDMNT'!M:M,0,0,1)</f>
        <v>31811149536.068848</v>
      </c>
      <c r="AE409" s="134">
        <f>+_xlfn.XLOOKUP(PROYECTOS[[#This Row],[MUNICIPIO]],'4.CAP_ENDMNT'!B:B,'4.CAP_ENDMNT'!N:N,0,0,1)</f>
        <v>0.83905619145516919</v>
      </c>
      <c r="AF409" s="134">
        <f>+_xlfn.XLOOKUP(PROYECTOS[[#This Row],[MUNICIPIO]],'4.CAP_ENDMNT'!B:B,'4.CAP_ENDMNT'!O:O,0,0,1)</f>
        <v>0.45782837875910809</v>
      </c>
      <c r="AG409" s="134">
        <f>+_xlfn.XLOOKUP(PROYECTOS[[#This Row],[MUNICIPIO]],'4.CAP_ENDMNT'!B:B,'4.CAP_ENDMNT'!P:P,0,0,1)</f>
        <v>0.7</v>
      </c>
      <c r="AH409" s="44" t="str">
        <f>+_xlfn.XLOOKUP(PROYECTOS[[#This Row],[MUNICIPIO]],'4.CAP_ENDMNT'!B:B,'4.CAP_ENDMNT'!Q:Q,0,0,1)</f>
        <v>Cumple</v>
      </c>
      <c r="AI409" s="139">
        <f>+_xlfn.XLOOKUP(PROYECTOS[[#This Row],[MUNICIPIO]],'4.CAP_ENDMNT'!B:B,'4.CAP_ENDMNT'!V:V,0,0,1)</f>
        <v>6362229907.2137699</v>
      </c>
      <c r="AJ409" s="139">
        <f>+_xlfn.XLOOKUP(PROYECTOS[[#This Row],[MUNICIPIO]],'4.CAP_ENDMNT'!B:B,'4.CAP_ENDMNT'!Y:Y,0,0,1)</f>
        <v>28993841225.282616</v>
      </c>
      <c r="AK409"/>
      <c r="AL409"/>
      <c r="AM409"/>
    </row>
    <row r="410" spans="1:39" ht="15" customHeight="1">
      <c r="A410" s="44">
        <v>518</v>
      </c>
      <c r="B410" t="s">
        <v>1163</v>
      </c>
      <c r="C410" s="118">
        <f>+_xlfn.XLOOKUP(PROYECTOS[[#This Row],[ID_NECESIDAD]],'1.RADICADOS'!G:G,'1.RADICADOS'!C:C,0,0,1)*1</f>
        <v>45757</v>
      </c>
      <c r="D410" s="46" t="s">
        <v>196</v>
      </c>
      <c r="E410" s="47" t="str">
        <f>+_xlfn.XLOOKUP(PROYECTOS[[#This Row],[MUNICIPIO]],MUNICIPIOS!A:A,MUNICIPIOS!E:E,0,0,1)</f>
        <v>Valle de Aburrá</v>
      </c>
      <c r="F410" s="44">
        <f>+_xlfn.XLOOKUP(PROYECTOS[[#This Row],[MUNICIPIO]],MUNICIPIOS!A:A,MUNICIPIOS!F:F,0,0,1)</f>
        <v>-75.444237999999999</v>
      </c>
      <c r="G410" s="44" t="str">
        <f>+_xlfn.XLOOKUP(PROYECTOS[[#This Row],[MUNICIPIO]],MUNICIPIOS!A:A,MUNICIPIOS!G:G,0,0,1)</f>
        <v>6,379472</v>
      </c>
      <c r="H410" s="44">
        <f>+_xlfn.XLOOKUP(PROYECTOS[[#This Row],[MUNICIPIO]],MUNICIPIOS!A:A,MUNICIPIOS!B:B,0,0,1)</f>
        <v>0</v>
      </c>
      <c r="I410" s="44">
        <f>+_xlfn.XLOOKUP(PROYECTOS[[#This Row],[MUNICIPIO]],MUNICIPIOS!A:A,MUNICIPIOS!C:C,0,0,1)</f>
        <v>0</v>
      </c>
      <c r="J410" s="34" t="str" cm="1">
        <f t="array" ref="J410">_xlfn.TEXTJOIN(" ", TRUE, IF(radicados[ID PROYECTOS]=A410, radicados[RADICADO], ""))</f>
        <v>2025010177572</v>
      </c>
      <c r="K410" s="45" t="s">
        <v>1079</v>
      </c>
      <c r="L410" s="70">
        <v>17008905677</v>
      </c>
      <c r="M410" s="34" t="s">
        <v>40</v>
      </c>
      <c r="N410" s="40" t="s">
        <v>1079</v>
      </c>
      <c r="O410" s="34" t="s">
        <v>40</v>
      </c>
      <c r="P410" s="13" t="s">
        <v>1164</v>
      </c>
      <c r="Q410" s="45"/>
      <c r="R410" s="166"/>
      <c r="S410" s="166"/>
      <c r="T410" s="44">
        <f>+_xlfn.XLOOKUP(PROYECTOS[[#This Row],[MUNICIPIO]],'4.CAP_ENDMNT'!B:B,'4.CAP_ENDMNT'!C:C,0,0,1)</f>
        <v>2</v>
      </c>
      <c r="U410" s="167">
        <f>+_xlfn.XLOOKUP(PROYECTOS[[#This Row],[MUNICIPIO]],'4.CAP_ENDMNT'!B:B,'4.CAP_ENDMNT'!D:D,0,0,1)</f>
        <v>101079829717.10699</v>
      </c>
      <c r="V410" s="44">
        <f>+_xlfn.XLOOKUP(PROYECTOS[[#This Row],[MUNICIPIO]],'4.CAP_ENDMNT'!B:B,'4.CAP_ENDMNT'!E:E,0,0,1)</f>
        <v>35923834396.690002</v>
      </c>
      <c r="W410" s="44">
        <f>+_xlfn.XLOOKUP(PROYECTOS[[#This Row],[MUNICIPIO]],'4.CAP_ENDMNT'!B:B,'4.CAP_ENDMNT'!F:F,0,0,1)</f>
        <v>65155995320.416992</v>
      </c>
      <c r="X410" s="44">
        <f>+_xlfn.XLOOKUP(PROYECTOS[[#This Row],[MUNICIPIO]],'4.CAP_ENDMNT'!B:B,'4.CAP_ENDMNT'!G:G,0,0,1)</f>
        <v>0</v>
      </c>
      <c r="Y410" s="44">
        <f>+_xlfn.XLOOKUP(PROYECTOS[[#This Row],[MUNICIPIO]],'4.CAP_ENDMNT'!B:B,'4.CAP_ENDMNT'!H:H,0,0,1)</f>
        <v>33364035579</v>
      </c>
      <c r="Z410" s="44">
        <f>+_xlfn.XLOOKUP(PROYECTOS[[#This Row],[MUNICIPIO]],'4.CAP_ENDMNT'!B:B,'4.CAP_ENDMNT'!I:I,0,0,1)</f>
        <v>33364035579</v>
      </c>
      <c r="AA410" s="134">
        <f>+_xlfn.XLOOKUP(PROYECTOS[[#This Row],[MUNICIPIO]],'4.CAP_ENDMNT'!B:B,'4.CAP_ENDMNT'!J:J,0,0,1)</f>
        <v>0.33007609601615101</v>
      </c>
      <c r="AB410" s="44">
        <f>+_xlfn.XLOOKUP(PROYECTOS[[#This Row],[MUNICIPIO]],'4.CAP_ENDMNT'!B:B,'4.CAP_ENDMNT'!K:K,0,0,1)</f>
        <v>67715794138.106995</v>
      </c>
      <c r="AC410" s="44">
        <f>+_xlfn.XLOOKUP(PROYECTOS[[#This Row],[MUNICIPIO]],'4.CAP_ENDMNT'!B:B,'4.CAP_ENDMNT'!L:L,0,0,1)</f>
        <v>54172635310.485596</v>
      </c>
      <c r="AD410" s="44">
        <f>+_xlfn.XLOOKUP(PROYECTOS[[#This Row],[MUNICIPIO]],'4.CAP_ENDMNT'!B:B,'4.CAP_ENDMNT'!M:M,0,0,1)</f>
        <v>40629476482.864197</v>
      </c>
      <c r="AE410" s="134">
        <f>+_xlfn.XLOOKUP(PROYECTOS[[#This Row],[MUNICIPIO]],'4.CAP_ENDMNT'!B:B,'4.CAP_ENDMNT'!N:N,0,0,1)</f>
        <v>0</v>
      </c>
      <c r="AF410" s="134">
        <f>+_xlfn.XLOOKUP(PROYECTOS[[#This Row],[MUNICIPIO]],'4.CAP_ENDMNT'!B:B,'4.CAP_ENDMNT'!O:O,0,0,1)</f>
        <v>0.39321465077323631</v>
      </c>
      <c r="AG410" s="134">
        <f>+_xlfn.XLOOKUP(PROYECTOS[[#This Row],[MUNICIPIO]],'4.CAP_ENDMNT'!B:B,'4.CAP_ENDMNT'!P:P,0,0,1)</f>
        <v>0.7</v>
      </c>
      <c r="AH410" s="44" t="str">
        <f>+_xlfn.XLOOKUP(PROYECTOS[[#This Row],[MUNICIPIO]],'4.CAP_ENDMNT'!B:B,'4.CAP_ENDMNT'!Q:Q,0,0,1)</f>
        <v>Cumple</v>
      </c>
      <c r="AI410" s="139">
        <f>+_xlfn.XLOOKUP(PROYECTOS[[#This Row],[MUNICIPIO]],'4.CAP_ENDMNT'!B:B,'4.CAP_ENDMNT'!V:V,0,0,1)</f>
        <v>8125895296.5728397</v>
      </c>
      <c r="AJ410" s="139">
        <f>+_xlfn.XLOOKUP(PROYECTOS[[#This Row],[MUNICIPIO]],'4.CAP_ENDMNT'!B:B,'4.CAP_ENDMNT'!Y:Y,0,0,1)</f>
        <v>-38204944046.562965</v>
      </c>
      <c r="AK410"/>
      <c r="AL410"/>
      <c r="AM410"/>
    </row>
    <row r="411" spans="1:39" ht="15" customHeight="1">
      <c r="A411" s="44">
        <v>519</v>
      </c>
      <c r="B411" t="s">
        <v>1167</v>
      </c>
      <c r="C411" s="118">
        <f>+_xlfn.XLOOKUP(PROYECTOS[[#This Row],[ID_NECESIDAD]],'1.RADICADOS'!G:G,'1.RADICADOS'!C:C,0,0,1)*1</f>
        <v>45768</v>
      </c>
      <c r="D411" s="46" t="s">
        <v>323</v>
      </c>
      <c r="E411" s="47" t="str">
        <f>+_xlfn.XLOOKUP(PROYECTOS[[#This Row],[MUNICIPIO]],MUNICIPIOS!A:A,MUNICIPIOS!E:E,0,0,1)</f>
        <v>Oriente</v>
      </c>
      <c r="F411" s="44">
        <f>+_xlfn.XLOOKUP(PROYECTOS[[#This Row],[MUNICIPIO]],MUNICIPIOS!A:A,MUNICIPIOS!F:F,0,0,1)</f>
        <v>-75.501300999999998</v>
      </c>
      <c r="G411" s="44" t="str">
        <f>+_xlfn.XLOOKUP(PROYECTOS[[#This Row],[MUNICIPIO]],MUNICIPIOS!A:A,MUNICIPIOS!G:G,0,0,1)</f>
        <v>6,062454</v>
      </c>
      <c r="H411" s="44">
        <f>+_xlfn.XLOOKUP(PROYECTOS[[#This Row],[MUNICIPIO]],MUNICIPIOS!A:A,MUNICIPIOS!B:B,0,0,1)</f>
        <v>0</v>
      </c>
      <c r="I411" s="44">
        <f>+_xlfn.XLOOKUP(PROYECTOS[[#This Row],[MUNICIPIO]],MUNICIPIOS!A:A,MUNICIPIOS!C:C,0,0,1)</f>
        <v>0</v>
      </c>
      <c r="J411" s="34" t="str" cm="1">
        <f t="array" ref="J411">_xlfn.TEXTJOIN(" ", TRUE, IF(radicados[ID PROYECTOS]=A411, radicados[RADICADO], ""))</f>
        <v>2025010190600</v>
      </c>
      <c r="K411" s="45">
        <v>2</v>
      </c>
      <c r="L411" s="70">
        <v>4749403169</v>
      </c>
      <c r="M411" s="34" t="s">
        <v>407</v>
      </c>
      <c r="N411" s="40" t="s">
        <v>398</v>
      </c>
      <c r="O411" s="40" t="s">
        <v>25</v>
      </c>
      <c r="P411" s="13" t="s">
        <v>1490</v>
      </c>
      <c r="Q411" s="45"/>
      <c r="R411" s="166"/>
      <c r="S411" s="166"/>
      <c r="T411" s="44">
        <f>+_xlfn.XLOOKUP(PROYECTOS[[#This Row],[MUNICIPIO]],'4.CAP_ENDMNT'!B:B,'4.CAP_ENDMNT'!C:C,0,0,1)</f>
        <v>3</v>
      </c>
      <c r="U411" s="167">
        <f>+_xlfn.XLOOKUP(PROYECTOS[[#This Row],[MUNICIPIO]],'4.CAP_ENDMNT'!B:B,'4.CAP_ENDMNT'!D:D,0,0,1)</f>
        <v>69187005609.695007</v>
      </c>
      <c r="V411" s="44">
        <f>+_xlfn.XLOOKUP(PROYECTOS[[#This Row],[MUNICIPIO]],'4.CAP_ENDMNT'!B:B,'4.CAP_ENDMNT'!E:E,0,0,1)</f>
        <v>24929217109.209999</v>
      </c>
      <c r="W411" s="44">
        <f>+_xlfn.XLOOKUP(PROYECTOS[[#This Row],[MUNICIPIO]],'4.CAP_ENDMNT'!B:B,'4.CAP_ENDMNT'!F:F,0,0,1)</f>
        <v>44257788500.485008</v>
      </c>
      <c r="X411" s="44">
        <f>+_xlfn.XLOOKUP(PROYECTOS[[#This Row],[MUNICIPIO]],'4.CAP_ENDMNT'!B:B,'4.CAP_ENDMNT'!G:G,0,0,1)</f>
        <v>0</v>
      </c>
      <c r="Y411" s="44">
        <f>+_xlfn.XLOOKUP(PROYECTOS[[#This Row],[MUNICIPIO]],'4.CAP_ENDMNT'!B:B,'4.CAP_ENDMNT'!H:H,0,0,1)</f>
        <v>0</v>
      </c>
      <c r="Z411" s="44">
        <f>+_xlfn.XLOOKUP(PROYECTOS[[#This Row],[MUNICIPIO]],'4.CAP_ENDMNT'!B:B,'4.CAP_ENDMNT'!I:I,0,0,1)</f>
        <v>0</v>
      </c>
      <c r="AA411" s="134">
        <f>+_xlfn.XLOOKUP(PROYECTOS[[#This Row],[MUNICIPIO]],'4.CAP_ENDMNT'!B:B,'4.CAP_ENDMNT'!J:J,0,0,1)</f>
        <v>0</v>
      </c>
      <c r="AB411" s="44">
        <f>+_xlfn.XLOOKUP(PROYECTOS[[#This Row],[MUNICIPIO]],'4.CAP_ENDMNT'!B:B,'4.CAP_ENDMNT'!K:K,0,0,1)</f>
        <v>69187005609.695007</v>
      </c>
      <c r="AC411" s="44">
        <f>+_xlfn.XLOOKUP(PROYECTOS[[#This Row],[MUNICIPIO]],'4.CAP_ENDMNT'!B:B,'4.CAP_ENDMNT'!L:L,0,0,1)</f>
        <v>55349604487.756012</v>
      </c>
      <c r="AD411" s="44">
        <f>+_xlfn.XLOOKUP(PROYECTOS[[#This Row],[MUNICIPIO]],'4.CAP_ENDMNT'!B:B,'4.CAP_ENDMNT'!M:M,0,0,1)</f>
        <v>41512203365.817001</v>
      </c>
      <c r="AE411" s="134">
        <f>+_xlfn.XLOOKUP(PROYECTOS[[#This Row],[MUNICIPIO]],'4.CAP_ENDMNT'!B:B,'4.CAP_ENDMNT'!N:N,0,0,1)</f>
        <v>0</v>
      </c>
      <c r="AF411" s="134">
        <f>+_xlfn.XLOOKUP(PROYECTOS[[#This Row],[MUNICIPIO]],'4.CAP_ENDMNT'!B:B,'4.CAP_ENDMNT'!O:O,0,0,1)</f>
        <v>0.36680132048521774</v>
      </c>
      <c r="AG411" s="134">
        <f>+_xlfn.XLOOKUP(PROYECTOS[[#This Row],[MUNICIPIO]],'4.CAP_ENDMNT'!B:B,'4.CAP_ENDMNT'!P:P,0,0,1)</f>
        <v>0.7</v>
      </c>
      <c r="AH411" s="44" t="str">
        <f>+_xlfn.XLOOKUP(PROYECTOS[[#This Row],[MUNICIPIO]],'4.CAP_ENDMNT'!B:B,'4.CAP_ENDMNT'!Q:Q,0,0,1)</f>
        <v>Cumple</v>
      </c>
      <c r="AI411" s="139">
        <f>+_xlfn.XLOOKUP(PROYECTOS[[#This Row],[MUNICIPIO]],'4.CAP_ENDMNT'!B:B,'4.CAP_ENDMNT'!V:V,0,0,1)</f>
        <v>8302440673.1634007</v>
      </c>
      <c r="AJ411" s="139">
        <f>+_xlfn.XLOOKUP(PROYECTOS[[#This Row],[MUNICIPIO]],'4.CAP_ENDMNT'!B:B,'4.CAP_ENDMNT'!Y:Y,0,0,1)</f>
        <v>9066808020.9804001</v>
      </c>
      <c r="AK411"/>
      <c r="AL411"/>
      <c r="AM411"/>
    </row>
    <row r="412" spans="1:39" ht="15" customHeight="1">
      <c r="A412" s="44">
        <v>520</v>
      </c>
      <c r="B412" t="s">
        <v>1168</v>
      </c>
      <c r="C412" s="118">
        <f>+_xlfn.XLOOKUP(PROYECTOS[[#This Row],[ID_NECESIDAD]],'1.RADICADOS'!G:G,'1.RADICADOS'!C:C,0,0,1)*1</f>
        <v>45777</v>
      </c>
      <c r="D412" s="67" t="s">
        <v>136</v>
      </c>
      <c r="E412" s="47" t="str">
        <f>+_xlfn.XLOOKUP(PROYECTOS[[#This Row],[MUNICIPIO]],MUNICIPIOS!A:A,MUNICIPIOS!E:E,0,0,1)</f>
        <v>Norte</v>
      </c>
      <c r="F412" s="44">
        <f>+_xlfn.XLOOKUP(PROYECTOS[[#This Row],[MUNICIPIO]],MUNICIPIOS!A:A,MUNICIPIOS!F:F,0,0,1)</f>
        <v>-75.550359999999998</v>
      </c>
      <c r="G412" s="44" t="str">
        <f>+_xlfn.XLOOKUP(PROYECTOS[[#This Row],[MUNICIPIO]],MUNICIPIOS!A:A,MUNICIPIOS!G:G,0,0,1)</f>
        <v>7,112803</v>
      </c>
      <c r="H412" s="44">
        <f>+_xlfn.XLOOKUP(PROYECTOS[[#This Row],[MUNICIPIO]],MUNICIPIOS!A:A,MUNICIPIOS!B:B,0,0,1)</f>
        <v>1</v>
      </c>
      <c r="I412" s="44">
        <f>+_xlfn.XLOOKUP(PROYECTOS[[#This Row],[MUNICIPIO]],MUNICIPIOS!A:A,MUNICIPIOS!C:C,0,0,1)</f>
        <v>1</v>
      </c>
      <c r="J412" s="34" t="str" cm="1">
        <f t="array" ref="J412">_xlfn.TEXTJOIN(" ", TRUE, IF(radicados[ID PROYECTOS]=A412, radicados[RADICADO], ""))</f>
        <v>2025010210387</v>
      </c>
      <c r="K412" s="45">
        <v>1</v>
      </c>
      <c r="L412" s="70"/>
      <c r="M412" s="34" t="s">
        <v>407</v>
      </c>
      <c r="N412" s="40" t="s">
        <v>1079</v>
      </c>
      <c r="O412" s="40" t="s">
        <v>7</v>
      </c>
      <c r="P412" t="s">
        <v>1168</v>
      </c>
      <c r="Q412" s="45"/>
      <c r="R412" s="166"/>
      <c r="S412" s="166"/>
      <c r="T412" s="44">
        <f>+_xlfn.XLOOKUP(PROYECTOS[[#This Row],[MUNICIPIO]],'4.CAP_ENDMNT'!B:B,'4.CAP_ENDMNT'!C:C,0,0,1)</f>
        <v>6</v>
      </c>
      <c r="U412" s="167">
        <f>+_xlfn.XLOOKUP(PROYECTOS[[#This Row],[MUNICIPIO]],'4.CAP_ENDMNT'!B:B,'4.CAP_ENDMNT'!D:D,0,0,1)</f>
        <v>15936675551.976999</v>
      </c>
      <c r="V412" s="44">
        <f>+_xlfn.XLOOKUP(PROYECTOS[[#This Row],[MUNICIPIO]],'4.CAP_ENDMNT'!B:B,'4.CAP_ENDMNT'!E:E,0,0,1)</f>
        <v>6355203503.6700001</v>
      </c>
      <c r="W412" s="44">
        <f>+_xlfn.XLOOKUP(PROYECTOS[[#This Row],[MUNICIPIO]],'4.CAP_ENDMNT'!B:B,'4.CAP_ENDMNT'!F:F,0,0,1)</f>
        <v>9581472048.3069992</v>
      </c>
      <c r="X412" s="44">
        <f>+_xlfn.XLOOKUP(PROYECTOS[[#This Row],[MUNICIPIO]],'4.CAP_ENDMNT'!B:B,'4.CAP_ENDMNT'!G:G,0,0,1)</f>
        <v>166905356.59</v>
      </c>
      <c r="Y412" s="44">
        <f>+_xlfn.XLOOKUP(PROYECTOS[[#This Row],[MUNICIPIO]],'4.CAP_ENDMNT'!B:B,'4.CAP_ENDMNT'!H:H,0,0,1)</f>
        <v>5064590198</v>
      </c>
      <c r="Z412" s="44">
        <f>+_xlfn.XLOOKUP(PROYECTOS[[#This Row],[MUNICIPIO]],'4.CAP_ENDMNT'!B:B,'4.CAP_ENDMNT'!I:I,0,0,1)</f>
        <v>5231495554.5900002</v>
      </c>
      <c r="AA412" s="134">
        <f>+_xlfn.XLOOKUP(PROYECTOS[[#This Row],[MUNICIPIO]],'4.CAP_ENDMNT'!B:B,'4.CAP_ENDMNT'!J:J,0,0,1)</f>
        <v>0.32826768277534613</v>
      </c>
      <c r="AB412" s="44">
        <f>+_xlfn.XLOOKUP(PROYECTOS[[#This Row],[MUNICIPIO]],'4.CAP_ENDMNT'!B:B,'4.CAP_ENDMNT'!K:K,0,0,1)</f>
        <v>10705179997.386999</v>
      </c>
      <c r="AC412" s="44">
        <f>+_xlfn.XLOOKUP(PROYECTOS[[#This Row],[MUNICIPIO]],'4.CAP_ENDMNT'!B:B,'4.CAP_ENDMNT'!L:L,0,0,1)</f>
        <v>8564143997.9095993</v>
      </c>
      <c r="AD412" s="44">
        <f>+_xlfn.XLOOKUP(PROYECTOS[[#This Row],[MUNICIPIO]],'4.CAP_ENDMNT'!B:B,'4.CAP_ENDMNT'!M:M,0,0,1)</f>
        <v>6423107998.4321995</v>
      </c>
      <c r="AE412" s="134">
        <f>+_xlfn.XLOOKUP(PROYECTOS[[#This Row],[MUNICIPIO]],'4.CAP_ENDMNT'!B:B,'4.CAP_ENDMNT'!N:N,0,0,1)</f>
        <v>3.1903946939907245E-2</v>
      </c>
      <c r="AF412" s="134">
        <f>+_xlfn.XLOOKUP(PROYECTOS[[#This Row],[MUNICIPIO]],'4.CAP_ENDMNT'!B:B,'4.CAP_ENDMNT'!O:O,0,0,1)</f>
        <v>0.65192157878949775</v>
      </c>
      <c r="AG412" s="134">
        <f>+_xlfn.XLOOKUP(PROYECTOS[[#This Row],[MUNICIPIO]],'4.CAP_ENDMNT'!B:B,'4.CAP_ENDMNT'!P:P,0,0,1)</f>
        <v>0.8</v>
      </c>
      <c r="AH412" s="44" t="str">
        <f>+_xlfn.XLOOKUP(PROYECTOS[[#This Row],[MUNICIPIO]],'4.CAP_ENDMNT'!B:B,'4.CAP_ENDMNT'!Q:Q,0,0,1)</f>
        <v>Cumple</v>
      </c>
      <c r="AI412" s="139">
        <f>+_xlfn.XLOOKUP(PROYECTOS[[#This Row],[MUNICIPIO]],'4.CAP_ENDMNT'!B:B,'4.CAP_ENDMNT'!V:V,0,0,1)</f>
        <v>1284621599.68644</v>
      </c>
      <c r="AJ412" s="139">
        <f>+_xlfn.XLOOKUP(PROYECTOS[[#This Row],[MUNICIPIO]],'4.CAP_ENDMNT'!B:B,'4.CAP_ENDMNT'!Y:Y,0,0,1)</f>
        <v>-1198654643.881361</v>
      </c>
      <c r="AK412"/>
      <c r="AL412"/>
      <c r="AM412"/>
    </row>
    <row r="413" spans="1:39" ht="15" customHeight="1">
      <c r="A413" s="44">
        <v>521</v>
      </c>
      <c r="B413" t="s">
        <v>1169</v>
      </c>
      <c r="C413" s="118">
        <v>45770</v>
      </c>
      <c r="D413" s="67" t="s">
        <v>448</v>
      </c>
      <c r="E413" s="47" t="str">
        <f>+_xlfn.XLOOKUP(PROYECTOS[[#This Row],[MUNICIPIO]],MUNICIPIOS!A:A,MUNICIPIOS!E:E,0,0,1)</f>
        <v>Occidente</v>
      </c>
      <c r="F413" s="44">
        <f>+_xlfn.XLOOKUP(PROYECTOS[[#This Row],[MUNICIPIO]],MUNICIPIOS!A:A,MUNICIPIOS!F:F,0,0,1)</f>
        <v>-75.982929999999996</v>
      </c>
      <c r="G413" s="44" t="str">
        <f>+_xlfn.XLOOKUP(PROYECTOS[[#This Row],[MUNICIPIO]],MUNICIPIOS!A:A,MUNICIPIOS!G:G,0,0,1)</f>
        <v>6,405607</v>
      </c>
      <c r="H413" s="44">
        <f>+_xlfn.XLOOKUP(PROYECTOS[[#This Row],[MUNICIPIO]],MUNICIPIOS!A:A,MUNICIPIOS!B:B,0,0,1)</f>
        <v>0</v>
      </c>
      <c r="I413" s="44">
        <f>+_xlfn.XLOOKUP(PROYECTOS[[#This Row],[MUNICIPIO]],MUNICIPIOS!A:A,MUNICIPIOS!C:C,0,0,1)</f>
        <v>1</v>
      </c>
      <c r="J413" s="34" t="str" cm="1">
        <f t="array" ref="J413">_xlfn.TEXTJOIN(" ", TRUE, IF(radicados[ID PROYECTOS]=A413, radicados[RADICADO], ""))</f>
        <v>2025050334542</v>
      </c>
      <c r="K413" s="45">
        <v>1</v>
      </c>
      <c r="L413" s="70"/>
      <c r="M413" s="34" t="s">
        <v>396</v>
      </c>
      <c r="N413" s="34" t="s">
        <v>398</v>
      </c>
      <c r="O413" s="34" t="s">
        <v>25</v>
      </c>
      <c r="P413" t="s">
        <v>1169</v>
      </c>
      <c r="Q413" s="45"/>
      <c r="R413" s="166"/>
      <c r="S413" s="166"/>
      <c r="T413" s="44">
        <f>+_xlfn.XLOOKUP(PROYECTOS[[#This Row],[MUNICIPIO]],'4.CAP_ENDMNT'!B:B,'4.CAP_ENDMNT'!C:C,0,0,1)</f>
        <v>6</v>
      </c>
      <c r="U413" s="167">
        <f>+_xlfn.XLOOKUP(PROYECTOS[[#This Row],[MUNICIPIO]],'4.CAP_ENDMNT'!B:B,'4.CAP_ENDMNT'!D:D,0,0,1)</f>
        <v>8536446221.1044998</v>
      </c>
      <c r="V413" s="44">
        <f>+_xlfn.XLOOKUP(PROYECTOS[[#This Row],[MUNICIPIO]],'4.CAP_ENDMNT'!B:B,'4.CAP_ENDMNT'!E:E,0,0,1)</f>
        <v>2840287960.8099999</v>
      </c>
      <c r="W413" s="44">
        <f>+_xlfn.XLOOKUP(PROYECTOS[[#This Row],[MUNICIPIO]],'4.CAP_ENDMNT'!B:B,'4.CAP_ENDMNT'!F:F,0,0,1)</f>
        <v>5696158260.2945004</v>
      </c>
      <c r="X413" s="44">
        <f>+_xlfn.XLOOKUP(PROYECTOS[[#This Row],[MUNICIPIO]],'4.CAP_ENDMNT'!B:B,'4.CAP_ENDMNT'!G:G,0,0,1)</f>
        <v>1059912604</v>
      </c>
      <c r="Y413" s="44">
        <f>+_xlfn.XLOOKUP(PROYECTOS[[#This Row],[MUNICIPIO]],'4.CAP_ENDMNT'!B:B,'4.CAP_ENDMNT'!H:H,0,0,1)</f>
        <v>559890374</v>
      </c>
      <c r="Z413" s="44">
        <f>+_xlfn.XLOOKUP(PROYECTOS[[#This Row],[MUNICIPIO]],'4.CAP_ENDMNT'!B:B,'4.CAP_ENDMNT'!I:I,0,0,1)</f>
        <v>1619802978</v>
      </c>
      <c r="AA413" s="134">
        <f>+_xlfn.XLOOKUP(PROYECTOS[[#This Row],[MUNICIPIO]],'4.CAP_ENDMNT'!B:B,'4.CAP_ENDMNT'!J:J,0,0,1)</f>
        <v>0.18975144176453554</v>
      </c>
      <c r="AB413" s="44">
        <f>+_xlfn.XLOOKUP(PROYECTOS[[#This Row],[MUNICIPIO]],'4.CAP_ENDMNT'!B:B,'4.CAP_ENDMNT'!K:K,0,0,1)</f>
        <v>6916643243.1044998</v>
      </c>
      <c r="AC413" s="44">
        <f>+_xlfn.XLOOKUP(PROYECTOS[[#This Row],[MUNICIPIO]],'4.CAP_ENDMNT'!B:B,'4.CAP_ENDMNT'!L:L,0,0,1)</f>
        <v>5533314594.4836006</v>
      </c>
      <c r="AD413" s="44">
        <f>+_xlfn.XLOOKUP(PROYECTOS[[#This Row],[MUNICIPIO]],'4.CAP_ENDMNT'!B:B,'4.CAP_ENDMNT'!M:M,0,0,1)</f>
        <v>4149985945.8626995</v>
      </c>
      <c r="AE413" s="134">
        <f>+_xlfn.XLOOKUP(PROYECTOS[[#This Row],[MUNICIPIO]],'4.CAP_ENDMNT'!B:B,'4.CAP_ENDMNT'!N:N,0,0,1)</f>
        <v>0.65434662017271583</v>
      </c>
      <c r="AF413" s="134">
        <f>+_xlfn.XLOOKUP(PROYECTOS[[#This Row],[MUNICIPIO]],'4.CAP_ENDMNT'!B:B,'4.CAP_ENDMNT'!O:O,0,0,1)</f>
        <v>0.62730744736284794</v>
      </c>
      <c r="AG413" s="134">
        <f>+_xlfn.XLOOKUP(PROYECTOS[[#This Row],[MUNICIPIO]],'4.CAP_ENDMNT'!B:B,'4.CAP_ENDMNT'!P:P,0,0,1)</f>
        <v>0.8</v>
      </c>
      <c r="AH413" s="44" t="str">
        <f>+_xlfn.XLOOKUP(PROYECTOS[[#This Row],[MUNICIPIO]],'4.CAP_ENDMNT'!B:B,'4.CAP_ENDMNT'!Q:Q,0,0,1)</f>
        <v>Cumple</v>
      </c>
      <c r="AI413" s="139">
        <f>+_xlfn.XLOOKUP(PROYECTOS[[#This Row],[MUNICIPIO]],'4.CAP_ENDMNT'!B:B,'4.CAP_ENDMNT'!V:V,0,0,1)</f>
        <v>829997189.17253995</v>
      </c>
      <c r="AJ413" s="139">
        <f>+_xlfn.XLOOKUP(PROYECTOS[[#This Row],[MUNICIPIO]],'4.CAP_ENDMNT'!B:B,'4.CAP_ENDMNT'!Y:Y,0,0,1)</f>
        <v>-7956520095.9647608</v>
      </c>
      <c r="AK413"/>
      <c r="AL413"/>
      <c r="AM413"/>
    </row>
    <row r="414" spans="1:39" ht="15" customHeight="1">
      <c r="A414" s="44">
        <v>522</v>
      </c>
      <c r="B414" t="s">
        <v>1170</v>
      </c>
      <c r="C414" s="118">
        <v>45770</v>
      </c>
      <c r="D414" s="67" t="s">
        <v>448</v>
      </c>
      <c r="E414" s="47" t="str">
        <f>+_xlfn.XLOOKUP(PROYECTOS[[#This Row],[MUNICIPIO]],MUNICIPIOS!A:A,MUNICIPIOS!E:E,0,0,1)</f>
        <v>Occidente</v>
      </c>
      <c r="F414" s="44">
        <f>+_xlfn.XLOOKUP(PROYECTOS[[#This Row],[MUNICIPIO]],MUNICIPIOS!A:A,MUNICIPIOS!F:F,0,0,1)</f>
        <v>-75.982929999999996</v>
      </c>
      <c r="G414" s="44" t="str">
        <f>+_xlfn.XLOOKUP(PROYECTOS[[#This Row],[MUNICIPIO]],MUNICIPIOS!A:A,MUNICIPIOS!G:G,0,0,1)</f>
        <v>6,405607</v>
      </c>
      <c r="H414" s="44">
        <f>+_xlfn.XLOOKUP(PROYECTOS[[#This Row],[MUNICIPIO]],MUNICIPIOS!A:A,MUNICIPIOS!B:B,0,0,1)</f>
        <v>0</v>
      </c>
      <c r="I414" s="44">
        <f>+_xlfn.XLOOKUP(PROYECTOS[[#This Row],[MUNICIPIO]],MUNICIPIOS!A:A,MUNICIPIOS!C:C,0,0,1)</f>
        <v>1</v>
      </c>
      <c r="J414" s="34" t="str" cm="1">
        <f t="array" ref="J414">_xlfn.TEXTJOIN(" ", TRUE, IF(radicados[ID PROYECTOS]=A414, radicados[RADICADO], ""))</f>
        <v>2025020367371</v>
      </c>
      <c r="K414" s="45">
        <v>1</v>
      </c>
      <c r="L414" s="70"/>
      <c r="M414" s="34" t="s">
        <v>407</v>
      </c>
      <c r="N414" s="34" t="s">
        <v>398</v>
      </c>
      <c r="O414" s="34" t="s">
        <v>25</v>
      </c>
      <c r="P414" t="s">
        <v>1170</v>
      </c>
      <c r="Q414" s="45"/>
      <c r="R414" s="166"/>
      <c r="S414" s="166"/>
      <c r="T414" s="44">
        <f>+_xlfn.XLOOKUP(PROYECTOS[[#This Row],[MUNICIPIO]],'4.CAP_ENDMNT'!B:B,'4.CAP_ENDMNT'!C:C,0,0,1)</f>
        <v>6</v>
      </c>
      <c r="U414" s="167">
        <f>+_xlfn.XLOOKUP(PROYECTOS[[#This Row],[MUNICIPIO]],'4.CAP_ENDMNT'!B:B,'4.CAP_ENDMNT'!D:D,0,0,1)</f>
        <v>8536446221.1044998</v>
      </c>
      <c r="V414" s="44">
        <f>+_xlfn.XLOOKUP(PROYECTOS[[#This Row],[MUNICIPIO]],'4.CAP_ENDMNT'!B:B,'4.CAP_ENDMNT'!E:E,0,0,1)</f>
        <v>2840287960.8099999</v>
      </c>
      <c r="W414" s="44">
        <f>+_xlfn.XLOOKUP(PROYECTOS[[#This Row],[MUNICIPIO]],'4.CAP_ENDMNT'!B:B,'4.CAP_ENDMNT'!F:F,0,0,1)</f>
        <v>5696158260.2945004</v>
      </c>
      <c r="X414" s="44">
        <f>+_xlfn.XLOOKUP(PROYECTOS[[#This Row],[MUNICIPIO]],'4.CAP_ENDMNT'!B:B,'4.CAP_ENDMNT'!G:G,0,0,1)</f>
        <v>1059912604</v>
      </c>
      <c r="Y414" s="44">
        <f>+_xlfn.XLOOKUP(PROYECTOS[[#This Row],[MUNICIPIO]],'4.CAP_ENDMNT'!B:B,'4.CAP_ENDMNT'!H:H,0,0,1)</f>
        <v>559890374</v>
      </c>
      <c r="Z414" s="44">
        <f>+_xlfn.XLOOKUP(PROYECTOS[[#This Row],[MUNICIPIO]],'4.CAP_ENDMNT'!B:B,'4.CAP_ENDMNT'!I:I,0,0,1)</f>
        <v>1619802978</v>
      </c>
      <c r="AA414" s="134">
        <f>+_xlfn.XLOOKUP(PROYECTOS[[#This Row],[MUNICIPIO]],'4.CAP_ENDMNT'!B:B,'4.CAP_ENDMNT'!J:J,0,0,1)</f>
        <v>0.18975144176453554</v>
      </c>
      <c r="AB414" s="44">
        <f>+_xlfn.XLOOKUP(PROYECTOS[[#This Row],[MUNICIPIO]],'4.CAP_ENDMNT'!B:B,'4.CAP_ENDMNT'!K:K,0,0,1)</f>
        <v>6916643243.1044998</v>
      </c>
      <c r="AC414" s="44">
        <f>+_xlfn.XLOOKUP(PROYECTOS[[#This Row],[MUNICIPIO]],'4.CAP_ENDMNT'!B:B,'4.CAP_ENDMNT'!L:L,0,0,1)</f>
        <v>5533314594.4836006</v>
      </c>
      <c r="AD414" s="44">
        <f>+_xlfn.XLOOKUP(PROYECTOS[[#This Row],[MUNICIPIO]],'4.CAP_ENDMNT'!B:B,'4.CAP_ENDMNT'!M:M,0,0,1)</f>
        <v>4149985945.8626995</v>
      </c>
      <c r="AE414" s="134">
        <f>+_xlfn.XLOOKUP(PROYECTOS[[#This Row],[MUNICIPIO]],'4.CAP_ENDMNT'!B:B,'4.CAP_ENDMNT'!N:N,0,0,1)</f>
        <v>0.65434662017271583</v>
      </c>
      <c r="AF414" s="134">
        <f>+_xlfn.XLOOKUP(PROYECTOS[[#This Row],[MUNICIPIO]],'4.CAP_ENDMNT'!B:B,'4.CAP_ENDMNT'!O:O,0,0,1)</f>
        <v>0.62730744736284794</v>
      </c>
      <c r="AG414" s="134">
        <f>+_xlfn.XLOOKUP(PROYECTOS[[#This Row],[MUNICIPIO]],'4.CAP_ENDMNT'!B:B,'4.CAP_ENDMNT'!P:P,0,0,1)</f>
        <v>0.8</v>
      </c>
      <c r="AH414" s="44" t="str">
        <f>+_xlfn.XLOOKUP(PROYECTOS[[#This Row],[MUNICIPIO]],'4.CAP_ENDMNT'!B:B,'4.CAP_ENDMNT'!Q:Q,0,0,1)</f>
        <v>Cumple</v>
      </c>
      <c r="AI414" s="139">
        <f>+_xlfn.XLOOKUP(PROYECTOS[[#This Row],[MUNICIPIO]],'4.CAP_ENDMNT'!B:B,'4.CAP_ENDMNT'!V:V,0,0,1)</f>
        <v>829997189.17253995</v>
      </c>
      <c r="AJ414" s="139">
        <f>+_xlfn.XLOOKUP(PROYECTOS[[#This Row],[MUNICIPIO]],'4.CAP_ENDMNT'!B:B,'4.CAP_ENDMNT'!Y:Y,0,0,1)</f>
        <v>-7956520095.9647608</v>
      </c>
      <c r="AK414"/>
      <c r="AL414"/>
      <c r="AM414"/>
    </row>
    <row r="415" spans="1:39" ht="15" customHeight="1">
      <c r="A415" s="44">
        <v>523</v>
      </c>
      <c r="B415" t="s">
        <v>1171</v>
      </c>
      <c r="C415" s="118">
        <f>+_xlfn.XLOOKUP(PROYECTOS[[#This Row],[ID_NECESIDAD]],'1.RADICADOS'!G:G,'1.RADICADOS'!C:C,0,0,1)*1</f>
        <v>45782</v>
      </c>
      <c r="D415" s="67" t="s">
        <v>153</v>
      </c>
      <c r="E415" s="47" t="str">
        <f>+_xlfn.XLOOKUP(PROYECTOS[[#This Row],[MUNICIPIO]],MUNICIPIOS!A:A,MUNICIPIOS!E:E,0,0,1)</f>
        <v>Urabá</v>
      </c>
      <c r="F415" s="44">
        <f>+_xlfn.XLOOKUP(PROYECTOS[[#This Row],[MUNICIPIO]],MUNICIPIOS!A:A,MUNICIPIOS!F:F,0,0,1)</f>
        <v>-76.787271000000004</v>
      </c>
      <c r="G415" s="44" t="str">
        <f>+_xlfn.XLOOKUP(PROYECTOS[[#This Row],[MUNICIPIO]],MUNICIPIOS!A:A,MUNICIPIOS!G:G,0,0,1)</f>
        <v>8,434526</v>
      </c>
      <c r="H415" s="44">
        <f>+_xlfn.XLOOKUP(PROYECTOS[[#This Row],[MUNICIPIO]],MUNICIPIOS!A:A,MUNICIPIOS!B:B,0,0,1)</f>
        <v>1</v>
      </c>
      <c r="I415" s="44">
        <f>+_xlfn.XLOOKUP(PROYECTOS[[#This Row],[MUNICIPIO]],MUNICIPIOS!A:A,MUNICIPIOS!C:C,0,0,1)</f>
        <v>1</v>
      </c>
      <c r="J415" s="34" t="str" cm="1">
        <f t="array" ref="J415">_xlfn.TEXTJOIN(" ", TRUE, IF(radicados[ID PROYECTOS]=A415, radicados[RADICADO], ""))</f>
        <v>2025010216055</v>
      </c>
      <c r="K415" s="45">
        <v>3</v>
      </c>
      <c r="L415" s="70">
        <v>10785716418</v>
      </c>
      <c r="M415" s="34" t="s">
        <v>435</v>
      </c>
      <c r="N415" s="40" t="s">
        <v>398</v>
      </c>
      <c r="O415" s="40" t="s">
        <v>25</v>
      </c>
      <c r="P415" t="s">
        <v>1171</v>
      </c>
      <c r="Q415" s="45">
        <v>1</v>
      </c>
      <c r="R415" s="43" t="s">
        <v>922</v>
      </c>
      <c r="S415" s="43" t="s">
        <v>1643</v>
      </c>
      <c r="T415" s="44">
        <f>+_xlfn.XLOOKUP(PROYECTOS[[#This Row],[MUNICIPIO]],'4.CAP_ENDMNT'!B:B,'4.CAP_ENDMNT'!C:C,0,0,1)</f>
        <v>6</v>
      </c>
      <c r="U415" s="167">
        <f>+_xlfn.XLOOKUP(PROYECTOS[[#This Row],[MUNICIPIO]],'4.CAP_ENDMNT'!B:B,'4.CAP_ENDMNT'!D:D,0,0,1)</f>
        <v>30137297790.127998</v>
      </c>
      <c r="V415" s="44">
        <f>+_xlfn.XLOOKUP(PROYECTOS[[#This Row],[MUNICIPIO]],'4.CAP_ENDMNT'!B:B,'4.CAP_ENDMNT'!E:E,0,0,1)</f>
        <v>12298726691.530001</v>
      </c>
      <c r="W415" s="44">
        <f>+_xlfn.XLOOKUP(PROYECTOS[[#This Row],[MUNICIPIO]],'4.CAP_ENDMNT'!B:B,'4.CAP_ENDMNT'!F:F,0,0,1)</f>
        <v>17838571098.598</v>
      </c>
      <c r="X415" s="44">
        <f>+_xlfn.XLOOKUP(PROYECTOS[[#This Row],[MUNICIPIO]],'4.CAP_ENDMNT'!B:B,'4.CAP_ENDMNT'!G:G,0,0,1)</f>
        <v>2369107602</v>
      </c>
      <c r="Y415" s="44">
        <f>+_xlfn.XLOOKUP(PROYECTOS[[#This Row],[MUNICIPIO]],'4.CAP_ENDMNT'!B:B,'4.CAP_ENDMNT'!H:H,0,0,1)</f>
        <v>13974896585</v>
      </c>
      <c r="Z415" s="44">
        <f>+_xlfn.XLOOKUP(PROYECTOS[[#This Row],[MUNICIPIO]],'4.CAP_ENDMNT'!B:B,'4.CAP_ENDMNT'!I:I,0,0,1)</f>
        <v>16344004187</v>
      </c>
      <c r="AA415" s="134">
        <f>+_xlfn.XLOOKUP(PROYECTOS[[#This Row],[MUNICIPIO]],'4.CAP_ENDMNT'!B:B,'4.CAP_ENDMNT'!J:J,0,0,1)</f>
        <v>0.54231817002364979</v>
      </c>
      <c r="AB415" s="44">
        <f>+_xlfn.XLOOKUP(PROYECTOS[[#This Row],[MUNICIPIO]],'4.CAP_ENDMNT'!B:B,'4.CAP_ENDMNT'!K:K,0,0,1)</f>
        <v>13793293603.127998</v>
      </c>
      <c r="AC415" s="44">
        <f>+_xlfn.XLOOKUP(PROYECTOS[[#This Row],[MUNICIPIO]],'4.CAP_ENDMNT'!B:B,'4.CAP_ENDMNT'!L:L,0,0,1)</f>
        <v>11034634882.502399</v>
      </c>
      <c r="AD415" s="44">
        <f>+_xlfn.XLOOKUP(PROYECTOS[[#This Row],[MUNICIPIO]],'4.CAP_ENDMNT'!B:B,'4.CAP_ENDMNT'!M:M,0,0,1)</f>
        <v>8275976161.8767986</v>
      </c>
      <c r="AE415" s="134">
        <f>+_xlfn.XLOOKUP(PROYECTOS[[#This Row],[MUNICIPIO]],'4.CAP_ENDMNT'!B:B,'4.CAP_ENDMNT'!N:N,0,0,1)</f>
        <v>0.1449527040554961</v>
      </c>
      <c r="AF415" s="134">
        <f>+_xlfn.XLOOKUP(PROYECTOS[[#This Row],[MUNICIPIO]],'4.CAP_ENDMNT'!B:B,'4.CAP_ENDMNT'!O:O,0,0,1)</f>
        <v>0.58055985759165929</v>
      </c>
      <c r="AG415" s="134">
        <f>+_xlfn.XLOOKUP(PROYECTOS[[#This Row],[MUNICIPIO]],'4.CAP_ENDMNT'!B:B,'4.CAP_ENDMNT'!P:P,0,0,1)</f>
        <v>0.8</v>
      </c>
      <c r="AH415" s="44" t="str">
        <f>+_xlfn.XLOOKUP(PROYECTOS[[#This Row],[MUNICIPIO]],'4.CAP_ENDMNT'!B:B,'4.CAP_ENDMNT'!Q:Q,0,0,1)</f>
        <v>Cumple</v>
      </c>
      <c r="AI415" s="139">
        <f>+_xlfn.XLOOKUP(PROYECTOS[[#This Row],[MUNICIPIO]],'4.CAP_ENDMNT'!B:B,'4.CAP_ENDMNT'!V:V,0,0,1)</f>
        <v>1655195232.3753598</v>
      </c>
      <c r="AJ415" s="139">
        <f>+_xlfn.XLOOKUP(PROYECTOS[[#This Row],[MUNICIPIO]],'4.CAP_ENDMNT'!B:B,'4.CAP_ENDMNT'!Y:Y,0,0,1)</f>
        <v>-48565434249.747841</v>
      </c>
      <c r="AK415"/>
      <c r="AL415"/>
      <c r="AM415"/>
    </row>
    <row r="416" spans="1:39" ht="15" customHeight="1">
      <c r="A416" s="44">
        <v>524</v>
      </c>
      <c r="B416" t="s">
        <v>1172</v>
      </c>
      <c r="C416" s="118">
        <f>+_xlfn.XLOOKUP(PROYECTOS[[#This Row],[ID_NECESIDAD]],'1.RADICADOS'!G:G,'1.RADICADOS'!C:C,0,0,1)*1</f>
        <v>45782</v>
      </c>
      <c r="D416" s="67" t="s">
        <v>186</v>
      </c>
      <c r="E416" s="47" t="str">
        <f>+_xlfn.XLOOKUP(PROYECTOS[[#This Row],[MUNICIPIO]],MUNICIPIOS!A:A,MUNICIPIOS!E:E,0,0,1)</f>
        <v>Oriente</v>
      </c>
      <c r="F416" s="44">
        <f>+_xlfn.XLOOKUP(PROYECTOS[[#This Row],[MUNICIPIO]],MUNICIPIOS!A:A,MUNICIPIOS!F:F,0,0,1)</f>
        <v>-75.360873999999995</v>
      </c>
      <c r="G416" s="44" t="str">
        <f>+_xlfn.XLOOKUP(PROYECTOS[[#This Row],[MUNICIPIO]],MUNICIPIOS!A:A,MUNICIPIOS!G:G,0,0,1)</f>
        <v>5,973845</v>
      </c>
      <c r="H416" s="44">
        <f>+_xlfn.XLOOKUP(PROYECTOS[[#This Row],[MUNICIPIO]],MUNICIPIOS!A:A,MUNICIPIOS!B:B,0,0,1)</f>
        <v>0</v>
      </c>
      <c r="I416" s="44">
        <f>+_xlfn.XLOOKUP(PROYECTOS[[#This Row],[MUNICIPIO]],MUNICIPIOS!A:A,MUNICIPIOS!C:C,0,0,1)</f>
        <v>0</v>
      </c>
      <c r="J416" s="34" t="str" cm="1">
        <f t="array" ref="J416">_xlfn.TEXTJOIN(" ", TRUE, IF(radicados[ID PROYECTOS]=A416, radicados[RADICADO], ""))</f>
        <v>2025010217979</v>
      </c>
      <c r="K416" s="45">
        <v>2</v>
      </c>
      <c r="L416" s="70"/>
      <c r="M416" s="34" t="s">
        <v>435</v>
      </c>
      <c r="N416" s="40" t="s">
        <v>394</v>
      </c>
      <c r="O416" s="40" t="s">
        <v>18</v>
      </c>
      <c r="P416" t="s">
        <v>1172</v>
      </c>
      <c r="Q416" s="45"/>
      <c r="R416" s="166"/>
      <c r="S416" s="166"/>
      <c r="T416" s="44">
        <f>+_xlfn.XLOOKUP(PROYECTOS[[#This Row],[MUNICIPIO]],'4.CAP_ENDMNT'!B:B,'4.CAP_ENDMNT'!C:C,0,0,1)</f>
        <v>6</v>
      </c>
      <c r="U416" s="167">
        <f>+_xlfn.XLOOKUP(PROYECTOS[[#This Row],[MUNICIPIO]],'4.CAP_ENDMNT'!B:B,'4.CAP_ENDMNT'!D:D,0,0,1)</f>
        <v>22781121123.307999</v>
      </c>
      <c r="V416" s="44">
        <f>+_xlfn.XLOOKUP(PROYECTOS[[#This Row],[MUNICIPIO]],'4.CAP_ENDMNT'!B:B,'4.CAP_ENDMNT'!E:E,0,0,1)</f>
        <v>7460247261.1800003</v>
      </c>
      <c r="W416" s="44">
        <f>+_xlfn.XLOOKUP(PROYECTOS[[#This Row],[MUNICIPIO]],'4.CAP_ENDMNT'!B:B,'4.CAP_ENDMNT'!F:F,0,0,1)</f>
        <v>15320873862.127998</v>
      </c>
      <c r="X416" s="44">
        <f>+_xlfn.XLOOKUP(PROYECTOS[[#This Row],[MUNICIPIO]],'4.CAP_ENDMNT'!B:B,'4.CAP_ENDMNT'!G:G,0,0,1)</f>
        <v>8372353142.5600004</v>
      </c>
      <c r="Y416" s="44">
        <f>+_xlfn.XLOOKUP(PROYECTOS[[#This Row],[MUNICIPIO]],'4.CAP_ENDMNT'!B:B,'4.CAP_ENDMNT'!H:H,0,0,1)</f>
        <v>142113074</v>
      </c>
      <c r="Z416" s="44">
        <f>+_xlfn.XLOOKUP(PROYECTOS[[#This Row],[MUNICIPIO]],'4.CAP_ENDMNT'!B:B,'4.CAP_ENDMNT'!I:I,0,0,1)</f>
        <v>8514466216.5600004</v>
      </c>
      <c r="AA416" s="134">
        <f>+_xlfn.XLOOKUP(PROYECTOS[[#This Row],[MUNICIPIO]],'4.CAP_ENDMNT'!B:B,'4.CAP_ENDMNT'!J:J,0,0,1)</f>
        <v>0.37375097434729027</v>
      </c>
      <c r="AB416" s="44">
        <f>+_xlfn.XLOOKUP(PROYECTOS[[#This Row],[MUNICIPIO]],'4.CAP_ENDMNT'!B:B,'4.CAP_ENDMNT'!K:K,0,0,1)</f>
        <v>14266654906.747997</v>
      </c>
      <c r="AC416" s="44">
        <f>+_xlfn.XLOOKUP(PROYECTOS[[#This Row],[MUNICIPIO]],'4.CAP_ENDMNT'!B:B,'4.CAP_ENDMNT'!L:L,0,0,1)</f>
        <v>11413323925.398399</v>
      </c>
      <c r="AD416" s="44">
        <f>+_xlfn.XLOOKUP(PROYECTOS[[#This Row],[MUNICIPIO]],'4.CAP_ENDMNT'!B:B,'4.CAP_ENDMNT'!M:M,0,0,1)</f>
        <v>8559992944.0487976</v>
      </c>
      <c r="AE416" s="134">
        <f>+_xlfn.XLOOKUP(PROYECTOS[[#This Row],[MUNICIPIO]],'4.CAP_ENDMNT'!B:B,'4.CAP_ENDMNT'!N:N,0,0,1)</f>
        <v>0.98330922099102336</v>
      </c>
      <c r="AF416" s="134">
        <f>+_xlfn.XLOOKUP(PROYECTOS[[#This Row],[MUNICIPIO]],'4.CAP_ENDMNT'!B:B,'4.CAP_ENDMNT'!O:O,0,0,1)</f>
        <v>0.47573857187041646</v>
      </c>
      <c r="AG416" s="134">
        <f>+_xlfn.XLOOKUP(PROYECTOS[[#This Row],[MUNICIPIO]],'4.CAP_ENDMNT'!B:B,'4.CAP_ENDMNT'!P:P,0,0,1)</f>
        <v>0.8</v>
      </c>
      <c r="AH416" s="44" t="str">
        <f>+_xlfn.XLOOKUP(PROYECTOS[[#This Row],[MUNICIPIO]],'4.CAP_ENDMNT'!B:B,'4.CAP_ENDMNT'!Q:Q,0,0,1)</f>
        <v>Cumple</v>
      </c>
      <c r="AI416" s="139">
        <f>+_xlfn.XLOOKUP(PROYECTOS[[#This Row],[MUNICIPIO]],'4.CAP_ENDMNT'!B:B,'4.CAP_ENDMNT'!V:V,0,0,1)</f>
        <v>1711998588.8097596</v>
      </c>
      <c r="AJ416" s="139">
        <f>+_xlfn.XLOOKUP(PROYECTOS[[#This Row],[MUNICIPIO]],'4.CAP_ENDMNT'!B:B,'4.CAP_ENDMNT'!Y:Y,0,0,1)</f>
        <v>-9965414152.1414433</v>
      </c>
      <c r="AK416"/>
      <c r="AL416"/>
      <c r="AM416"/>
    </row>
    <row r="417" spans="1:39" ht="15" customHeight="1">
      <c r="A417" s="44">
        <v>525</v>
      </c>
      <c r="B417" t="s">
        <v>1173</v>
      </c>
      <c r="C417" s="118">
        <f>+_xlfn.XLOOKUP(PROYECTOS[[#This Row],[ID_NECESIDAD]],'1.RADICADOS'!G:G,'1.RADICADOS'!C:C,0,0,1)*1</f>
        <v>45782</v>
      </c>
      <c r="D417" s="67" t="s">
        <v>186</v>
      </c>
      <c r="E417" s="47" t="str">
        <f>+_xlfn.XLOOKUP(PROYECTOS[[#This Row],[MUNICIPIO]],MUNICIPIOS!A:A,MUNICIPIOS!E:E,0,0,1)</f>
        <v>Oriente</v>
      </c>
      <c r="F417" s="44">
        <f>+_xlfn.XLOOKUP(PROYECTOS[[#This Row],[MUNICIPIO]],MUNICIPIOS!A:A,MUNICIPIOS!F:F,0,0,1)</f>
        <v>-75.360873999999995</v>
      </c>
      <c r="G417" s="44" t="str">
        <f>+_xlfn.XLOOKUP(PROYECTOS[[#This Row],[MUNICIPIO]],MUNICIPIOS!A:A,MUNICIPIOS!G:G,0,0,1)</f>
        <v>5,973845</v>
      </c>
      <c r="H417" s="44">
        <f>+_xlfn.XLOOKUP(PROYECTOS[[#This Row],[MUNICIPIO]],MUNICIPIOS!A:A,MUNICIPIOS!B:B,0,0,1)</f>
        <v>0</v>
      </c>
      <c r="I417" s="44">
        <f>+_xlfn.XLOOKUP(PROYECTOS[[#This Row],[MUNICIPIO]],MUNICIPIOS!A:A,MUNICIPIOS!C:C,0,0,1)</f>
        <v>0</v>
      </c>
      <c r="J417" s="34"/>
      <c r="K417" s="45">
        <v>2</v>
      </c>
      <c r="L417" s="70">
        <v>2063521851</v>
      </c>
      <c r="M417" s="34" t="s">
        <v>407</v>
      </c>
      <c r="N417" s="40" t="s">
        <v>398</v>
      </c>
      <c r="O417" s="40" t="s">
        <v>25</v>
      </c>
      <c r="P417" t="s">
        <v>1173</v>
      </c>
      <c r="Q417" s="45"/>
      <c r="R417" s="166"/>
      <c r="S417" s="166"/>
      <c r="T417" s="44">
        <f>+_xlfn.XLOOKUP(PROYECTOS[[#This Row],[MUNICIPIO]],'4.CAP_ENDMNT'!B:B,'4.CAP_ENDMNT'!C:C,0,0,1)</f>
        <v>6</v>
      </c>
      <c r="U417" s="167">
        <f>+_xlfn.XLOOKUP(PROYECTOS[[#This Row],[MUNICIPIO]],'4.CAP_ENDMNT'!B:B,'4.CAP_ENDMNT'!D:D,0,0,1)</f>
        <v>22781121123.307999</v>
      </c>
      <c r="V417" s="44">
        <f>+_xlfn.XLOOKUP(PROYECTOS[[#This Row],[MUNICIPIO]],'4.CAP_ENDMNT'!B:B,'4.CAP_ENDMNT'!E:E,0,0,1)</f>
        <v>7460247261.1800003</v>
      </c>
      <c r="W417" s="44">
        <f>+_xlfn.XLOOKUP(PROYECTOS[[#This Row],[MUNICIPIO]],'4.CAP_ENDMNT'!B:B,'4.CAP_ENDMNT'!F:F,0,0,1)</f>
        <v>15320873862.127998</v>
      </c>
      <c r="X417" s="44">
        <f>+_xlfn.XLOOKUP(PROYECTOS[[#This Row],[MUNICIPIO]],'4.CAP_ENDMNT'!B:B,'4.CAP_ENDMNT'!G:G,0,0,1)</f>
        <v>8372353142.5600004</v>
      </c>
      <c r="Y417" s="44">
        <f>+_xlfn.XLOOKUP(PROYECTOS[[#This Row],[MUNICIPIO]],'4.CAP_ENDMNT'!B:B,'4.CAP_ENDMNT'!H:H,0,0,1)</f>
        <v>142113074</v>
      </c>
      <c r="Z417" s="44">
        <f>+_xlfn.XLOOKUP(PROYECTOS[[#This Row],[MUNICIPIO]],'4.CAP_ENDMNT'!B:B,'4.CAP_ENDMNT'!I:I,0,0,1)</f>
        <v>8514466216.5600004</v>
      </c>
      <c r="AA417" s="134">
        <f>+_xlfn.XLOOKUP(PROYECTOS[[#This Row],[MUNICIPIO]],'4.CAP_ENDMNT'!B:B,'4.CAP_ENDMNT'!J:J,0,0,1)</f>
        <v>0.37375097434729027</v>
      </c>
      <c r="AB417" s="44">
        <f>+_xlfn.XLOOKUP(PROYECTOS[[#This Row],[MUNICIPIO]],'4.CAP_ENDMNT'!B:B,'4.CAP_ENDMNT'!K:K,0,0,1)</f>
        <v>14266654906.747997</v>
      </c>
      <c r="AC417" s="44">
        <f>+_xlfn.XLOOKUP(PROYECTOS[[#This Row],[MUNICIPIO]],'4.CAP_ENDMNT'!B:B,'4.CAP_ENDMNT'!L:L,0,0,1)</f>
        <v>11413323925.398399</v>
      </c>
      <c r="AD417" s="44">
        <f>+_xlfn.XLOOKUP(PROYECTOS[[#This Row],[MUNICIPIO]],'4.CAP_ENDMNT'!B:B,'4.CAP_ENDMNT'!M:M,0,0,1)</f>
        <v>8559992944.0487976</v>
      </c>
      <c r="AE417" s="134">
        <f>+_xlfn.XLOOKUP(PROYECTOS[[#This Row],[MUNICIPIO]],'4.CAP_ENDMNT'!B:B,'4.CAP_ENDMNT'!N:N,0,0,1)</f>
        <v>0.98330922099102336</v>
      </c>
      <c r="AF417" s="134">
        <f>+_xlfn.XLOOKUP(PROYECTOS[[#This Row],[MUNICIPIO]],'4.CAP_ENDMNT'!B:B,'4.CAP_ENDMNT'!O:O,0,0,1)</f>
        <v>0.47573857187041646</v>
      </c>
      <c r="AG417" s="134">
        <f>+_xlfn.XLOOKUP(PROYECTOS[[#This Row],[MUNICIPIO]],'4.CAP_ENDMNT'!B:B,'4.CAP_ENDMNT'!P:P,0,0,1)</f>
        <v>0.8</v>
      </c>
      <c r="AH417" s="44" t="str">
        <f>+_xlfn.XLOOKUP(PROYECTOS[[#This Row],[MUNICIPIO]],'4.CAP_ENDMNT'!B:B,'4.CAP_ENDMNT'!Q:Q,0,0,1)</f>
        <v>Cumple</v>
      </c>
      <c r="AI417" s="139">
        <f>+_xlfn.XLOOKUP(PROYECTOS[[#This Row],[MUNICIPIO]],'4.CAP_ENDMNT'!B:B,'4.CAP_ENDMNT'!V:V,0,0,1)</f>
        <v>1711998588.8097596</v>
      </c>
      <c r="AJ417" s="139">
        <f>+_xlfn.XLOOKUP(PROYECTOS[[#This Row],[MUNICIPIO]],'4.CAP_ENDMNT'!B:B,'4.CAP_ENDMNT'!Y:Y,0,0,1)</f>
        <v>-9965414152.1414433</v>
      </c>
      <c r="AK417"/>
      <c r="AL417"/>
      <c r="AM417"/>
    </row>
    <row r="418" spans="1:39" ht="15" customHeight="1">
      <c r="A418" s="44">
        <v>526</v>
      </c>
      <c r="B418" s="37" t="s">
        <v>1181</v>
      </c>
      <c r="C418" s="118">
        <v>45786</v>
      </c>
      <c r="D418" s="67" t="s">
        <v>120</v>
      </c>
      <c r="E418" s="47" t="str">
        <f>+_xlfn.XLOOKUP(PROYECTOS[[#This Row],[MUNICIPIO]],MUNICIPIOS!A:A,MUNICIPIOS!E:E,0,0,1)</f>
        <v>Norte</v>
      </c>
      <c r="F418" s="44">
        <f>+_xlfn.XLOOKUP(PROYECTOS[[#This Row],[MUNICIPIO]],MUNICIPIOS!A:A,MUNICIPIOS!F:F,0,0,1)</f>
        <v>-75.418828000000005</v>
      </c>
      <c r="G418" s="44">
        <f>+_xlfn.XLOOKUP(PROYECTOS[[#This Row],[MUNICIPIO]],MUNICIPIOS!A:A,MUNICIPIOS!G:G,0,0,1)</f>
        <v>6.963832</v>
      </c>
      <c r="H418" s="44">
        <f>+_xlfn.XLOOKUP(PROYECTOS[[#This Row],[MUNICIPIO]],MUNICIPIOS!A:A,MUNICIPIOS!B:B,0,0,1)</f>
        <v>0</v>
      </c>
      <c r="I418" s="44">
        <f>+_xlfn.XLOOKUP(PROYECTOS[[#This Row],[MUNICIPIO]],MUNICIPIOS!A:A,MUNICIPIOS!C:C,0,0,1)</f>
        <v>1</v>
      </c>
      <c r="J418" s="34" t="str" cm="1">
        <f t="array" ref="J418">_xlfn.TEXTJOIN(" ", TRUE, IF(radicados[ID PROYECTOS]=A418, radicados[RADICADO], ""))</f>
        <v>2025010230047</v>
      </c>
      <c r="K418" s="45">
        <v>3</v>
      </c>
      <c r="L418" s="70">
        <v>1987058803</v>
      </c>
      <c r="M418" s="34" t="s">
        <v>435</v>
      </c>
      <c r="N418" s="40" t="s">
        <v>398</v>
      </c>
      <c r="O418" s="40" t="s">
        <v>25</v>
      </c>
      <c r="P418" s="37" t="s">
        <v>1248</v>
      </c>
      <c r="Q418" s="45">
        <v>1</v>
      </c>
      <c r="R418" s="43" t="s">
        <v>922</v>
      </c>
      <c r="S418" s="43" t="s">
        <v>1643</v>
      </c>
      <c r="T418" s="44">
        <f>+_xlfn.XLOOKUP(PROYECTOS[[#This Row],[MUNICIPIO]],'4.CAP_ENDMNT'!B:B,'4.CAP_ENDMNT'!C:C,0,0,1)</f>
        <v>5</v>
      </c>
      <c r="U418" s="167">
        <f>+_xlfn.XLOOKUP(PROYECTOS[[#This Row],[MUNICIPIO]],'4.CAP_ENDMNT'!B:B,'4.CAP_ENDMNT'!D:D,0,0,1)</f>
        <v>36204719778.619003</v>
      </c>
      <c r="V418" s="44">
        <f>+_xlfn.XLOOKUP(PROYECTOS[[#This Row],[MUNICIPIO]],'4.CAP_ENDMNT'!B:B,'4.CAP_ENDMNT'!E:E,0,0,1)</f>
        <v>11082623753.610001</v>
      </c>
      <c r="W418" s="44">
        <f>+_xlfn.XLOOKUP(PROYECTOS[[#This Row],[MUNICIPIO]],'4.CAP_ENDMNT'!B:B,'4.CAP_ENDMNT'!F:F,0,0,1)</f>
        <v>25122096025.009003</v>
      </c>
      <c r="X418" s="44">
        <f>+_xlfn.XLOOKUP(PROYECTOS[[#This Row],[MUNICIPIO]],'4.CAP_ENDMNT'!B:B,'4.CAP_ENDMNT'!G:G,0,0,1)</f>
        <v>1291156679</v>
      </c>
      <c r="Y418" s="44">
        <f>+_xlfn.XLOOKUP(PROYECTOS[[#This Row],[MUNICIPIO]],'4.CAP_ENDMNT'!B:B,'4.CAP_ENDMNT'!H:H,0,0,1)</f>
        <v>12320355879.07</v>
      </c>
      <c r="Z418" s="44">
        <f>+_xlfn.XLOOKUP(PROYECTOS[[#This Row],[MUNICIPIO]],'4.CAP_ENDMNT'!B:B,'4.CAP_ENDMNT'!I:I,0,0,1)</f>
        <v>13611512558.07</v>
      </c>
      <c r="AA418" s="134">
        <f>+_xlfn.XLOOKUP(PROYECTOS[[#This Row],[MUNICIPIO]],'4.CAP_ENDMNT'!B:B,'4.CAP_ENDMNT'!J:J,0,0,1)</f>
        <v>0.37595961635113639</v>
      </c>
      <c r="AB418" s="44">
        <f>+_xlfn.XLOOKUP(PROYECTOS[[#This Row],[MUNICIPIO]],'4.CAP_ENDMNT'!B:B,'4.CAP_ENDMNT'!K:K,0,0,1)</f>
        <v>22593207220.549004</v>
      </c>
      <c r="AC418" s="44">
        <f>+_xlfn.XLOOKUP(PROYECTOS[[#This Row],[MUNICIPIO]],'4.CAP_ENDMNT'!B:B,'4.CAP_ENDMNT'!L:L,0,0,1)</f>
        <v>18074565776.439205</v>
      </c>
      <c r="AD418" s="44">
        <f>+_xlfn.XLOOKUP(PROYECTOS[[#This Row],[MUNICIPIO]],'4.CAP_ENDMNT'!B:B,'4.CAP_ENDMNT'!M:M,0,0,1)</f>
        <v>13555924332.329401</v>
      </c>
      <c r="AE418" s="134">
        <f>+_xlfn.XLOOKUP(PROYECTOS[[#This Row],[MUNICIPIO]],'4.CAP_ENDMNT'!B:B,'4.CAP_ENDMNT'!N:N,0,0,1)</f>
        <v>9.4857692963336279E-2</v>
      </c>
      <c r="AF418" s="134">
        <f>+_xlfn.XLOOKUP(PROYECTOS[[#This Row],[MUNICIPIO]],'4.CAP_ENDMNT'!B:B,'4.CAP_ENDMNT'!O:O,0,0,1)</f>
        <v>0.39053077044629697</v>
      </c>
      <c r="AG418" s="134">
        <f>+_xlfn.XLOOKUP(PROYECTOS[[#This Row],[MUNICIPIO]],'4.CAP_ENDMNT'!B:B,'4.CAP_ENDMNT'!P:P,0,0,1)</f>
        <v>0.8</v>
      </c>
      <c r="AH418" s="44" t="str">
        <f>+_xlfn.XLOOKUP(PROYECTOS[[#This Row],[MUNICIPIO]],'4.CAP_ENDMNT'!B:B,'4.CAP_ENDMNT'!Q:Q,0,0,1)</f>
        <v>Cumple</v>
      </c>
      <c r="AI418" s="139">
        <f>+_xlfn.XLOOKUP(PROYECTOS[[#This Row],[MUNICIPIO]],'4.CAP_ENDMNT'!B:B,'4.CAP_ENDMNT'!V:V,0,0,1)</f>
        <v>2711184866.4658804</v>
      </c>
      <c r="AJ418" s="139">
        <f>+_xlfn.XLOOKUP(PROYECTOS[[#This Row],[MUNICIPIO]],'4.CAP_ENDMNT'!B:B,'4.CAP_ENDMNT'!Y:Y,0,0,1)</f>
        <v>-192411827505.20471</v>
      </c>
      <c r="AK418"/>
      <c r="AL418"/>
      <c r="AM418"/>
    </row>
    <row r="419" spans="1:39" ht="15" customHeight="1">
      <c r="A419" s="44">
        <v>528</v>
      </c>
      <c r="B419" t="s">
        <v>1184</v>
      </c>
      <c r="C419" s="118">
        <f>+_xlfn.XLOOKUP(PROYECTOS[[#This Row],[ID_NECESIDAD]],'1.RADICADOS'!G:G,'1.RADICADOS'!C:C,0,0,1)*1</f>
        <v>45742</v>
      </c>
      <c r="D419" s="67" t="s">
        <v>362</v>
      </c>
      <c r="E419" s="47" t="str">
        <f>+_xlfn.XLOOKUP(PROYECTOS[[#This Row],[MUNICIPIO]],MUNICIPIOS!A:A,MUNICIPIOS!E:E,0,0,1)</f>
        <v>Occidente</v>
      </c>
      <c r="F419" s="44">
        <f>+_xlfn.XLOOKUP(PROYECTOS[[#This Row],[MUNICIPIO]],MUNICIPIOS!A:A,MUNICIPIOS!F:F,0,0,1)</f>
        <v>-76.261613999999994</v>
      </c>
      <c r="G419" s="44" t="str">
        <f>+_xlfn.XLOOKUP(PROYECTOS[[#This Row],[MUNICIPIO]],MUNICIPIOS!A:A,MUNICIPIOS!G:G,0,0,1)</f>
        <v>6,998112</v>
      </c>
      <c r="H419" s="44">
        <f>+_xlfn.XLOOKUP(PROYECTOS[[#This Row],[MUNICIPIO]],MUNICIPIOS!A:A,MUNICIPIOS!B:B,0,0,1)</f>
        <v>1</v>
      </c>
      <c r="I419" s="44">
        <f>+_xlfn.XLOOKUP(PROYECTOS[[#This Row],[MUNICIPIO]],MUNICIPIOS!A:A,MUNICIPIOS!C:C,0,0,1)</f>
        <v>1</v>
      </c>
      <c r="J419" s="34" t="str" cm="1">
        <f t="array" ref="J419">_xlfn.TEXTJOIN(" ", TRUE, IF(radicados[ID PROYECTOS]=A419, radicados[RADICADO], ""))</f>
        <v>2025010146334</v>
      </c>
      <c r="K419" s="45">
        <v>1</v>
      </c>
      <c r="L419" s="70">
        <v>30000000</v>
      </c>
      <c r="M419" s="34" t="s">
        <v>288</v>
      </c>
      <c r="N419" s="40" t="s">
        <v>398</v>
      </c>
      <c r="O419" s="40" t="s">
        <v>25</v>
      </c>
      <c r="P419" s="37" t="s">
        <v>1186</v>
      </c>
      <c r="Q419" s="45"/>
      <c r="R419" s="166"/>
      <c r="S419" s="166"/>
      <c r="T419" s="44">
        <f>+_xlfn.XLOOKUP(PROYECTOS[[#This Row],[MUNICIPIO]],'4.CAP_ENDMNT'!B:B,'4.CAP_ENDMNT'!C:C,0,0,1)</f>
        <v>6</v>
      </c>
      <c r="U419" s="167">
        <f>+_xlfn.XLOOKUP(PROYECTOS[[#This Row],[MUNICIPIO]],'4.CAP_ENDMNT'!B:B,'4.CAP_ENDMNT'!D:D,0,0,1)</f>
        <v>24612921465.534</v>
      </c>
      <c r="V419" s="44">
        <f>+_xlfn.XLOOKUP(PROYECTOS[[#This Row],[MUNICIPIO]],'4.CAP_ENDMNT'!B:B,'4.CAP_ENDMNT'!E:E,0,0,1)</f>
        <v>6692367651.6599998</v>
      </c>
      <c r="W419" s="44">
        <f>+_xlfn.XLOOKUP(PROYECTOS[[#This Row],[MUNICIPIO]],'4.CAP_ENDMNT'!B:B,'4.CAP_ENDMNT'!F:F,0,0,1)</f>
        <v>17920553813.874001</v>
      </c>
      <c r="X419" s="44">
        <f>+_xlfn.XLOOKUP(PROYECTOS[[#This Row],[MUNICIPIO]],'4.CAP_ENDMNT'!B:B,'4.CAP_ENDMNT'!G:G,0,0,1)</f>
        <v>830923107</v>
      </c>
      <c r="Y419" s="44">
        <f>+_xlfn.XLOOKUP(PROYECTOS[[#This Row],[MUNICIPIO]],'4.CAP_ENDMNT'!B:B,'4.CAP_ENDMNT'!H:H,0,0,1)</f>
        <v>8409573820</v>
      </c>
      <c r="Z419" s="44">
        <f>+_xlfn.XLOOKUP(PROYECTOS[[#This Row],[MUNICIPIO]],'4.CAP_ENDMNT'!B:B,'4.CAP_ENDMNT'!I:I,0,0,1)</f>
        <v>9240496927</v>
      </c>
      <c r="AA419" s="134">
        <f>+_xlfn.XLOOKUP(PROYECTOS[[#This Row],[MUNICIPIO]],'4.CAP_ENDMNT'!B:B,'4.CAP_ENDMNT'!J:J,0,0,1)</f>
        <v>0.37543275551176097</v>
      </c>
      <c r="AB419" s="44">
        <f>+_xlfn.XLOOKUP(PROYECTOS[[#This Row],[MUNICIPIO]],'4.CAP_ENDMNT'!B:B,'4.CAP_ENDMNT'!K:K,0,0,1)</f>
        <v>15372424538.534</v>
      </c>
      <c r="AC419" s="44">
        <f>+_xlfn.XLOOKUP(PROYECTOS[[#This Row],[MUNICIPIO]],'4.CAP_ENDMNT'!B:B,'4.CAP_ENDMNT'!L:L,0,0,1)</f>
        <v>12297939630.827202</v>
      </c>
      <c r="AD419" s="44">
        <f>+_xlfn.XLOOKUP(PROYECTOS[[#This Row],[MUNICIPIO]],'4.CAP_ENDMNT'!B:B,'4.CAP_ENDMNT'!M:M,0,0,1)</f>
        <v>9223454723.1203995</v>
      </c>
      <c r="AE419" s="134">
        <f>+_xlfn.XLOOKUP(PROYECTOS[[#This Row],[MUNICIPIO]],'4.CAP_ENDMNT'!B:B,'4.CAP_ENDMNT'!N:N,0,0,1)</f>
        <v>8.9921907183596203E-2</v>
      </c>
      <c r="AF419" s="134">
        <f>+_xlfn.XLOOKUP(PROYECTOS[[#This Row],[MUNICIPIO]],'4.CAP_ENDMNT'!B:B,'4.CAP_ENDMNT'!O:O,0,0,1)</f>
        <v>0.49254696748300181</v>
      </c>
      <c r="AG419" s="134">
        <f>+_xlfn.XLOOKUP(PROYECTOS[[#This Row],[MUNICIPIO]],'4.CAP_ENDMNT'!B:B,'4.CAP_ENDMNT'!P:P,0,0,1)</f>
        <v>0.8</v>
      </c>
      <c r="AH419" s="44" t="str">
        <f>+_xlfn.XLOOKUP(PROYECTOS[[#This Row],[MUNICIPIO]],'4.CAP_ENDMNT'!B:B,'4.CAP_ENDMNT'!Q:Q,0,0,1)</f>
        <v>Cumple</v>
      </c>
      <c r="AI419" s="139">
        <f>+_xlfn.XLOOKUP(PROYECTOS[[#This Row],[MUNICIPIO]],'4.CAP_ENDMNT'!B:B,'4.CAP_ENDMNT'!V:V,0,0,1)</f>
        <v>1844690944.6240799</v>
      </c>
      <c r="AJ419" s="139">
        <f>+_xlfn.XLOOKUP(PROYECTOS[[#This Row],[MUNICIPIO]],'4.CAP_ENDMNT'!B:B,'4.CAP_ENDMNT'!Y:Y,0,0,1)</f>
        <v>10069545667.74448</v>
      </c>
      <c r="AK419"/>
      <c r="AL419"/>
      <c r="AM419"/>
    </row>
    <row r="420" spans="1:39" ht="15" customHeight="1">
      <c r="A420" s="44">
        <v>529</v>
      </c>
      <c r="B420" t="s">
        <v>1187</v>
      </c>
      <c r="C420" s="118">
        <f>+_xlfn.XLOOKUP(PROYECTOS[[#This Row],[ID_NECESIDAD]],'1.RADICADOS'!G:G,'1.RADICADOS'!C:C,0,0,1)*1</f>
        <v>45771</v>
      </c>
      <c r="D420" s="67" t="s">
        <v>138</v>
      </c>
      <c r="E420" s="47" t="str">
        <f>+_xlfn.XLOOKUP(PROYECTOS[[#This Row],[MUNICIPIO]],MUNICIPIOS!A:A,MUNICIPIOS!E:E,0,0,1)</f>
        <v>Norte</v>
      </c>
      <c r="F420" s="44">
        <f>+_xlfn.XLOOKUP(PROYECTOS[[#This Row],[MUNICIPIO]],MUNICIPIOS!A:A,MUNICIPIOS!F:F,0,0,1)</f>
        <v>-75.220017999999996</v>
      </c>
      <c r="G420" s="44" t="str">
        <f>+_xlfn.XLOOKUP(PROYECTOS[[#This Row],[MUNICIPIO]],MUNICIPIOS!A:A,MUNICIPIOS!G:G,0,0,1)</f>
        <v>6,683269</v>
      </c>
      <c r="H420" s="44">
        <f>+_xlfn.XLOOKUP(PROYECTOS[[#This Row],[MUNICIPIO]],MUNICIPIOS!A:A,MUNICIPIOS!B:B,0,0,1)</f>
        <v>0</v>
      </c>
      <c r="I420" s="44">
        <f>+_xlfn.XLOOKUP(PROYECTOS[[#This Row],[MUNICIPIO]],MUNICIPIOS!A:A,MUNICIPIOS!C:C,0,0,1)</f>
        <v>0</v>
      </c>
      <c r="J420" s="34" t="str" cm="1">
        <f t="array" ref="J420">_xlfn.TEXTJOIN(" ", TRUE, IF(radicados[ID PROYECTOS]=A420, radicados[RADICADO], ""))</f>
        <v>2025010199475</v>
      </c>
      <c r="K420" s="45">
        <v>1</v>
      </c>
      <c r="L420" s="70">
        <v>4156350000</v>
      </c>
      <c r="M420" s="34" t="s">
        <v>441</v>
      </c>
      <c r="N420" s="40" t="s">
        <v>398</v>
      </c>
      <c r="O420" s="40" t="s">
        <v>25</v>
      </c>
      <c r="P420" s="37"/>
      <c r="Q420" s="45"/>
      <c r="R420" s="166"/>
      <c r="S420" s="166"/>
      <c r="T420" s="44">
        <f>+_xlfn.XLOOKUP(PROYECTOS[[#This Row],[MUNICIPIO]],'4.CAP_ENDMNT'!B:B,'4.CAP_ENDMNT'!C:C,0,0,1)</f>
        <v>6</v>
      </c>
      <c r="U420" s="167">
        <f>+_xlfn.XLOOKUP(PROYECTOS[[#This Row],[MUNICIPIO]],'4.CAP_ENDMNT'!B:B,'4.CAP_ENDMNT'!D:D,0,0,1)</f>
        <v>12229746381.692001</v>
      </c>
      <c r="V420" s="44">
        <f>+_xlfn.XLOOKUP(PROYECTOS[[#This Row],[MUNICIPIO]],'4.CAP_ENDMNT'!B:B,'4.CAP_ENDMNT'!E:E,0,0,1)</f>
        <v>3376878617.9000001</v>
      </c>
      <c r="W420" s="44">
        <f>+_xlfn.XLOOKUP(PROYECTOS[[#This Row],[MUNICIPIO]],'4.CAP_ENDMNT'!B:B,'4.CAP_ENDMNT'!F:F,0,0,1)</f>
        <v>8852867763.7920017</v>
      </c>
      <c r="X420" s="44">
        <f>+_xlfn.XLOOKUP(PROYECTOS[[#This Row],[MUNICIPIO]],'4.CAP_ENDMNT'!B:B,'4.CAP_ENDMNT'!G:G,0,0,1)</f>
        <v>1494526177.51</v>
      </c>
      <c r="Y420" s="44">
        <f>+_xlfn.XLOOKUP(PROYECTOS[[#This Row],[MUNICIPIO]],'4.CAP_ENDMNT'!B:B,'4.CAP_ENDMNT'!H:H,0,0,1)</f>
        <v>880381975</v>
      </c>
      <c r="Z420" s="44">
        <f>+_xlfn.XLOOKUP(PROYECTOS[[#This Row],[MUNICIPIO]],'4.CAP_ENDMNT'!B:B,'4.CAP_ENDMNT'!I:I,0,0,1)</f>
        <v>2374908152.5100002</v>
      </c>
      <c r="AA420" s="134">
        <f>+_xlfn.XLOOKUP(PROYECTOS[[#This Row],[MUNICIPIO]],'4.CAP_ENDMNT'!B:B,'4.CAP_ENDMNT'!J:J,0,0,1)</f>
        <v>0.19419112043609105</v>
      </c>
      <c r="AB420" s="44">
        <f>+_xlfn.XLOOKUP(PROYECTOS[[#This Row],[MUNICIPIO]],'4.CAP_ENDMNT'!B:B,'4.CAP_ENDMNT'!K:K,0,0,1)</f>
        <v>9854838229.1820011</v>
      </c>
      <c r="AC420" s="44">
        <f>+_xlfn.XLOOKUP(PROYECTOS[[#This Row],[MUNICIPIO]],'4.CAP_ENDMNT'!B:B,'4.CAP_ENDMNT'!L:L,0,0,1)</f>
        <v>7883870583.3456011</v>
      </c>
      <c r="AD420" s="44">
        <f>+_xlfn.XLOOKUP(PROYECTOS[[#This Row],[MUNICIPIO]],'4.CAP_ENDMNT'!B:B,'4.CAP_ENDMNT'!M:M,0,0,1)</f>
        <v>5912902937.5092001</v>
      </c>
      <c r="AE420" s="134">
        <f>+_xlfn.XLOOKUP(PROYECTOS[[#This Row],[MUNICIPIO]],'4.CAP_ENDMNT'!B:B,'4.CAP_ENDMNT'!N:N,0,0,1)</f>
        <v>0.6292985166312477</v>
      </c>
      <c r="AF420" s="134">
        <f>+_xlfn.XLOOKUP(PROYECTOS[[#This Row],[MUNICIPIO]],'4.CAP_ENDMNT'!B:B,'4.CAP_ENDMNT'!O:O,0,0,1)</f>
        <v>0.5600857997738885</v>
      </c>
      <c r="AG420" s="134">
        <f>+_xlfn.XLOOKUP(PROYECTOS[[#This Row],[MUNICIPIO]],'4.CAP_ENDMNT'!B:B,'4.CAP_ENDMNT'!P:P,0,0,1)</f>
        <v>0.8</v>
      </c>
      <c r="AH420" s="44" t="str">
        <f>+_xlfn.XLOOKUP(PROYECTOS[[#This Row],[MUNICIPIO]],'4.CAP_ENDMNT'!B:B,'4.CAP_ENDMNT'!Q:Q,0,0,1)</f>
        <v>Cumple</v>
      </c>
      <c r="AI420" s="139">
        <f>+_xlfn.XLOOKUP(PROYECTOS[[#This Row],[MUNICIPIO]],'4.CAP_ENDMNT'!B:B,'4.CAP_ENDMNT'!V:V,0,0,1)</f>
        <v>1182580587.5018401</v>
      </c>
      <c r="AJ420" s="139">
        <f>+_xlfn.XLOOKUP(PROYECTOS[[#This Row],[MUNICIPIO]],'4.CAP_ENDMNT'!B:B,'4.CAP_ENDMNT'!Y:Y,0,0,1)</f>
        <v>-14890911393.98896</v>
      </c>
      <c r="AK420"/>
      <c r="AL420"/>
      <c r="AM420"/>
    </row>
    <row r="421" spans="1:39" ht="15" customHeight="1">
      <c r="A421" s="44">
        <v>530</v>
      </c>
      <c r="B421" t="s">
        <v>1193</v>
      </c>
      <c r="C421" s="118">
        <f>+_xlfn.XLOOKUP(PROYECTOS[[#This Row],[ID_NECESIDAD]],'1.RADICADOS'!G:G,'1.RADICADOS'!C:C,0,0,1)*1</f>
        <v>45785</v>
      </c>
      <c r="D421" s="67" t="s">
        <v>193</v>
      </c>
      <c r="E421" s="47" t="str">
        <f>+_xlfn.XLOOKUP(PROYECTOS[[#This Row],[MUNICIPIO]],MUNICIPIOS!A:A,MUNICIPIOS!E:E,0,0,1)</f>
        <v>Urabá</v>
      </c>
      <c r="F421" s="44">
        <f>+_xlfn.XLOOKUP(PROYECTOS[[#This Row],[MUNICIPIO]],MUNICIPIOS!A:A,MUNICIPIOS!F:F,0,0,1)</f>
        <v>-76.426708000000005</v>
      </c>
      <c r="G421" s="44" t="str">
        <f>+_xlfn.XLOOKUP(PROYECTOS[[#This Row],[MUNICIPIO]],MUNICIPIOS!A:A,MUNICIPIOS!G:G,0,0,1)</f>
        <v>8,849317</v>
      </c>
      <c r="H421" s="44">
        <f>+_xlfn.XLOOKUP(PROYECTOS[[#This Row],[MUNICIPIO]],MUNICIPIOS!A:A,MUNICIPIOS!B:B,0,0,1)</f>
        <v>0</v>
      </c>
      <c r="I421" s="44">
        <f>+_xlfn.XLOOKUP(PROYECTOS[[#This Row],[MUNICIPIO]],MUNICIPIOS!A:A,MUNICIPIOS!C:C,0,0,1)</f>
        <v>0</v>
      </c>
      <c r="J421" s="34" t="str" cm="1">
        <f t="array" ref="J421">_xlfn.TEXTJOIN(" ", TRUE, IF(radicados[ID PROYECTOS]=A421, radicados[RADICADO], ""))</f>
        <v>2025010225771</v>
      </c>
      <c r="K421" s="45">
        <v>1</v>
      </c>
      <c r="L421" s="184"/>
      <c r="M421" s="34" t="s">
        <v>288</v>
      </c>
      <c r="N421" s="40" t="s">
        <v>398</v>
      </c>
      <c r="O421" s="40" t="s">
        <v>25</v>
      </c>
      <c r="P421" s="37" t="s">
        <v>1186</v>
      </c>
      <c r="Q421" s="45"/>
      <c r="R421" s="166"/>
      <c r="S421" s="166"/>
      <c r="T421" s="44">
        <f>+_xlfn.XLOOKUP(PROYECTOS[[#This Row],[MUNICIPIO]],'4.CAP_ENDMNT'!B:B,'4.CAP_ENDMNT'!C:C,0,0,1)</f>
        <v>6</v>
      </c>
      <c r="U421" s="167">
        <f>+_xlfn.XLOOKUP(PROYECTOS[[#This Row],[MUNICIPIO]],'4.CAP_ENDMNT'!B:B,'4.CAP_ENDMNT'!D:D,0,0,1)</f>
        <v>19782037469.424</v>
      </c>
      <c r="V421" s="44">
        <f>+_xlfn.XLOOKUP(PROYECTOS[[#This Row],[MUNICIPIO]],'4.CAP_ENDMNT'!B:B,'4.CAP_ENDMNT'!E:E,0,0,1)</f>
        <v>6224691780.3400002</v>
      </c>
      <c r="W421" s="44">
        <f>+_xlfn.XLOOKUP(PROYECTOS[[#This Row],[MUNICIPIO]],'4.CAP_ENDMNT'!B:B,'4.CAP_ENDMNT'!F:F,0,0,1)</f>
        <v>13557345689.084</v>
      </c>
      <c r="X421" s="44">
        <f>+_xlfn.XLOOKUP(PROYECTOS[[#This Row],[MUNICIPIO]],'4.CAP_ENDMNT'!B:B,'4.CAP_ENDMNT'!G:G,0,0,1)</f>
        <v>5530076291</v>
      </c>
      <c r="Y421" s="44">
        <f>+_xlfn.XLOOKUP(PROYECTOS[[#This Row],[MUNICIPIO]],'4.CAP_ENDMNT'!B:B,'4.CAP_ENDMNT'!H:H,0,0,1)</f>
        <v>135075758</v>
      </c>
      <c r="Z421" s="44">
        <f>+_xlfn.XLOOKUP(PROYECTOS[[#This Row],[MUNICIPIO]],'4.CAP_ENDMNT'!B:B,'4.CAP_ENDMNT'!I:I,0,0,1)</f>
        <v>5665152049</v>
      </c>
      <c r="AA421" s="134">
        <f>+_xlfn.XLOOKUP(PROYECTOS[[#This Row],[MUNICIPIO]],'4.CAP_ENDMNT'!B:B,'4.CAP_ENDMNT'!J:J,0,0,1)</f>
        <v>0.28637859258715448</v>
      </c>
      <c r="AB421" s="44">
        <f>+_xlfn.XLOOKUP(PROYECTOS[[#This Row],[MUNICIPIO]],'4.CAP_ENDMNT'!B:B,'4.CAP_ENDMNT'!K:K,0,0,1)</f>
        <v>14116885420.424</v>
      </c>
      <c r="AC421" s="44">
        <f>+_xlfn.XLOOKUP(PROYECTOS[[#This Row],[MUNICIPIO]],'4.CAP_ENDMNT'!B:B,'4.CAP_ENDMNT'!L:L,0,0,1)</f>
        <v>11293508336.339201</v>
      </c>
      <c r="AD421" s="44">
        <f>+_xlfn.XLOOKUP(PROYECTOS[[#This Row],[MUNICIPIO]],'4.CAP_ENDMNT'!B:B,'4.CAP_ENDMNT'!M:M,0,0,1)</f>
        <v>8470131252.2543993</v>
      </c>
      <c r="AE421" s="134">
        <f>+_xlfn.XLOOKUP(PROYECTOS[[#This Row],[MUNICIPIO]],'4.CAP_ENDMNT'!B:B,'4.CAP_ENDMNT'!N:N,0,0,1)</f>
        <v>0.97615672856938707</v>
      </c>
      <c r="AF421" s="134">
        <f>+_xlfn.XLOOKUP(PROYECTOS[[#This Row],[MUNICIPIO]],'4.CAP_ENDMNT'!B:B,'4.CAP_ENDMNT'!O:O,0,0,1)</f>
        <v>0.63121490876418529</v>
      </c>
      <c r="AG421" s="134">
        <f>+_xlfn.XLOOKUP(PROYECTOS[[#This Row],[MUNICIPIO]],'4.CAP_ENDMNT'!B:B,'4.CAP_ENDMNT'!P:P,0,0,1)</f>
        <v>0.8</v>
      </c>
      <c r="AH421" s="44" t="str">
        <f>+_xlfn.XLOOKUP(PROYECTOS[[#This Row],[MUNICIPIO]],'4.CAP_ENDMNT'!B:B,'4.CAP_ENDMNT'!Q:Q,0,0,1)</f>
        <v>Cumple</v>
      </c>
      <c r="AI421" s="139">
        <f>+_xlfn.XLOOKUP(PROYECTOS[[#This Row],[MUNICIPIO]],'4.CAP_ENDMNT'!B:B,'4.CAP_ENDMNT'!V:V,0,0,1)</f>
        <v>1694026250.4508801</v>
      </c>
      <c r="AJ421" s="139">
        <f>+_xlfn.XLOOKUP(PROYECTOS[[#This Row],[MUNICIPIO]],'4.CAP_ENDMNT'!B:B,'4.CAP_ENDMNT'!Y:Y,0,0,1)</f>
        <v>-28540377224.29472</v>
      </c>
      <c r="AK421"/>
      <c r="AL421"/>
      <c r="AM421"/>
    </row>
    <row r="422" spans="1:39" ht="15" customHeight="1">
      <c r="A422" s="44">
        <v>531</v>
      </c>
      <c r="B422" t="s">
        <v>1194</v>
      </c>
      <c r="C422" s="118">
        <f>+_xlfn.XLOOKUP(PROYECTOS[[#This Row],[ID_NECESIDAD]],'1.RADICADOS'!G:G,'1.RADICADOS'!C:C,0,0,1)*1</f>
        <v>45785</v>
      </c>
      <c r="D422" s="67" t="s">
        <v>65</v>
      </c>
      <c r="E422" s="47" t="str">
        <f>+_xlfn.XLOOKUP(PROYECTOS[[#This Row],[MUNICIPIO]],MUNICIPIOS!A:A,MUNICIPIOS!E:E,0,0,1)</f>
        <v>Urabá</v>
      </c>
      <c r="F422" s="44">
        <f>+_xlfn.XLOOKUP(PROYECTOS[[#This Row],[MUNICIPIO]],MUNICIPIOS!A:A,MUNICIPIOS!F:F,0,0,1)</f>
        <v>-76.528570000000002</v>
      </c>
      <c r="G422" s="44" t="str">
        <f>+_xlfn.XLOOKUP(PROYECTOS[[#This Row],[MUNICIPIO]],MUNICIPIOS!A:A,MUNICIPIOS!G:G,0,0,1)</f>
        <v>8,758964</v>
      </c>
      <c r="H422" s="44">
        <f>+_xlfn.XLOOKUP(PROYECTOS[[#This Row],[MUNICIPIO]],MUNICIPIOS!A:A,MUNICIPIOS!B:B,0,0,1)</f>
        <v>0</v>
      </c>
      <c r="I422" s="44">
        <f>+_xlfn.XLOOKUP(PROYECTOS[[#This Row],[MUNICIPIO]],MUNICIPIOS!A:A,MUNICIPIOS!C:C,0,0,1)</f>
        <v>0</v>
      </c>
      <c r="J422" s="34" t="str" cm="1">
        <f t="array" ref="J422">_xlfn.TEXTJOIN(" ", TRUE, IF(radicados[ID PROYECTOS]=A422, radicados[RADICADO], ""))</f>
        <v>2025010225808</v>
      </c>
      <c r="K422" s="45">
        <v>1</v>
      </c>
      <c r="L422" s="184"/>
      <c r="M422" s="34" t="s">
        <v>288</v>
      </c>
      <c r="N422" s="40" t="s">
        <v>398</v>
      </c>
      <c r="O422" s="40" t="s">
        <v>25</v>
      </c>
      <c r="P422" s="37" t="s">
        <v>1186</v>
      </c>
      <c r="Q422" s="45"/>
      <c r="R422" s="166"/>
      <c r="S422" s="166"/>
      <c r="T422" s="44">
        <f>+_xlfn.XLOOKUP(PROYECTOS[[#This Row],[MUNICIPIO]],'4.CAP_ENDMNT'!B:B,'4.CAP_ENDMNT'!C:C,0,0,1)</f>
        <v>6</v>
      </c>
      <c r="U422" s="167">
        <f>+_xlfn.XLOOKUP(PROYECTOS[[#This Row],[MUNICIPIO]],'4.CAP_ENDMNT'!B:B,'4.CAP_ENDMNT'!D:D,0,0,1)</f>
        <v>21558400486.167</v>
      </c>
      <c r="V422" s="44">
        <f>+_xlfn.XLOOKUP(PROYECTOS[[#This Row],[MUNICIPIO]],'4.CAP_ENDMNT'!B:B,'4.CAP_ENDMNT'!E:E,0,0,1)</f>
        <v>4028552935.2600002</v>
      </c>
      <c r="W422" s="44">
        <f>+_xlfn.XLOOKUP(PROYECTOS[[#This Row],[MUNICIPIO]],'4.CAP_ENDMNT'!B:B,'4.CAP_ENDMNT'!F:F,0,0,1)</f>
        <v>17529847550.906998</v>
      </c>
      <c r="X422" s="44">
        <f>+_xlfn.XLOOKUP(PROYECTOS[[#This Row],[MUNICIPIO]],'4.CAP_ENDMNT'!B:B,'4.CAP_ENDMNT'!G:G,0,0,1)</f>
        <v>573337825</v>
      </c>
      <c r="Y422" s="44">
        <f>+_xlfn.XLOOKUP(PROYECTOS[[#This Row],[MUNICIPIO]],'4.CAP_ENDMNT'!B:B,'4.CAP_ENDMNT'!H:H,0,0,1)</f>
        <v>3454671378</v>
      </c>
      <c r="Z422" s="44">
        <f>+_xlfn.XLOOKUP(PROYECTOS[[#This Row],[MUNICIPIO]],'4.CAP_ENDMNT'!B:B,'4.CAP_ENDMNT'!I:I,0,0,1)</f>
        <v>4028009203</v>
      </c>
      <c r="AA422" s="134">
        <f>+_xlfn.XLOOKUP(PROYECTOS[[#This Row],[MUNICIPIO]],'4.CAP_ENDMNT'!B:B,'4.CAP_ENDMNT'!J:J,0,0,1)</f>
        <v>0.18684174670493675</v>
      </c>
      <c r="AB422" s="44">
        <f>+_xlfn.XLOOKUP(PROYECTOS[[#This Row],[MUNICIPIO]],'4.CAP_ENDMNT'!B:B,'4.CAP_ENDMNT'!K:K,0,0,1)</f>
        <v>17530391283.167</v>
      </c>
      <c r="AC422" s="44">
        <f>+_xlfn.XLOOKUP(PROYECTOS[[#This Row],[MUNICIPIO]],'4.CAP_ENDMNT'!B:B,'4.CAP_ENDMNT'!L:L,0,0,1)</f>
        <v>14024313026.5336</v>
      </c>
      <c r="AD422" s="44">
        <f>+_xlfn.XLOOKUP(PROYECTOS[[#This Row],[MUNICIPIO]],'4.CAP_ENDMNT'!B:B,'4.CAP_ENDMNT'!M:M,0,0,1)</f>
        <v>10518234769.9002</v>
      </c>
      <c r="AE422" s="134">
        <f>+_xlfn.XLOOKUP(PROYECTOS[[#This Row],[MUNICIPIO]],'4.CAP_ENDMNT'!B:B,'4.CAP_ENDMNT'!N:N,0,0,1)</f>
        <v>0.14233776441548016</v>
      </c>
      <c r="AF422" s="134">
        <f>+_xlfn.XLOOKUP(PROYECTOS[[#This Row],[MUNICIPIO]],'4.CAP_ENDMNT'!B:B,'4.CAP_ENDMNT'!O:O,0,0,1)</f>
        <v>0.45202185420266422</v>
      </c>
      <c r="AG422" s="134">
        <f>+_xlfn.XLOOKUP(PROYECTOS[[#This Row],[MUNICIPIO]],'4.CAP_ENDMNT'!B:B,'4.CAP_ENDMNT'!P:P,0,0,1)</f>
        <v>0.8</v>
      </c>
      <c r="AH422" s="44" t="str">
        <f>+_xlfn.XLOOKUP(PROYECTOS[[#This Row],[MUNICIPIO]],'4.CAP_ENDMNT'!B:B,'4.CAP_ENDMNT'!Q:Q,0,0,1)</f>
        <v>Cumple</v>
      </c>
      <c r="AI422" s="139">
        <f>+_xlfn.XLOOKUP(PROYECTOS[[#This Row],[MUNICIPIO]],'4.CAP_ENDMNT'!B:B,'4.CAP_ENDMNT'!V:V,0,0,1)</f>
        <v>2103646953.9800401</v>
      </c>
      <c r="AJ422" s="139">
        <f>+_xlfn.XLOOKUP(PROYECTOS[[#This Row],[MUNICIPIO]],'4.CAP_ENDMNT'!B:B,'4.CAP_ENDMNT'!Y:Y,0,0,1)</f>
        <v>5454222483.8802395</v>
      </c>
      <c r="AK422"/>
      <c r="AL422"/>
      <c r="AM422"/>
    </row>
    <row r="423" spans="1:39" ht="15" customHeight="1">
      <c r="A423" s="44">
        <v>532</v>
      </c>
      <c r="B423" t="s">
        <v>1195</v>
      </c>
      <c r="C423" s="118">
        <f>+_xlfn.XLOOKUP(PROYECTOS[[#This Row],[ID_NECESIDAD]],'1.RADICADOS'!G:G,'1.RADICADOS'!C:C,0,0,1)*1</f>
        <v>45785</v>
      </c>
      <c r="D423" s="67" t="s">
        <v>65</v>
      </c>
      <c r="E423" s="47" t="str">
        <f>+_xlfn.XLOOKUP(PROYECTOS[[#This Row],[MUNICIPIO]],MUNICIPIOS!A:A,MUNICIPIOS!E:E,0,0,1)</f>
        <v>Urabá</v>
      </c>
      <c r="F423" s="44">
        <f>+_xlfn.XLOOKUP(PROYECTOS[[#This Row],[MUNICIPIO]],MUNICIPIOS!A:A,MUNICIPIOS!F:F,0,0,1)</f>
        <v>-76.528570000000002</v>
      </c>
      <c r="G423" s="44" t="str">
        <f>+_xlfn.XLOOKUP(PROYECTOS[[#This Row],[MUNICIPIO]],MUNICIPIOS!A:A,MUNICIPIOS!G:G,0,0,1)</f>
        <v>8,758964</v>
      </c>
      <c r="H423" s="44">
        <f>+_xlfn.XLOOKUP(PROYECTOS[[#This Row],[MUNICIPIO]],MUNICIPIOS!A:A,MUNICIPIOS!B:B,0,0,1)</f>
        <v>0</v>
      </c>
      <c r="I423" s="44">
        <f>+_xlfn.XLOOKUP(PROYECTOS[[#This Row],[MUNICIPIO]],MUNICIPIOS!A:A,MUNICIPIOS!C:C,0,0,1)</f>
        <v>0</v>
      </c>
      <c r="J423" s="34" t="str" cm="1">
        <f t="array" ref="J423">_xlfn.TEXTJOIN(" ", TRUE, IF(radicados[ID PROYECTOS]=A423, radicados[RADICADO], ""))</f>
        <v>2025010225809</v>
      </c>
      <c r="K423" s="45">
        <v>1</v>
      </c>
      <c r="L423" s="184"/>
      <c r="M423" s="34" t="s">
        <v>288</v>
      </c>
      <c r="N423" s="40" t="s">
        <v>398</v>
      </c>
      <c r="O423" s="40" t="s">
        <v>25</v>
      </c>
      <c r="P423" s="37" t="s">
        <v>1186</v>
      </c>
      <c r="Q423" s="45"/>
      <c r="R423" s="166"/>
      <c r="S423" s="166"/>
      <c r="T423" s="44">
        <f>+_xlfn.XLOOKUP(PROYECTOS[[#This Row],[MUNICIPIO]],'4.CAP_ENDMNT'!B:B,'4.CAP_ENDMNT'!C:C,0,0,1)</f>
        <v>6</v>
      </c>
      <c r="U423" s="167">
        <f>+_xlfn.XLOOKUP(PROYECTOS[[#This Row],[MUNICIPIO]],'4.CAP_ENDMNT'!B:B,'4.CAP_ENDMNT'!D:D,0,0,1)</f>
        <v>21558400486.167</v>
      </c>
      <c r="V423" s="44">
        <f>+_xlfn.XLOOKUP(PROYECTOS[[#This Row],[MUNICIPIO]],'4.CAP_ENDMNT'!B:B,'4.CAP_ENDMNT'!E:E,0,0,1)</f>
        <v>4028552935.2600002</v>
      </c>
      <c r="W423" s="44">
        <f>+_xlfn.XLOOKUP(PROYECTOS[[#This Row],[MUNICIPIO]],'4.CAP_ENDMNT'!B:B,'4.CAP_ENDMNT'!F:F,0,0,1)</f>
        <v>17529847550.906998</v>
      </c>
      <c r="X423" s="44">
        <f>+_xlfn.XLOOKUP(PROYECTOS[[#This Row],[MUNICIPIO]],'4.CAP_ENDMNT'!B:B,'4.CAP_ENDMNT'!G:G,0,0,1)</f>
        <v>573337825</v>
      </c>
      <c r="Y423" s="44">
        <f>+_xlfn.XLOOKUP(PROYECTOS[[#This Row],[MUNICIPIO]],'4.CAP_ENDMNT'!B:B,'4.CAP_ENDMNT'!H:H,0,0,1)</f>
        <v>3454671378</v>
      </c>
      <c r="Z423" s="44">
        <f>+_xlfn.XLOOKUP(PROYECTOS[[#This Row],[MUNICIPIO]],'4.CAP_ENDMNT'!B:B,'4.CAP_ENDMNT'!I:I,0,0,1)</f>
        <v>4028009203</v>
      </c>
      <c r="AA423" s="134">
        <f>+_xlfn.XLOOKUP(PROYECTOS[[#This Row],[MUNICIPIO]],'4.CAP_ENDMNT'!B:B,'4.CAP_ENDMNT'!J:J,0,0,1)</f>
        <v>0.18684174670493675</v>
      </c>
      <c r="AB423" s="44">
        <f>+_xlfn.XLOOKUP(PROYECTOS[[#This Row],[MUNICIPIO]],'4.CAP_ENDMNT'!B:B,'4.CAP_ENDMNT'!K:K,0,0,1)</f>
        <v>17530391283.167</v>
      </c>
      <c r="AC423" s="44">
        <f>+_xlfn.XLOOKUP(PROYECTOS[[#This Row],[MUNICIPIO]],'4.CAP_ENDMNT'!B:B,'4.CAP_ENDMNT'!L:L,0,0,1)</f>
        <v>14024313026.5336</v>
      </c>
      <c r="AD423" s="44">
        <f>+_xlfn.XLOOKUP(PROYECTOS[[#This Row],[MUNICIPIO]],'4.CAP_ENDMNT'!B:B,'4.CAP_ENDMNT'!M:M,0,0,1)</f>
        <v>10518234769.9002</v>
      </c>
      <c r="AE423" s="134">
        <f>+_xlfn.XLOOKUP(PROYECTOS[[#This Row],[MUNICIPIO]],'4.CAP_ENDMNT'!B:B,'4.CAP_ENDMNT'!N:N,0,0,1)</f>
        <v>0.14233776441548016</v>
      </c>
      <c r="AF423" s="134">
        <f>+_xlfn.XLOOKUP(PROYECTOS[[#This Row],[MUNICIPIO]],'4.CAP_ENDMNT'!B:B,'4.CAP_ENDMNT'!O:O,0,0,1)</f>
        <v>0.45202185420266422</v>
      </c>
      <c r="AG423" s="134">
        <f>+_xlfn.XLOOKUP(PROYECTOS[[#This Row],[MUNICIPIO]],'4.CAP_ENDMNT'!B:B,'4.CAP_ENDMNT'!P:P,0,0,1)</f>
        <v>0.8</v>
      </c>
      <c r="AH423" s="44" t="str">
        <f>+_xlfn.XLOOKUP(PROYECTOS[[#This Row],[MUNICIPIO]],'4.CAP_ENDMNT'!B:B,'4.CAP_ENDMNT'!Q:Q,0,0,1)</f>
        <v>Cumple</v>
      </c>
      <c r="AI423" s="139">
        <f>+_xlfn.XLOOKUP(PROYECTOS[[#This Row],[MUNICIPIO]],'4.CAP_ENDMNT'!B:B,'4.CAP_ENDMNT'!V:V,0,0,1)</f>
        <v>2103646953.9800401</v>
      </c>
      <c r="AJ423" s="139">
        <f>+_xlfn.XLOOKUP(PROYECTOS[[#This Row],[MUNICIPIO]],'4.CAP_ENDMNT'!B:B,'4.CAP_ENDMNT'!Y:Y,0,0,1)</f>
        <v>5454222483.8802395</v>
      </c>
      <c r="AK423"/>
      <c r="AL423"/>
      <c r="AM423"/>
    </row>
    <row r="424" spans="1:39" ht="15" customHeight="1">
      <c r="A424" s="44">
        <v>533</v>
      </c>
      <c r="B424" t="s">
        <v>1491</v>
      </c>
      <c r="C424" s="118">
        <f>+_xlfn.XLOOKUP(PROYECTOS[[#This Row],[ID_NECESIDAD]],'1.RADICADOS'!G:G,'1.RADICADOS'!C:C,0,0,1)*1</f>
        <v>45785</v>
      </c>
      <c r="D424" s="67" t="s">
        <v>193</v>
      </c>
      <c r="E424" s="47" t="str">
        <f>+_xlfn.XLOOKUP(PROYECTOS[[#This Row],[MUNICIPIO]],MUNICIPIOS!A:A,MUNICIPIOS!E:E,0,0,1)</f>
        <v>Urabá</v>
      </c>
      <c r="F424" s="44">
        <f>+_xlfn.XLOOKUP(PROYECTOS[[#This Row],[MUNICIPIO]],MUNICIPIOS!A:A,MUNICIPIOS!F:F,0,0,1)</f>
        <v>-76.426708000000005</v>
      </c>
      <c r="G424" s="44" t="str">
        <f>+_xlfn.XLOOKUP(PROYECTOS[[#This Row],[MUNICIPIO]],MUNICIPIOS!A:A,MUNICIPIOS!G:G,0,0,1)</f>
        <v>8,849317</v>
      </c>
      <c r="H424" s="44">
        <f>+_xlfn.XLOOKUP(PROYECTOS[[#This Row],[MUNICIPIO]],MUNICIPIOS!A:A,MUNICIPIOS!B:B,0,0,1)</f>
        <v>0</v>
      </c>
      <c r="I424" s="44">
        <f>+_xlfn.XLOOKUP(PROYECTOS[[#This Row],[MUNICIPIO]],MUNICIPIOS!A:A,MUNICIPIOS!C:C,0,0,1)</f>
        <v>0</v>
      </c>
      <c r="J424" s="34" t="str" cm="1">
        <f t="array" ref="J424">_xlfn.TEXTJOIN(" ", TRUE, IF(radicados[ID PROYECTOS]=A424, radicados[RADICADO], ""))</f>
        <v>2025010225810</v>
      </c>
      <c r="K424" s="45">
        <v>1</v>
      </c>
      <c r="L424" s="184"/>
      <c r="M424" s="34" t="s">
        <v>288</v>
      </c>
      <c r="N424" s="40" t="s">
        <v>398</v>
      </c>
      <c r="O424" s="40" t="s">
        <v>25</v>
      </c>
      <c r="P424" s="37" t="s">
        <v>1186</v>
      </c>
      <c r="Q424" s="45"/>
      <c r="R424" s="166"/>
      <c r="S424" s="166"/>
      <c r="T424" s="44">
        <f>+_xlfn.XLOOKUP(PROYECTOS[[#This Row],[MUNICIPIO]],'4.CAP_ENDMNT'!B:B,'4.CAP_ENDMNT'!C:C,0,0,1)</f>
        <v>6</v>
      </c>
      <c r="U424" s="167">
        <f>+_xlfn.XLOOKUP(PROYECTOS[[#This Row],[MUNICIPIO]],'4.CAP_ENDMNT'!B:B,'4.CAP_ENDMNT'!D:D,0,0,1)</f>
        <v>19782037469.424</v>
      </c>
      <c r="V424" s="44">
        <f>+_xlfn.XLOOKUP(PROYECTOS[[#This Row],[MUNICIPIO]],'4.CAP_ENDMNT'!B:B,'4.CAP_ENDMNT'!E:E,0,0,1)</f>
        <v>6224691780.3400002</v>
      </c>
      <c r="W424" s="44">
        <f>+_xlfn.XLOOKUP(PROYECTOS[[#This Row],[MUNICIPIO]],'4.CAP_ENDMNT'!B:B,'4.CAP_ENDMNT'!F:F,0,0,1)</f>
        <v>13557345689.084</v>
      </c>
      <c r="X424" s="44">
        <f>+_xlfn.XLOOKUP(PROYECTOS[[#This Row],[MUNICIPIO]],'4.CAP_ENDMNT'!B:B,'4.CAP_ENDMNT'!G:G,0,0,1)</f>
        <v>5530076291</v>
      </c>
      <c r="Y424" s="44">
        <f>+_xlfn.XLOOKUP(PROYECTOS[[#This Row],[MUNICIPIO]],'4.CAP_ENDMNT'!B:B,'4.CAP_ENDMNT'!H:H,0,0,1)</f>
        <v>135075758</v>
      </c>
      <c r="Z424" s="44">
        <f>+_xlfn.XLOOKUP(PROYECTOS[[#This Row],[MUNICIPIO]],'4.CAP_ENDMNT'!B:B,'4.CAP_ENDMNT'!I:I,0,0,1)</f>
        <v>5665152049</v>
      </c>
      <c r="AA424" s="134">
        <f>+_xlfn.XLOOKUP(PROYECTOS[[#This Row],[MUNICIPIO]],'4.CAP_ENDMNT'!B:B,'4.CAP_ENDMNT'!J:J,0,0,1)</f>
        <v>0.28637859258715448</v>
      </c>
      <c r="AB424" s="44">
        <f>+_xlfn.XLOOKUP(PROYECTOS[[#This Row],[MUNICIPIO]],'4.CAP_ENDMNT'!B:B,'4.CAP_ENDMNT'!K:K,0,0,1)</f>
        <v>14116885420.424</v>
      </c>
      <c r="AC424" s="44">
        <f>+_xlfn.XLOOKUP(PROYECTOS[[#This Row],[MUNICIPIO]],'4.CAP_ENDMNT'!B:B,'4.CAP_ENDMNT'!L:L,0,0,1)</f>
        <v>11293508336.339201</v>
      </c>
      <c r="AD424" s="44">
        <f>+_xlfn.XLOOKUP(PROYECTOS[[#This Row],[MUNICIPIO]],'4.CAP_ENDMNT'!B:B,'4.CAP_ENDMNT'!M:M,0,0,1)</f>
        <v>8470131252.2543993</v>
      </c>
      <c r="AE424" s="134">
        <f>+_xlfn.XLOOKUP(PROYECTOS[[#This Row],[MUNICIPIO]],'4.CAP_ENDMNT'!B:B,'4.CAP_ENDMNT'!N:N,0,0,1)</f>
        <v>0.97615672856938707</v>
      </c>
      <c r="AF424" s="134">
        <f>+_xlfn.XLOOKUP(PROYECTOS[[#This Row],[MUNICIPIO]],'4.CAP_ENDMNT'!B:B,'4.CAP_ENDMNT'!O:O,0,0,1)</f>
        <v>0.63121490876418529</v>
      </c>
      <c r="AG424" s="134">
        <f>+_xlfn.XLOOKUP(PROYECTOS[[#This Row],[MUNICIPIO]],'4.CAP_ENDMNT'!B:B,'4.CAP_ENDMNT'!P:P,0,0,1)</f>
        <v>0.8</v>
      </c>
      <c r="AH424" s="44" t="str">
        <f>+_xlfn.XLOOKUP(PROYECTOS[[#This Row],[MUNICIPIO]],'4.CAP_ENDMNT'!B:B,'4.CAP_ENDMNT'!Q:Q,0,0,1)</f>
        <v>Cumple</v>
      </c>
      <c r="AI424" s="139">
        <f>+_xlfn.XLOOKUP(PROYECTOS[[#This Row],[MUNICIPIO]],'4.CAP_ENDMNT'!B:B,'4.CAP_ENDMNT'!V:V,0,0,1)</f>
        <v>1694026250.4508801</v>
      </c>
      <c r="AJ424" s="139">
        <f>+_xlfn.XLOOKUP(PROYECTOS[[#This Row],[MUNICIPIO]],'4.CAP_ENDMNT'!B:B,'4.CAP_ENDMNT'!Y:Y,0,0,1)</f>
        <v>-28540377224.29472</v>
      </c>
      <c r="AK424"/>
      <c r="AL424"/>
      <c r="AM424"/>
    </row>
    <row r="425" spans="1:39" ht="15" customHeight="1">
      <c r="A425" s="44">
        <v>534</v>
      </c>
      <c r="B425" t="s">
        <v>1197</v>
      </c>
      <c r="C425" s="118">
        <f>+_xlfn.XLOOKUP(PROYECTOS[[#This Row],[ID_NECESIDAD]],'1.RADICADOS'!G:G,'1.RADICADOS'!C:C,0,0,1)*1</f>
        <v>45785</v>
      </c>
      <c r="D425" s="67" t="s">
        <v>65</v>
      </c>
      <c r="E425" s="47" t="str">
        <f>+_xlfn.XLOOKUP(PROYECTOS[[#This Row],[MUNICIPIO]],MUNICIPIOS!A:A,MUNICIPIOS!E:E,0,0,1)</f>
        <v>Urabá</v>
      </c>
      <c r="F425" s="44">
        <f>+_xlfn.XLOOKUP(PROYECTOS[[#This Row],[MUNICIPIO]],MUNICIPIOS!A:A,MUNICIPIOS!F:F,0,0,1)</f>
        <v>-76.528570000000002</v>
      </c>
      <c r="G425" s="44" t="str">
        <f>+_xlfn.XLOOKUP(PROYECTOS[[#This Row],[MUNICIPIO]],MUNICIPIOS!A:A,MUNICIPIOS!G:G,0,0,1)</f>
        <v>8,758964</v>
      </c>
      <c r="H425" s="44">
        <f>+_xlfn.XLOOKUP(PROYECTOS[[#This Row],[MUNICIPIO]],MUNICIPIOS!A:A,MUNICIPIOS!B:B,0,0,1)</f>
        <v>0</v>
      </c>
      <c r="I425" s="44">
        <f>+_xlfn.XLOOKUP(PROYECTOS[[#This Row],[MUNICIPIO]],MUNICIPIOS!A:A,MUNICIPIOS!C:C,0,0,1)</f>
        <v>0</v>
      </c>
      <c r="J425" s="34" t="str" cm="1">
        <f t="array" ref="J425">_xlfn.TEXTJOIN(" ", TRUE, IF(radicados[ID PROYECTOS]=A425, radicados[RADICADO], ""))</f>
        <v>2025010225812</v>
      </c>
      <c r="K425" s="45">
        <v>1</v>
      </c>
      <c r="L425" s="184"/>
      <c r="M425" s="34" t="s">
        <v>288</v>
      </c>
      <c r="N425" s="40" t="s">
        <v>398</v>
      </c>
      <c r="O425" s="40" t="s">
        <v>25</v>
      </c>
      <c r="P425" s="37" t="s">
        <v>1186</v>
      </c>
      <c r="Q425" s="45"/>
      <c r="R425" s="166"/>
      <c r="S425" s="166"/>
      <c r="T425" s="44">
        <f>+_xlfn.XLOOKUP(PROYECTOS[[#This Row],[MUNICIPIO]],'4.CAP_ENDMNT'!B:B,'4.CAP_ENDMNT'!C:C,0,0,1)</f>
        <v>6</v>
      </c>
      <c r="U425" s="167">
        <f>+_xlfn.XLOOKUP(PROYECTOS[[#This Row],[MUNICIPIO]],'4.CAP_ENDMNT'!B:B,'4.CAP_ENDMNT'!D:D,0,0,1)</f>
        <v>21558400486.167</v>
      </c>
      <c r="V425" s="44">
        <f>+_xlfn.XLOOKUP(PROYECTOS[[#This Row],[MUNICIPIO]],'4.CAP_ENDMNT'!B:B,'4.CAP_ENDMNT'!E:E,0,0,1)</f>
        <v>4028552935.2600002</v>
      </c>
      <c r="W425" s="44">
        <f>+_xlfn.XLOOKUP(PROYECTOS[[#This Row],[MUNICIPIO]],'4.CAP_ENDMNT'!B:B,'4.CAP_ENDMNT'!F:F,0,0,1)</f>
        <v>17529847550.906998</v>
      </c>
      <c r="X425" s="44">
        <f>+_xlfn.XLOOKUP(PROYECTOS[[#This Row],[MUNICIPIO]],'4.CAP_ENDMNT'!B:B,'4.CAP_ENDMNT'!G:G,0,0,1)</f>
        <v>573337825</v>
      </c>
      <c r="Y425" s="44">
        <f>+_xlfn.XLOOKUP(PROYECTOS[[#This Row],[MUNICIPIO]],'4.CAP_ENDMNT'!B:B,'4.CAP_ENDMNT'!H:H,0,0,1)</f>
        <v>3454671378</v>
      </c>
      <c r="Z425" s="44">
        <f>+_xlfn.XLOOKUP(PROYECTOS[[#This Row],[MUNICIPIO]],'4.CAP_ENDMNT'!B:B,'4.CAP_ENDMNT'!I:I,0,0,1)</f>
        <v>4028009203</v>
      </c>
      <c r="AA425" s="134">
        <f>+_xlfn.XLOOKUP(PROYECTOS[[#This Row],[MUNICIPIO]],'4.CAP_ENDMNT'!B:B,'4.CAP_ENDMNT'!J:J,0,0,1)</f>
        <v>0.18684174670493675</v>
      </c>
      <c r="AB425" s="44">
        <f>+_xlfn.XLOOKUP(PROYECTOS[[#This Row],[MUNICIPIO]],'4.CAP_ENDMNT'!B:B,'4.CAP_ENDMNT'!K:K,0,0,1)</f>
        <v>17530391283.167</v>
      </c>
      <c r="AC425" s="44">
        <f>+_xlfn.XLOOKUP(PROYECTOS[[#This Row],[MUNICIPIO]],'4.CAP_ENDMNT'!B:B,'4.CAP_ENDMNT'!L:L,0,0,1)</f>
        <v>14024313026.5336</v>
      </c>
      <c r="AD425" s="44">
        <f>+_xlfn.XLOOKUP(PROYECTOS[[#This Row],[MUNICIPIO]],'4.CAP_ENDMNT'!B:B,'4.CAP_ENDMNT'!M:M,0,0,1)</f>
        <v>10518234769.9002</v>
      </c>
      <c r="AE425" s="134">
        <f>+_xlfn.XLOOKUP(PROYECTOS[[#This Row],[MUNICIPIO]],'4.CAP_ENDMNT'!B:B,'4.CAP_ENDMNT'!N:N,0,0,1)</f>
        <v>0.14233776441548016</v>
      </c>
      <c r="AF425" s="134">
        <f>+_xlfn.XLOOKUP(PROYECTOS[[#This Row],[MUNICIPIO]],'4.CAP_ENDMNT'!B:B,'4.CAP_ENDMNT'!O:O,0,0,1)</f>
        <v>0.45202185420266422</v>
      </c>
      <c r="AG425" s="134">
        <f>+_xlfn.XLOOKUP(PROYECTOS[[#This Row],[MUNICIPIO]],'4.CAP_ENDMNT'!B:B,'4.CAP_ENDMNT'!P:P,0,0,1)</f>
        <v>0.8</v>
      </c>
      <c r="AH425" s="44" t="str">
        <f>+_xlfn.XLOOKUP(PROYECTOS[[#This Row],[MUNICIPIO]],'4.CAP_ENDMNT'!B:B,'4.CAP_ENDMNT'!Q:Q,0,0,1)</f>
        <v>Cumple</v>
      </c>
      <c r="AI425" s="139">
        <f>+_xlfn.XLOOKUP(PROYECTOS[[#This Row],[MUNICIPIO]],'4.CAP_ENDMNT'!B:B,'4.CAP_ENDMNT'!V:V,0,0,1)</f>
        <v>2103646953.9800401</v>
      </c>
      <c r="AJ425" s="139">
        <f>+_xlfn.XLOOKUP(PROYECTOS[[#This Row],[MUNICIPIO]],'4.CAP_ENDMNT'!B:B,'4.CAP_ENDMNT'!Y:Y,0,0,1)</f>
        <v>5454222483.8802395</v>
      </c>
      <c r="AK425"/>
      <c r="AL425"/>
      <c r="AM425"/>
    </row>
    <row r="426" spans="1:39" ht="15" customHeight="1">
      <c r="A426" s="44">
        <v>535</v>
      </c>
      <c r="B426" t="s">
        <v>1198</v>
      </c>
      <c r="C426" s="118">
        <f>+_xlfn.XLOOKUP(PROYECTOS[[#This Row],[ID_NECESIDAD]],'1.RADICADOS'!G:G,'1.RADICADOS'!C:C,0,0,1)*1</f>
        <v>45785</v>
      </c>
      <c r="D426" s="67" t="s">
        <v>193</v>
      </c>
      <c r="E426" s="47" t="str">
        <f>+_xlfn.XLOOKUP(PROYECTOS[[#This Row],[MUNICIPIO]],MUNICIPIOS!A:A,MUNICIPIOS!E:E,0,0,1)</f>
        <v>Urabá</v>
      </c>
      <c r="F426" s="44">
        <f>+_xlfn.XLOOKUP(PROYECTOS[[#This Row],[MUNICIPIO]],MUNICIPIOS!A:A,MUNICIPIOS!F:F,0,0,1)</f>
        <v>-76.426708000000005</v>
      </c>
      <c r="G426" s="44" t="str">
        <f>+_xlfn.XLOOKUP(PROYECTOS[[#This Row],[MUNICIPIO]],MUNICIPIOS!A:A,MUNICIPIOS!G:G,0,0,1)</f>
        <v>8,849317</v>
      </c>
      <c r="H426" s="44">
        <f>+_xlfn.XLOOKUP(PROYECTOS[[#This Row],[MUNICIPIO]],MUNICIPIOS!A:A,MUNICIPIOS!B:B,0,0,1)</f>
        <v>0</v>
      </c>
      <c r="I426" s="44">
        <f>+_xlfn.XLOOKUP(PROYECTOS[[#This Row],[MUNICIPIO]],MUNICIPIOS!A:A,MUNICIPIOS!C:C,0,0,1)</f>
        <v>0</v>
      </c>
      <c r="J426" s="34" t="str" cm="1">
        <f t="array" ref="J426">_xlfn.TEXTJOIN(" ", TRUE, IF(radicados[ID PROYECTOS]=A426, radicados[RADICADO], ""))</f>
        <v>2025010225813</v>
      </c>
      <c r="K426" s="45">
        <v>1</v>
      </c>
      <c r="L426" s="184"/>
      <c r="M426" s="34" t="s">
        <v>288</v>
      </c>
      <c r="N426" s="40" t="s">
        <v>398</v>
      </c>
      <c r="O426" s="40" t="s">
        <v>25</v>
      </c>
      <c r="P426" s="37" t="s">
        <v>1186</v>
      </c>
      <c r="Q426" s="45"/>
      <c r="R426" s="166"/>
      <c r="S426" s="166"/>
      <c r="T426" s="44">
        <f>+_xlfn.XLOOKUP(PROYECTOS[[#This Row],[MUNICIPIO]],'4.CAP_ENDMNT'!B:B,'4.CAP_ENDMNT'!C:C,0,0,1)</f>
        <v>6</v>
      </c>
      <c r="U426" s="167">
        <f>+_xlfn.XLOOKUP(PROYECTOS[[#This Row],[MUNICIPIO]],'4.CAP_ENDMNT'!B:B,'4.CAP_ENDMNT'!D:D,0,0,1)</f>
        <v>19782037469.424</v>
      </c>
      <c r="V426" s="44">
        <f>+_xlfn.XLOOKUP(PROYECTOS[[#This Row],[MUNICIPIO]],'4.CAP_ENDMNT'!B:B,'4.CAP_ENDMNT'!E:E,0,0,1)</f>
        <v>6224691780.3400002</v>
      </c>
      <c r="W426" s="44">
        <f>+_xlfn.XLOOKUP(PROYECTOS[[#This Row],[MUNICIPIO]],'4.CAP_ENDMNT'!B:B,'4.CAP_ENDMNT'!F:F,0,0,1)</f>
        <v>13557345689.084</v>
      </c>
      <c r="X426" s="44">
        <f>+_xlfn.XLOOKUP(PROYECTOS[[#This Row],[MUNICIPIO]],'4.CAP_ENDMNT'!B:B,'4.CAP_ENDMNT'!G:G,0,0,1)</f>
        <v>5530076291</v>
      </c>
      <c r="Y426" s="44">
        <f>+_xlfn.XLOOKUP(PROYECTOS[[#This Row],[MUNICIPIO]],'4.CAP_ENDMNT'!B:B,'4.CAP_ENDMNT'!H:H,0,0,1)</f>
        <v>135075758</v>
      </c>
      <c r="Z426" s="44">
        <f>+_xlfn.XLOOKUP(PROYECTOS[[#This Row],[MUNICIPIO]],'4.CAP_ENDMNT'!B:B,'4.CAP_ENDMNT'!I:I,0,0,1)</f>
        <v>5665152049</v>
      </c>
      <c r="AA426" s="134">
        <f>+_xlfn.XLOOKUP(PROYECTOS[[#This Row],[MUNICIPIO]],'4.CAP_ENDMNT'!B:B,'4.CAP_ENDMNT'!J:J,0,0,1)</f>
        <v>0.28637859258715448</v>
      </c>
      <c r="AB426" s="44">
        <f>+_xlfn.XLOOKUP(PROYECTOS[[#This Row],[MUNICIPIO]],'4.CAP_ENDMNT'!B:B,'4.CAP_ENDMNT'!K:K,0,0,1)</f>
        <v>14116885420.424</v>
      </c>
      <c r="AC426" s="44">
        <f>+_xlfn.XLOOKUP(PROYECTOS[[#This Row],[MUNICIPIO]],'4.CAP_ENDMNT'!B:B,'4.CAP_ENDMNT'!L:L,0,0,1)</f>
        <v>11293508336.339201</v>
      </c>
      <c r="AD426" s="44">
        <f>+_xlfn.XLOOKUP(PROYECTOS[[#This Row],[MUNICIPIO]],'4.CAP_ENDMNT'!B:B,'4.CAP_ENDMNT'!M:M,0,0,1)</f>
        <v>8470131252.2543993</v>
      </c>
      <c r="AE426" s="134">
        <f>+_xlfn.XLOOKUP(PROYECTOS[[#This Row],[MUNICIPIO]],'4.CAP_ENDMNT'!B:B,'4.CAP_ENDMNT'!N:N,0,0,1)</f>
        <v>0.97615672856938707</v>
      </c>
      <c r="AF426" s="134">
        <f>+_xlfn.XLOOKUP(PROYECTOS[[#This Row],[MUNICIPIO]],'4.CAP_ENDMNT'!B:B,'4.CAP_ENDMNT'!O:O,0,0,1)</f>
        <v>0.63121490876418529</v>
      </c>
      <c r="AG426" s="134">
        <f>+_xlfn.XLOOKUP(PROYECTOS[[#This Row],[MUNICIPIO]],'4.CAP_ENDMNT'!B:B,'4.CAP_ENDMNT'!P:P,0,0,1)</f>
        <v>0.8</v>
      </c>
      <c r="AH426" s="44" t="str">
        <f>+_xlfn.XLOOKUP(PROYECTOS[[#This Row],[MUNICIPIO]],'4.CAP_ENDMNT'!B:B,'4.CAP_ENDMNT'!Q:Q,0,0,1)</f>
        <v>Cumple</v>
      </c>
      <c r="AI426" s="139">
        <f>+_xlfn.XLOOKUP(PROYECTOS[[#This Row],[MUNICIPIO]],'4.CAP_ENDMNT'!B:B,'4.CAP_ENDMNT'!V:V,0,0,1)</f>
        <v>1694026250.4508801</v>
      </c>
      <c r="AJ426" s="139">
        <f>+_xlfn.XLOOKUP(PROYECTOS[[#This Row],[MUNICIPIO]],'4.CAP_ENDMNT'!B:B,'4.CAP_ENDMNT'!Y:Y,0,0,1)</f>
        <v>-28540377224.29472</v>
      </c>
      <c r="AK426"/>
      <c r="AL426"/>
      <c r="AM426"/>
    </row>
    <row r="427" spans="1:39" ht="15" customHeight="1">
      <c r="A427" s="44">
        <v>536</v>
      </c>
      <c r="B427" t="s">
        <v>1199</v>
      </c>
      <c r="C427" s="118">
        <f>+_xlfn.XLOOKUP(PROYECTOS[[#This Row],[ID_NECESIDAD]],'1.RADICADOS'!G:G,'1.RADICADOS'!C:C,0,0,1)*1</f>
        <v>45785</v>
      </c>
      <c r="D427" s="67" t="s">
        <v>65</v>
      </c>
      <c r="E427" s="47" t="str">
        <f>+_xlfn.XLOOKUP(PROYECTOS[[#This Row],[MUNICIPIO]],MUNICIPIOS!A:A,MUNICIPIOS!E:E,0,0,1)</f>
        <v>Urabá</v>
      </c>
      <c r="F427" s="44">
        <f>+_xlfn.XLOOKUP(PROYECTOS[[#This Row],[MUNICIPIO]],MUNICIPIOS!A:A,MUNICIPIOS!F:F,0,0,1)</f>
        <v>-76.528570000000002</v>
      </c>
      <c r="G427" s="44" t="str">
        <f>+_xlfn.XLOOKUP(PROYECTOS[[#This Row],[MUNICIPIO]],MUNICIPIOS!A:A,MUNICIPIOS!G:G,0,0,1)</f>
        <v>8,758964</v>
      </c>
      <c r="H427" s="44">
        <f>+_xlfn.XLOOKUP(PROYECTOS[[#This Row],[MUNICIPIO]],MUNICIPIOS!A:A,MUNICIPIOS!B:B,0,0,1)</f>
        <v>0</v>
      </c>
      <c r="I427" s="44">
        <f>+_xlfn.XLOOKUP(PROYECTOS[[#This Row],[MUNICIPIO]],MUNICIPIOS!A:A,MUNICIPIOS!C:C,0,0,1)</f>
        <v>0</v>
      </c>
      <c r="J427" s="34" t="str" cm="1">
        <f t="array" ref="J427">_xlfn.TEXTJOIN(" ", TRUE, IF(radicados[ID PROYECTOS]=A427, radicados[RADICADO], ""))</f>
        <v>2025010225981</v>
      </c>
      <c r="K427" s="45">
        <v>1</v>
      </c>
      <c r="L427" s="184"/>
      <c r="M427" s="34" t="s">
        <v>288</v>
      </c>
      <c r="N427" s="40" t="s">
        <v>398</v>
      </c>
      <c r="O427" s="40" t="s">
        <v>25</v>
      </c>
      <c r="P427" s="37" t="s">
        <v>1186</v>
      </c>
      <c r="Q427" s="45"/>
      <c r="R427" s="166"/>
      <c r="S427" s="166"/>
      <c r="T427" s="44">
        <f>+_xlfn.XLOOKUP(PROYECTOS[[#This Row],[MUNICIPIO]],'4.CAP_ENDMNT'!B:B,'4.CAP_ENDMNT'!C:C,0,0,1)</f>
        <v>6</v>
      </c>
      <c r="U427" s="167">
        <f>+_xlfn.XLOOKUP(PROYECTOS[[#This Row],[MUNICIPIO]],'4.CAP_ENDMNT'!B:B,'4.CAP_ENDMNT'!D:D,0,0,1)</f>
        <v>21558400486.167</v>
      </c>
      <c r="V427" s="44">
        <f>+_xlfn.XLOOKUP(PROYECTOS[[#This Row],[MUNICIPIO]],'4.CAP_ENDMNT'!B:B,'4.CAP_ENDMNT'!E:E,0,0,1)</f>
        <v>4028552935.2600002</v>
      </c>
      <c r="W427" s="44">
        <f>+_xlfn.XLOOKUP(PROYECTOS[[#This Row],[MUNICIPIO]],'4.CAP_ENDMNT'!B:B,'4.CAP_ENDMNT'!F:F,0,0,1)</f>
        <v>17529847550.906998</v>
      </c>
      <c r="X427" s="44">
        <f>+_xlfn.XLOOKUP(PROYECTOS[[#This Row],[MUNICIPIO]],'4.CAP_ENDMNT'!B:B,'4.CAP_ENDMNT'!G:G,0,0,1)</f>
        <v>573337825</v>
      </c>
      <c r="Y427" s="44">
        <f>+_xlfn.XLOOKUP(PROYECTOS[[#This Row],[MUNICIPIO]],'4.CAP_ENDMNT'!B:B,'4.CAP_ENDMNT'!H:H,0,0,1)</f>
        <v>3454671378</v>
      </c>
      <c r="Z427" s="44">
        <f>+_xlfn.XLOOKUP(PROYECTOS[[#This Row],[MUNICIPIO]],'4.CAP_ENDMNT'!B:B,'4.CAP_ENDMNT'!I:I,0,0,1)</f>
        <v>4028009203</v>
      </c>
      <c r="AA427" s="134">
        <f>+_xlfn.XLOOKUP(PROYECTOS[[#This Row],[MUNICIPIO]],'4.CAP_ENDMNT'!B:B,'4.CAP_ENDMNT'!J:J,0,0,1)</f>
        <v>0.18684174670493675</v>
      </c>
      <c r="AB427" s="44">
        <f>+_xlfn.XLOOKUP(PROYECTOS[[#This Row],[MUNICIPIO]],'4.CAP_ENDMNT'!B:B,'4.CAP_ENDMNT'!K:K,0,0,1)</f>
        <v>17530391283.167</v>
      </c>
      <c r="AC427" s="44">
        <f>+_xlfn.XLOOKUP(PROYECTOS[[#This Row],[MUNICIPIO]],'4.CAP_ENDMNT'!B:B,'4.CAP_ENDMNT'!L:L,0,0,1)</f>
        <v>14024313026.5336</v>
      </c>
      <c r="AD427" s="44">
        <f>+_xlfn.XLOOKUP(PROYECTOS[[#This Row],[MUNICIPIO]],'4.CAP_ENDMNT'!B:B,'4.CAP_ENDMNT'!M:M,0,0,1)</f>
        <v>10518234769.9002</v>
      </c>
      <c r="AE427" s="134">
        <f>+_xlfn.XLOOKUP(PROYECTOS[[#This Row],[MUNICIPIO]],'4.CAP_ENDMNT'!B:B,'4.CAP_ENDMNT'!N:N,0,0,1)</f>
        <v>0.14233776441548016</v>
      </c>
      <c r="AF427" s="134">
        <f>+_xlfn.XLOOKUP(PROYECTOS[[#This Row],[MUNICIPIO]],'4.CAP_ENDMNT'!B:B,'4.CAP_ENDMNT'!O:O,0,0,1)</f>
        <v>0.45202185420266422</v>
      </c>
      <c r="AG427" s="134">
        <f>+_xlfn.XLOOKUP(PROYECTOS[[#This Row],[MUNICIPIO]],'4.CAP_ENDMNT'!B:B,'4.CAP_ENDMNT'!P:P,0,0,1)</f>
        <v>0.8</v>
      </c>
      <c r="AH427" s="44" t="str">
        <f>+_xlfn.XLOOKUP(PROYECTOS[[#This Row],[MUNICIPIO]],'4.CAP_ENDMNT'!B:B,'4.CAP_ENDMNT'!Q:Q,0,0,1)</f>
        <v>Cumple</v>
      </c>
      <c r="AI427" s="139">
        <f>+_xlfn.XLOOKUP(PROYECTOS[[#This Row],[MUNICIPIO]],'4.CAP_ENDMNT'!B:B,'4.CAP_ENDMNT'!V:V,0,0,1)</f>
        <v>2103646953.9800401</v>
      </c>
      <c r="AJ427" s="139">
        <f>+_xlfn.XLOOKUP(PROYECTOS[[#This Row],[MUNICIPIO]],'4.CAP_ENDMNT'!B:B,'4.CAP_ENDMNT'!Y:Y,0,0,1)</f>
        <v>5454222483.8802395</v>
      </c>
      <c r="AK427"/>
      <c r="AL427"/>
      <c r="AM427"/>
    </row>
    <row r="428" spans="1:39" ht="15" customHeight="1">
      <c r="A428" s="44">
        <v>537</v>
      </c>
      <c r="B428" t="s">
        <v>1200</v>
      </c>
      <c r="C428" s="118">
        <f>+_xlfn.XLOOKUP(PROYECTOS[[#This Row],[ID_NECESIDAD]],'1.RADICADOS'!G:G,'1.RADICADOS'!C:C,0,0,1)*1</f>
        <v>45785</v>
      </c>
      <c r="D428" s="67" t="s">
        <v>63</v>
      </c>
      <c r="E428" s="47" t="str">
        <f>+_xlfn.XLOOKUP(PROYECTOS[[#This Row],[MUNICIPIO]],MUNICIPIOS!A:A,MUNICIPIOS!E:E,0,0,1)</f>
        <v>Urabá</v>
      </c>
      <c r="F428" s="44">
        <f>+_xlfn.XLOOKUP(PROYECTOS[[#This Row],[MUNICIPIO]],MUNICIPIOS!A:A,MUNICIPIOS!F:F,0,0,1)</f>
        <v>-76.380566999999999</v>
      </c>
      <c r="G428" s="44" t="str">
        <f>+_xlfn.XLOOKUP(PROYECTOS[[#This Row],[MUNICIPIO]],MUNICIPIOS!A:A,MUNICIPIOS!G:G,0,0,1)</f>
        <v>8,276884</v>
      </c>
      <c r="H428" s="44">
        <f>+_xlfn.XLOOKUP(PROYECTOS[[#This Row],[MUNICIPIO]],MUNICIPIOS!A:A,MUNICIPIOS!B:B,0,0,1)</f>
        <v>1</v>
      </c>
      <c r="I428" s="44">
        <f>+_xlfn.XLOOKUP(PROYECTOS[[#This Row],[MUNICIPIO]],MUNICIPIOS!A:A,MUNICIPIOS!C:C,0,0,1)</f>
        <v>1</v>
      </c>
      <c r="J428" s="34" t="str" cm="1">
        <f t="array" ref="J428">_xlfn.TEXTJOIN(" ", TRUE, IF(radicados[ID PROYECTOS]=A428, radicados[RADICADO], ""))</f>
        <v>2025010226243</v>
      </c>
      <c r="K428" s="45">
        <v>1</v>
      </c>
      <c r="L428" s="184"/>
      <c r="M428" s="34" t="s">
        <v>288</v>
      </c>
      <c r="N428" s="40" t="s">
        <v>398</v>
      </c>
      <c r="O428" s="40" t="s">
        <v>25</v>
      </c>
      <c r="P428" s="37" t="s">
        <v>1186</v>
      </c>
      <c r="Q428" s="45"/>
      <c r="R428" s="166"/>
      <c r="S428" s="166"/>
      <c r="T428" s="44">
        <f>+_xlfn.XLOOKUP(PROYECTOS[[#This Row],[MUNICIPIO]],'4.CAP_ENDMNT'!B:B,'4.CAP_ENDMNT'!C:C,0,0,1)</f>
        <v>6</v>
      </c>
      <c r="U428" s="167">
        <f>+_xlfn.XLOOKUP(PROYECTOS[[#This Row],[MUNICIPIO]],'4.CAP_ENDMNT'!B:B,'4.CAP_ENDMNT'!D:D,0,0,1)</f>
        <v>19508372714.52</v>
      </c>
      <c r="V428" s="44">
        <f>+_xlfn.XLOOKUP(PROYECTOS[[#This Row],[MUNICIPIO]],'4.CAP_ENDMNT'!B:B,'4.CAP_ENDMNT'!E:E,0,0,1)</f>
        <v>5389834315.5</v>
      </c>
      <c r="W428" s="44">
        <f>+_xlfn.XLOOKUP(PROYECTOS[[#This Row],[MUNICIPIO]],'4.CAP_ENDMNT'!B:B,'4.CAP_ENDMNT'!F:F,0,0,1)</f>
        <v>14118538399.02</v>
      </c>
      <c r="X428" s="44">
        <f>+_xlfn.XLOOKUP(PROYECTOS[[#This Row],[MUNICIPIO]],'4.CAP_ENDMNT'!B:B,'4.CAP_ENDMNT'!G:G,0,0,1)</f>
        <v>2594281047</v>
      </c>
      <c r="Y428" s="44">
        <f>+_xlfn.XLOOKUP(PROYECTOS[[#This Row],[MUNICIPIO]],'4.CAP_ENDMNT'!B:B,'4.CAP_ENDMNT'!H:H,0,0,1)</f>
        <v>1833333333</v>
      </c>
      <c r="Z428" s="44">
        <f>+_xlfn.XLOOKUP(PROYECTOS[[#This Row],[MUNICIPIO]],'4.CAP_ENDMNT'!B:B,'4.CAP_ENDMNT'!I:I,0,0,1)</f>
        <v>4427614380</v>
      </c>
      <c r="AA428" s="134">
        <f>+_xlfn.XLOOKUP(PROYECTOS[[#This Row],[MUNICIPIO]],'4.CAP_ENDMNT'!B:B,'4.CAP_ENDMNT'!J:J,0,0,1)</f>
        <v>0.22695969801235882</v>
      </c>
      <c r="AB428" s="44">
        <f>+_xlfn.XLOOKUP(PROYECTOS[[#This Row],[MUNICIPIO]],'4.CAP_ENDMNT'!B:B,'4.CAP_ENDMNT'!K:K,0,0,1)</f>
        <v>15080758334.52</v>
      </c>
      <c r="AC428" s="44">
        <f>+_xlfn.XLOOKUP(PROYECTOS[[#This Row],[MUNICIPIO]],'4.CAP_ENDMNT'!B:B,'4.CAP_ENDMNT'!L:L,0,0,1)</f>
        <v>12064606667.616001</v>
      </c>
      <c r="AD428" s="44">
        <f>+_xlfn.XLOOKUP(PROYECTOS[[#This Row],[MUNICIPIO]],'4.CAP_ENDMNT'!B:B,'4.CAP_ENDMNT'!M:M,0,0,1)</f>
        <v>9048455000.7119999</v>
      </c>
      <c r="AE428" s="134">
        <f>+_xlfn.XLOOKUP(PROYECTOS[[#This Row],[MUNICIPIO]],'4.CAP_ENDMNT'!B:B,'4.CAP_ENDMNT'!N:N,0,0,1)</f>
        <v>0.58593202215591322</v>
      </c>
      <c r="AF428" s="134">
        <f>+_xlfn.XLOOKUP(PROYECTOS[[#This Row],[MUNICIPIO]],'4.CAP_ENDMNT'!B:B,'4.CAP_ENDMNT'!O:O,0,0,1)</f>
        <v>0.58851112900500024</v>
      </c>
      <c r="AG428" s="134">
        <f>+_xlfn.XLOOKUP(PROYECTOS[[#This Row],[MUNICIPIO]],'4.CAP_ENDMNT'!B:B,'4.CAP_ENDMNT'!P:P,0,0,1)</f>
        <v>0.8</v>
      </c>
      <c r="AH428" s="44" t="str">
        <f>+_xlfn.XLOOKUP(PROYECTOS[[#This Row],[MUNICIPIO]],'4.CAP_ENDMNT'!B:B,'4.CAP_ENDMNT'!Q:Q,0,0,1)</f>
        <v>Cumple</v>
      </c>
      <c r="AI428" s="139">
        <f>+_xlfn.XLOOKUP(PROYECTOS[[#This Row],[MUNICIPIO]],'4.CAP_ENDMNT'!B:B,'4.CAP_ENDMNT'!V:V,0,0,1)</f>
        <v>1809691000.1424</v>
      </c>
      <c r="AJ428" s="139">
        <f>+_xlfn.XLOOKUP(PROYECTOS[[#This Row],[MUNICIPIO]],'4.CAP_ENDMNT'!B:B,'4.CAP_ENDMNT'!Y:Y,0,0,1)</f>
        <v>-12348843887.145599</v>
      </c>
      <c r="AK428"/>
      <c r="AL428"/>
      <c r="AM428"/>
    </row>
    <row r="429" spans="1:39" ht="15" customHeight="1">
      <c r="A429" s="44">
        <v>538</v>
      </c>
      <c r="B429" t="s">
        <v>1571</v>
      </c>
      <c r="C429" s="118">
        <f>+_xlfn.XLOOKUP(PROYECTOS[[#This Row],[ID_NECESIDAD]],'1.RADICADOS'!G:G,'1.RADICADOS'!C:C,0,0,1)*1</f>
        <v>45789</v>
      </c>
      <c r="D429" s="67" t="s">
        <v>470</v>
      </c>
      <c r="E429" s="47" t="str">
        <f>+_xlfn.XLOOKUP(PROYECTOS[[#This Row],[MUNICIPIO]],MUNICIPIOS!A:A,MUNICIPIOS!E:E,0,0,1)</f>
        <v>Oriente</v>
      </c>
      <c r="F429" s="44">
        <f>+_xlfn.XLOOKUP(PROYECTOS[[#This Row],[MUNICIPIO]],MUNICIPIOS!A:A,MUNICIPIOS!F:F,0,0,1)</f>
        <v>-75.028490000000005</v>
      </c>
      <c r="G429" s="44" t="str">
        <f>+_xlfn.XLOOKUP(PROYECTOS[[#This Row],[MUNICIPIO]],MUNICIPIOS!A:A,MUNICIPIOS!G:G,0,0,1)</f>
        <v>6,293759</v>
      </c>
      <c r="H429" s="44">
        <f>+_xlfn.XLOOKUP(PROYECTOS[[#This Row],[MUNICIPIO]],MUNICIPIOS!A:A,MUNICIPIOS!B:B,0,0,1)</f>
        <v>0</v>
      </c>
      <c r="I429" s="44">
        <f>+_xlfn.XLOOKUP(PROYECTOS[[#This Row],[MUNICIPIO]],MUNICIPIOS!A:A,MUNICIPIOS!C:C,0,0,1)</f>
        <v>1</v>
      </c>
      <c r="J429" s="34" t="str" cm="1">
        <f t="array" ref="J429">_xlfn.TEXTJOIN(" ", TRUE, IF(radicados[ID PROYECTOS]=A429, radicados[RADICADO], ""))</f>
        <v>2025010231356</v>
      </c>
      <c r="K429" s="45">
        <v>3</v>
      </c>
      <c r="L429" s="70">
        <v>2150080474</v>
      </c>
      <c r="M429" s="34" t="s">
        <v>288</v>
      </c>
      <c r="N429" s="40" t="s">
        <v>398</v>
      </c>
      <c r="O429" s="40" t="s">
        <v>25</v>
      </c>
      <c r="P429" s="37" t="s">
        <v>1186</v>
      </c>
      <c r="Q429" s="45"/>
      <c r="R429" s="166"/>
      <c r="S429" s="166"/>
      <c r="T429" s="44">
        <f>+_xlfn.XLOOKUP(PROYECTOS[[#This Row],[MUNICIPIO]],'4.CAP_ENDMNT'!B:B,'4.CAP_ENDMNT'!C:C,0,0,1)</f>
        <v>6</v>
      </c>
      <c r="U429" s="167">
        <f>+_xlfn.XLOOKUP(PROYECTOS[[#This Row],[MUNICIPIO]],'4.CAP_ENDMNT'!B:B,'4.CAP_ENDMNT'!D:D,0,0,1)</f>
        <v>17565923370.843998</v>
      </c>
      <c r="V429" s="44">
        <f>+_xlfn.XLOOKUP(PROYECTOS[[#This Row],[MUNICIPIO]],'4.CAP_ENDMNT'!B:B,'4.CAP_ENDMNT'!E:E,0,0,1)</f>
        <v>4463335582.5100002</v>
      </c>
      <c r="W429" s="44">
        <f>+_xlfn.XLOOKUP(PROYECTOS[[#This Row],[MUNICIPIO]],'4.CAP_ENDMNT'!B:B,'4.CAP_ENDMNT'!F:F,0,0,1)</f>
        <v>13102587788.333998</v>
      </c>
      <c r="X429" s="44">
        <f>+_xlfn.XLOOKUP(PROYECTOS[[#This Row],[MUNICIPIO]],'4.CAP_ENDMNT'!B:B,'4.CAP_ENDMNT'!G:G,0,0,1)</f>
        <v>2561424191</v>
      </c>
      <c r="Y429" s="44">
        <f>+_xlfn.XLOOKUP(PROYECTOS[[#This Row],[MUNICIPIO]],'4.CAP_ENDMNT'!B:B,'4.CAP_ENDMNT'!H:H,0,0,1)</f>
        <v>0</v>
      </c>
      <c r="Z429" s="44">
        <f>+_xlfn.XLOOKUP(PROYECTOS[[#This Row],[MUNICIPIO]],'4.CAP_ENDMNT'!B:B,'4.CAP_ENDMNT'!I:I,0,0,1)</f>
        <v>2561424191</v>
      </c>
      <c r="AA429" s="134">
        <f>+_xlfn.XLOOKUP(PROYECTOS[[#This Row],[MUNICIPIO]],'4.CAP_ENDMNT'!B:B,'4.CAP_ENDMNT'!J:J,0,0,1)</f>
        <v>0.14581779374328047</v>
      </c>
      <c r="AB429" s="44">
        <f>+_xlfn.XLOOKUP(PROYECTOS[[#This Row],[MUNICIPIO]],'4.CAP_ENDMNT'!B:B,'4.CAP_ENDMNT'!K:K,0,0,1)</f>
        <v>15004499179.843998</v>
      </c>
      <c r="AC429" s="44">
        <f>+_xlfn.XLOOKUP(PROYECTOS[[#This Row],[MUNICIPIO]],'4.CAP_ENDMNT'!B:B,'4.CAP_ENDMNT'!L:L,0,0,1)</f>
        <v>12003599343.875198</v>
      </c>
      <c r="AD429" s="44">
        <f>+_xlfn.XLOOKUP(PROYECTOS[[#This Row],[MUNICIPIO]],'4.CAP_ENDMNT'!B:B,'4.CAP_ENDMNT'!M:M,0,0,1)</f>
        <v>9002699507.9063988</v>
      </c>
      <c r="AE429" s="134">
        <f>+_xlfn.XLOOKUP(PROYECTOS[[#This Row],[MUNICIPIO]],'4.CAP_ENDMNT'!B:B,'4.CAP_ENDMNT'!N:N,0,0,1)</f>
        <v>1</v>
      </c>
      <c r="AF429" s="134">
        <f>+_xlfn.XLOOKUP(PROYECTOS[[#This Row],[MUNICIPIO]],'4.CAP_ENDMNT'!B:B,'4.CAP_ENDMNT'!O:O,0,0,1)</f>
        <v>0.64471709259563048</v>
      </c>
      <c r="AG429" s="134">
        <f>+_xlfn.XLOOKUP(PROYECTOS[[#This Row],[MUNICIPIO]],'4.CAP_ENDMNT'!B:B,'4.CAP_ENDMNT'!P:P,0,0,1)</f>
        <v>0.8</v>
      </c>
      <c r="AH429" s="44" t="str">
        <f>+_xlfn.XLOOKUP(PROYECTOS[[#This Row],[MUNICIPIO]],'4.CAP_ENDMNT'!B:B,'4.CAP_ENDMNT'!Q:Q,0,0,1)</f>
        <v>Cumple</v>
      </c>
      <c r="AI429" s="139">
        <f>+_xlfn.XLOOKUP(PROYECTOS[[#This Row],[MUNICIPIO]],'4.CAP_ENDMNT'!B:B,'4.CAP_ENDMNT'!V:V,0,0,1)</f>
        <v>1800539901.5812798</v>
      </c>
      <c r="AJ429" s="139">
        <f>+_xlfn.XLOOKUP(PROYECTOS[[#This Row],[MUNICIPIO]],'4.CAP_ENDMNT'!B:B,'4.CAP_ENDMNT'!Y:Y,0,0,1)</f>
        <v>3805966446.4876785</v>
      </c>
      <c r="AK429"/>
      <c r="AL429"/>
      <c r="AM429"/>
    </row>
    <row r="430" spans="1:39" ht="15" customHeight="1">
      <c r="A430" s="44">
        <v>540</v>
      </c>
      <c r="B430" t="s">
        <v>1205</v>
      </c>
      <c r="C430" s="118">
        <f>+_xlfn.XLOOKUP(PROYECTOS[[#This Row],[ID_NECESIDAD]],'1.RADICADOS'!G:G,'1.RADICADOS'!C:C,0,0,1)*1</f>
        <v>45775</v>
      </c>
      <c r="D430" s="67" t="s">
        <v>15</v>
      </c>
      <c r="E430" s="47" t="str">
        <f>+_xlfn.XLOOKUP(PROYECTOS[[#This Row],[MUNICIPIO]],MUNICIPIOS!A:A,MUNICIPIOS!E:E,0,0,1)</f>
        <v>Valle de Aburrá</v>
      </c>
      <c r="F430" s="44">
        <f>+_xlfn.XLOOKUP(PROYECTOS[[#This Row],[MUNICIPIO]],MUNICIPIOS!A:A,MUNICIPIOS!F:F,0,0,1)</f>
        <v>-75.331626999999997</v>
      </c>
      <c r="G430" s="44" t="str">
        <f>+_xlfn.XLOOKUP(PROYECTOS[[#This Row],[MUNICIPIO]],MUNICIPIOS!A:A,MUNICIPIOS!G:G,0,0,1)</f>
        <v>6,439195</v>
      </c>
      <c r="H430" s="44">
        <f>+_xlfn.XLOOKUP(PROYECTOS[[#This Row],[MUNICIPIO]],MUNICIPIOS!A:A,MUNICIPIOS!B:B,0,0,1)</f>
        <v>0</v>
      </c>
      <c r="I430" s="44">
        <f>+_xlfn.XLOOKUP(PROYECTOS[[#This Row],[MUNICIPIO]],MUNICIPIOS!A:A,MUNICIPIOS!C:C,0,0,1)</f>
        <v>0</v>
      </c>
      <c r="J430" s="34" t="str" cm="1">
        <f t="array" ref="J430">_xlfn.TEXTJOIN(" ", TRUE, IF(radicados[ID PROYECTOS]=A430, radicados[RADICADO], ""))</f>
        <v>2025010205506</v>
      </c>
      <c r="K430" s="45">
        <v>2</v>
      </c>
      <c r="L430" s="70">
        <v>2357267513</v>
      </c>
      <c r="M430" s="34" t="s">
        <v>288</v>
      </c>
      <c r="N430" s="40" t="s">
        <v>398</v>
      </c>
      <c r="O430" s="40" t="s">
        <v>25</v>
      </c>
      <c r="P430" s="37" t="s">
        <v>1225</v>
      </c>
      <c r="Q430" s="45"/>
      <c r="R430" s="166"/>
      <c r="S430" s="166"/>
      <c r="T430" s="44">
        <f>+_xlfn.XLOOKUP(PROYECTOS[[#This Row],[MUNICIPIO]],'4.CAP_ENDMNT'!B:B,'4.CAP_ENDMNT'!C:C,0,0,1)</f>
        <v>4</v>
      </c>
      <c r="U430" s="167">
        <f>+_xlfn.XLOOKUP(PROYECTOS[[#This Row],[MUNICIPIO]],'4.CAP_ENDMNT'!B:B,'4.CAP_ENDMNT'!D:D,0,0,1)</f>
        <v>56592203197.536499</v>
      </c>
      <c r="V430" s="44">
        <f>+_xlfn.XLOOKUP(PROYECTOS[[#This Row],[MUNICIPIO]],'4.CAP_ENDMNT'!B:B,'4.CAP_ENDMNT'!E:E,0,0,1)</f>
        <v>24375972647.860001</v>
      </c>
      <c r="W430" s="44">
        <f>+_xlfn.XLOOKUP(PROYECTOS[[#This Row],[MUNICIPIO]],'4.CAP_ENDMNT'!B:B,'4.CAP_ENDMNT'!F:F,0,0,1)</f>
        <v>32216230549.676498</v>
      </c>
      <c r="X430" s="44">
        <f>+_xlfn.XLOOKUP(PROYECTOS[[#This Row],[MUNICIPIO]],'4.CAP_ENDMNT'!B:B,'4.CAP_ENDMNT'!G:G,0,0,1)</f>
        <v>0</v>
      </c>
      <c r="Y430" s="44">
        <f>+_xlfn.XLOOKUP(PROYECTOS[[#This Row],[MUNICIPIO]],'4.CAP_ENDMNT'!B:B,'4.CAP_ENDMNT'!H:H,0,0,1)</f>
        <v>15044963334.42</v>
      </c>
      <c r="Z430" s="44">
        <f>+_xlfn.XLOOKUP(PROYECTOS[[#This Row],[MUNICIPIO]],'4.CAP_ENDMNT'!B:B,'4.CAP_ENDMNT'!I:I,0,0,1)</f>
        <v>15044963334.42</v>
      </c>
      <c r="AA430" s="134">
        <f>+_xlfn.XLOOKUP(PROYECTOS[[#This Row],[MUNICIPIO]],'4.CAP_ENDMNT'!B:B,'4.CAP_ENDMNT'!J:J,0,0,1)</f>
        <v>0.26584869442006315</v>
      </c>
      <c r="AB430" s="44">
        <f>+_xlfn.XLOOKUP(PROYECTOS[[#This Row],[MUNICIPIO]],'4.CAP_ENDMNT'!B:B,'4.CAP_ENDMNT'!K:K,0,0,1)</f>
        <v>41547239863.116501</v>
      </c>
      <c r="AC430" s="44">
        <f>+_xlfn.XLOOKUP(PROYECTOS[[#This Row],[MUNICIPIO]],'4.CAP_ENDMNT'!B:B,'4.CAP_ENDMNT'!L:L,0,0,1)</f>
        <v>33237791890.493202</v>
      </c>
      <c r="AD430" s="44">
        <f>+_xlfn.XLOOKUP(PROYECTOS[[#This Row],[MUNICIPIO]],'4.CAP_ENDMNT'!B:B,'4.CAP_ENDMNT'!M:M,0,0,1)</f>
        <v>24928343917.8699</v>
      </c>
      <c r="AE430" s="134">
        <f>+_xlfn.XLOOKUP(PROYECTOS[[#This Row],[MUNICIPIO]],'4.CAP_ENDMNT'!B:B,'4.CAP_ENDMNT'!N:N,0,0,1)</f>
        <v>0</v>
      </c>
      <c r="AF430" s="134">
        <f>+_xlfn.XLOOKUP(PROYECTOS[[#This Row],[MUNICIPIO]],'4.CAP_ENDMNT'!B:B,'4.CAP_ENDMNT'!O:O,0,0,1)</f>
        <v>0.60385208261970102</v>
      </c>
      <c r="AG430" s="134">
        <f>+_xlfn.XLOOKUP(PROYECTOS[[#This Row],[MUNICIPIO]],'4.CAP_ENDMNT'!B:B,'4.CAP_ENDMNT'!P:P,0,0,1)</f>
        <v>0.8</v>
      </c>
      <c r="AH430" s="44" t="str">
        <f>+_xlfn.XLOOKUP(PROYECTOS[[#This Row],[MUNICIPIO]],'4.CAP_ENDMNT'!B:B,'4.CAP_ENDMNT'!Q:Q,0,0,1)</f>
        <v>Cumple</v>
      </c>
      <c r="AI430" s="139">
        <f>+_xlfn.XLOOKUP(PROYECTOS[[#This Row],[MUNICIPIO]],'4.CAP_ENDMNT'!B:B,'4.CAP_ENDMNT'!V:V,0,0,1)</f>
        <v>4985668783.5739803</v>
      </c>
      <c r="AJ430" s="139">
        <f>+_xlfn.XLOOKUP(PROYECTOS[[#This Row],[MUNICIPIO]],'4.CAP_ENDMNT'!B:B,'4.CAP_ENDMNT'!Y:Y,0,0,1)</f>
        <v>-31357431194.556122</v>
      </c>
      <c r="AK430"/>
      <c r="AL430"/>
      <c r="AM430"/>
    </row>
    <row r="431" spans="1:39" ht="15" customHeight="1">
      <c r="A431" s="44">
        <v>541</v>
      </c>
      <c r="B431" t="s">
        <v>1206</v>
      </c>
      <c r="C431" s="118">
        <f>+_xlfn.XLOOKUP(PROYECTOS[[#This Row],[ID_NECESIDAD]],'1.RADICADOS'!G:G,'1.RADICADOS'!C:C,0,0,1)*1</f>
        <v>45775</v>
      </c>
      <c r="D431" s="67" t="s">
        <v>15</v>
      </c>
      <c r="E431" s="47" t="str">
        <f>+_xlfn.XLOOKUP(PROYECTOS[[#This Row],[MUNICIPIO]],MUNICIPIOS!A:A,MUNICIPIOS!E:E,0,0,1)</f>
        <v>Valle de Aburrá</v>
      </c>
      <c r="F431" s="44">
        <f>+_xlfn.XLOOKUP(PROYECTOS[[#This Row],[MUNICIPIO]],MUNICIPIOS!A:A,MUNICIPIOS!F:F,0,0,1)</f>
        <v>-75.331626999999997</v>
      </c>
      <c r="G431" s="44" t="str">
        <f>+_xlfn.XLOOKUP(PROYECTOS[[#This Row],[MUNICIPIO]],MUNICIPIOS!A:A,MUNICIPIOS!G:G,0,0,1)</f>
        <v>6,439195</v>
      </c>
      <c r="H431" s="44">
        <f>+_xlfn.XLOOKUP(PROYECTOS[[#This Row],[MUNICIPIO]],MUNICIPIOS!A:A,MUNICIPIOS!B:B,0,0,1)</f>
        <v>0</v>
      </c>
      <c r="I431" s="44">
        <f>+_xlfn.XLOOKUP(PROYECTOS[[#This Row],[MUNICIPIO]],MUNICIPIOS!A:A,MUNICIPIOS!C:C,0,0,1)</f>
        <v>0</v>
      </c>
      <c r="J431" s="34" t="str" cm="1">
        <f t="array" ref="J431">_xlfn.TEXTJOIN(" ", TRUE, IF(radicados[ID PROYECTOS]=A431, radicados[RADICADO], ""))</f>
        <v>2025010205522</v>
      </c>
      <c r="K431" s="45">
        <v>2</v>
      </c>
      <c r="L431" s="70">
        <v>1421603722</v>
      </c>
      <c r="M431" s="34" t="s">
        <v>288</v>
      </c>
      <c r="N431" s="40" t="s">
        <v>398</v>
      </c>
      <c r="O431" s="40" t="s">
        <v>25</v>
      </c>
      <c r="P431" s="37" t="s">
        <v>1226</v>
      </c>
      <c r="Q431" s="45"/>
      <c r="R431" s="166"/>
      <c r="S431" s="166"/>
      <c r="T431" s="44">
        <f>+_xlfn.XLOOKUP(PROYECTOS[[#This Row],[MUNICIPIO]],'4.CAP_ENDMNT'!B:B,'4.CAP_ENDMNT'!C:C,0,0,1)</f>
        <v>4</v>
      </c>
      <c r="U431" s="167">
        <f>+_xlfn.XLOOKUP(PROYECTOS[[#This Row],[MUNICIPIO]],'4.CAP_ENDMNT'!B:B,'4.CAP_ENDMNT'!D:D,0,0,1)</f>
        <v>56592203197.536499</v>
      </c>
      <c r="V431" s="44">
        <f>+_xlfn.XLOOKUP(PROYECTOS[[#This Row],[MUNICIPIO]],'4.CAP_ENDMNT'!B:B,'4.CAP_ENDMNT'!E:E,0,0,1)</f>
        <v>24375972647.860001</v>
      </c>
      <c r="W431" s="44">
        <f>+_xlfn.XLOOKUP(PROYECTOS[[#This Row],[MUNICIPIO]],'4.CAP_ENDMNT'!B:B,'4.CAP_ENDMNT'!F:F,0,0,1)</f>
        <v>32216230549.676498</v>
      </c>
      <c r="X431" s="44">
        <f>+_xlfn.XLOOKUP(PROYECTOS[[#This Row],[MUNICIPIO]],'4.CAP_ENDMNT'!B:B,'4.CAP_ENDMNT'!G:G,0,0,1)</f>
        <v>0</v>
      </c>
      <c r="Y431" s="44">
        <f>+_xlfn.XLOOKUP(PROYECTOS[[#This Row],[MUNICIPIO]],'4.CAP_ENDMNT'!B:B,'4.CAP_ENDMNT'!H:H,0,0,1)</f>
        <v>15044963334.42</v>
      </c>
      <c r="Z431" s="44">
        <f>+_xlfn.XLOOKUP(PROYECTOS[[#This Row],[MUNICIPIO]],'4.CAP_ENDMNT'!B:B,'4.CAP_ENDMNT'!I:I,0,0,1)</f>
        <v>15044963334.42</v>
      </c>
      <c r="AA431" s="134">
        <f>+_xlfn.XLOOKUP(PROYECTOS[[#This Row],[MUNICIPIO]],'4.CAP_ENDMNT'!B:B,'4.CAP_ENDMNT'!J:J,0,0,1)</f>
        <v>0.26584869442006315</v>
      </c>
      <c r="AB431" s="44">
        <f>+_xlfn.XLOOKUP(PROYECTOS[[#This Row],[MUNICIPIO]],'4.CAP_ENDMNT'!B:B,'4.CAP_ENDMNT'!K:K,0,0,1)</f>
        <v>41547239863.116501</v>
      </c>
      <c r="AC431" s="44">
        <f>+_xlfn.XLOOKUP(PROYECTOS[[#This Row],[MUNICIPIO]],'4.CAP_ENDMNT'!B:B,'4.CAP_ENDMNT'!L:L,0,0,1)</f>
        <v>33237791890.493202</v>
      </c>
      <c r="AD431" s="44">
        <f>+_xlfn.XLOOKUP(PROYECTOS[[#This Row],[MUNICIPIO]],'4.CAP_ENDMNT'!B:B,'4.CAP_ENDMNT'!M:M,0,0,1)</f>
        <v>24928343917.8699</v>
      </c>
      <c r="AE431" s="134">
        <f>+_xlfn.XLOOKUP(PROYECTOS[[#This Row],[MUNICIPIO]],'4.CAP_ENDMNT'!B:B,'4.CAP_ENDMNT'!N:N,0,0,1)</f>
        <v>0</v>
      </c>
      <c r="AF431" s="134">
        <f>+_xlfn.XLOOKUP(PROYECTOS[[#This Row],[MUNICIPIO]],'4.CAP_ENDMNT'!B:B,'4.CAP_ENDMNT'!O:O,0,0,1)</f>
        <v>0.60385208261970102</v>
      </c>
      <c r="AG431" s="134">
        <f>+_xlfn.XLOOKUP(PROYECTOS[[#This Row],[MUNICIPIO]],'4.CAP_ENDMNT'!B:B,'4.CAP_ENDMNT'!P:P,0,0,1)</f>
        <v>0.8</v>
      </c>
      <c r="AH431" s="44" t="str">
        <f>+_xlfn.XLOOKUP(PROYECTOS[[#This Row],[MUNICIPIO]],'4.CAP_ENDMNT'!B:B,'4.CAP_ENDMNT'!Q:Q,0,0,1)</f>
        <v>Cumple</v>
      </c>
      <c r="AI431" s="139">
        <f>+_xlfn.XLOOKUP(PROYECTOS[[#This Row],[MUNICIPIO]],'4.CAP_ENDMNT'!B:B,'4.CAP_ENDMNT'!V:V,0,0,1)</f>
        <v>4985668783.5739803</v>
      </c>
      <c r="AJ431" s="139">
        <f>+_xlfn.XLOOKUP(PROYECTOS[[#This Row],[MUNICIPIO]],'4.CAP_ENDMNT'!B:B,'4.CAP_ENDMNT'!Y:Y,0,0,1)</f>
        <v>-31357431194.556122</v>
      </c>
      <c r="AK431"/>
      <c r="AL431"/>
      <c r="AM431"/>
    </row>
    <row r="432" spans="1:39" ht="15" customHeight="1">
      <c r="A432" s="44">
        <v>542</v>
      </c>
      <c r="B432" t="s">
        <v>1207</v>
      </c>
      <c r="C432" s="118">
        <f>+_xlfn.XLOOKUP(PROYECTOS[[#This Row],[ID_NECESIDAD]],'1.RADICADOS'!G:G,'1.RADICADOS'!C:C,0,0,1)*1</f>
        <v>45775</v>
      </c>
      <c r="D432" s="67" t="s">
        <v>15</v>
      </c>
      <c r="E432" s="47" t="str">
        <f>+_xlfn.XLOOKUP(PROYECTOS[[#This Row],[MUNICIPIO]],MUNICIPIOS!A:A,MUNICIPIOS!E:E,0,0,1)</f>
        <v>Valle de Aburrá</v>
      </c>
      <c r="F432" s="44">
        <f>+_xlfn.XLOOKUP(PROYECTOS[[#This Row],[MUNICIPIO]],MUNICIPIOS!A:A,MUNICIPIOS!F:F,0,0,1)</f>
        <v>-75.331626999999997</v>
      </c>
      <c r="G432" s="44" t="str">
        <f>+_xlfn.XLOOKUP(PROYECTOS[[#This Row],[MUNICIPIO]],MUNICIPIOS!A:A,MUNICIPIOS!G:G,0,0,1)</f>
        <v>6,439195</v>
      </c>
      <c r="H432" s="44">
        <f>+_xlfn.XLOOKUP(PROYECTOS[[#This Row],[MUNICIPIO]],MUNICIPIOS!A:A,MUNICIPIOS!B:B,0,0,1)</f>
        <v>0</v>
      </c>
      <c r="I432" s="44">
        <f>+_xlfn.XLOOKUP(PROYECTOS[[#This Row],[MUNICIPIO]],MUNICIPIOS!A:A,MUNICIPIOS!C:C,0,0,1)</f>
        <v>0</v>
      </c>
      <c r="J432" s="34" t="str" cm="1">
        <f t="array" ref="J432">_xlfn.TEXTJOIN(" ", TRUE, IF(radicados[ID PROYECTOS]=A432, radicados[RADICADO], ""))</f>
        <v>2025010205535 2025010226379</v>
      </c>
      <c r="K432" s="45">
        <v>2</v>
      </c>
      <c r="L432" s="70">
        <v>2838061532</v>
      </c>
      <c r="M432" s="34" t="s">
        <v>288</v>
      </c>
      <c r="N432" s="40" t="s">
        <v>398</v>
      </c>
      <c r="O432" s="40" t="s">
        <v>25</v>
      </c>
      <c r="P432" s="37" t="s">
        <v>1227</v>
      </c>
      <c r="Q432" s="45"/>
      <c r="R432" s="166"/>
      <c r="S432" s="166"/>
      <c r="T432" s="44">
        <f>+_xlfn.XLOOKUP(PROYECTOS[[#This Row],[MUNICIPIO]],'4.CAP_ENDMNT'!B:B,'4.CAP_ENDMNT'!C:C,0,0,1)</f>
        <v>4</v>
      </c>
      <c r="U432" s="167">
        <f>+_xlfn.XLOOKUP(PROYECTOS[[#This Row],[MUNICIPIO]],'4.CAP_ENDMNT'!B:B,'4.CAP_ENDMNT'!D:D,0,0,1)</f>
        <v>56592203197.536499</v>
      </c>
      <c r="V432" s="44">
        <f>+_xlfn.XLOOKUP(PROYECTOS[[#This Row],[MUNICIPIO]],'4.CAP_ENDMNT'!B:B,'4.CAP_ENDMNT'!E:E,0,0,1)</f>
        <v>24375972647.860001</v>
      </c>
      <c r="W432" s="44">
        <f>+_xlfn.XLOOKUP(PROYECTOS[[#This Row],[MUNICIPIO]],'4.CAP_ENDMNT'!B:B,'4.CAP_ENDMNT'!F:F,0,0,1)</f>
        <v>32216230549.676498</v>
      </c>
      <c r="X432" s="44">
        <f>+_xlfn.XLOOKUP(PROYECTOS[[#This Row],[MUNICIPIO]],'4.CAP_ENDMNT'!B:B,'4.CAP_ENDMNT'!G:G,0,0,1)</f>
        <v>0</v>
      </c>
      <c r="Y432" s="44">
        <f>+_xlfn.XLOOKUP(PROYECTOS[[#This Row],[MUNICIPIO]],'4.CAP_ENDMNT'!B:B,'4.CAP_ENDMNT'!H:H,0,0,1)</f>
        <v>15044963334.42</v>
      </c>
      <c r="Z432" s="44">
        <f>+_xlfn.XLOOKUP(PROYECTOS[[#This Row],[MUNICIPIO]],'4.CAP_ENDMNT'!B:B,'4.CAP_ENDMNT'!I:I,0,0,1)</f>
        <v>15044963334.42</v>
      </c>
      <c r="AA432" s="134">
        <f>+_xlfn.XLOOKUP(PROYECTOS[[#This Row],[MUNICIPIO]],'4.CAP_ENDMNT'!B:B,'4.CAP_ENDMNT'!J:J,0,0,1)</f>
        <v>0.26584869442006315</v>
      </c>
      <c r="AB432" s="44">
        <f>+_xlfn.XLOOKUP(PROYECTOS[[#This Row],[MUNICIPIO]],'4.CAP_ENDMNT'!B:B,'4.CAP_ENDMNT'!K:K,0,0,1)</f>
        <v>41547239863.116501</v>
      </c>
      <c r="AC432" s="44">
        <f>+_xlfn.XLOOKUP(PROYECTOS[[#This Row],[MUNICIPIO]],'4.CAP_ENDMNT'!B:B,'4.CAP_ENDMNT'!L:L,0,0,1)</f>
        <v>33237791890.493202</v>
      </c>
      <c r="AD432" s="44">
        <f>+_xlfn.XLOOKUP(PROYECTOS[[#This Row],[MUNICIPIO]],'4.CAP_ENDMNT'!B:B,'4.CAP_ENDMNT'!M:M,0,0,1)</f>
        <v>24928343917.8699</v>
      </c>
      <c r="AE432" s="134">
        <f>+_xlfn.XLOOKUP(PROYECTOS[[#This Row],[MUNICIPIO]],'4.CAP_ENDMNT'!B:B,'4.CAP_ENDMNT'!N:N,0,0,1)</f>
        <v>0</v>
      </c>
      <c r="AF432" s="134">
        <f>+_xlfn.XLOOKUP(PROYECTOS[[#This Row],[MUNICIPIO]],'4.CAP_ENDMNT'!B:B,'4.CAP_ENDMNT'!O:O,0,0,1)</f>
        <v>0.60385208261970102</v>
      </c>
      <c r="AG432" s="134">
        <f>+_xlfn.XLOOKUP(PROYECTOS[[#This Row],[MUNICIPIO]],'4.CAP_ENDMNT'!B:B,'4.CAP_ENDMNT'!P:P,0,0,1)</f>
        <v>0.8</v>
      </c>
      <c r="AH432" s="44" t="str">
        <f>+_xlfn.XLOOKUP(PROYECTOS[[#This Row],[MUNICIPIO]],'4.CAP_ENDMNT'!B:B,'4.CAP_ENDMNT'!Q:Q,0,0,1)</f>
        <v>Cumple</v>
      </c>
      <c r="AI432" s="139">
        <f>+_xlfn.XLOOKUP(PROYECTOS[[#This Row],[MUNICIPIO]],'4.CAP_ENDMNT'!B:B,'4.CAP_ENDMNT'!V:V,0,0,1)</f>
        <v>4985668783.5739803</v>
      </c>
      <c r="AJ432" s="139">
        <f>+_xlfn.XLOOKUP(PROYECTOS[[#This Row],[MUNICIPIO]],'4.CAP_ENDMNT'!B:B,'4.CAP_ENDMNT'!Y:Y,0,0,1)</f>
        <v>-31357431194.556122</v>
      </c>
      <c r="AK432"/>
      <c r="AL432"/>
      <c r="AM432"/>
    </row>
    <row r="433" spans="1:39" ht="15" customHeight="1">
      <c r="A433" s="44">
        <v>543</v>
      </c>
      <c r="B433" t="s">
        <v>1208</v>
      </c>
      <c r="C433" s="118">
        <f>+_xlfn.XLOOKUP(PROYECTOS[[#This Row],[ID_NECESIDAD]],'1.RADICADOS'!G:G,'1.RADICADOS'!C:C,0,0,1)*1</f>
        <v>45775</v>
      </c>
      <c r="D433" s="67" t="s">
        <v>153</v>
      </c>
      <c r="E433" s="47" t="str">
        <f>+_xlfn.XLOOKUP(PROYECTOS[[#This Row],[MUNICIPIO]],MUNICIPIOS!A:A,MUNICIPIOS!E:E,0,0,1)</f>
        <v>Urabá</v>
      </c>
      <c r="F433" s="44">
        <f>+_xlfn.XLOOKUP(PROYECTOS[[#This Row],[MUNICIPIO]],MUNICIPIOS!A:A,MUNICIPIOS!F:F,0,0,1)</f>
        <v>-76.787271000000004</v>
      </c>
      <c r="G433" s="44" t="str">
        <f>+_xlfn.XLOOKUP(PROYECTOS[[#This Row],[MUNICIPIO]],MUNICIPIOS!A:A,MUNICIPIOS!G:G,0,0,1)</f>
        <v>8,434526</v>
      </c>
      <c r="H433" s="44">
        <f>+_xlfn.XLOOKUP(PROYECTOS[[#This Row],[MUNICIPIO]],MUNICIPIOS!A:A,MUNICIPIOS!B:B,0,0,1)</f>
        <v>1</v>
      </c>
      <c r="I433" s="44">
        <f>+_xlfn.XLOOKUP(PROYECTOS[[#This Row],[MUNICIPIO]],MUNICIPIOS!A:A,MUNICIPIOS!C:C,0,0,1)</f>
        <v>1</v>
      </c>
      <c r="J433" s="34" t="str" cm="1">
        <f t="array" ref="J433">_xlfn.TEXTJOIN(" ", TRUE, IF(radicados[ID PROYECTOS]=A433, radicados[RADICADO], ""))</f>
        <v>2025010206251</v>
      </c>
      <c r="K433" s="45">
        <v>2</v>
      </c>
      <c r="L433" s="70">
        <v>8112428279</v>
      </c>
      <c r="M433" s="34" t="s">
        <v>401</v>
      </c>
      <c r="N433" s="40" t="s">
        <v>398</v>
      </c>
      <c r="O433" s="40" t="s">
        <v>25</v>
      </c>
      <c r="P433" s="37"/>
      <c r="Q433" s="45"/>
      <c r="R433" s="166"/>
      <c r="S433" s="166"/>
      <c r="T433" s="44">
        <f>+_xlfn.XLOOKUP(PROYECTOS[[#This Row],[MUNICIPIO]],'4.CAP_ENDMNT'!B:B,'4.CAP_ENDMNT'!C:C,0,0,1)</f>
        <v>6</v>
      </c>
      <c r="U433" s="167">
        <f>+_xlfn.XLOOKUP(PROYECTOS[[#This Row],[MUNICIPIO]],'4.CAP_ENDMNT'!B:B,'4.CAP_ENDMNT'!D:D,0,0,1)</f>
        <v>30137297790.127998</v>
      </c>
      <c r="V433" s="44">
        <f>+_xlfn.XLOOKUP(PROYECTOS[[#This Row],[MUNICIPIO]],'4.CAP_ENDMNT'!B:B,'4.CAP_ENDMNT'!E:E,0,0,1)</f>
        <v>12298726691.530001</v>
      </c>
      <c r="W433" s="44">
        <f>+_xlfn.XLOOKUP(PROYECTOS[[#This Row],[MUNICIPIO]],'4.CAP_ENDMNT'!B:B,'4.CAP_ENDMNT'!F:F,0,0,1)</f>
        <v>17838571098.598</v>
      </c>
      <c r="X433" s="44">
        <f>+_xlfn.XLOOKUP(PROYECTOS[[#This Row],[MUNICIPIO]],'4.CAP_ENDMNT'!B:B,'4.CAP_ENDMNT'!G:G,0,0,1)</f>
        <v>2369107602</v>
      </c>
      <c r="Y433" s="44">
        <f>+_xlfn.XLOOKUP(PROYECTOS[[#This Row],[MUNICIPIO]],'4.CAP_ENDMNT'!B:B,'4.CAP_ENDMNT'!H:H,0,0,1)</f>
        <v>13974896585</v>
      </c>
      <c r="Z433" s="44">
        <f>+_xlfn.XLOOKUP(PROYECTOS[[#This Row],[MUNICIPIO]],'4.CAP_ENDMNT'!B:B,'4.CAP_ENDMNT'!I:I,0,0,1)</f>
        <v>16344004187</v>
      </c>
      <c r="AA433" s="134">
        <f>+_xlfn.XLOOKUP(PROYECTOS[[#This Row],[MUNICIPIO]],'4.CAP_ENDMNT'!B:B,'4.CAP_ENDMNT'!J:J,0,0,1)</f>
        <v>0.54231817002364979</v>
      </c>
      <c r="AB433" s="44">
        <f>+_xlfn.XLOOKUP(PROYECTOS[[#This Row],[MUNICIPIO]],'4.CAP_ENDMNT'!B:B,'4.CAP_ENDMNT'!K:K,0,0,1)</f>
        <v>13793293603.127998</v>
      </c>
      <c r="AC433" s="44">
        <f>+_xlfn.XLOOKUP(PROYECTOS[[#This Row],[MUNICIPIO]],'4.CAP_ENDMNT'!B:B,'4.CAP_ENDMNT'!L:L,0,0,1)</f>
        <v>11034634882.502399</v>
      </c>
      <c r="AD433" s="44">
        <f>+_xlfn.XLOOKUP(PROYECTOS[[#This Row],[MUNICIPIO]],'4.CAP_ENDMNT'!B:B,'4.CAP_ENDMNT'!M:M,0,0,1)</f>
        <v>8275976161.8767986</v>
      </c>
      <c r="AE433" s="134">
        <f>+_xlfn.XLOOKUP(PROYECTOS[[#This Row],[MUNICIPIO]],'4.CAP_ENDMNT'!B:B,'4.CAP_ENDMNT'!N:N,0,0,1)</f>
        <v>0.1449527040554961</v>
      </c>
      <c r="AF433" s="134">
        <f>+_xlfn.XLOOKUP(PROYECTOS[[#This Row],[MUNICIPIO]],'4.CAP_ENDMNT'!B:B,'4.CAP_ENDMNT'!O:O,0,0,1)</f>
        <v>0.58055985759165929</v>
      </c>
      <c r="AG433" s="134">
        <f>+_xlfn.XLOOKUP(PROYECTOS[[#This Row],[MUNICIPIO]],'4.CAP_ENDMNT'!B:B,'4.CAP_ENDMNT'!P:P,0,0,1)</f>
        <v>0.8</v>
      </c>
      <c r="AH433" s="44" t="str">
        <f>+_xlfn.XLOOKUP(PROYECTOS[[#This Row],[MUNICIPIO]],'4.CAP_ENDMNT'!B:B,'4.CAP_ENDMNT'!Q:Q,0,0,1)</f>
        <v>Cumple</v>
      </c>
      <c r="AI433" s="139">
        <f>+_xlfn.XLOOKUP(PROYECTOS[[#This Row],[MUNICIPIO]],'4.CAP_ENDMNT'!B:B,'4.CAP_ENDMNT'!V:V,0,0,1)</f>
        <v>1655195232.3753598</v>
      </c>
      <c r="AJ433" s="139">
        <f>+_xlfn.XLOOKUP(PROYECTOS[[#This Row],[MUNICIPIO]],'4.CAP_ENDMNT'!B:B,'4.CAP_ENDMNT'!Y:Y,0,0,1)</f>
        <v>-48565434249.747841</v>
      </c>
      <c r="AK433"/>
      <c r="AL433"/>
      <c r="AM433"/>
    </row>
    <row r="434" spans="1:39" ht="15" customHeight="1">
      <c r="A434" s="44">
        <v>544</v>
      </c>
      <c r="B434" t="s">
        <v>1584</v>
      </c>
      <c r="C434" s="118">
        <f>+_xlfn.XLOOKUP(PROYECTOS[[#This Row],[ID_NECESIDAD]],'1.RADICADOS'!G:G,'1.RADICADOS'!C:C,0,0,1)*1</f>
        <v>45782</v>
      </c>
      <c r="D434" s="67" t="s">
        <v>477</v>
      </c>
      <c r="E434" s="47" t="str">
        <f>+_xlfn.XLOOKUP(PROYECTOS[[#This Row],[MUNICIPIO]],MUNICIPIOS!A:A,MUNICIPIOS!E:E,0,0,1)</f>
        <v>Norte</v>
      </c>
      <c r="F434" s="44">
        <f>+_xlfn.XLOOKUP(PROYECTOS[[#This Row],[MUNICIPIO]],MUNICIPIOS!A:A,MUNICIPIOS!F:F,0,0,1)</f>
        <v>-75.335115999999999</v>
      </c>
      <c r="G434" s="44" t="str">
        <f>+_xlfn.XLOOKUP(PROYECTOS[[#This Row],[MUNICIPIO]],MUNICIPIOS!A:A,MUNICIPIOS!G:G,0,0,1)</f>
        <v>6,885175</v>
      </c>
      <c r="H434" s="44">
        <f>+_xlfn.XLOOKUP(PROYECTOS[[#This Row],[MUNICIPIO]],MUNICIPIOS!A:A,MUNICIPIOS!B:B,0,0,1)</f>
        <v>0</v>
      </c>
      <c r="I434" s="44">
        <f>+_xlfn.XLOOKUP(PROYECTOS[[#This Row],[MUNICIPIO]],MUNICIPIOS!A:A,MUNICIPIOS!C:C,0,0,1)</f>
        <v>1</v>
      </c>
      <c r="J434" s="34" t="str" cm="1">
        <f t="array" ref="J434">_xlfn.TEXTJOIN(" ", TRUE, IF(radicados[ID PROYECTOS]=A434, radicados[RADICADO], ""))</f>
        <v>2025010217007</v>
      </c>
      <c r="K434" s="45">
        <v>3</v>
      </c>
      <c r="L434" s="70">
        <v>7552214664</v>
      </c>
      <c r="M434" s="34" t="s">
        <v>288</v>
      </c>
      <c r="N434" s="40" t="s">
        <v>398</v>
      </c>
      <c r="O434" s="40" t="s">
        <v>25</v>
      </c>
      <c r="P434" s="37" t="s">
        <v>1228</v>
      </c>
      <c r="Q434" s="45">
        <v>1</v>
      </c>
      <c r="R434" s="43" t="s">
        <v>922</v>
      </c>
      <c r="S434" s="43" t="s">
        <v>1639</v>
      </c>
      <c r="T434" s="44">
        <f>+_xlfn.XLOOKUP(PROYECTOS[[#This Row],[MUNICIPIO]],'4.CAP_ENDMNT'!B:B,'4.CAP_ENDMNT'!C:C,0,0,1)</f>
        <v>6</v>
      </c>
      <c r="U434" s="167">
        <f>+_xlfn.XLOOKUP(PROYECTOS[[#This Row],[MUNICIPIO]],'4.CAP_ENDMNT'!B:B,'4.CAP_ENDMNT'!D:D,0,0,1)</f>
        <v>12764062914.553999</v>
      </c>
      <c r="V434" s="44">
        <f>+_xlfn.XLOOKUP(PROYECTOS[[#This Row],[MUNICIPIO]],'4.CAP_ENDMNT'!B:B,'4.CAP_ENDMNT'!E:E,0,0,1)</f>
        <v>4266060462.2200003</v>
      </c>
      <c r="W434" s="44">
        <f>+_xlfn.XLOOKUP(PROYECTOS[[#This Row],[MUNICIPIO]],'4.CAP_ENDMNT'!B:B,'4.CAP_ENDMNT'!F:F,0,0,1)</f>
        <v>8498002452.3339987</v>
      </c>
      <c r="X434" s="44">
        <f>+_xlfn.XLOOKUP(PROYECTOS[[#This Row],[MUNICIPIO]],'4.CAP_ENDMNT'!B:B,'4.CAP_ENDMNT'!G:G,0,0,1)</f>
        <v>4258957687</v>
      </c>
      <c r="Y434" s="44">
        <f>+_xlfn.XLOOKUP(PROYECTOS[[#This Row],[MUNICIPIO]],'4.CAP_ENDMNT'!B:B,'4.CAP_ENDMNT'!H:H,0,0,1)</f>
        <v>500000000</v>
      </c>
      <c r="Z434" s="44">
        <f>+_xlfn.XLOOKUP(PROYECTOS[[#This Row],[MUNICIPIO]],'4.CAP_ENDMNT'!B:B,'4.CAP_ENDMNT'!I:I,0,0,1)</f>
        <v>4758957687</v>
      </c>
      <c r="AA434" s="134">
        <f>+_xlfn.XLOOKUP(PROYECTOS[[#This Row],[MUNICIPIO]],'4.CAP_ENDMNT'!B:B,'4.CAP_ENDMNT'!J:J,0,0,1)</f>
        <v>0.37284035019708983</v>
      </c>
      <c r="AB434" s="44">
        <f>+_xlfn.XLOOKUP(PROYECTOS[[#This Row],[MUNICIPIO]],'4.CAP_ENDMNT'!B:B,'4.CAP_ENDMNT'!K:K,0,0,1)</f>
        <v>8005105227.5539989</v>
      </c>
      <c r="AC434" s="44">
        <f>+_xlfn.XLOOKUP(PROYECTOS[[#This Row],[MUNICIPIO]],'4.CAP_ENDMNT'!B:B,'4.CAP_ENDMNT'!L:L,0,0,1)</f>
        <v>6404084182.0431995</v>
      </c>
      <c r="AD434" s="44">
        <f>+_xlfn.XLOOKUP(PROYECTOS[[#This Row],[MUNICIPIO]],'4.CAP_ENDMNT'!B:B,'4.CAP_ENDMNT'!M:M,0,0,1)</f>
        <v>4803063136.5323992</v>
      </c>
      <c r="AE434" s="134">
        <f>+_xlfn.XLOOKUP(PROYECTOS[[#This Row],[MUNICIPIO]],'4.CAP_ENDMNT'!B:B,'4.CAP_ENDMNT'!N:N,0,0,1)</f>
        <v>0.89493497675639244</v>
      </c>
      <c r="AF434" s="134">
        <f>+_xlfn.XLOOKUP(PROYECTOS[[#This Row],[MUNICIPIO]],'4.CAP_ENDMNT'!B:B,'4.CAP_ENDMNT'!O:O,0,0,1)</f>
        <v>0.64132957807138946</v>
      </c>
      <c r="AG434" s="134">
        <f>+_xlfn.XLOOKUP(PROYECTOS[[#This Row],[MUNICIPIO]],'4.CAP_ENDMNT'!B:B,'4.CAP_ENDMNT'!P:P,0,0,1)</f>
        <v>0.8</v>
      </c>
      <c r="AH434" s="44" t="str">
        <f>+_xlfn.XLOOKUP(PROYECTOS[[#This Row],[MUNICIPIO]],'4.CAP_ENDMNT'!B:B,'4.CAP_ENDMNT'!Q:Q,0,0,1)</f>
        <v>Cumple</v>
      </c>
      <c r="AI434" s="139">
        <f>+_xlfn.XLOOKUP(PROYECTOS[[#This Row],[MUNICIPIO]],'4.CAP_ENDMNT'!B:B,'4.CAP_ENDMNT'!V:V,0,0,1)</f>
        <v>960612627.30647993</v>
      </c>
      <c r="AJ434" s="139">
        <f>+_xlfn.XLOOKUP(PROYECTOS[[#This Row],[MUNICIPIO]],'4.CAP_ENDMNT'!B:B,'4.CAP_ENDMNT'!Y:Y,0,0,1)</f>
        <v>-8999039296.1611214</v>
      </c>
    </row>
    <row r="435" spans="1:39">
      <c r="A435" s="44">
        <v>545</v>
      </c>
      <c r="B435" t="s">
        <v>1492</v>
      </c>
      <c r="C435" s="118">
        <f>+_xlfn.XLOOKUP(PROYECTOS[[#This Row],[ID_NECESIDAD]],'1.RADICADOS'!G:G,'1.RADICADOS'!C:C,0,0,1)*1</f>
        <v>45783</v>
      </c>
      <c r="D435" s="67" t="s">
        <v>832</v>
      </c>
      <c r="E435" s="47" t="str">
        <f>+_xlfn.XLOOKUP(PROYECTOS[[#This Row],[MUNICIPIO]],MUNICIPIOS!A:A,MUNICIPIOS!E:E,0,0,1)</f>
        <v>Norte</v>
      </c>
      <c r="F435" s="44">
        <f>+_xlfn.XLOOKUP(PROYECTOS[[#This Row],[MUNICIPIO]],MUNICIPIOS!A:A,MUNICIPIOS!F:F,0,0,1)</f>
        <v>-75.764673000000002</v>
      </c>
      <c r="G435" s="44" t="str">
        <f>+_xlfn.XLOOKUP(PROYECTOS[[#This Row],[MUNICIPIO]],MUNICIPIOS!A:A,MUNICIPIOS!G:G,0,0,1)</f>
        <v>7,171629</v>
      </c>
      <c r="H435" s="44">
        <f>+_xlfn.XLOOKUP(PROYECTOS[[#This Row],[MUNICIPIO]],MUNICIPIOS!A:A,MUNICIPIOS!B:B,0,0,1)</f>
        <v>1</v>
      </c>
      <c r="I435" s="44">
        <f>+_xlfn.XLOOKUP(PROYECTOS[[#This Row],[MUNICIPIO]],MUNICIPIOS!A:A,MUNICIPIOS!C:C,0,0,1)</f>
        <v>1</v>
      </c>
      <c r="J435" s="34" t="str" cm="1">
        <f t="array" ref="J435">_xlfn.TEXTJOIN(" ", TRUE, IF(radicados[ID PROYECTOS]=A435, radicados[RADICADO], ""))</f>
        <v>2025010220927</v>
      </c>
      <c r="K435" s="45">
        <v>3</v>
      </c>
      <c r="L435" s="70">
        <v>6732781667</v>
      </c>
      <c r="M435" s="34" t="s">
        <v>401</v>
      </c>
      <c r="N435" s="40" t="s">
        <v>398</v>
      </c>
      <c r="O435" s="40" t="s">
        <v>25</v>
      </c>
      <c r="P435" s="37"/>
      <c r="Q435" s="45"/>
      <c r="R435" s="166"/>
      <c r="S435" s="166"/>
      <c r="T435" s="44">
        <f>+_xlfn.XLOOKUP(PROYECTOS[[#This Row],[MUNICIPIO]],'4.CAP_ENDMNT'!B:B,'4.CAP_ENDMNT'!C:C,0,0,1)</f>
        <v>6</v>
      </c>
      <c r="U435" s="167">
        <f>+_xlfn.XLOOKUP(PROYECTOS[[#This Row],[MUNICIPIO]],'4.CAP_ENDMNT'!B:B,'4.CAP_ENDMNT'!D:D,0,0,1)</f>
        <v>18426107981.286503</v>
      </c>
      <c r="V435" s="44">
        <f>+_xlfn.XLOOKUP(PROYECTOS[[#This Row],[MUNICIPIO]],'4.CAP_ENDMNT'!B:B,'4.CAP_ENDMNT'!E:E,0,0,1)</f>
        <v>4869802105.2700005</v>
      </c>
      <c r="W435" s="44">
        <f>+_xlfn.XLOOKUP(PROYECTOS[[#This Row],[MUNICIPIO]],'4.CAP_ENDMNT'!B:B,'4.CAP_ENDMNT'!F:F,0,0,1)</f>
        <v>13556305876.016502</v>
      </c>
      <c r="X435" s="44">
        <f>+_xlfn.XLOOKUP(PROYECTOS[[#This Row],[MUNICIPIO]],'4.CAP_ENDMNT'!B:B,'4.CAP_ENDMNT'!G:G,0,0,1)</f>
        <v>951343820.02999997</v>
      </c>
      <c r="Y435" s="44">
        <f>+_xlfn.XLOOKUP(PROYECTOS[[#This Row],[MUNICIPIO]],'4.CAP_ENDMNT'!B:B,'4.CAP_ENDMNT'!H:H,0,0,1)</f>
        <v>9684082914</v>
      </c>
      <c r="Z435" s="44">
        <f>+_xlfn.XLOOKUP(PROYECTOS[[#This Row],[MUNICIPIO]],'4.CAP_ENDMNT'!B:B,'4.CAP_ENDMNT'!I:I,0,0,1)</f>
        <v>10635426734.030001</v>
      </c>
      <c r="AA435" s="134">
        <f>+_xlfn.XLOOKUP(PROYECTOS[[#This Row],[MUNICIPIO]],'4.CAP_ENDMNT'!B:B,'4.CAP_ENDMNT'!J:J,0,0,1)</f>
        <v>0.57719333593569011</v>
      </c>
      <c r="AB435" s="44">
        <f>+_xlfn.XLOOKUP(PROYECTOS[[#This Row],[MUNICIPIO]],'4.CAP_ENDMNT'!B:B,'4.CAP_ENDMNT'!K:K,0,0,1)</f>
        <v>7790681247.2565022</v>
      </c>
      <c r="AC435" s="44">
        <f>+_xlfn.XLOOKUP(PROYECTOS[[#This Row],[MUNICIPIO]],'4.CAP_ENDMNT'!B:B,'4.CAP_ENDMNT'!L:L,0,0,1)</f>
        <v>6232544997.8052025</v>
      </c>
      <c r="AD435" s="44">
        <f>+_xlfn.XLOOKUP(PROYECTOS[[#This Row],[MUNICIPIO]],'4.CAP_ENDMNT'!B:B,'4.CAP_ENDMNT'!M:M,0,0,1)</f>
        <v>4674408748.3539009</v>
      </c>
      <c r="AE435" s="134">
        <f>+_xlfn.XLOOKUP(PROYECTOS[[#This Row],[MUNICIPIO]],'4.CAP_ENDMNT'!B:B,'4.CAP_ENDMNT'!N:N,0,0,1)</f>
        <v>8.9450460599385329E-2</v>
      </c>
      <c r="AF435" s="134">
        <f>+_xlfn.XLOOKUP(PROYECTOS[[#This Row],[MUNICIPIO]],'4.CAP_ENDMNT'!B:B,'4.CAP_ENDMNT'!O:O,0,0,1)</f>
        <v>0.56172885881394896</v>
      </c>
      <c r="AG435" s="134">
        <f>+_xlfn.XLOOKUP(PROYECTOS[[#This Row],[MUNICIPIO]],'4.CAP_ENDMNT'!B:B,'4.CAP_ENDMNT'!P:P,0,0,1)</f>
        <v>0.8</v>
      </c>
      <c r="AH435" s="44" t="str">
        <f>+_xlfn.XLOOKUP(PROYECTOS[[#This Row],[MUNICIPIO]],'4.CAP_ENDMNT'!B:B,'4.CAP_ENDMNT'!Q:Q,0,0,1)</f>
        <v>Cumple</v>
      </c>
      <c r="AI435" s="139">
        <f>+_xlfn.XLOOKUP(PROYECTOS[[#This Row],[MUNICIPIO]],'4.CAP_ENDMNT'!B:B,'4.CAP_ENDMNT'!V:V,0,0,1)</f>
        <v>934881749.67078018</v>
      </c>
      <c r="AJ435" s="139">
        <f>+_xlfn.XLOOKUP(PROYECTOS[[#This Row],[MUNICIPIO]],'4.CAP_ENDMNT'!B:B,'4.CAP_ENDMNT'!Y:Y,0,0,1)</f>
        <v>-17632992525.975319</v>
      </c>
    </row>
    <row r="436" spans="1:39" ht="15" customHeight="1">
      <c r="A436" s="44">
        <v>546</v>
      </c>
      <c r="B436" t="s">
        <v>1493</v>
      </c>
      <c r="C436" s="118">
        <f>+_xlfn.XLOOKUP(PROYECTOS[[#This Row],[ID_NECESIDAD]],'1.RADICADOS'!G:G,'1.RADICADOS'!C:C,0,0,1)*1</f>
        <v>45790</v>
      </c>
      <c r="D436" s="67" t="s">
        <v>616</v>
      </c>
      <c r="E436" s="47" t="str">
        <f>+_xlfn.XLOOKUP(PROYECTOS[[#This Row],[MUNICIPIO]],MUNICIPIOS!A:A,MUNICIPIOS!E:E,0,0,1)</f>
        <v>Oriente</v>
      </c>
      <c r="F436" s="44">
        <f>+_xlfn.XLOOKUP(PROYECTOS[[#This Row],[MUNICIPIO]],MUNICIPIOS!A:A,MUNICIPIOS!F:F,0,0,1)</f>
        <v>-75.176261999999994</v>
      </c>
      <c r="G436" s="44" t="str">
        <f>+_xlfn.XLOOKUP(PROYECTOS[[#This Row],[MUNICIPIO]],MUNICIPIOS!A:A,MUNICIPIOS!G:G,0,0,1)</f>
        <v>5,610777</v>
      </c>
      <c r="H436" s="44">
        <f>+_xlfn.XLOOKUP(PROYECTOS[[#This Row],[MUNICIPIO]],MUNICIPIOS!A:A,MUNICIPIOS!B:B,0,0,1)</f>
        <v>0</v>
      </c>
      <c r="I436" s="44">
        <f>+_xlfn.XLOOKUP(PROYECTOS[[#This Row],[MUNICIPIO]],MUNICIPIOS!A:A,MUNICIPIOS!C:C,0,0,1)</f>
        <v>1</v>
      </c>
      <c r="J436" s="34" t="str" cm="1">
        <f t="array" ref="J436">_xlfn.TEXTJOIN(" ", TRUE, IF(radicados[ID PROYECTOS]=A436, radicados[RADICADO], ""))</f>
        <v>2025010234337</v>
      </c>
      <c r="K436" s="45">
        <v>3</v>
      </c>
      <c r="L436" s="70">
        <v>1762477865</v>
      </c>
      <c r="M436" s="34" t="s">
        <v>288</v>
      </c>
      <c r="N436" s="40" t="s">
        <v>398</v>
      </c>
      <c r="O436" s="40" t="s">
        <v>25</v>
      </c>
      <c r="P436" s="37"/>
      <c r="Q436" s="45"/>
      <c r="R436" s="166"/>
      <c r="S436" s="166"/>
      <c r="T436" s="44">
        <f>+_xlfn.XLOOKUP(PROYECTOS[[#This Row],[MUNICIPIO]],'4.CAP_ENDMNT'!B:B,'4.CAP_ENDMNT'!C:C,0,0,1)</f>
        <v>6</v>
      </c>
      <c r="U436" s="167">
        <f>+_xlfn.XLOOKUP(PROYECTOS[[#This Row],[MUNICIPIO]],'4.CAP_ENDMNT'!B:B,'4.CAP_ENDMNT'!D:D,0,0,1)</f>
        <v>8540444993.8640003</v>
      </c>
      <c r="V436" s="44">
        <f>+_xlfn.XLOOKUP(PROYECTOS[[#This Row],[MUNICIPIO]],'4.CAP_ENDMNT'!B:B,'4.CAP_ENDMNT'!E:E,0,0,1)</f>
        <v>2695571158.3099999</v>
      </c>
      <c r="W436" s="44">
        <f>+_xlfn.XLOOKUP(PROYECTOS[[#This Row],[MUNICIPIO]],'4.CAP_ENDMNT'!B:B,'4.CAP_ENDMNT'!F:F,0,0,1)</f>
        <v>5844873835.5540009</v>
      </c>
      <c r="X436" s="44">
        <f>+_xlfn.XLOOKUP(PROYECTOS[[#This Row],[MUNICIPIO]],'4.CAP_ENDMNT'!B:B,'4.CAP_ENDMNT'!G:G,0,0,1)</f>
        <v>0</v>
      </c>
      <c r="Y436" s="44">
        <f>+_xlfn.XLOOKUP(PROYECTOS[[#This Row],[MUNICIPIO]],'4.CAP_ENDMNT'!B:B,'4.CAP_ENDMNT'!H:H,0,0,1)</f>
        <v>0</v>
      </c>
      <c r="Z436" s="44">
        <f>+_xlfn.XLOOKUP(PROYECTOS[[#This Row],[MUNICIPIO]],'4.CAP_ENDMNT'!B:B,'4.CAP_ENDMNT'!I:I,0,0,1)</f>
        <v>0</v>
      </c>
      <c r="AA436" s="134">
        <f>+_xlfn.XLOOKUP(PROYECTOS[[#This Row],[MUNICIPIO]],'4.CAP_ENDMNT'!B:B,'4.CAP_ENDMNT'!J:J,0,0,1)</f>
        <v>0</v>
      </c>
      <c r="AB436" s="44">
        <f>+_xlfn.XLOOKUP(PROYECTOS[[#This Row],[MUNICIPIO]],'4.CAP_ENDMNT'!B:B,'4.CAP_ENDMNT'!K:K,0,0,1)</f>
        <v>8540444993.8640003</v>
      </c>
      <c r="AC436" s="44">
        <f>+_xlfn.XLOOKUP(PROYECTOS[[#This Row],[MUNICIPIO]],'4.CAP_ENDMNT'!B:B,'4.CAP_ENDMNT'!L:L,0,0,1)</f>
        <v>6832355995.0912008</v>
      </c>
      <c r="AD436" s="44">
        <f>+_xlfn.XLOOKUP(PROYECTOS[[#This Row],[MUNICIPIO]],'4.CAP_ENDMNT'!B:B,'4.CAP_ENDMNT'!M:M,0,0,1)</f>
        <v>5124266996.3184004</v>
      </c>
      <c r="AE436" s="134">
        <f>+_xlfn.XLOOKUP(PROYECTOS[[#This Row],[MUNICIPIO]],'4.CAP_ENDMNT'!B:B,'4.CAP_ENDMNT'!N:N,0,0,1)</f>
        <v>0</v>
      </c>
      <c r="AF436" s="134">
        <f>+_xlfn.XLOOKUP(PROYECTOS[[#This Row],[MUNICIPIO]],'4.CAP_ENDMNT'!B:B,'4.CAP_ENDMNT'!O:O,0,0,1)</f>
        <v>0.54404764708917908</v>
      </c>
      <c r="AG436" s="134">
        <f>+_xlfn.XLOOKUP(PROYECTOS[[#This Row],[MUNICIPIO]],'4.CAP_ENDMNT'!B:B,'4.CAP_ENDMNT'!P:P,0,0,1)</f>
        <v>0.8</v>
      </c>
      <c r="AH436" s="44" t="str">
        <f>+_xlfn.XLOOKUP(PROYECTOS[[#This Row],[MUNICIPIO]],'4.CAP_ENDMNT'!B:B,'4.CAP_ENDMNT'!Q:Q,0,0,1)</f>
        <v>Cumple</v>
      </c>
      <c r="AI436" s="139">
        <f>+_xlfn.XLOOKUP(PROYECTOS[[#This Row],[MUNICIPIO]],'4.CAP_ENDMNT'!B:B,'4.CAP_ENDMNT'!V:V,0,0,1)</f>
        <v>1024853399.2636801</v>
      </c>
      <c r="AJ436" s="139">
        <f>+_xlfn.XLOOKUP(PROYECTOS[[#This Row],[MUNICIPIO]],'4.CAP_ENDMNT'!B:B,'4.CAP_ENDMNT'!Y:Y,0,0,1)</f>
        <v>4386642530.5820808</v>
      </c>
    </row>
    <row r="437" spans="1:39" ht="15" customHeight="1">
      <c r="A437" s="44">
        <v>547</v>
      </c>
      <c r="B437" t="s">
        <v>1494</v>
      </c>
      <c r="C437" s="118">
        <f>+_xlfn.XLOOKUP(PROYECTOS[[#This Row],[ID_NECESIDAD]],'1.RADICADOS'!G:G,'1.RADICADOS'!C:C,0,0,1)*1</f>
        <v>45793</v>
      </c>
      <c r="D437" s="67" t="s">
        <v>448</v>
      </c>
      <c r="E437" s="47" t="str">
        <f>+_xlfn.XLOOKUP(PROYECTOS[[#This Row],[MUNICIPIO]],MUNICIPIOS!A:A,MUNICIPIOS!E:E,0,0,1)</f>
        <v>Occidente</v>
      </c>
      <c r="F437" s="44">
        <f>+_xlfn.XLOOKUP(PROYECTOS[[#This Row],[MUNICIPIO]],MUNICIPIOS!A:A,MUNICIPIOS!F:F,0,0,1)</f>
        <v>-75.982929999999996</v>
      </c>
      <c r="G437" s="44" t="str">
        <f>+_xlfn.XLOOKUP(PROYECTOS[[#This Row],[MUNICIPIO]],MUNICIPIOS!A:A,MUNICIPIOS!G:G,0,0,1)</f>
        <v>6,405607</v>
      </c>
      <c r="H437" s="44">
        <f>+_xlfn.XLOOKUP(PROYECTOS[[#This Row],[MUNICIPIO]],MUNICIPIOS!A:A,MUNICIPIOS!B:B,0,0,1)</f>
        <v>0</v>
      </c>
      <c r="I437" s="44">
        <f>+_xlfn.XLOOKUP(PROYECTOS[[#This Row],[MUNICIPIO]],MUNICIPIOS!A:A,MUNICIPIOS!C:C,0,0,1)</f>
        <v>1</v>
      </c>
      <c r="J437" s="34" t="str" cm="1">
        <f t="array" ref="J437">_xlfn.TEXTJOIN(" ", TRUE, IF(radicados[ID PROYECTOS]=A437, radicados[RADICADO], ""))</f>
        <v>2025010243405 2025010243584</v>
      </c>
      <c r="K437" s="45">
        <v>2</v>
      </c>
      <c r="L437" s="70">
        <v>68156478</v>
      </c>
      <c r="M437" s="34" t="s">
        <v>761</v>
      </c>
      <c r="N437" s="40" t="s">
        <v>398</v>
      </c>
      <c r="O437" s="40" t="s">
        <v>25</v>
      </c>
      <c r="P437" s="37"/>
      <c r="Q437" s="45"/>
      <c r="R437" s="166"/>
      <c r="S437" s="166"/>
      <c r="T437" s="44">
        <f>+_xlfn.XLOOKUP(PROYECTOS[[#This Row],[MUNICIPIO]],'4.CAP_ENDMNT'!B:B,'4.CAP_ENDMNT'!C:C,0,0,1)</f>
        <v>6</v>
      </c>
      <c r="U437" s="167">
        <f>+_xlfn.XLOOKUP(PROYECTOS[[#This Row],[MUNICIPIO]],'4.CAP_ENDMNT'!B:B,'4.CAP_ENDMNT'!D:D,0,0,1)</f>
        <v>8536446221.1044998</v>
      </c>
      <c r="V437" s="44">
        <f>+_xlfn.XLOOKUP(PROYECTOS[[#This Row],[MUNICIPIO]],'4.CAP_ENDMNT'!B:B,'4.CAP_ENDMNT'!E:E,0,0,1)</f>
        <v>2840287960.8099999</v>
      </c>
      <c r="W437" s="44">
        <f>+_xlfn.XLOOKUP(PROYECTOS[[#This Row],[MUNICIPIO]],'4.CAP_ENDMNT'!B:B,'4.CAP_ENDMNT'!F:F,0,0,1)</f>
        <v>5696158260.2945004</v>
      </c>
      <c r="X437" s="44">
        <f>+_xlfn.XLOOKUP(PROYECTOS[[#This Row],[MUNICIPIO]],'4.CAP_ENDMNT'!B:B,'4.CAP_ENDMNT'!G:G,0,0,1)</f>
        <v>1059912604</v>
      </c>
      <c r="Y437" s="44">
        <f>+_xlfn.XLOOKUP(PROYECTOS[[#This Row],[MUNICIPIO]],'4.CAP_ENDMNT'!B:B,'4.CAP_ENDMNT'!H:H,0,0,1)</f>
        <v>559890374</v>
      </c>
      <c r="Z437" s="44">
        <f>+_xlfn.XLOOKUP(PROYECTOS[[#This Row],[MUNICIPIO]],'4.CAP_ENDMNT'!B:B,'4.CAP_ENDMNT'!I:I,0,0,1)</f>
        <v>1619802978</v>
      </c>
      <c r="AA437" s="134">
        <f>+_xlfn.XLOOKUP(PROYECTOS[[#This Row],[MUNICIPIO]],'4.CAP_ENDMNT'!B:B,'4.CAP_ENDMNT'!J:J,0,0,1)</f>
        <v>0.18975144176453554</v>
      </c>
      <c r="AB437" s="44">
        <f>+_xlfn.XLOOKUP(PROYECTOS[[#This Row],[MUNICIPIO]],'4.CAP_ENDMNT'!B:B,'4.CAP_ENDMNT'!K:K,0,0,1)</f>
        <v>6916643243.1044998</v>
      </c>
      <c r="AC437" s="44">
        <f>+_xlfn.XLOOKUP(PROYECTOS[[#This Row],[MUNICIPIO]],'4.CAP_ENDMNT'!B:B,'4.CAP_ENDMNT'!L:L,0,0,1)</f>
        <v>5533314594.4836006</v>
      </c>
      <c r="AD437" s="44">
        <f>+_xlfn.XLOOKUP(PROYECTOS[[#This Row],[MUNICIPIO]],'4.CAP_ENDMNT'!B:B,'4.CAP_ENDMNT'!M:M,0,0,1)</f>
        <v>4149985945.8626995</v>
      </c>
      <c r="AE437" s="134">
        <f>+_xlfn.XLOOKUP(PROYECTOS[[#This Row],[MUNICIPIO]],'4.CAP_ENDMNT'!B:B,'4.CAP_ENDMNT'!N:N,0,0,1)</f>
        <v>0.65434662017271583</v>
      </c>
      <c r="AF437" s="134">
        <f>+_xlfn.XLOOKUP(PROYECTOS[[#This Row],[MUNICIPIO]],'4.CAP_ENDMNT'!B:B,'4.CAP_ENDMNT'!O:O,0,0,1)</f>
        <v>0.62730744736284794</v>
      </c>
      <c r="AG437" s="134">
        <f>+_xlfn.XLOOKUP(PROYECTOS[[#This Row],[MUNICIPIO]],'4.CAP_ENDMNT'!B:B,'4.CAP_ENDMNT'!P:P,0,0,1)</f>
        <v>0.8</v>
      </c>
      <c r="AH437" s="44" t="str">
        <f>+_xlfn.XLOOKUP(PROYECTOS[[#This Row],[MUNICIPIO]],'4.CAP_ENDMNT'!B:B,'4.CAP_ENDMNT'!Q:Q,0,0,1)</f>
        <v>Cumple</v>
      </c>
      <c r="AI437" s="139">
        <f>+_xlfn.XLOOKUP(PROYECTOS[[#This Row],[MUNICIPIO]],'4.CAP_ENDMNT'!B:B,'4.CAP_ENDMNT'!V:V,0,0,1)</f>
        <v>829997189.17253995</v>
      </c>
      <c r="AJ437" s="139">
        <f>+_xlfn.XLOOKUP(PROYECTOS[[#This Row],[MUNICIPIO]],'4.CAP_ENDMNT'!B:B,'4.CAP_ENDMNT'!Y:Y,0,0,1)</f>
        <v>-7956520095.9647608</v>
      </c>
    </row>
    <row r="438" spans="1:39" ht="15" customHeight="1">
      <c r="A438" s="44">
        <v>549</v>
      </c>
      <c r="B438" t="s">
        <v>1188</v>
      </c>
      <c r="C438" s="118">
        <f>+_xlfn.XLOOKUP(PROYECTOS[[#This Row],[ID_NECESIDAD]],'1.RADICADOS'!G:G,'1.RADICADOS'!C:C,0,0,1)*1</f>
        <v>45790</v>
      </c>
      <c r="D438" s="67" t="s">
        <v>341</v>
      </c>
      <c r="E438" s="47" t="str">
        <f>+_xlfn.XLOOKUP(PROYECTOS[[#This Row],[MUNICIPIO]],MUNICIPIOS!A:A,MUNICIPIOS!E:E,0,0,1)</f>
        <v>Norte</v>
      </c>
      <c r="F438" s="44">
        <f>+_xlfn.XLOOKUP(PROYECTOS[[#This Row],[MUNICIPIO]],MUNICIPIOS!A:A,MUNICIPIOS!F:F,0,0,1)</f>
        <v>-75.667778999999996</v>
      </c>
      <c r="G438" s="44" t="str">
        <f>+_xlfn.XLOOKUP(PROYECTOS[[#This Row],[MUNICIPIO]],MUNICIPIOS!A:A,MUNICIPIOS!G:G,0,0,1)</f>
        <v>6,606319</v>
      </c>
      <c r="H438" s="44">
        <f>+_xlfn.XLOOKUP(PROYECTOS[[#This Row],[MUNICIPIO]],MUNICIPIOS!A:A,MUNICIPIOS!B:B,0,0,1)</f>
        <v>0</v>
      </c>
      <c r="I438" s="44">
        <f>+_xlfn.XLOOKUP(PROYECTOS[[#This Row],[MUNICIPIO]],MUNICIPIOS!A:A,MUNICIPIOS!C:C,0,0,1)</f>
        <v>0</v>
      </c>
      <c r="J438" s="34" t="str" cm="1">
        <f t="array" ref="J438">_xlfn.TEXTJOIN(" ", TRUE, IF(radicados[ID PROYECTOS]=A438, radicados[RADICADO], ""))</f>
        <v>2025010236715 2025010092021</v>
      </c>
      <c r="K438" s="45">
        <v>3</v>
      </c>
      <c r="L438" s="70">
        <v>1400602219</v>
      </c>
      <c r="M438" s="34" t="s">
        <v>435</v>
      </c>
      <c r="N438" s="40" t="s">
        <v>398</v>
      </c>
      <c r="O438" s="40" t="s">
        <v>25</v>
      </c>
      <c r="P438" s="37" t="s">
        <v>1254</v>
      </c>
      <c r="Q438" s="45">
        <v>1</v>
      </c>
      <c r="R438" s="43" t="s">
        <v>922</v>
      </c>
      <c r="S438" s="43" t="s">
        <v>1643</v>
      </c>
      <c r="T438" s="44">
        <f>+_xlfn.XLOOKUP(PROYECTOS[[#This Row],[MUNICIPIO]],'4.CAP_ENDMNT'!B:B,'4.CAP_ENDMNT'!C:C,0,0,1)</f>
        <v>6</v>
      </c>
      <c r="U438" s="167">
        <f>+_xlfn.XLOOKUP(PROYECTOS[[#This Row],[MUNICIPIO]],'4.CAP_ENDMNT'!B:B,'4.CAP_ENDMNT'!D:D,0,0,1)</f>
        <v>10160021082.964001</v>
      </c>
      <c r="V438" s="44">
        <f>+_xlfn.XLOOKUP(PROYECTOS[[#This Row],[MUNICIPIO]],'4.CAP_ENDMNT'!B:B,'4.CAP_ENDMNT'!E:E,0,0,1)</f>
        <v>3265249234.6399999</v>
      </c>
      <c r="W438" s="44">
        <f>+_xlfn.XLOOKUP(PROYECTOS[[#This Row],[MUNICIPIO]],'4.CAP_ENDMNT'!B:B,'4.CAP_ENDMNT'!F:F,0,0,1)</f>
        <v>6894771848.3240013</v>
      </c>
      <c r="X438" s="44">
        <f>+_xlfn.XLOOKUP(PROYECTOS[[#This Row],[MUNICIPIO]],'4.CAP_ENDMNT'!B:B,'4.CAP_ENDMNT'!G:G,0,0,1)</f>
        <v>3316718973.96</v>
      </c>
      <c r="Y438" s="44">
        <f>+_xlfn.XLOOKUP(PROYECTOS[[#This Row],[MUNICIPIO]],'4.CAP_ENDMNT'!B:B,'4.CAP_ENDMNT'!H:H,0,0,1)</f>
        <v>0</v>
      </c>
      <c r="Z438" s="44">
        <f>+_xlfn.XLOOKUP(PROYECTOS[[#This Row],[MUNICIPIO]],'4.CAP_ENDMNT'!B:B,'4.CAP_ENDMNT'!I:I,0,0,1)</f>
        <v>3316718973.96</v>
      </c>
      <c r="AA438" s="134">
        <f>+_xlfn.XLOOKUP(PROYECTOS[[#This Row],[MUNICIPIO]],'4.CAP_ENDMNT'!B:B,'4.CAP_ENDMNT'!J:J,0,0,1)</f>
        <v>0.32644804049879078</v>
      </c>
      <c r="AB438" s="44">
        <f>+_xlfn.XLOOKUP(PROYECTOS[[#This Row],[MUNICIPIO]],'4.CAP_ENDMNT'!B:B,'4.CAP_ENDMNT'!K:K,0,0,1)</f>
        <v>6843302109.0040007</v>
      </c>
      <c r="AC438" s="44">
        <f>+_xlfn.XLOOKUP(PROYECTOS[[#This Row],[MUNICIPIO]],'4.CAP_ENDMNT'!B:B,'4.CAP_ENDMNT'!L:L,0,0,1)</f>
        <v>5474641687.2032013</v>
      </c>
      <c r="AD438" s="44">
        <f>+_xlfn.XLOOKUP(PROYECTOS[[#This Row],[MUNICIPIO]],'4.CAP_ENDMNT'!B:B,'4.CAP_ENDMNT'!M:M,0,0,1)</f>
        <v>4105981265.4024</v>
      </c>
      <c r="AE438" s="134">
        <f>+_xlfn.XLOOKUP(PROYECTOS[[#This Row],[MUNICIPIO]],'4.CAP_ENDMNT'!B:B,'4.CAP_ENDMNT'!N:N,0,0,1)</f>
        <v>1</v>
      </c>
      <c r="AF438" s="134">
        <f>+_xlfn.XLOOKUP(PROYECTOS[[#This Row],[MUNICIPIO]],'4.CAP_ENDMNT'!B:B,'4.CAP_ENDMNT'!O:O,0,0,1)</f>
        <v>0.59534208417675272</v>
      </c>
      <c r="AG438" s="134">
        <f>+_xlfn.XLOOKUP(PROYECTOS[[#This Row],[MUNICIPIO]],'4.CAP_ENDMNT'!B:B,'4.CAP_ENDMNT'!P:P,0,0,1)</f>
        <v>0.8</v>
      </c>
      <c r="AH438" s="44" t="str">
        <f>+_xlfn.XLOOKUP(PROYECTOS[[#This Row],[MUNICIPIO]],'4.CAP_ENDMNT'!B:B,'4.CAP_ENDMNT'!Q:Q,0,0,1)</f>
        <v>Cumple</v>
      </c>
      <c r="AI438" s="139">
        <f>+_xlfn.XLOOKUP(PROYECTOS[[#This Row],[MUNICIPIO]],'4.CAP_ENDMNT'!B:B,'4.CAP_ENDMNT'!V:V,0,0,1)</f>
        <v>821196253.0804801</v>
      </c>
      <c r="AJ438" s="139">
        <f>+_xlfn.XLOOKUP(PROYECTOS[[#This Row],[MUNICIPIO]],'4.CAP_ENDMNT'!B:B,'4.CAP_ENDMNT'!Y:Y,0,0,1)</f>
        <v>-1916076050.5171204</v>
      </c>
    </row>
    <row r="439" spans="1:39" ht="15" customHeight="1">
      <c r="A439" s="44">
        <v>550</v>
      </c>
      <c r="B439" t="s">
        <v>1189</v>
      </c>
      <c r="C439" s="118">
        <f>+_xlfn.XLOOKUP(PROYECTOS[[#This Row],[ID_NECESIDAD]],'1.RADICADOS'!G:G,'1.RADICADOS'!C:C,0,0,1)*1</f>
        <v>45793</v>
      </c>
      <c r="D439" s="67" t="s">
        <v>448</v>
      </c>
      <c r="E439" s="47" t="str">
        <f>+_xlfn.XLOOKUP(PROYECTOS[[#This Row],[MUNICIPIO]],MUNICIPIOS!A:A,MUNICIPIOS!E:E,0,0,1)</f>
        <v>Occidente</v>
      </c>
      <c r="F439" s="44">
        <f>+_xlfn.XLOOKUP(PROYECTOS[[#This Row],[MUNICIPIO]],MUNICIPIOS!A:A,MUNICIPIOS!F:F,0,0,1)</f>
        <v>-75.982929999999996</v>
      </c>
      <c r="G439" s="44" t="str">
        <f>+_xlfn.XLOOKUP(PROYECTOS[[#This Row],[MUNICIPIO]],MUNICIPIOS!A:A,MUNICIPIOS!G:G,0,0,1)</f>
        <v>6,405607</v>
      </c>
      <c r="H439" s="44">
        <f>+_xlfn.XLOOKUP(PROYECTOS[[#This Row],[MUNICIPIO]],MUNICIPIOS!A:A,MUNICIPIOS!B:B,0,0,1)</f>
        <v>0</v>
      </c>
      <c r="I439" s="44">
        <f>+_xlfn.XLOOKUP(PROYECTOS[[#This Row],[MUNICIPIO]],MUNICIPIOS!A:A,MUNICIPIOS!C:C,0,0,1)</f>
        <v>1</v>
      </c>
      <c r="J439" s="34" t="str" cm="1">
        <f t="array" ref="J439">_xlfn.TEXTJOIN(" ", TRUE, IF(radicados[ID PROYECTOS]=A439, radicados[RADICADO], ""))</f>
        <v>2025010242848</v>
      </c>
      <c r="K439" s="45">
        <v>2</v>
      </c>
      <c r="L439" s="70">
        <v>41127749</v>
      </c>
      <c r="M439" s="34" t="s">
        <v>761</v>
      </c>
      <c r="N439" s="40" t="s">
        <v>398</v>
      </c>
      <c r="O439" s="40" t="s">
        <v>25</v>
      </c>
      <c r="P439" s="37"/>
      <c r="Q439" s="45"/>
      <c r="R439" s="166"/>
      <c r="S439" s="166"/>
      <c r="T439" s="44">
        <f>+_xlfn.XLOOKUP(PROYECTOS[[#This Row],[MUNICIPIO]],'4.CAP_ENDMNT'!B:B,'4.CAP_ENDMNT'!C:C,0,0,1)</f>
        <v>6</v>
      </c>
      <c r="U439" s="167">
        <f>+_xlfn.XLOOKUP(PROYECTOS[[#This Row],[MUNICIPIO]],'4.CAP_ENDMNT'!B:B,'4.CAP_ENDMNT'!D:D,0,0,1)</f>
        <v>8536446221.1044998</v>
      </c>
      <c r="V439" s="44">
        <f>+_xlfn.XLOOKUP(PROYECTOS[[#This Row],[MUNICIPIO]],'4.CAP_ENDMNT'!B:B,'4.CAP_ENDMNT'!E:E,0,0,1)</f>
        <v>2840287960.8099999</v>
      </c>
      <c r="W439" s="44">
        <f>+_xlfn.XLOOKUP(PROYECTOS[[#This Row],[MUNICIPIO]],'4.CAP_ENDMNT'!B:B,'4.CAP_ENDMNT'!F:F,0,0,1)</f>
        <v>5696158260.2945004</v>
      </c>
      <c r="X439" s="44">
        <f>+_xlfn.XLOOKUP(PROYECTOS[[#This Row],[MUNICIPIO]],'4.CAP_ENDMNT'!B:B,'4.CAP_ENDMNT'!G:G,0,0,1)</f>
        <v>1059912604</v>
      </c>
      <c r="Y439" s="44">
        <f>+_xlfn.XLOOKUP(PROYECTOS[[#This Row],[MUNICIPIO]],'4.CAP_ENDMNT'!B:B,'4.CAP_ENDMNT'!H:H,0,0,1)</f>
        <v>559890374</v>
      </c>
      <c r="Z439" s="44">
        <f>+_xlfn.XLOOKUP(PROYECTOS[[#This Row],[MUNICIPIO]],'4.CAP_ENDMNT'!B:B,'4.CAP_ENDMNT'!I:I,0,0,1)</f>
        <v>1619802978</v>
      </c>
      <c r="AA439" s="134">
        <f>+_xlfn.XLOOKUP(PROYECTOS[[#This Row],[MUNICIPIO]],'4.CAP_ENDMNT'!B:B,'4.CAP_ENDMNT'!J:J,0,0,1)</f>
        <v>0.18975144176453554</v>
      </c>
      <c r="AB439" s="44">
        <f>+_xlfn.XLOOKUP(PROYECTOS[[#This Row],[MUNICIPIO]],'4.CAP_ENDMNT'!B:B,'4.CAP_ENDMNT'!K:K,0,0,1)</f>
        <v>6916643243.1044998</v>
      </c>
      <c r="AC439" s="44">
        <f>+_xlfn.XLOOKUP(PROYECTOS[[#This Row],[MUNICIPIO]],'4.CAP_ENDMNT'!B:B,'4.CAP_ENDMNT'!L:L,0,0,1)</f>
        <v>5533314594.4836006</v>
      </c>
      <c r="AD439" s="44">
        <f>+_xlfn.XLOOKUP(PROYECTOS[[#This Row],[MUNICIPIO]],'4.CAP_ENDMNT'!B:B,'4.CAP_ENDMNT'!M:M,0,0,1)</f>
        <v>4149985945.8626995</v>
      </c>
      <c r="AE439" s="134">
        <f>+_xlfn.XLOOKUP(PROYECTOS[[#This Row],[MUNICIPIO]],'4.CAP_ENDMNT'!B:B,'4.CAP_ENDMNT'!N:N,0,0,1)</f>
        <v>0.65434662017271583</v>
      </c>
      <c r="AF439" s="134">
        <f>+_xlfn.XLOOKUP(PROYECTOS[[#This Row],[MUNICIPIO]],'4.CAP_ENDMNT'!B:B,'4.CAP_ENDMNT'!O:O,0,0,1)</f>
        <v>0.62730744736284794</v>
      </c>
      <c r="AG439" s="134">
        <f>+_xlfn.XLOOKUP(PROYECTOS[[#This Row],[MUNICIPIO]],'4.CAP_ENDMNT'!B:B,'4.CAP_ENDMNT'!P:P,0,0,1)</f>
        <v>0.8</v>
      </c>
      <c r="AH439" s="44" t="str">
        <f>+_xlfn.XLOOKUP(PROYECTOS[[#This Row],[MUNICIPIO]],'4.CAP_ENDMNT'!B:B,'4.CAP_ENDMNT'!Q:Q,0,0,1)</f>
        <v>Cumple</v>
      </c>
      <c r="AI439" s="139">
        <f>+_xlfn.XLOOKUP(PROYECTOS[[#This Row],[MUNICIPIO]],'4.CAP_ENDMNT'!B:B,'4.CAP_ENDMNT'!V:V,0,0,1)</f>
        <v>829997189.17253995</v>
      </c>
      <c r="AJ439" s="139">
        <f>+_xlfn.XLOOKUP(PROYECTOS[[#This Row],[MUNICIPIO]],'4.CAP_ENDMNT'!B:B,'4.CAP_ENDMNT'!Y:Y,0,0,1)</f>
        <v>-7956520095.9647608</v>
      </c>
    </row>
    <row r="440" spans="1:39" ht="15" customHeight="1">
      <c r="A440" s="44">
        <v>551</v>
      </c>
      <c r="B440" t="s">
        <v>1190</v>
      </c>
      <c r="C440" s="118">
        <f>+_xlfn.XLOOKUP(PROYECTOS[[#This Row],[ID_NECESIDAD]],'1.RADICADOS'!G:G,'1.RADICADOS'!C:C,0,0,1)*1</f>
        <v>45793</v>
      </c>
      <c r="D440" s="67" t="s">
        <v>448</v>
      </c>
      <c r="E440" s="47" t="str">
        <f>+_xlfn.XLOOKUP(PROYECTOS[[#This Row],[MUNICIPIO]],MUNICIPIOS!A:A,MUNICIPIOS!E:E,0,0,1)</f>
        <v>Occidente</v>
      </c>
      <c r="F440" s="44">
        <f>+_xlfn.XLOOKUP(PROYECTOS[[#This Row],[MUNICIPIO]],MUNICIPIOS!A:A,MUNICIPIOS!F:F,0,0,1)</f>
        <v>-75.982929999999996</v>
      </c>
      <c r="G440" s="44" t="str">
        <f>+_xlfn.XLOOKUP(PROYECTOS[[#This Row],[MUNICIPIO]],MUNICIPIOS!A:A,MUNICIPIOS!G:G,0,0,1)</f>
        <v>6,405607</v>
      </c>
      <c r="H440" s="44">
        <f>+_xlfn.XLOOKUP(PROYECTOS[[#This Row],[MUNICIPIO]],MUNICIPIOS!A:A,MUNICIPIOS!B:B,0,0,1)</f>
        <v>0</v>
      </c>
      <c r="I440" s="44">
        <f>+_xlfn.XLOOKUP(PROYECTOS[[#This Row],[MUNICIPIO]],MUNICIPIOS!A:A,MUNICIPIOS!C:C,0,0,1)</f>
        <v>1</v>
      </c>
      <c r="J440" s="34" t="str" cm="1">
        <f t="array" ref="J440">_xlfn.TEXTJOIN(" ", TRUE, IF(radicados[ID PROYECTOS]=A440, radicados[RADICADO], ""))</f>
        <v>2025010243616</v>
      </c>
      <c r="K440" s="45">
        <v>2</v>
      </c>
      <c r="L440" s="70">
        <v>76772085</v>
      </c>
      <c r="M440" s="34" t="s">
        <v>761</v>
      </c>
      <c r="N440" s="40" t="s">
        <v>398</v>
      </c>
      <c r="O440" s="40" t="s">
        <v>25</v>
      </c>
      <c r="P440" s="37"/>
      <c r="Q440" s="45"/>
      <c r="R440" s="166"/>
      <c r="S440" s="166"/>
      <c r="T440" s="44">
        <f>+_xlfn.XLOOKUP(PROYECTOS[[#This Row],[MUNICIPIO]],'4.CAP_ENDMNT'!B:B,'4.CAP_ENDMNT'!C:C,0,0,1)</f>
        <v>6</v>
      </c>
      <c r="U440" s="167">
        <f>+_xlfn.XLOOKUP(PROYECTOS[[#This Row],[MUNICIPIO]],'4.CAP_ENDMNT'!B:B,'4.CAP_ENDMNT'!D:D,0,0,1)</f>
        <v>8536446221.1044998</v>
      </c>
      <c r="V440" s="44">
        <f>+_xlfn.XLOOKUP(PROYECTOS[[#This Row],[MUNICIPIO]],'4.CAP_ENDMNT'!B:B,'4.CAP_ENDMNT'!E:E,0,0,1)</f>
        <v>2840287960.8099999</v>
      </c>
      <c r="W440" s="44">
        <f>+_xlfn.XLOOKUP(PROYECTOS[[#This Row],[MUNICIPIO]],'4.CAP_ENDMNT'!B:B,'4.CAP_ENDMNT'!F:F,0,0,1)</f>
        <v>5696158260.2945004</v>
      </c>
      <c r="X440" s="44">
        <f>+_xlfn.XLOOKUP(PROYECTOS[[#This Row],[MUNICIPIO]],'4.CAP_ENDMNT'!B:B,'4.CAP_ENDMNT'!G:G,0,0,1)</f>
        <v>1059912604</v>
      </c>
      <c r="Y440" s="44">
        <f>+_xlfn.XLOOKUP(PROYECTOS[[#This Row],[MUNICIPIO]],'4.CAP_ENDMNT'!B:B,'4.CAP_ENDMNT'!H:H,0,0,1)</f>
        <v>559890374</v>
      </c>
      <c r="Z440" s="44">
        <f>+_xlfn.XLOOKUP(PROYECTOS[[#This Row],[MUNICIPIO]],'4.CAP_ENDMNT'!B:B,'4.CAP_ENDMNT'!I:I,0,0,1)</f>
        <v>1619802978</v>
      </c>
      <c r="AA440" s="134">
        <f>+_xlfn.XLOOKUP(PROYECTOS[[#This Row],[MUNICIPIO]],'4.CAP_ENDMNT'!B:B,'4.CAP_ENDMNT'!J:J,0,0,1)</f>
        <v>0.18975144176453554</v>
      </c>
      <c r="AB440" s="44">
        <f>+_xlfn.XLOOKUP(PROYECTOS[[#This Row],[MUNICIPIO]],'4.CAP_ENDMNT'!B:B,'4.CAP_ENDMNT'!K:K,0,0,1)</f>
        <v>6916643243.1044998</v>
      </c>
      <c r="AC440" s="44">
        <f>+_xlfn.XLOOKUP(PROYECTOS[[#This Row],[MUNICIPIO]],'4.CAP_ENDMNT'!B:B,'4.CAP_ENDMNT'!L:L,0,0,1)</f>
        <v>5533314594.4836006</v>
      </c>
      <c r="AD440" s="44">
        <f>+_xlfn.XLOOKUP(PROYECTOS[[#This Row],[MUNICIPIO]],'4.CAP_ENDMNT'!B:B,'4.CAP_ENDMNT'!M:M,0,0,1)</f>
        <v>4149985945.8626995</v>
      </c>
      <c r="AE440" s="134">
        <f>+_xlfn.XLOOKUP(PROYECTOS[[#This Row],[MUNICIPIO]],'4.CAP_ENDMNT'!B:B,'4.CAP_ENDMNT'!N:N,0,0,1)</f>
        <v>0.65434662017271583</v>
      </c>
      <c r="AF440" s="134">
        <f>+_xlfn.XLOOKUP(PROYECTOS[[#This Row],[MUNICIPIO]],'4.CAP_ENDMNT'!B:B,'4.CAP_ENDMNT'!O:O,0,0,1)</f>
        <v>0.62730744736284794</v>
      </c>
      <c r="AG440" s="134">
        <f>+_xlfn.XLOOKUP(PROYECTOS[[#This Row],[MUNICIPIO]],'4.CAP_ENDMNT'!B:B,'4.CAP_ENDMNT'!P:P,0,0,1)</f>
        <v>0.8</v>
      </c>
      <c r="AH440" s="44" t="str">
        <f>+_xlfn.XLOOKUP(PROYECTOS[[#This Row],[MUNICIPIO]],'4.CAP_ENDMNT'!B:B,'4.CAP_ENDMNT'!Q:Q,0,0,1)</f>
        <v>Cumple</v>
      </c>
      <c r="AI440" s="139">
        <f>+_xlfn.XLOOKUP(PROYECTOS[[#This Row],[MUNICIPIO]],'4.CAP_ENDMNT'!B:B,'4.CAP_ENDMNT'!V:V,0,0,1)</f>
        <v>829997189.17253995</v>
      </c>
      <c r="AJ440" s="139">
        <f>+_xlfn.XLOOKUP(PROYECTOS[[#This Row],[MUNICIPIO]],'4.CAP_ENDMNT'!B:B,'4.CAP_ENDMNT'!Y:Y,0,0,1)</f>
        <v>-7956520095.9647608</v>
      </c>
    </row>
    <row r="441" spans="1:39" ht="15" customHeight="1">
      <c r="A441" s="44">
        <v>553</v>
      </c>
      <c r="B441" t="s">
        <v>1192</v>
      </c>
      <c r="C441" s="118">
        <f>+_xlfn.XLOOKUP(PROYECTOS[[#This Row],[ID_NECESIDAD]],'1.RADICADOS'!G:G,'1.RADICADOS'!C:C,0,0,1)*1</f>
        <v>45793</v>
      </c>
      <c r="D441" s="67" t="s">
        <v>153</v>
      </c>
      <c r="E441" s="47" t="str">
        <f>+_xlfn.XLOOKUP(PROYECTOS[[#This Row],[MUNICIPIO]],MUNICIPIOS!A:A,MUNICIPIOS!E:E,0,0,1)</f>
        <v>Urabá</v>
      </c>
      <c r="F441" s="44">
        <f>+_xlfn.XLOOKUP(PROYECTOS[[#This Row],[MUNICIPIO]],MUNICIPIOS!A:A,MUNICIPIOS!F:F,0,0,1)</f>
        <v>-76.787271000000004</v>
      </c>
      <c r="G441" s="44" t="str">
        <f>+_xlfn.XLOOKUP(PROYECTOS[[#This Row],[MUNICIPIO]],MUNICIPIOS!A:A,MUNICIPIOS!G:G,0,0,1)</f>
        <v>8,434526</v>
      </c>
      <c r="H441" s="44">
        <f>+_xlfn.XLOOKUP(PROYECTOS[[#This Row],[MUNICIPIO]],MUNICIPIOS!A:A,MUNICIPIOS!B:B,0,0,1)</f>
        <v>1</v>
      </c>
      <c r="I441" s="44">
        <f>+_xlfn.XLOOKUP(PROYECTOS[[#This Row],[MUNICIPIO]],MUNICIPIOS!A:A,MUNICIPIOS!C:C,0,0,1)</f>
        <v>1</v>
      </c>
      <c r="J441" s="34" t="str" cm="1">
        <f t="array" ref="J441">_xlfn.TEXTJOIN(" ", TRUE, IF(radicados[ID PROYECTOS]=A441, radicados[RADICADO], ""))</f>
        <v>2025010243594</v>
      </c>
      <c r="K441" s="45">
        <v>3</v>
      </c>
      <c r="L441" s="70">
        <v>7909417909</v>
      </c>
      <c r="M441" s="34" t="s">
        <v>435</v>
      </c>
      <c r="N441" s="40" t="s">
        <v>398</v>
      </c>
      <c r="O441" s="40" t="s">
        <v>25</v>
      </c>
      <c r="P441" s="37" t="s">
        <v>1216</v>
      </c>
      <c r="Q441" s="45">
        <v>1</v>
      </c>
      <c r="R441" s="43" t="s">
        <v>922</v>
      </c>
      <c r="S441" s="43" t="s">
        <v>1643</v>
      </c>
      <c r="T441" s="44">
        <f>+_xlfn.XLOOKUP(PROYECTOS[[#This Row],[MUNICIPIO]],'4.CAP_ENDMNT'!B:B,'4.CAP_ENDMNT'!C:C,0,0,1)</f>
        <v>6</v>
      </c>
      <c r="U441" s="167">
        <f>+_xlfn.XLOOKUP(PROYECTOS[[#This Row],[MUNICIPIO]],'4.CAP_ENDMNT'!B:B,'4.CAP_ENDMNT'!D:D,0,0,1)</f>
        <v>30137297790.127998</v>
      </c>
      <c r="V441" s="44">
        <f>+_xlfn.XLOOKUP(PROYECTOS[[#This Row],[MUNICIPIO]],'4.CAP_ENDMNT'!B:B,'4.CAP_ENDMNT'!E:E,0,0,1)</f>
        <v>12298726691.530001</v>
      </c>
      <c r="W441" s="44">
        <f>+_xlfn.XLOOKUP(PROYECTOS[[#This Row],[MUNICIPIO]],'4.CAP_ENDMNT'!B:B,'4.CAP_ENDMNT'!F:F,0,0,1)</f>
        <v>17838571098.598</v>
      </c>
      <c r="X441" s="44">
        <f>+_xlfn.XLOOKUP(PROYECTOS[[#This Row],[MUNICIPIO]],'4.CAP_ENDMNT'!B:B,'4.CAP_ENDMNT'!G:G,0,0,1)</f>
        <v>2369107602</v>
      </c>
      <c r="Y441" s="44">
        <f>+_xlfn.XLOOKUP(PROYECTOS[[#This Row],[MUNICIPIO]],'4.CAP_ENDMNT'!B:B,'4.CAP_ENDMNT'!H:H,0,0,1)</f>
        <v>13974896585</v>
      </c>
      <c r="Z441" s="44">
        <f>+_xlfn.XLOOKUP(PROYECTOS[[#This Row],[MUNICIPIO]],'4.CAP_ENDMNT'!B:B,'4.CAP_ENDMNT'!I:I,0,0,1)</f>
        <v>16344004187</v>
      </c>
      <c r="AA441" s="134">
        <f>+_xlfn.XLOOKUP(PROYECTOS[[#This Row],[MUNICIPIO]],'4.CAP_ENDMNT'!B:B,'4.CAP_ENDMNT'!J:J,0,0,1)</f>
        <v>0.54231817002364979</v>
      </c>
      <c r="AB441" s="44">
        <f>+_xlfn.XLOOKUP(PROYECTOS[[#This Row],[MUNICIPIO]],'4.CAP_ENDMNT'!B:B,'4.CAP_ENDMNT'!K:K,0,0,1)</f>
        <v>13793293603.127998</v>
      </c>
      <c r="AC441" s="44">
        <f>+_xlfn.XLOOKUP(PROYECTOS[[#This Row],[MUNICIPIO]],'4.CAP_ENDMNT'!B:B,'4.CAP_ENDMNT'!L:L,0,0,1)</f>
        <v>11034634882.502399</v>
      </c>
      <c r="AD441" s="44">
        <f>+_xlfn.XLOOKUP(PROYECTOS[[#This Row],[MUNICIPIO]],'4.CAP_ENDMNT'!B:B,'4.CAP_ENDMNT'!M:M,0,0,1)</f>
        <v>8275976161.8767986</v>
      </c>
      <c r="AE441" s="134">
        <f>+_xlfn.XLOOKUP(PROYECTOS[[#This Row],[MUNICIPIO]],'4.CAP_ENDMNT'!B:B,'4.CAP_ENDMNT'!N:N,0,0,1)</f>
        <v>0.1449527040554961</v>
      </c>
      <c r="AF441" s="134">
        <f>+_xlfn.XLOOKUP(PROYECTOS[[#This Row],[MUNICIPIO]],'4.CAP_ENDMNT'!B:B,'4.CAP_ENDMNT'!O:O,0,0,1)</f>
        <v>0.58055985759165929</v>
      </c>
      <c r="AG441" s="134">
        <f>+_xlfn.XLOOKUP(PROYECTOS[[#This Row],[MUNICIPIO]],'4.CAP_ENDMNT'!B:B,'4.CAP_ENDMNT'!P:P,0,0,1)</f>
        <v>0.8</v>
      </c>
      <c r="AH441" s="44" t="str">
        <f>+_xlfn.XLOOKUP(PROYECTOS[[#This Row],[MUNICIPIO]],'4.CAP_ENDMNT'!B:B,'4.CAP_ENDMNT'!Q:Q,0,0,1)</f>
        <v>Cumple</v>
      </c>
      <c r="AI441" s="139">
        <f>+_xlfn.XLOOKUP(PROYECTOS[[#This Row],[MUNICIPIO]],'4.CAP_ENDMNT'!B:B,'4.CAP_ENDMNT'!V:V,0,0,1)</f>
        <v>1655195232.3753598</v>
      </c>
      <c r="AJ441" s="139">
        <f>+_xlfn.XLOOKUP(PROYECTOS[[#This Row],[MUNICIPIO]],'4.CAP_ENDMNT'!B:B,'4.CAP_ENDMNT'!Y:Y,0,0,1)</f>
        <v>-48565434249.747841</v>
      </c>
    </row>
    <row r="442" spans="1:39" ht="15" customHeight="1">
      <c r="A442" s="44">
        <v>554</v>
      </c>
      <c r="B442" t="s">
        <v>1217</v>
      </c>
      <c r="C442" s="118">
        <f>+_xlfn.XLOOKUP(PROYECTOS[[#This Row],[ID_NECESIDAD]],'1.RADICADOS'!G:G,'1.RADICADOS'!C:C,0,0,1)*1</f>
        <v>45635</v>
      </c>
      <c r="D442" s="67" t="s">
        <v>186</v>
      </c>
      <c r="E442" s="47" t="str">
        <f>+_xlfn.XLOOKUP(PROYECTOS[[#This Row],[MUNICIPIO]],MUNICIPIOS!A:A,MUNICIPIOS!E:E,0,0,1)</f>
        <v>Oriente</v>
      </c>
      <c r="F442" s="44">
        <f>+_xlfn.XLOOKUP(PROYECTOS[[#This Row],[MUNICIPIO]],MUNICIPIOS!A:A,MUNICIPIOS!F:F,0,0,1)</f>
        <v>-75.360873999999995</v>
      </c>
      <c r="G442" s="44" t="str">
        <f>+_xlfn.XLOOKUP(PROYECTOS[[#This Row],[MUNICIPIO]],MUNICIPIOS!A:A,MUNICIPIOS!G:G,0,0,1)</f>
        <v>5,973845</v>
      </c>
      <c r="H442" s="44">
        <f>+_xlfn.XLOOKUP(PROYECTOS[[#This Row],[MUNICIPIO]],MUNICIPIOS!A:A,MUNICIPIOS!B:B,0,0,1)</f>
        <v>0</v>
      </c>
      <c r="I442" s="44">
        <f>+_xlfn.XLOOKUP(PROYECTOS[[#This Row],[MUNICIPIO]],MUNICIPIOS!A:A,MUNICIPIOS!C:C,0,0,1)</f>
        <v>0</v>
      </c>
      <c r="J442" s="34" t="str" cm="1">
        <f t="array" ref="J442">_xlfn.TEXTJOIN(" ", TRUE, IF(radicados[ID PROYECTOS]=A442, radicados[RADICADO], ""))</f>
        <v>2024010565137</v>
      </c>
      <c r="K442" s="9">
        <v>3</v>
      </c>
      <c r="L442" s="186">
        <v>1430944868</v>
      </c>
      <c r="M442" s="34" t="s">
        <v>288</v>
      </c>
      <c r="N442" s="40" t="s">
        <v>398</v>
      </c>
      <c r="O442" s="40" t="s">
        <v>25</v>
      </c>
      <c r="P442" s="37"/>
      <c r="Q442" s="37"/>
      <c r="T442" s="44">
        <f>+_xlfn.XLOOKUP(PROYECTOS[[#This Row],[MUNICIPIO]],'4.CAP_ENDMNT'!B:B,'4.CAP_ENDMNT'!C:C,0,0,1)</f>
        <v>6</v>
      </c>
      <c r="U442" s="167">
        <f>+_xlfn.XLOOKUP(PROYECTOS[[#This Row],[MUNICIPIO]],'4.CAP_ENDMNT'!B:B,'4.CAP_ENDMNT'!D:D,0,0,1)</f>
        <v>22781121123.307999</v>
      </c>
      <c r="V442" s="44">
        <f>+_xlfn.XLOOKUP(PROYECTOS[[#This Row],[MUNICIPIO]],'4.CAP_ENDMNT'!B:B,'4.CAP_ENDMNT'!E:E,0,0,1)</f>
        <v>7460247261.1800003</v>
      </c>
      <c r="W442" s="44">
        <f>+_xlfn.XLOOKUP(PROYECTOS[[#This Row],[MUNICIPIO]],'4.CAP_ENDMNT'!B:B,'4.CAP_ENDMNT'!F:F,0,0,1)</f>
        <v>15320873862.127998</v>
      </c>
      <c r="X442" s="44">
        <f>+_xlfn.XLOOKUP(PROYECTOS[[#This Row],[MUNICIPIO]],'4.CAP_ENDMNT'!B:B,'4.CAP_ENDMNT'!G:G,0,0,1)</f>
        <v>8372353142.5600004</v>
      </c>
      <c r="Y442" s="44">
        <f>+_xlfn.XLOOKUP(PROYECTOS[[#This Row],[MUNICIPIO]],'4.CAP_ENDMNT'!B:B,'4.CAP_ENDMNT'!H:H,0,0,1)</f>
        <v>142113074</v>
      </c>
      <c r="Z442" s="44">
        <f>+_xlfn.XLOOKUP(PROYECTOS[[#This Row],[MUNICIPIO]],'4.CAP_ENDMNT'!B:B,'4.CAP_ENDMNT'!I:I,0,0,1)</f>
        <v>8514466216.5600004</v>
      </c>
      <c r="AA442" s="134">
        <f>+_xlfn.XLOOKUP(PROYECTOS[[#This Row],[MUNICIPIO]],'4.CAP_ENDMNT'!B:B,'4.CAP_ENDMNT'!J:J,0,0,1)</f>
        <v>0.37375097434729027</v>
      </c>
      <c r="AB442" s="44">
        <f>+_xlfn.XLOOKUP(PROYECTOS[[#This Row],[MUNICIPIO]],'4.CAP_ENDMNT'!B:B,'4.CAP_ENDMNT'!K:K,0,0,1)</f>
        <v>14266654906.747997</v>
      </c>
      <c r="AC442" s="44">
        <f>+_xlfn.XLOOKUP(PROYECTOS[[#This Row],[MUNICIPIO]],'4.CAP_ENDMNT'!B:B,'4.CAP_ENDMNT'!L:L,0,0,1)</f>
        <v>11413323925.398399</v>
      </c>
      <c r="AD442" s="44">
        <f>+_xlfn.XLOOKUP(PROYECTOS[[#This Row],[MUNICIPIO]],'4.CAP_ENDMNT'!B:B,'4.CAP_ENDMNT'!M:M,0,0,1)</f>
        <v>8559992944.0487976</v>
      </c>
      <c r="AE442" s="134">
        <f>+_xlfn.XLOOKUP(PROYECTOS[[#This Row],[MUNICIPIO]],'4.CAP_ENDMNT'!B:B,'4.CAP_ENDMNT'!N:N,0,0,1)</f>
        <v>0.98330922099102336</v>
      </c>
      <c r="AF442" s="134">
        <f>+_xlfn.XLOOKUP(PROYECTOS[[#This Row],[MUNICIPIO]],'4.CAP_ENDMNT'!B:B,'4.CAP_ENDMNT'!O:O,0,0,1)</f>
        <v>0.47573857187041646</v>
      </c>
      <c r="AG442" s="134">
        <f>+_xlfn.XLOOKUP(PROYECTOS[[#This Row],[MUNICIPIO]],'4.CAP_ENDMNT'!B:B,'4.CAP_ENDMNT'!P:P,0,0,1)</f>
        <v>0.8</v>
      </c>
      <c r="AH442" s="44" t="str">
        <f>+_xlfn.XLOOKUP(PROYECTOS[[#This Row],[MUNICIPIO]],'4.CAP_ENDMNT'!B:B,'4.CAP_ENDMNT'!Q:Q,0,0,1)</f>
        <v>Cumple</v>
      </c>
      <c r="AI442" s="139">
        <f>+_xlfn.XLOOKUP(PROYECTOS[[#This Row],[MUNICIPIO]],'4.CAP_ENDMNT'!B:B,'4.CAP_ENDMNT'!V:V,0,0,1)</f>
        <v>1711998588.8097596</v>
      </c>
      <c r="AJ442" s="139">
        <f>+_xlfn.XLOOKUP(PROYECTOS[[#This Row],[MUNICIPIO]],'4.CAP_ENDMNT'!B:B,'4.CAP_ENDMNT'!Y:Y,0,0,1)</f>
        <v>-9965414152.1414433</v>
      </c>
    </row>
    <row r="443" spans="1:39" ht="15" customHeight="1">
      <c r="A443" s="44">
        <v>556</v>
      </c>
      <c r="B443" s="37" t="s">
        <v>1263</v>
      </c>
      <c r="C443" s="118">
        <v>45798</v>
      </c>
      <c r="D443" s="46" t="s">
        <v>341</v>
      </c>
      <c r="E443" s="47" t="str">
        <f>+_xlfn.XLOOKUP(PROYECTOS[[#This Row],[MUNICIPIO]],MUNICIPIOS!A:A,MUNICIPIOS!E:E,0,0,1)</f>
        <v>Norte</v>
      </c>
      <c r="F443" s="44">
        <f>+_xlfn.XLOOKUP(PROYECTOS[[#This Row],[MUNICIPIO]],MUNICIPIOS!A:A,MUNICIPIOS!F:F,0,0,1)</f>
        <v>-75.667778999999996</v>
      </c>
      <c r="G443" s="44" t="str">
        <f>+_xlfn.XLOOKUP(PROYECTOS[[#This Row],[MUNICIPIO]],MUNICIPIOS!A:A,MUNICIPIOS!G:G,0,0,1)</f>
        <v>6,606319</v>
      </c>
      <c r="H443" s="44">
        <f>+_xlfn.XLOOKUP(PROYECTOS[[#This Row],[MUNICIPIO]],MUNICIPIOS!A:A,MUNICIPIOS!B:B,0,0,1)</f>
        <v>0</v>
      </c>
      <c r="I443" s="44">
        <f>+_xlfn.XLOOKUP(PROYECTOS[[#This Row],[MUNICIPIO]],MUNICIPIOS!A:A,MUNICIPIOS!C:C,0,0,1)</f>
        <v>0</v>
      </c>
      <c r="J443" s="188">
        <v>2025010091549</v>
      </c>
      <c r="K443" s="45">
        <v>2</v>
      </c>
      <c r="L443" s="48">
        <v>460000000</v>
      </c>
      <c r="M443" s="34" t="s">
        <v>761</v>
      </c>
      <c r="N443" s="40" t="s">
        <v>398</v>
      </c>
      <c r="O443" s="40" t="s">
        <v>25</v>
      </c>
      <c r="P443" s="37"/>
      <c r="Q443" s="45"/>
      <c r="R443" s="166"/>
      <c r="S443" s="166"/>
      <c r="T443" s="44">
        <f>+_xlfn.XLOOKUP(PROYECTOS[[#This Row],[MUNICIPIO]],'4.CAP_ENDMNT'!B:B,'4.CAP_ENDMNT'!C:C,0,0,1)</f>
        <v>6</v>
      </c>
      <c r="U443" s="167">
        <f>+_xlfn.XLOOKUP(PROYECTOS[[#This Row],[MUNICIPIO]],'4.CAP_ENDMNT'!B:B,'4.CAP_ENDMNT'!D:D,0,0,1)</f>
        <v>10160021082.964001</v>
      </c>
      <c r="V443" s="44">
        <f>+_xlfn.XLOOKUP(PROYECTOS[[#This Row],[MUNICIPIO]],'4.CAP_ENDMNT'!B:B,'4.CAP_ENDMNT'!E:E,0,0,1)</f>
        <v>3265249234.6399999</v>
      </c>
      <c r="W443" s="44">
        <f>+_xlfn.XLOOKUP(PROYECTOS[[#This Row],[MUNICIPIO]],'4.CAP_ENDMNT'!B:B,'4.CAP_ENDMNT'!F:F,0,0,1)</f>
        <v>6894771848.3240013</v>
      </c>
      <c r="X443" s="44">
        <f>+_xlfn.XLOOKUP(PROYECTOS[[#This Row],[MUNICIPIO]],'4.CAP_ENDMNT'!B:B,'4.CAP_ENDMNT'!G:G,0,0,1)</f>
        <v>3316718973.96</v>
      </c>
      <c r="Y443" s="44">
        <f>+_xlfn.XLOOKUP(PROYECTOS[[#This Row],[MUNICIPIO]],'4.CAP_ENDMNT'!B:B,'4.CAP_ENDMNT'!H:H,0,0,1)</f>
        <v>0</v>
      </c>
      <c r="Z443" s="44">
        <f>+_xlfn.XLOOKUP(PROYECTOS[[#This Row],[MUNICIPIO]],'4.CAP_ENDMNT'!B:B,'4.CAP_ENDMNT'!I:I,0,0,1)</f>
        <v>3316718973.96</v>
      </c>
      <c r="AA443" s="134">
        <f>+_xlfn.XLOOKUP(PROYECTOS[[#This Row],[MUNICIPIO]],'4.CAP_ENDMNT'!B:B,'4.CAP_ENDMNT'!J:J,0,0,1)</f>
        <v>0.32644804049879078</v>
      </c>
      <c r="AB443" s="44">
        <f>+_xlfn.XLOOKUP(PROYECTOS[[#This Row],[MUNICIPIO]],'4.CAP_ENDMNT'!B:B,'4.CAP_ENDMNT'!K:K,0,0,1)</f>
        <v>6843302109.0040007</v>
      </c>
      <c r="AC443" s="44">
        <f>+_xlfn.XLOOKUP(PROYECTOS[[#This Row],[MUNICIPIO]],'4.CAP_ENDMNT'!B:B,'4.CAP_ENDMNT'!L:L,0,0,1)</f>
        <v>5474641687.2032013</v>
      </c>
      <c r="AD443" s="44">
        <f>+_xlfn.XLOOKUP(PROYECTOS[[#This Row],[MUNICIPIO]],'4.CAP_ENDMNT'!B:B,'4.CAP_ENDMNT'!M:M,0,0,1)</f>
        <v>4105981265.4024</v>
      </c>
      <c r="AE443" s="134">
        <f>+_xlfn.XLOOKUP(PROYECTOS[[#This Row],[MUNICIPIO]],'4.CAP_ENDMNT'!B:B,'4.CAP_ENDMNT'!N:N,0,0,1)</f>
        <v>1</v>
      </c>
      <c r="AF443" s="134">
        <f>+_xlfn.XLOOKUP(PROYECTOS[[#This Row],[MUNICIPIO]],'4.CAP_ENDMNT'!B:B,'4.CAP_ENDMNT'!O:O,0,0,1)</f>
        <v>0.59534208417675272</v>
      </c>
      <c r="AG443" s="134">
        <f>+_xlfn.XLOOKUP(PROYECTOS[[#This Row],[MUNICIPIO]],'4.CAP_ENDMNT'!B:B,'4.CAP_ENDMNT'!P:P,0,0,1)</f>
        <v>0.8</v>
      </c>
      <c r="AH443" s="44" t="str">
        <f>+_xlfn.XLOOKUP(PROYECTOS[[#This Row],[MUNICIPIO]],'4.CAP_ENDMNT'!B:B,'4.CAP_ENDMNT'!Q:Q,0,0,1)</f>
        <v>Cumple</v>
      </c>
      <c r="AI443" s="139">
        <f>+_xlfn.XLOOKUP(PROYECTOS[[#This Row],[MUNICIPIO]],'4.CAP_ENDMNT'!B:B,'4.CAP_ENDMNT'!V:V,0,0,1)</f>
        <v>821196253.0804801</v>
      </c>
      <c r="AJ443" s="139">
        <f>+_xlfn.XLOOKUP(PROYECTOS[[#This Row],[MUNICIPIO]],'4.CAP_ENDMNT'!B:B,'4.CAP_ENDMNT'!Y:Y,0,0,1)</f>
        <v>-1916076050.5171204</v>
      </c>
    </row>
    <row r="444" spans="1:39" ht="15" customHeight="1">
      <c r="A444" s="44">
        <v>557</v>
      </c>
      <c r="B444" s="37" t="s">
        <v>1264</v>
      </c>
      <c r="C444" s="118">
        <v>45798</v>
      </c>
      <c r="D444" s="46" t="s">
        <v>127</v>
      </c>
      <c r="E444" s="47" t="str">
        <f>+_xlfn.XLOOKUP(PROYECTOS[[#This Row],[MUNICIPIO]],MUNICIPIOS!A:A,MUNICIPIOS!E:E,0,0,1)</f>
        <v>Suroeste</v>
      </c>
      <c r="F444" s="44">
        <f>+_xlfn.XLOOKUP(PROYECTOS[[#This Row],[MUNICIPIO]],MUNICIPIOS!A:A,MUNICIPIOS!F:F,0,0,1)</f>
        <v>-75.976789999999994</v>
      </c>
      <c r="G444" s="44" t="str">
        <f>+_xlfn.XLOOKUP(PROYECTOS[[#This Row],[MUNICIPIO]],MUNICIPIOS!A:A,MUNICIPIOS!G:G,0,0,1)</f>
        <v>5,74615</v>
      </c>
      <c r="H444" s="44">
        <f>+_xlfn.XLOOKUP(PROYECTOS[[#This Row],[MUNICIPIO]],MUNICIPIOS!A:A,MUNICIPIOS!B:B,0,0,1)</f>
        <v>0</v>
      </c>
      <c r="I444" s="44">
        <f>+_xlfn.XLOOKUP(PROYECTOS[[#This Row],[MUNICIPIO]],MUNICIPIOS!A:A,MUNICIPIOS!C:C,0,0,1)</f>
        <v>0</v>
      </c>
      <c r="J444" s="34" t="str" cm="1">
        <f t="array" ref="J444">_xlfn.TEXTJOIN(" ", TRUE, IF(radicados[ID PROYECTOS]=A444, radicados[RADICADO], ""))</f>
        <v/>
      </c>
      <c r="K444" s="45">
        <v>1</v>
      </c>
      <c r="L444" s="48"/>
      <c r="M444" s="34" t="s">
        <v>435</v>
      </c>
      <c r="N444" s="40" t="s">
        <v>397</v>
      </c>
      <c r="O444" s="40" t="s">
        <v>56</v>
      </c>
      <c r="P444" s="37"/>
      <c r="Q444" s="45"/>
      <c r="R444" s="166"/>
      <c r="S444" s="166"/>
      <c r="T444" s="44">
        <f>+_xlfn.XLOOKUP(PROYECTOS[[#This Row],[MUNICIPIO]],'4.CAP_ENDMNT'!B:B,'4.CAP_ENDMNT'!C:C,0,0,1)</f>
        <v>6</v>
      </c>
      <c r="U444" s="167">
        <f>+_xlfn.XLOOKUP(PROYECTOS[[#This Row],[MUNICIPIO]],'4.CAP_ENDMNT'!B:B,'4.CAP_ENDMNT'!D:D,0,0,1)</f>
        <v>9197355968.8835011</v>
      </c>
      <c r="V444" s="44">
        <f>+_xlfn.XLOOKUP(PROYECTOS[[#This Row],[MUNICIPIO]],'4.CAP_ENDMNT'!B:B,'4.CAP_ENDMNT'!E:E,0,0,1)</f>
        <v>3350398615.7000003</v>
      </c>
      <c r="W444" s="44">
        <f>+_xlfn.XLOOKUP(PROYECTOS[[#This Row],[MUNICIPIO]],'4.CAP_ENDMNT'!B:B,'4.CAP_ENDMNT'!F:F,0,0,1)</f>
        <v>5846957353.1835003</v>
      </c>
      <c r="X444" s="44">
        <f>+_xlfn.XLOOKUP(PROYECTOS[[#This Row],[MUNICIPIO]],'4.CAP_ENDMNT'!B:B,'4.CAP_ENDMNT'!G:G,0,0,1)</f>
        <v>958841544</v>
      </c>
      <c r="Y444" s="44">
        <f>+_xlfn.XLOOKUP(PROYECTOS[[#This Row],[MUNICIPIO]],'4.CAP_ENDMNT'!B:B,'4.CAP_ENDMNT'!H:H,0,0,1)</f>
        <v>680000000</v>
      </c>
      <c r="Z444" s="44">
        <f>+_xlfn.XLOOKUP(PROYECTOS[[#This Row],[MUNICIPIO]],'4.CAP_ENDMNT'!B:B,'4.CAP_ENDMNT'!I:I,0,0,1)</f>
        <v>1638841544</v>
      </c>
      <c r="AA444" s="134">
        <f>+_xlfn.XLOOKUP(PROYECTOS[[#This Row],[MUNICIPIO]],'4.CAP_ENDMNT'!B:B,'4.CAP_ENDMNT'!J:J,0,0,1)</f>
        <v>0.17818616019044273</v>
      </c>
      <c r="AB444" s="44">
        <f>+_xlfn.XLOOKUP(PROYECTOS[[#This Row],[MUNICIPIO]],'4.CAP_ENDMNT'!B:B,'4.CAP_ENDMNT'!K:K,0,0,1)</f>
        <v>7558514424.8835011</v>
      </c>
      <c r="AC444" s="44">
        <f>+_xlfn.XLOOKUP(PROYECTOS[[#This Row],[MUNICIPIO]],'4.CAP_ENDMNT'!B:B,'4.CAP_ENDMNT'!L:L,0,0,1)</f>
        <v>6046811539.9068012</v>
      </c>
      <c r="AD444" s="44">
        <f>+_xlfn.XLOOKUP(PROYECTOS[[#This Row],[MUNICIPIO]],'4.CAP_ENDMNT'!B:B,'4.CAP_ENDMNT'!M:M,0,0,1)</f>
        <v>4535108654.9301004</v>
      </c>
      <c r="AE444" s="134">
        <f>+_xlfn.XLOOKUP(PROYECTOS[[#This Row],[MUNICIPIO]],'4.CAP_ENDMNT'!B:B,'4.CAP_ENDMNT'!N:N,0,0,1)</f>
        <v>0.58507275917579493</v>
      </c>
      <c r="AF444" s="134">
        <f>+_xlfn.XLOOKUP(PROYECTOS[[#This Row],[MUNICIPIO]],'4.CAP_ENDMNT'!B:B,'4.CAP_ENDMNT'!O:O,0,0,1)</f>
        <v>0.53687312631507866</v>
      </c>
      <c r="AG444" s="134">
        <f>+_xlfn.XLOOKUP(PROYECTOS[[#This Row],[MUNICIPIO]],'4.CAP_ENDMNT'!B:B,'4.CAP_ENDMNT'!P:P,0,0,1)</f>
        <v>0.8</v>
      </c>
      <c r="AH444" s="44" t="str">
        <f>+_xlfn.XLOOKUP(PROYECTOS[[#This Row],[MUNICIPIO]],'4.CAP_ENDMNT'!B:B,'4.CAP_ENDMNT'!Q:Q,0,0,1)</f>
        <v>Cumple</v>
      </c>
      <c r="AI444" s="139">
        <f>+_xlfn.XLOOKUP(PROYECTOS[[#This Row],[MUNICIPIO]],'4.CAP_ENDMNT'!B:B,'4.CAP_ENDMNT'!V:V,0,0,1)</f>
        <v>907021730.98602009</v>
      </c>
      <c r="AJ444" s="139">
        <f>+_xlfn.XLOOKUP(PROYECTOS[[#This Row],[MUNICIPIO]],'4.CAP_ENDMNT'!B:B,'4.CAP_ENDMNT'!Y:Y,0,0,1)</f>
        <v>-2964573994.0838795</v>
      </c>
    </row>
    <row r="445" spans="1:39" ht="15" customHeight="1">
      <c r="A445" s="44">
        <v>558</v>
      </c>
      <c r="B445" s="37" t="s">
        <v>1265</v>
      </c>
      <c r="C445" s="118">
        <v>45798</v>
      </c>
      <c r="D445" s="46" t="s">
        <v>127</v>
      </c>
      <c r="E445" s="47" t="str">
        <f>+_xlfn.XLOOKUP(PROYECTOS[[#This Row],[MUNICIPIO]],MUNICIPIOS!A:A,MUNICIPIOS!E:E,0,0,1)</f>
        <v>Suroeste</v>
      </c>
      <c r="F445" s="44">
        <f>+_xlfn.XLOOKUP(PROYECTOS[[#This Row],[MUNICIPIO]],MUNICIPIOS!A:A,MUNICIPIOS!F:F,0,0,1)</f>
        <v>-75.976789999999994</v>
      </c>
      <c r="G445" s="44" t="str">
        <f>+_xlfn.XLOOKUP(PROYECTOS[[#This Row],[MUNICIPIO]],MUNICIPIOS!A:A,MUNICIPIOS!G:G,0,0,1)</f>
        <v>5,74615</v>
      </c>
      <c r="H445" s="44">
        <f>+_xlfn.XLOOKUP(PROYECTOS[[#This Row],[MUNICIPIO]],MUNICIPIOS!A:A,MUNICIPIOS!B:B,0,0,1)</f>
        <v>0</v>
      </c>
      <c r="I445" s="44">
        <f>+_xlfn.XLOOKUP(PROYECTOS[[#This Row],[MUNICIPIO]],MUNICIPIOS!A:A,MUNICIPIOS!C:C,0,0,1)</f>
        <v>0</v>
      </c>
      <c r="J445" s="34" t="str" cm="1">
        <f t="array" ref="J445">_xlfn.TEXTJOIN(" ", TRUE, IF(radicados[ID PROYECTOS]=A445, radicados[RADICADO], ""))</f>
        <v/>
      </c>
      <c r="K445" s="45">
        <v>1</v>
      </c>
      <c r="L445" s="48">
        <v>40000000</v>
      </c>
      <c r="M445" s="34" t="s">
        <v>40</v>
      </c>
      <c r="N445" s="40" t="s">
        <v>398</v>
      </c>
      <c r="O445" s="40" t="s">
        <v>25</v>
      </c>
      <c r="P445" s="37"/>
      <c r="Q445" s="45"/>
      <c r="R445" s="166"/>
      <c r="S445" s="166"/>
      <c r="T445" s="44">
        <f>+_xlfn.XLOOKUP(PROYECTOS[[#This Row],[MUNICIPIO]],'4.CAP_ENDMNT'!B:B,'4.CAP_ENDMNT'!C:C,0,0,1)</f>
        <v>6</v>
      </c>
      <c r="U445" s="167">
        <f>+_xlfn.XLOOKUP(PROYECTOS[[#This Row],[MUNICIPIO]],'4.CAP_ENDMNT'!B:B,'4.CAP_ENDMNT'!D:D,0,0,1)</f>
        <v>9197355968.8835011</v>
      </c>
      <c r="V445" s="44">
        <f>+_xlfn.XLOOKUP(PROYECTOS[[#This Row],[MUNICIPIO]],'4.CAP_ENDMNT'!B:B,'4.CAP_ENDMNT'!E:E,0,0,1)</f>
        <v>3350398615.7000003</v>
      </c>
      <c r="W445" s="44">
        <f>+_xlfn.XLOOKUP(PROYECTOS[[#This Row],[MUNICIPIO]],'4.CAP_ENDMNT'!B:B,'4.CAP_ENDMNT'!F:F,0,0,1)</f>
        <v>5846957353.1835003</v>
      </c>
      <c r="X445" s="44">
        <f>+_xlfn.XLOOKUP(PROYECTOS[[#This Row],[MUNICIPIO]],'4.CAP_ENDMNT'!B:B,'4.CAP_ENDMNT'!G:G,0,0,1)</f>
        <v>958841544</v>
      </c>
      <c r="Y445" s="44">
        <f>+_xlfn.XLOOKUP(PROYECTOS[[#This Row],[MUNICIPIO]],'4.CAP_ENDMNT'!B:B,'4.CAP_ENDMNT'!H:H,0,0,1)</f>
        <v>680000000</v>
      </c>
      <c r="Z445" s="44">
        <f>+_xlfn.XLOOKUP(PROYECTOS[[#This Row],[MUNICIPIO]],'4.CAP_ENDMNT'!B:B,'4.CAP_ENDMNT'!I:I,0,0,1)</f>
        <v>1638841544</v>
      </c>
      <c r="AA445" s="134">
        <f>+_xlfn.XLOOKUP(PROYECTOS[[#This Row],[MUNICIPIO]],'4.CAP_ENDMNT'!B:B,'4.CAP_ENDMNT'!J:J,0,0,1)</f>
        <v>0.17818616019044273</v>
      </c>
      <c r="AB445" s="44">
        <f>+_xlfn.XLOOKUP(PROYECTOS[[#This Row],[MUNICIPIO]],'4.CAP_ENDMNT'!B:B,'4.CAP_ENDMNT'!K:K,0,0,1)</f>
        <v>7558514424.8835011</v>
      </c>
      <c r="AC445" s="44">
        <f>+_xlfn.XLOOKUP(PROYECTOS[[#This Row],[MUNICIPIO]],'4.CAP_ENDMNT'!B:B,'4.CAP_ENDMNT'!L:L,0,0,1)</f>
        <v>6046811539.9068012</v>
      </c>
      <c r="AD445" s="44">
        <f>+_xlfn.XLOOKUP(PROYECTOS[[#This Row],[MUNICIPIO]],'4.CAP_ENDMNT'!B:B,'4.CAP_ENDMNT'!M:M,0,0,1)</f>
        <v>4535108654.9301004</v>
      </c>
      <c r="AE445" s="134">
        <f>+_xlfn.XLOOKUP(PROYECTOS[[#This Row],[MUNICIPIO]],'4.CAP_ENDMNT'!B:B,'4.CAP_ENDMNT'!N:N,0,0,1)</f>
        <v>0.58507275917579493</v>
      </c>
      <c r="AF445" s="134">
        <f>+_xlfn.XLOOKUP(PROYECTOS[[#This Row],[MUNICIPIO]],'4.CAP_ENDMNT'!B:B,'4.CAP_ENDMNT'!O:O,0,0,1)</f>
        <v>0.53687312631507866</v>
      </c>
      <c r="AG445" s="134">
        <f>+_xlfn.XLOOKUP(PROYECTOS[[#This Row],[MUNICIPIO]],'4.CAP_ENDMNT'!B:B,'4.CAP_ENDMNT'!P:P,0,0,1)</f>
        <v>0.8</v>
      </c>
      <c r="AH445" s="44" t="str">
        <f>+_xlfn.XLOOKUP(PROYECTOS[[#This Row],[MUNICIPIO]],'4.CAP_ENDMNT'!B:B,'4.CAP_ENDMNT'!Q:Q,0,0,1)</f>
        <v>Cumple</v>
      </c>
      <c r="AI445" s="139">
        <f>+_xlfn.XLOOKUP(PROYECTOS[[#This Row],[MUNICIPIO]],'4.CAP_ENDMNT'!B:B,'4.CAP_ENDMNT'!V:V,0,0,1)</f>
        <v>907021730.98602009</v>
      </c>
      <c r="AJ445" s="139">
        <f>+_xlfn.XLOOKUP(PROYECTOS[[#This Row],[MUNICIPIO]],'4.CAP_ENDMNT'!B:B,'4.CAP_ENDMNT'!Y:Y,0,0,1)</f>
        <v>-2964573994.0838795</v>
      </c>
    </row>
    <row r="446" spans="1:39" ht="15" customHeight="1">
      <c r="A446" s="44">
        <v>559</v>
      </c>
      <c r="B446" s="37" t="s">
        <v>1266</v>
      </c>
      <c r="C446" s="118">
        <v>45798</v>
      </c>
      <c r="D446" s="46" t="s">
        <v>127</v>
      </c>
      <c r="E446" s="47" t="str">
        <f>+_xlfn.XLOOKUP(PROYECTOS[[#This Row],[MUNICIPIO]],MUNICIPIOS!A:A,MUNICIPIOS!E:E,0,0,1)</f>
        <v>Suroeste</v>
      </c>
      <c r="F446" s="44">
        <f>+_xlfn.XLOOKUP(PROYECTOS[[#This Row],[MUNICIPIO]],MUNICIPIOS!A:A,MUNICIPIOS!F:F,0,0,1)</f>
        <v>-75.976789999999994</v>
      </c>
      <c r="G446" s="44" t="str">
        <f>+_xlfn.XLOOKUP(PROYECTOS[[#This Row],[MUNICIPIO]],MUNICIPIOS!A:A,MUNICIPIOS!G:G,0,0,1)</f>
        <v>5,74615</v>
      </c>
      <c r="H446" s="44">
        <f>+_xlfn.XLOOKUP(PROYECTOS[[#This Row],[MUNICIPIO]],MUNICIPIOS!A:A,MUNICIPIOS!B:B,0,0,1)</f>
        <v>0</v>
      </c>
      <c r="I446" s="44">
        <f>+_xlfn.XLOOKUP(PROYECTOS[[#This Row],[MUNICIPIO]],MUNICIPIOS!A:A,MUNICIPIOS!C:C,0,0,1)</f>
        <v>0</v>
      </c>
      <c r="J446" s="34" t="str" cm="1">
        <f t="array" ref="J446">_xlfn.TEXTJOIN(" ", TRUE, IF(radicados[ID PROYECTOS]=A446, radicados[RADICADO], ""))</f>
        <v/>
      </c>
      <c r="K446" s="45">
        <v>1</v>
      </c>
      <c r="L446" s="48">
        <v>50000000</v>
      </c>
      <c r="M446" s="34" t="s">
        <v>40</v>
      </c>
      <c r="N446" s="40" t="s">
        <v>398</v>
      </c>
      <c r="O446" s="40" t="s">
        <v>25</v>
      </c>
      <c r="P446" s="37"/>
      <c r="Q446" s="45"/>
      <c r="R446" s="166"/>
      <c r="S446" s="166"/>
      <c r="T446" s="44">
        <f>+_xlfn.XLOOKUP(PROYECTOS[[#This Row],[MUNICIPIO]],'4.CAP_ENDMNT'!B:B,'4.CAP_ENDMNT'!C:C,0,0,1)</f>
        <v>6</v>
      </c>
      <c r="U446" s="167">
        <f>+_xlfn.XLOOKUP(PROYECTOS[[#This Row],[MUNICIPIO]],'4.CAP_ENDMNT'!B:B,'4.CAP_ENDMNT'!D:D,0,0,1)</f>
        <v>9197355968.8835011</v>
      </c>
      <c r="V446" s="44">
        <f>+_xlfn.XLOOKUP(PROYECTOS[[#This Row],[MUNICIPIO]],'4.CAP_ENDMNT'!B:B,'4.CAP_ENDMNT'!E:E,0,0,1)</f>
        <v>3350398615.7000003</v>
      </c>
      <c r="W446" s="44">
        <f>+_xlfn.XLOOKUP(PROYECTOS[[#This Row],[MUNICIPIO]],'4.CAP_ENDMNT'!B:B,'4.CAP_ENDMNT'!F:F,0,0,1)</f>
        <v>5846957353.1835003</v>
      </c>
      <c r="X446" s="44">
        <f>+_xlfn.XLOOKUP(PROYECTOS[[#This Row],[MUNICIPIO]],'4.CAP_ENDMNT'!B:B,'4.CAP_ENDMNT'!G:G,0,0,1)</f>
        <v>958841544</v>
      </c>
      <c r="Y446" s="44">
        <f>+_xlfn.XLOOKUP(PROYECTOS[[#This Row],[MUNICIPIO]],'4.CAP_ENDMNT'!B:B,'4.CAP_ENDMNT'!H:H,0,0,1)</f>
        <v>680000000</v>
      </c>
      <c r="Z446" s="44">
        <f>+_xlfn.XLOOKUP(PROYECTOS[[#This Row],[MUNICIPIO]],'4.CAP_ENDMNT'!B:B,'4.CAP_ENDMNT'!I:I,0,0,1)</f>
        <v>1638841544</v>
      </c>
      <c r="AA446" s="134">
        <f>+_xlfn.XLOOKUP(PROYECTOS[[#This Row],[MUNICIPIO]],'4.CAP_ENDMNT'!B:B,'4.CAP_ENDMNT'!J:J,0,0,1)</f>
        <v>0.17818616019044273</v>
      </c>
      <c r="AB446" s="44">
        <f>+_xlfn.XLOOKUP(PROYECTOS[[#This Row],[MUNICIPIO]],'4.CAP_ENDMNT'!B:B,'4.CAP_ENDMNT'!K:K,0,0,1)</f>
        <v>7558514424.8835011</v>
      </c>
      <c r="AC446" s="44">
        <f>+_xlfn.XLOOKUP(PROYECTOS[[#This Row],[MUNICIPIO]],'4.CAP_ENDMNT'!B:B,'4.CAP_ENDMNT'!L:L,0,0,1)</f>
        <v>6046811539.9068012</v>
      </c>
      <c r="AD446" s="44">
        <f>+_xlfn.XLOOKUP(PROYECTOS[[#This Row],[MUNICIPIO]],'4.CAP_ENDMNT'!B:B,'4.CAP_ENDMNT'!M:M,0,0,1)</f>
        <v>4535108654.9301004</v>
      </c>
      <c r="AE446" s="134">
        <f>+_xlfn.XLOOKUP(PROYECTOS[[#This Row],[MUNICIPIO]],'4.CAP_ENDMNT'!B:B,'4.CAP_ENDMNT'!N:N,0,0,1)</f>
        <v>0.58507275917579493</v>
      </c>
      <c r="AF446" s="134">
        <f>+_xlfn.XLOOKUP(PROYECTOS[[#This Row],[MUNICIPIO]],'4.CAP_ENDMNT'!B:B,'4.CAP_ENDMNT'!O:O,0,0,1)</f>
        <v>0.53687312631507866</v>
      </c>
      <c r="AG446" s="134">
        <f>+_xlfn.XLOOKUP(PROYECTOS[[#This Row],[MUNICIPIO]],'4.CAP_ENDMNT'!B:B,'4.CAP_ENDMNT'!P:P,0,0,1)</f>
        <v>0.8</v>
      </c>
      <c r="AH446" s="44" t="str">
        <f>+_xlfn.XLOOKUP(PROYECTOS[[#This Row],[MUNICIPIO]],'4.CAP_ENDMNT'!B:B,'4.CAP_ENDMNT'!Q:Q,0,0,1)</f>
        <v>Cumple</v>
      </c>
      <c r="AI446" s="139">
        <f>+_xlfn.XLOOKUP(PROYECTOS[[#This Row],[MUNICIPIO]],'4.CAP_ENDMNT'!B:B,'4.CAP_ENDMNT'!V:V,0,0,1)</f>
        <v>907021730.98602009</v>
      </c>
      <c r="AJ446" s="139">
        <f>+_xlfn.XLOOKUP(PROYECTOS[[#This Row],[MUNICIPIO]],'4.CAP_ENDMNT'!B:B,'4.CAP_ENDMNT'!Y:Y,0,0,1)</f>
        <v>-2964573994.0838795</v>
      </c>
    </row>
    <row r="447" spans="1:39" ht="15" customHeight="1">
      <c r="A447" s="44">
        <v>560</v>
      </c>
      <c r="B447" s="37" t="s">
        <v>1267</v>
      </c>
      <c r="C447" s="118">
        <v>45798</v>
      </c>
      <c r="D447" s="46" t="s">
        <v>127</v>
      </c>
      <c r="E447" s="47" t="str">
        <f>+_xlfn.XLOOKUP(PROYECTOS[[#This Row],[MUNICIPIO]],MUNICIPIOS!A:A,MUNICIPIOS!E:E,0,0,1)</f>
        <v>Suroeste</v>
      </c>
      <c r="F447" s="44">
        <f>+_xlfn.XLOOKUP(PROYECTOS[[#This Row],[MUNICIPIO]],MUNICIPIOS!A:A,MUNICIPIOS!F:F,0,0,1)</f>
        <v>-75.976789999999994</v>
      </c>
      <c r="G447" s="44" t="str">
        <f>+_xlfn.XLOOKUP(PROYECTOS[[#This Row],[MUNICIPIO]],MUNICIPIOS!A:A,MUNICIPIOS!G:G,0,0,1)</f>
        <v>5,74615</v>
      </c>
      <c r="H447" s="44">
        <f>+_xlfn.XLOOKUP(PROYECTOS[[#This Row],[MUNICIPIO]],MUNICIPIOS!A:A,MUNICIPIOS!B:B,0,0,1)</f>
        <v>0</v>
      </c>
      <c r="I447" s="44">
        <f>+_xlfn.XLOOKUP(PROYECTOS[[#This Row],[MUNICIPIO]],MUNICIPIOS!A:A,MUNICIPIOS!C:C,0,0,1)</f>
        <v>0</v>
      </c>
      <c r="J447" s="34" t="str" cm="1">
        <f t="array" ref="J447">_xlfn.TEXTJOIN(" ", TRUE, IF(radicados[ID PROYECTOS]=A447, radicados[RADICADO], ""))</f>
        <v/>
      </c>
      <c r="K447" s="45">
        <v>1</v>
      </c>
      <c r="L447" s="48">
        <v>50000000</v>
      </c>
      <c r="M447" s="34" t="s">
        <v>40</v>
      </c>
      <c r="N447" s="40" t="s">
        <v>398</v>
      </c>
      <c r="O447" s="40" t="s">
        <v>25</v>
      </c>
      <c r="P447" s="37"/>
      <c r="Q447" s="45"/>
      <c r="R447" s="166"/>
      <c r="S447" s="166"/>
      <c r="T447" s="44">
        <f>+_xlfn.XLOOKUP(PROYECTOS[[#This Row],[MUNICIPIO]],'4.CAP_ENDMNT'!B:B,'4.CAP_ENDMNT'!C:C,0,0,1)</f>
        <v>6</v>
      </c>
      <c r="U447" s="167">
        <f>+_xlfn.XLOOKUP(PROYECTOS[[#This Row],[MUNICIPIO]],'4.CAP_ENDMNT'!B:B,'4.CAP_ENDMNT'!D:D,0,0,1)</f>
        <v>9197355968.8835011</v>
      </c>
      <c r="V447" s="44">
        <f>+_xlfn.XLOOKUP(PROYECTOS[[#This Row],[MUNICIPIO]],'4.CAP_ENDMNT'!B:B,'4.CAP_ENDMNT'!E:E,0,0,1)</f>
        <v>3350398615.7000003</v>
      </c>
      <c r="W447" s="44">
        <f>+_xlfn.XLOOKUP(PROYECTOS[[#This Row],[MUNICIPIO]],'4.CAP_ENDMNT'!B:B,'4.CAP_ENDMNT'!F:F,0,0,1)</f>
        <v>5846957353.1835003</v>
      </c>
      <c r="X447" s="44">
        <f>+_xlfn.XLOOKUP(PROYECTOS[[#This Row],[MUNICIPIO]],'4.CAP_ENDMNT'!B:B,'4.CAP_ENDMNT'!G:G,0,0,1)</f>
        <v>958841544</v>
      </c>
      <c r="Y447" s="44">
        <f>+_xlfn.XLOOKUP(PROYECTOS[[#This Row],[MUNICIPIO]],'4.CAP_ENDMNT'!B:B,'4.CAP_ENDMNT'!H:H,0,0,1)</f>
        <v>680000000</v>
      </c>
      <c r="Z447" s="44">
        <f>+_xlfn.XLOOKUP(PROYECTOS[[#This Row],[MUNICIPIO]],'4.CAP_ENDMNT'!B:B,'4.CAP_ENDMNT'!I:I,0,0,1)</f>
        <v>1638841544</v>
      </c>
      <c r="AA447" s="134">
        <f>+_xlfn.XLOOKUP(PROYECTOS[[#This Row],[MUNICIPIO]],'4.CAP_ENDMNT'!B:B,'4.CAP_ENDMNT'!J:J,0,0,1)</f>
        <v>0.17818616019044273</v>
      </c>
      <c r="AB447" s="44">
        <f>+_xlfn.XLOOKUP(PROYECTOS[[#This Row],[MUNICIPIO]],'4.CAP_ENDMNT'!B:B,'4.CAP_ENDMNT'!K:K,0,0,1)</f>
        <v>7558514424.8835011</v>
      </c>
      <c r="AC447" s="44">
        <f>+_xlfn.XLOOKUP(PROYECTOS[[#This Row],[MUNICIPIO]],'4.CAP_ENDMNT'!B:B,'4.CAP_ENDMNT'!L:L,0,0,1)</f>
        <v>6046811539.9068012</v>
      </c>
      <c r="AD447" s="44">
        <f>+_xlfn.XLOOKUP(PROYECTOS[[#This Row],[MUNICIPIO]],'4.CAP_ENDMNT'!B:B,'4.CAP_ENDMNT'!M:M,0,0,1)</f>
        <v>4535108654.9301004</v>
      </c>
      <c r="AE447" s="134">
        <f>+_xlfn.XLOOKUP(PROYECTOS[[#This Row],[MUNICIPIO]],'4.CAP_ENDMNT'!B:B,'4.CAP_ENDMNT'!N:N,0,0,1)</f>
        <v>0.58507275917579493</v>
      </c>
      <c r="AF447" s="134">
        <f>+_xlfn.XLOOKUP(PROYECTOS[[#This Row],[MUNICIPIO]],'4.CAP_ENDMNT'!B:B,'4.CAP_ENDMNT'!O:O,0,0,1)</f>
        <v>0.53687312631507866</v>
      </c>
      <c r="AG447" s="134">
        <f>+_xlfn.XLOOKUP(PROYECTOS[[#This Row],[MUNICIPIO]],'4.CAP_ENDMNT'!B:B,'4.CAP_ENDMNT'!P:P,0,0,1)</f>
        <v>0.8</v>
      </c>
      <c r="AH447" s="44" t="str">
        <f>+_xlfn.XLOOKUP(PROYECTOS[[#This Row],[MUNICIPIO]],'4.CAP_ENDMNT'!B:B,'4.CAP_ENDMNT'!Q:Q,0,0,1)</f>
        <v>Cumple</v>
      </c>
      <c r="AI447" s="139">
        <f>+_xlfn.XLOOKUP(PROYECTOS[[#This Row],[MUNICIPIO]],'4.CAP_ENDMNT'!B:B,'4.CAP_ENDMNT'!V:V,0,0,1)</f>
        <v>907021730.98602009</v>
      </c>
      <c r="AJ447" s="139">
        <f>+_xlfn.XLOOKUP(PROYECTOS[[#This Row],[MUNICIPIO]],'4.CAP_ENDMNT'!B:B,'4.CAP_ENDMNT'!Y:Y,0,0,1)</f>
        <v>-2964573994.0838795</v>
      </c>
    </row>
    <row r="448" spans="1:39" ht="15" customHeight="1">
      <c r="A448" s="44">
        <v>561</v>
      </c>
      <c r="B448" s="37" t="s">
        <v>1268</v>
      </c>
      <c r="C448" s="118">
        <v>45798</v>
      </c>
      <c r="D448" s="46" t="s">
        <v>127</v>
      </c>
      <c r="E448" s="47" t="str">
        <f>+_xlfn.XLOOKUP(PROYECTOS[[#This Row],[MUNICIPIO]],MUNICIPIOS!A:A,MUNICIPIOS!E:E,0,0,1)</f>
        <v>Suroeste</v>
      </c>
      <c r="F448" s="44">
        <f>+_xlfn.XLOOKUP(PROYECTOS[[#This Row],[MUNICIPIO]],MUNICIPIOS!A:A,MUNICIPIOS!F:F,0,0,1)</f>
        <v>-75.976789999999994</v>
      </c>
      <c r="G448" s="44" t="str">
        <f>+_xlfn.XLOOKUP(PROYECTOS[[#This Row],[MUNICIPIO]],MUNICIPIOS!A:A,MUNICIPIOS!G:G,0,0,1)</f>
        <v>5,74615</v>
      </c>
      <c r="H448" s="44">
        <f>+_xlfn.XLOOKUP(PROYECTOS[[#This Row],[MUNICIPIO]],MUNICIPIOS!A:A,MUNICIPIOS!B:B,0,0,1)</f>
        <v>0</v>
      </c>
      <c r="I448" s="44">
        <f>+_xlfn.XLOOKUP(PROYECTOS[[#This Row],[MUNICIPIO]],MUNICIPIOS!A:A,MUNICIPIOS!C:C,0,0,1)</f>
        <v>0</v>
      </c>
      <c r="J448" s="34" t="str" cm="1">
        <f t="array" ref="J448">_xlfn.TEXTJOIN(" ", TRUE, IF(radicados[ID PROYECTOS]=A448, radicados[RADICADO], ""))</f>
        <v/>
      </c>
      <c r="K448" s="45">
        <v>1</v>
      </c>
      <c r="L448" s="48">
        <v>200000000</v>
      </c>
      <c r="M448" s="34" t="s">
        <v>761</v>
      </c>
      <c r="N448" s="40" t="s">
        <v>398</v>
      </c>
      <c r="O448" s="40" t="s">
        <v>25</v>
      </c>
      <c r="P448" s="37"/>
      <c r="Q448" s="45"/>
      <c r="R448" s="166"/>
      <c r="S448" s="166"/>
      <c r="T448" s="44">
        <f>+_xlfn.XLOOKUP(PROYECTOS[[#This Row],[MUNICIPIO]],'4.CAP_ENDMNT'!B:B,'4.CAP_ENDMNT'!C:C,0,0,1)</f>
        <v>6</v>
      </c>
      <c r="U448" s="167">
        <f>+_xlfn.XLOOKUP(PROYECTOS[[#This Row],[MUNICIPIO]],'4.CAP_ENDMNT'!B:B,'4.CAP_ENDMNT'!D:D,0,0,1)</f>
        <v>9197355968.8835011</v>
      </c>
      <c r="V448" s="44">
        <f>+_xlfn.XLOOKUP(PROYECTOS[[#This Row],[MUNICIPIO]],'4.CAP_ENDMNT'!B:B,'4.CAP_ENDMNT'!E:E,0,0,1)</f>
        <v>3350398615.7000003</v>
      </c>
      <c r="W448" s="44">
        <f>+_xlfn.XLOOKUP(PROYECTOS[[#This Row],[MUNICIPIO]],'4.CAP_ENDMNT'!B:B,'4.CAP_ENDMNT'!F:F,0,0,1)</f>
        <v>5846957353.1835003</v>
      </c>
      <c r="X448" s="44">
        <f>+_xlfn.XLOOKUP(PROYECTOS[[#This Row],[MUNICIPIO]],'4.CAP_ENDMNT'!B:B,'4.CAP_ENDMNT'!G:G,0,0,1)</f>
        <v>958841544</v>
      </c>
      <c r="Y448" s="44">
        <f>+_xlfn.XLOOKUP(PROYECTOS[[#This Row],[MUNICIPIO]],'4.CAP_ENDMNT'!B:B,'4.CAP_ENDMNT'!H:H,0,0,1)</f>
        <v>680000000</v>
      </c>
      <c r="Z448" s="44">
        <f>+_xlfn.XLOOKUP(PROYECTOS[[#This Row],[MUNICIPIO]],'4.CAP_ENDMNT'!B:B,'4.CAP_ENDMNT'!I:I,0,0,1)</f>
        <v>1638841544</v>
      </c>
      <c r="AA448" s="134">
        <f>+_xlfn.XLOOKUP(PROYECTOS[[#This Row],[MUNICIPIO]],'4.CAP_ENDMNT'!B:B,'4.CAP_ENDMNT'!J:J,0,0,1)</f>
        <v>0.17818616019044273</v>
      </c>
      <c r="AB448" s="44">
        <f>+_xlfn.XLOOKUP(PROYECTOS[[#This Row],[MUNICIPIO]],'4.CAP_ENDMNT'!B:B,'4.CAP_ENDMNT'!K:K,0,0,1)</f>
        <v>7558514424.8835011</v>
      </c>
      <c r="AC448" s="44">
        <f>+_xlfn.XLOOKUP(PROYECTOS[[#This Row],[MUNICIPIO]],'4.CAP_ENDMNT'!B:B,'4.CAP_ENDMNT'!L:L,0,0,1)</f>
        <v>6046811539.9068012</v>
      </c>
      <c r="AD448" s="44">
        <f>+_xlfn.XLOOKUP(PROYECTOS[[#This Row],[MUNICIPIO]],'4.CAP_ENDMNT'!B:B,'4.CAP_ENDMNT'!M:M,0,0,1)</f>
        <v>4535108654.9301004</v>
      </c>
      <c r="AE448" s="134">
        <f>+_xlfn.XLOOKUP(PROYECTOS[[#This Row],[MUNICIPIO]],'4.CAP_ENDMNT'!B:B,'4.CAP_ENDMNT'!N:N,0,0,1)</f>
        <v>0.58507275917579493</v>
      </c>
      <c r="AF448" s="134">
        <f>+_xlfn.XLOOKUP(PROYECTOS[[#This Row],[MUNICIPIO]],'4.CAP_ENDMNT'!B:B,'4.CAP_ENDMNT'!O:O,0,0,1)</f>
        <v>0.53687312631507866</v>
      </c>
      <c r="AG448" s="134">
        <f>+_xlfn.XLOOKUP(PROYECTOS[[#This Row],[MUNICIPIO]],'4.CAP_ENDMNT'!B:B,'4.CAP_ENDMNT'!P:P,0,0,1)</f>
        <v>0.8</v>
      </c>
      <c r="AH448" s="44" t="str">
        <f>+_xlfn.XLOOKUP(PROYECTOS[[#This Row],[MUNICIPIO]],'4.CAP_ENDMNT'!B:B,'4.CAP_ENDMNT'!Q:Q,0,0,1)</f>
        <v>Cumple</v>
      </c>
      <c r="AI448" s="139">
        <f>+_xlfn.XLOOKUP(PROYECTOS[[#This Row],[MUNICIPIO]],'4.CAP_ENDMNT'!B:B,'4.CAP_ENDMNT'!V:V,0,0,1)</f>
        <v>907021730.98602009</v>
      </c>
      <c r="AJ448" s="139">
        <f>+_xlfn.XLOOKUP(PROYECTOS[[#This Row],[MUNICIPIO]],'4.CAP_ENDMNT'!B:B,'4.CAP_ENDMNT'!Y:Y,0,0,1)</f>
        <v>-2964573994.0838795</v>
      </c>
    </row>
    <row r="449" spans="1:36" ht="15" customHeight="1">
      <c r="A449" s="44">
        <v>562</v>
      </c>
      <c r="B449" s="37" t="s">
        <v>1497</v>
      </c>
      <c r="C449" s="118">
        <v>45798</v>
      </c>
      <c r="D449" s="46" t="s">
        <v>127</v>
      </c>
      <c r="E449" s="47" t="str">
        <f>+_xlfn.XLOOKUP(PROYECTOS[[#This Row],[MUNICIPIO]],MUNICIPIOS!A:A,MUNICIPIOS!E:E,0,0,1)</f>
        <v>Suroeste</v>
      </c>
      <c r="F449" s="44">
        <f>+_xlfn.XLOOKUP(PROYECTOS[[#This Row],[MUNICIPIO]],MUNICIPIOS!A:A,MUNICIPIOS!F:F,0,0,1)</f>
        <v>-75.976789999999994</v>
      </c>
      <c r="G449" s="44" t="str">
        <f>+_xlfn.XLOOKUP(PROYECTOS[[#This Row],[MUNICIPIO]],MUNICIPIOS!A:A,MUNICIPIOS!G:G,0,0,1)</f>
        <v>5,74615</v>
      </c>
      <c r="H449" s="44">
        <f>+_xlfn.XLOOKUP(PROYECTOS[[#This Row],[MUNICIPIO]],MUNICIPIOS!A:A,MUNICIPIOS!B:B,0,0,1)</f>
        <v>0</v>
      </c>
      <c r="I449" s="44">
        <f>+_xlfn.XLOOKUP(PROYECTOS[[#This Row],[MUNICIPIO]],MUNICIPIOS!A:A,MUNICIPIOS!C:C,0,0,1)</f>
        <v>0</v>
      </c>
      <c r="J449" s="34" t="str" cm="1">
        <f t="array" ref="J449">_xlfn.TEXTJOIN(" ", TRUE, IF(radicados[ID PROYECTOS]=A449, radicados[RADICADO], ""))</f>
        <v/>
      </c>
      <c r="K449" s="45">
        <v>1</v>
      </c>
      <c r="L449" s="48"/>
      <c r="M449" s="34" t="s">
        <v>435</v>
      </c>
      <c r="N449" s="40" t="s">
        <v>398</v>
      </c>
      <c r="O449" s="40" t="s">
        <v>25</v>
      </c>
      <c r="P449" s="37"/>
      <c r="Q449" s="45"/>
      <c r="R449" s="166"/>
      <c r="S449" s="166"/>
      <c r="T449" s="44">
        <f>+_xlfn.XLOOKUP(PROYECTOS[[#This Row],[MUNICIPIO]],'4.CAP_ENDMNT'!B:B,'4.CAP_ENDMNT'!C:C,0,0,1)</f>
        <v>6</v>
      </c>
      <c r="U449" s="167">
        <f>+_xlfn.XLOOKUP(PROYECTOS[[#This Row],[MUNICIPIO]],'4.CAP_ENDMNT'!B:B,'4.CAP_ENDMNT'!D:D,0,0,1)</f>
        <v>9197355968.8835011</v>
      </c>
      <c r="V449" s="44">
        <f>+_xlfn.XLOOKUP(PROYECTOS[[#This Row],[MUNICIPIO]],'4.CAP_ENDMNT'!B:B,'4.CAP_ENDMNT'!E:E,0,0,1)</f>
        <v>3350398615.7000003</v>
      </c>
      <c r="W449" s="44">
        <f>+_xlfn.XLOOKUP(PROYECTOS[[#This Row],[MUNICIPIO]],'4.CAP_ENDMNT'!B:B,'4.CAP_ENDMNT'!F:F,0,0,1)</f>
        <v>5846957353.1835003</v>
      </c>
      <c r="X449" s="44">
        <f>+_xlfn.XLOOKUP(PROYECTOS[[#This Row],[MUNICIPIO]],'4.CAP_ENDMNT'!B:B,'4.CAP_ENDMNT'!G:G,0,0,1)</f>
        <v>958841544</v>
      </c>
      <c r="Y449" s="44">
        <f>+_xlfn.XLOOKUP(PROYECTOS[[#This Row],[MUNICIPIO]],'4.CAP_ENDMNT'!B:B,'4.CAP_ENDMNT'!H:H,0,0,1)</f>
        <v>680000000</v>
      </c>
      <c r="Z449" s="44">
        <f>+_xlfn.XLOOKUP(PROYECTOS[[#This Row],[MUNICIPIO]],'4.CAP_ENDMNT'!B:B,'4.CAP_ENDMNT'!I:I,0,0,1)</f>
        <v>1638841544</v>
      </c>
      <c r="AA449" s="134">
        <f>+_xlfn.XLOOKUP(PROYECTOS[[#This Row],[MUNICIPIO]],'4.CAP_ENDMNT'!B:B,'4.CAP_ENDMNT'!J:J,0,0,1)</f>
        <v>0.17818616019044273</v>
      </c>
      <c r="AB449" s="44">
        <f>+_xlfn.XLOOKUP(PROYECTOS[[#This Row],[MUNICIPIO]],'4.CAP_ENDMNT'!B:B,'4.CAP_ENDMNT'!K:K,0,0,1)</f>
        <v>7558514424.8835011</v>
      </c>
      <c r="AC449" s="44">
        <f>+_xlfn.XLOOKUP(PROYECTOS[[#This Row],[MUNICIPIO]],'4.CAP_ENDMNT'!B:B,'4.CAP_ENDMNT'!L:L,0,0,1)</f>
        <v>6046811539.9068012</v>
      </c>
      <c r="AD449" s="44">
        <f>+_xlfn.XLOOKUP(PROYECTOS[[#This Row],[MUNICIPIO]],'4.CAP_ENDMNT'!B:B,'4.CAP_ENDMNT'!M:M,0,0,1)</f>
        <v>4535108654.9301004</v>
      </c>
      <c r="AE449" s="134">
        <f>+_xlfn.XLOOKUP(PROYECTOS[[#This Row],[MUNICIPIO]],'4.CAP_ENDMNT'!B:B,'4.CAP_ENDMNT'!N:N,0,0,1)</f>
        <v>0.58507275917579493</v>
      </c>
      <c r="AF449" s="134">
        <f>+_xlfn.XLOOKUP(PROYECTOS[[#This Row],[MUNICIPIO]],'4.CAP_ENDMNT'!B:B,'4.CAP_ENDMNT'!O:O,0,0,1)</f>
        <v>0.53687312631507866</v>
      </c>
      <c r="AG449" s="134">
        <f>+_xlfn.XLOOKUP(PROYECTOS[[#This Row],[MUNICIPIO]],'4.CAP_ENDMNT'!B:B,'4.CAP_ENDMNT'!P:P,0,0,1)</f>
        <v>0.8</v>
      </c>
      <c r="AH449" s="44" t="str">
        <f>+_xlfn.XLOOKUP(PROYECTOS[[#This Row],[MUNICIPIO]],'4.CAP_ENDMNT'!B:B,'4.CAP_ENDMNT'!Q:Q,0,0,1)</f>
        <v>Cumple</v>
      </c>
      <c r="AI449" s="139">
        <f>+_xlfn.XLOOKUP(PROYECTOS[[#This Row],[MUNICIPIO]],'4.CAP_ENDMNT'!B:B,'4.CAP_ENDMNT'!V:V,0,0,1)</f>
        <v>907021730.98602009</v>
      </c>
      <c r="AJ449" s="139">
        <f>+_xlfn.XLOOKUP(PROYECTOS[[#This Row],[MUNICIPIO]],'4.CAP_ENDMNT'!B:B,'4.CAP_ENDMNT'!Y:Y,0,0,1)</f>
        <v>-2964573994.0838795</v>
      </c>
    </row>
    <row r="450" spans="1:36" ht="15" customHeight="1">
      <c r="A450" s="44">
        <v>563</v>
      </c>
      <c r="B450" s="37" t="s">
        <v>1269</v>
      </c>
      <c r="C450" s="118">
        <v>45798</v>
      </c>
      <c r="D450" s="46" t="s">
        <v>136</v>
      </c>
      <c r="E450" s="47" t="str">
        <f>+_xlfn.XLOOKUP(PROYECTOS[[#This Row],[MUNICIPIO]],MUNICIPIOS!A:A,MUNICIPIOS!E:E,0,0,1)</f>
        <v>Norte</v>
      </c>
      <c r="F450" s="44">
        <f>+_xlfn.XLOOKUP(PROYECTOS[[#This Row],[MUNICIPIO]],MUNICIPIOS!A:A,MUNICIPIOS!F:F,0,0,1)</f>
        <v>-75.550359999999998</v>
      </c>
      <c r="G450" s="44" t="str">
        <f>+_xlfn.XLOOKUP(PROYECTOS[[#This Row],[MUNICIPIO]],MUNICIPIOS!A:A,MUNICIPIOS!G:G,0,0,1)</f>
        <v>7,112803</v>
      </c>
      <c r="H450" s="44">
        <f>+_xlfn.XLOOKUP(PROYECTOS[[#This Row],[MUNICIPIO]],MUNICIPIOS!A:A,MUNICIPIOS!B:B,0,0,1)</f>
        <v>1</v>
      </c>
      <c r="I450" s="44">
        <f>+_xlfn.XLOOKUP(PROYECTOS[[#This Row],[MUNICIPIO]],MUNICIPIOS!A:A,MUNICIPIOS!C:C,0,0,1)</f>
        <v>1</v>
      </c>
      <c r="J450" s="34" t="str" cm="1">
        <f t="array" ref="J450">_xlfn.TEXTJOIN(" ", TRUE, IF(radicados[ID PROYECTOS]=A450, radicados[RADICADO], ""))</f>
        <v/>
      </c>
      <c r="K450" s="45">
        <v>3</v>
      </c>
      <c r="L450" s="48">
        <v>1697006832</v>
      </c>
      <c r="M450" s="34" t="s">
        <v>761</v>
      </c>
      <c r="N450" s="40" t="s">
        <v>398</v>
      </c>
      <c r="O450" s="40" t="s">
        <v>25</v>
      </c>
      <c r="P450" s="37"/>
      <c r="Q450" s="45"/>
      <c r="R450" s="166"/>
      <c r="S450" s="166"/>
      <c r="T450" s="44">
        <f>+_xlfn.XLOOKUP(PROYECTOS[[#This Row],[MUNICIPIO]],'4.CAP_ENDMNT'!B:B,'4.CAP_ENDMNT'!C:C,0,0,1)</f>
        <v>6</v>
      </c>
      <c r="U450" s="167">
        <f>+_xlfn.XLOOKUP(PROYECTOS[[#This Row],[MUNICIPIO]],'4.CAP_ENDMNT'!B:B,'4.CAP_ENDMNT'!D:D,0,0,1)</f>
        <v>15936675551.976999</v>
      </c>
      <c r="V450" s="44">
        <f>+_xlfn.XLOOKUP(PROYECTOS[[#This Row],[MUNICIPIO]],'4.CAP_ENDMNT'!B:B,'4.CAP_ENDMNT'!E:E,0,0,1)</f>
        <v>6355203503.6700001</v>
      </c>
      <c r="W450" s="44">
        <f>+_xlfn.XLOOKUP(PROYECTOS[[#This Row],[MUNICIPIO]],'4.CAP_ENDMNT'!B:B,'4.CAP_ENDMNT'!F:F,0,0,1)</f>
        <v>9581472048.3069992</v>
      </c>
      <c r="X450" s="44">
        <f>+_xlfn.XLOOKUP(PROYECTOS[[#This Row],[MUNICIPIO]],'4.CAP_ENDMNT'!B:B,'4.CAP_ENDMNT'!G:G,0,0,1)</f>
        <v>166905356.59</v>
      </c>
      <c r="Y450" s="44">
        <f>+_xlfn.XLOOKUP(PROYECTOS[[#This Row],[MUNICIPIO]],'4.CAP_ENDMNT'!B:B,'4.CAP_ENDMNT'!H:H,0,0,1)</f>
        <v>5064590198</v>
      </c>
      <c r="Z450" s="44">
        <f>+_xlfn.XLOOKUP(PROYECTOS[[#This Row],[MUNICIPIO]],'4.CAP_ENDMNT'!B:B,'4.CAP_ENDMNT'!I:I,0,0,1)</f>
        <v>5231495554.5900002</v>
      </c>
      <c r="AA450" s="134">
        <f>+_xlfn.XLOOKUP(PROYECTOS[[#This Row],[MUNICIPIO]],'4.CAP_ENDMNT'!B:B,'4.CAP_ENDMNT'!J:J,0,0,1)</f>
        <v>0.32826768277534613</v>
      </c>
      <c r="AB450" s="44">
        <f>+_xlfn.XLOOKUP(PROYECTOS[[#This Row],[MUNICIPIO]],'4.CAP_ENDMNT'!B:B,'4.CAP_ENDMNT'!K:K,0,0,1)</f>
        <v>10705179997.386999</v>
      </c>
      <c r="AC450" s="44">
        <f>+_xlfn.XLOOKUP(PROYECTOS[[#This Row],[MUNICIPIO]],'4.CAP_ENDMNT'!B:B,'4.CAP_ENDMNT'!L:L,0,0,1)</f>
        <v>8564143997.9095993</v>
      </c>
      <c r="AD450" s="44">
        <f>+_xlfn.XLOOKUP(PROYECTOS[[#This Row],[MUNICIPIO]],'4.CAP_ENDMNT'!B:B,'4.CAP_ENDMNT'!M:M,0,0,1)</f>
        <v>6423107998.4321995</v>
      </c>
      <c r="AE450" s="134">
        <f>+_xlfn.XLOOKUP(PROYECTOS[[#This Row],[MUNICIPIO]],'4.CAP_ENDMNT'!B:B,'4.CAP_ENDMNT'!N:N,0,0,1)</f>
        <v>3.1903946939907245E-2</v>
      </c>
      <c r="AF450" s="134">
        <f>+_xlfn.XLOOKUP(PROYECTOS[[#This Row],[MUNICIPIO]],'4.CAP_ENDMNT'!B:B,'4.CAP_ENDMNT'!O:O,0,0,1)</f>
        <v>0.65192157878949775</v>
      </c>
      <c r="AG450" s="134">
        <f>+_xlfn.XLOOKUP(PROYECTOS[[#This Row],[MUNICIPIO]],'4.CAP_ENDMNT'!B:B,'4.CAP_ENDMNT'!P:P,0,0,1)</f>
        <v>0.8</v>
      </c>
      <c r="AH450" s="44" t="str">
        <f>+_xlfn.XLOOKUP(PROYECTOS[[#This Row],[MUNICIPIO]],'4.CAP_ENDMNT'!B:B,'4.CAP_ENDMNT'!Q:Q,0,0,1)</f>
        <v>Cumple</v>
      </c>
      <c r="AI450" s="139">
        <f>+_xlfn.XLOOKUP(PROYECTOS[[#This Row],[MUNICIPIO]],'4.CAP_ENDMNT'!B:B,'4.CAP_ENDMNT'!V:V,0,0,1)</f>
        <v>1284621599.68644</v>
      </c>
      <c r="AJ450" s="139">
        <f>+_xlfn.XLOOKUP(PROYECTOS[[#This Row],[MUNICIPIO]],'4.CAP_ENDMNT'!B:B,'4.CAP_ENDMNT'!Y:Y,0,0,1)</f>
        <v>-1198654643.881361</v>
      </c>
    </row>
    <row r="451" spans="1:36" ht="15" customHeight="1">
      <c r="A451" s="44">
        <v>564</v>
      </c>
      <c r="B451" s="37" t="s">
        <v>1270</v>
      </c>
      <c r="C451" s="118">
        <v>45798</v>
      </c>
      <c r="D451" s="46" t="s">
        <v>448</v>
      </c>
      <c r="E451" s="47" t="str">
        <f>+_xlfn.XLOOKUP(PROYECTOS[[#This Row],[MUNICIPIO]],MUNICIPIOS!A:A,MUNICIPIOS!E:E,0,0,1)</f>
        <v>Occidente</v>
      </c>
      <c r="F451" s="44">
        <f>+_xlfn.XLOOKUP(PROYECTOS[[#This Row],[MUNICIPIO]],MUNICIPIOS!A:A,MUNICIPIOS!F:F,0,0,1)</f>
        <v>-75.982929999999996</v>
      </c>
      <c r="G451" s="44" t="str">
        <f>+_xlfn.XLOOKUP(PROYECTOS[[#This Row],[MUNICIPIO]],MUNICIPIOS!A:A,MUNICIPIOS!G:G,0,0,1)</f>
        <v>6,405607</v>
      </c>
      <c r="H451" s="44">
        <f>+_xlfn.XLOOKUP(PROYECTOS[[#This Row],[MUNICIPIO]],MUNICIPIOS!A:A,MUNICIPIOS!B:B,0,0,1)</f>
        <v>0</v>
      </c>
      <c r="I451" s="44">
        <f>+_xlfn.XLOOKUP(PROYECTOS[[#This Row],[MUNICIPIO]],MUNICIPIOS!A:A,MUNICIPIOS!C:C,0,0,1)</f>
        <v>1</v>
      </c>
      <c r="J451" s="34" t="str" cm="1">
        <f t="array" ref="J451">_xlfn.TEXTJOIN(" ", TRUE, IF(radicados[ID PROYECTOS]=A451, radicados[RADICADO], ""))</f>
        <v/>
      </c>
      <c r="K451" s="45">
        <v>1</v>
      </c>
      <c r="L451" s="48">
        <v>68156478</v>
      </c>
      <c r="M451" s="34" t="s">
        <v>761</v>
      </c>
      <c r="N451" s="40" t="s">
        <v>398</v>
      </c>
      <c r="O451" s="40" t="s">
        <v>25</v>
      </c>
      <c r="P451" s="37"/>
      <c r="Q451" s="45"/>
      <c r="R451" s="166"/>
      <c r="S451" s="166"/>
      <c r="T451" s="44">
        <f>+_xlfn.XLOOKUP(PROYECTOS[[#This Row],[MUNICIPIO]],'4.CAP_ENDMNT'!B:B,'4.CAP_ENDMNT'!C:C,0,0,1)</f>
        <v>6</v>
      </c>
      <c r="U451" s="167">
        <f>+_xlfn.XLOOKUP(PROYECTOS[[#This Row],[MUNICIPIO]],'4.CAP_ENDMNT'!B:B,'4.CAP_ENDMNT'!D:D,0,0,1)</f>
        <v>8536446221.1044998</v>
      </c>
      <c r="V451" s="44">
        <f>+_xlfn.XLOOKUP(PROYECTOS[[#This Row],[MUNICIPIO]],'4.CAP_ENDMNT'!B:B,'4.CAP_ENDMNT'!E:E,0,0,1)</f>
        <v>2840287960.8099999</v>
      </c>
      <c r="W451" s="44">
        <f>+_xlfn.XLOOKUP(PROYECTOS[[#This Row],[MUNICIPIO]],'4.CAP_ENDMNT'!B:B,'4.CAP_ENDMNT'!F:F,0,0,1)</f>
        <v>5696158260.2945004</v>
      </c>
      <c r="X451" s="44">
        <f>+_xlfn.XLOOKUP(PROYECTOS[[#This Row],[MUNICIPIO]],'4.CAP_ENDMNT'!B:B,'4.CAP_ENDMNT'!G:G,0,0,1)</f>
        <v>1059912604</v>
      </c>
      <c r="Y451" s="44">
        <f>+_xlfn.XLOOKUP(PROYECTOS[[#This Row],[MUNICIPIO]],'4.CAP_ENDMNT'!B:B,'4.CAP_ENDMNT'!H:H,0,0,1)</f>
        <v>559890374</v>
      </c>
      <c r="Z451" s="44">
        <f>+_xlfn.XLOOKUP(PROYECTOS[[#This Row],[MUNICIPIO]],'4.CAP_ENDMNT'!B:B,'4.CAP_ENDMNT'!I:I,0,0,1)</f>
        <v>1619802978</v>
      </c>
      <c r="AA451" s="134">
        <f>+_xlfn.XLOOKUP(PROYECTOS[[#This Row],[MUNICIPIO]],'4.CAP_ENDMNT'!B:B,'4.CAP_ENDMNT'!J:J,0,0,1)</f>
        <v>0.18975144176453554</v>
      </c>
      <c r="AB451" s="44">
        <f>+_xlfn.XLOOKUP(PROYECTOS[[#This Row],[MUNICIPIO]],'4.CAP_ENDMNT'!B:B,'4.CAP_ENDMNT'!K:K,0,0,1)</f>
        <v>6916643243.1044998</v>
      </c>
      <c r="AC451" s="44">
        <f>+_xlfn.XLOOKUP(PROYECTOS[[#This Row],[MUNICIPIO]],'4.CAP_ENDMNT'!B:B,'4.CAP_ENDMNT'!L:L,0,0,1)</f>
        <v>5533314594.4836006</v>
      </c>
      <c r="AD451" s="44">
        <f>+_xlfn.XLOOKUP(PROYECTOS[[#This Row],[MUNICIPIO]],'4.CAP_ENDMNT'!B:B,'4.CAP_ENDMNT'!M:M,0,0,1)</f>
        <v>4149985945.8626995</v>
      </c>
      <c r="AE451" s="134">
        <f>+_xlfn.XLOOKUP(PROYECTOS[[#This Row],[MUNICIPIO]],'4.CAP_ENDMNT'!B:B,'4.CAP_ENDMNT'!N:N,0,0,1)</f>
        <v>0.65434662017271583</v>
      </c>
      <c r="AF451" s="134">
        <f>+_xlfn.XLOOKUP(PROYECTOS[[#This Row],[MUNICIPIO]],'4.CAP_ENDMNT'!B:B,'4.CAP_ENDMNT'!O:O,0,0,1)</f>
        <v>0.62730744736284794</v>
      </c>
      <c r="AG451" s="134">
        <f>+_xlfn.XLOOKUP(PROYECTOS[[#This Row],[MUNICIPIO]],'4.CAP_ENDMNT'!B:B,'4.CAP_ENDMNT'!P:P,0,0,1)</f>
        <v>0.8</v>
      </c>
      <c r="AH451" s="44" t="str">
        <f>+_xlfn.XLOOKUP(PROYECTOS[[#This Row],[MUNICIPIO]],'4.CAP_ENDMNT'!B:B,'4.CAP_ENDMNT'!Q:Q,0,0,1)</f>
        <v>Cumple</v>
      </c>
      <c r="AI451" s="139">
        <f>+_xlfn.XLOOKUP(PROYECTOS[[#This Row],[MUNICIPIO]],'4.CAP_ENDMNT'!B:B,'4.CAP_ENDMNT'!V:V,0,0,1)</f>
        <v>829997189.17253995</v>
      </c>
      <c r="AJ451" s="139">
        <f>+_xlfn.XLOOKUP(PROYECTOS[[#This Row],[MUNICIPIO]],'4.CAP_ENDMNT'!B:B,'4.CAP_ENDMNT'!Y:Y,0,0,1)</f>
        <v>-7956520095.9647608</v>
      </c>
    </row>
    <row r="452" spans="1:36" ht="15" customHeight="1">
      <c r="A452" s="44">
        <v>565</v>
      </c>
      <c r="B452" s="37" t="s">
        <v>1271</v>
      </c>
      <c r="C452" s="118">
        <v>45798</v>
      </c>
      <c r="D452" s="46" t="s">
        <v>448</v>
      </c>
      <c r="E452" s="47" t="str">
        <f>+_xlfn.XLOOKUP(PROYECTOS[[#This Row],[MUNICIPIO]],MUNICIPIOS!A:A,MUNICIPIOS!E:E,0,0,1)</f>
        <v>Occidente</v>
      </c>
      <c r="F452" s="44">
        <f>+_xlfn.XLOOKUP(PROYECTOS[[#This Row],[MUNICIPIO]],MUNICIPIOS!A:A,MUNICIPIOS!F:F,0,0,1)</f>
        <v>-75.982929999999996</v>
      </c>
      <c r="G452" s="44" t="str">
        <f>+_xlfn.XLOOKUP(PROYECTOS[[#This Row],[MUNICIPIO]],MUNICIPIOS!A:A,MUNICIPIOS!G:G,0,0,1)</f>
        <v>6,405607</v>
      </c>
      <c r="H452" s="44">
        <f>+_xlfn.XLOOKUP(PROYECTOS[[#This Row],[MUNICIPIO]],MUNICIPIOS!A:A,MUNICIPIOS!B:B,0,0,1)</f>
        <v>0</v>
      </c>
      <c r="I452" s="44">
        <f>+_xlfn.XLOOKUP(PROYECTOS[[#This Row],[MUNICIPIO]],MUNICIPIOS!A:A,MUNICIPIOS!C:C,0,0,1)</f>
        <v>1</v>
      </c>
      <c r="J452" s="34" t="str" cm="1">
        <f t="array" ref="J452">_xlfn.TEXTJOIN(" ", TRUE, IF(radicados[ID PROYECTOS]=A452, radicados[RADICADO], ""))</f>
        <v/>
      </c>
      <c r="K452" s="45">
        <v>1</v>
      </c>
      <c r="L452" s="48">
        <v>41127749</v>
      </c>
      <c r="M452" s="34" t="s">
        <v>761</v>
      </c>
      <c r="N452" s="40" t="s">
        <v>398</v>
      </c>
      <c r="O452" s="40" t="s">
        <v>25</v>
      </c>
      <c r="P452" s="37"/>
      <c r="Q452" s="45"/>
      <c r="R452" s="166"/>
      <c r="S452" s="166"/>
      <c r="T452" s="44">
        <f>+_xlfn.XLOOKUP(PROYECTOS[[#This Row],[MUNICIPIO]],'4.CAP_ENDMNT'!B:B,'4.CAP_ENDMNT'!C:C,0,0,1)</f>
        <v>6</v>
      </c>
      <c r="U452" s="167">
        <f>+_xlfn.XLOOKUP(PROYECTOS[[#This Row],[MUNICIPIO]],'4.CAP_ENDMNT'!B:B,'4.CAP_ENDMNT'!D:D,0,0,1)</f>
        <v>8536446221.1044998</v>
      </c>
      <c r="V452" s="44">
        <f>+_xlfn.XLOOKUP(PROYECTOS[[#This Row],[MUNICIPIO]],'4.CAP_ENDMNT'!B:B,'4.CAP_ENDMNT'!E:E,0,0,1)</f>
        <v>2840287960.8099999</v>
      </c>
      <c r="W452" s="44">
        <f>+_xlfn.XLOOKUP(PROYECTOS[[#This Row],[MUNICIPIO]],'4.CAP_ENDMNT'!B:B,'4.CAP_ENDMNT'!F:F,0,0,1)</f>
        <v>5696158260.2945004</v>
      </c>
      <c r="X452" s="44">
        <f>+_xlfn.XLOOKUP(PROYECTOS[[#This Row],[MUNICIPIO]],'4.CAP_ENDMNT'!B:B,'4.CAP_ENDMNT'!G:G,0,0,1)</f>
        <v>1059912604</v>
      </c>
      <c r="Y452" s="44">
        <f>+_xlfn.XLOOKUP(PROYECTOS[[#This Row],[MUNICIPIO]],'4.CAP_ENDMNT'!B:B,'4.CAP_ENDMNT'!H:H,0,0,1)</f>
        <v>559890374</v>
      </c>
      <c r="Z452" s="44">
        <f>+_xlfn.XLOOKUP(PROYECTOS[[#This Row],[MUNICIPIO]],'4.CAP_ENDMNT'!B:B,'4.CAP_ENDMNT'!I:I,0,0,1)</f>
        <v>1619802978</v>
      </c>
      <c r="AA452" s="134">
        <f>+_xlfn.XLOOKUP(PROYECTOS[[#This Row],[MUNICIPIO]],'4.CAP_ENDMNT'!B:B,'4.CAP_ENDMNT'!J:J,0,0,1)</f>
        <v>0.18975144176453554</v>
      </c>
      <c r="AB452" s="44">
        <f>+_xlfn.XLOOKUP(PROYECTOS[[#This Row],[MUNICIPIO]],'4.CAP_ENDMNT'!B:B,'4.CAP_ENDMNT'!K:K,0,0,1)</f>
        <v>6916643243.1044998</v>
      </c>
      <c r="AC452" s="44">
        <f>+_xlfn.XLOOKUP(PROYECTOS[[#This Row],[MUNICIPIO]],'4.CAP_ENDMNT'!B:B,'4.CAP_ENDMNT'!L:L,0,0,1)</f>
        <v>5533314594.4836006</v>
      </c>
      <c r="AD452" s="44">
        <f>+_xlfn.XLOOKUP(PROYECTOS[[#This Row],[MUNICIPIO]],'4.CAP_ENDMNT'!B:B,'4.CAP_ENDMNT'!M:M,0,0,1)</f>
        <v>4149985945.8626995</v>
      </c>
      <c r="AE452" s="134">
        <f>+_xlfn.XLOOKUP(PROYECTOS[[#This Row],[MUNICIPIO]],'4.CAP_ENDMNT'!B:B,'4.CAP_ENDMNT'!N:N,0,0,1)</f>
        <v>0.65434662017271583</v>
      </c>
      <c r="AF452" s="134">
        <f>+_xlfn.XLOOKUP(PROYECTOS[[#This Row],[MUNICIPIO]],'4.CAP_ENDMNT'!B:B,'4.CAP_ENDMNT'!O:O,0,0,1)</f>
        <v>0.62730744736284794</v>
      </c>
      <c r="AG452" s="134">
        <f>+_xlfn.XLOOKUP(PROYECTOS[[#This Row],[MUNICIPIO]],'4.CAP_ENDMNT'!B:B,'4.CAP_ENDMNT'!P:P,0,0,1)</f>
        <v>0.8</v>
      </c>
      <c r="AH452" s="44" t="str">
        <f>+_xlfn.XLOOKUP(PROYECTOS[[#This Row],[MUNICIPIO]],'4.CAP_ENDMNT'!B:B,'4.CAP_ENDMNT'!Q:Q,0,0,1)</f>
        <v>Cumple</v>
      </c>
      <c r="AI452" s="139">
        <f>+_xlfn.XLOOKUP(PROYECTOS[[#This Row],[MUNICIPIO]],'4.CAP_ENDMNT'!B:B,'4.CAP_ENDMNT'!V:V,0,0,1)</f>
        <v>829997189.17253995</v>
      </c>
      <c r="AJ452" s="139">
        <f>+_xlfn.XLOOKUP(PROYECTOS[[#This Row],[MUNICIPIO]],'4.CAP_ENDMNT'!B:B,'4.CAP_ENDMNT'!Y:Y,0,0,1)</f>
        <v>-7956520095.9647608</v>
      </c>
    </row>
    <row r="453" spans="1:36" ht="15" customHeight="1">
      <c r="A453" s="44">
        <v>566</v>
      </c>
      <c r="B453" s="37" t="s">
        <v>1272</v>
      </c>
      <c r="C453" s="118">
        <v>45798</v>
      </c>
      <c r="D453" s="46" t="s">
        <v>448</v>
      </c>
      <c r="E453" s="47" t="str">
        <f>+_xlfn.XLOOKUP(PROYECTOS[[#This Row],[MUNICIPIO]],MUNICIPIOS!A:A,MUNICIPIOS!E:E,0,0,1)</f>
        <v>Occidente</v>
      </c>
      <c r="F453" s="44">
        <f>+_xlfn.XLOOKUP(PROYECTOS[[#This Row],[MUNICIPIO]],MUNICIPIOS!A:A,MUNICIPIOS!F:F,0,0,1)</f>
        <v>-75.982929999999996</v>
      </c>
      <c r="G453" s="44" t="str">
        <f>+_xlfn.XLOOKUP(PROYECTOS[[#This Row],[MUNICIPIO]],MUNICIPIOS!A:A,MUNICIPIOS!G:G,0,0,1)</f>
        <v>6,405607</v>
      </c>
      <c r="H453" s="44">
        <f>+_xlfn.XLOOKUP(PROYECTOS[[#This Row],[MUNICIPIO]],MUNICIPIOS!A:A,MUNICIPIOS!B:B,0,0,1)</f>
        <v>0</v>
      </c>
      <c r="I453" s="44">
        <f>+_xlfn.XLOOKUP(PROYECTOS[[#This Row],[MUNICIPIO]],MUNICIPIOS!A:A,MUNICIPIOS!C:C,0,0,1)</f>
        <v>1</v>
      </c>
      <c r="J453" s="34" t="str" cm="1">
        <f t="array" ref="J453">_xlfn.TEXTJOIN(" ", TRUE, IF(radicados[ID PROYECTOS]=A453, radicados[RADICADO], ""))</f>
        <v/>
      </c>
      <c r="K453" s="45">
        <v>1</v>
      </c>
      <c r="L453" s="48">
        <v>76772085</v>
      </c>
      <c r="M453" s="34" t="s">
        <v>435</v>
      </c>
      <c r="N453" s="40" t="s">
        <v>398</v>
      </c>
      <c r="O453" s="40" t="s">
        <v>25</v>
      </c>
      <c r="P453" s="37"/>
      <c r="Q453" s="45"/>
      <c r="R453" s="166"/>
      <c r="S453" s="166"/>
      <c r="T453" s="44">
        <f>+_xlfn.XLOOKUP(PROYECTOS[[#This Row],[MUNICIPIO]],'4.CAP_ENDMNT'!B:B,'4.CAP_ENDMNT'!C:C,0,0,1)</f>
        <v>6</v>
      </c>
      <c r="U453" s="167">
        <f>+_xlfn.XLOOKUP(PROYECTOS[[#This Row],[MUNICIPIO]],'4.CAP_ENDMNT'!B:B,'4.CAP_ENDMNT'!D:D,0,0,1)</f>
        <v>8536446221.1044998</v>
      </c>
      <c r="V453" s="44">
        <f>+_xlfn.XLOOKUP(PROYECTOS[[#This Row],[MUNICIPIO]],'4.CAP_ENDMNT'!B:B,'4.CAP_ENDMNT'!E:E,0,0,1)</f>
        <v>2840287960.8099999</v>
      </c>
      <c r="W453" s="44">
        <f>+_xlfn.XLOOKUP(PROYECTOS[[#This Row],[MUNICIPIO]],'4.CAP_ENDMNT'!B:B,'4.CAP_ENDMNT'!F:F,0,0,1)</f>
        <v>5696158260.2945004</v>
      </c>
      <c r="X453" s="44">
        <f>+_xlfn.XLOOKUP(PROYECTOS[[#This Row],[MUNICIPIO]],'4.CAP_ENDMNT'!B:B,'4.CAP_ENDMNT'!G:G,0,0,1)</f>
        <v>1059912604</v>
      </c>
      <c r="Y453" s="44">
        <f>+_xlfn.XLOOKUP(PROYECTOS[[#This Row],[MUNICIPIO]],'4.CAP_ENDMNT'!B:B,'4.CAP_ENDMNT'!H:H,0,0,1)</f>
        <v>559890374</v>
      </c>
      <c r="Z453" s="44">
        <f>+_xlfn.XLOOKUP(PROYECTOS[[#This Row],[MUNICIPIO]],'4.CAP_ENDMNT'!B:B,'4.CAP_ENDMNT'!I:I,0,0,1)</f>
        <v>1619802978</v>
      </c>
      <c r="AA453" s="134">
        <f>+_xlfn.XLOOKUP(PROYECTOS[[#This Row],[MUNICIPIO]],'4.CAP_ENDMNT'!B:B,'4.CAP_ENDMNT'!J:J,0,0,1)</f>
        <v>0.18975144176453554</v>
      </c>
      <c r="AB453" s="44">
        <f>+_xlfn.XLOOKUP(PROYECTOS[[#This Row],[MUNICIPIO]],'4.CAP_ENDMNT'!B:B,'4.CAP_ENDMNT'!K:K,0,0,1)</f>
        <v>6916643243.1044998</v>
      </c>
      <c r="AC453" s="44">
        <f>+_xlfn.XLOOKUP(PROYECTOS[[#This Row],[MUNICIPIO]],'4.CAP_ENDMNT'!B:B,'4.CAP_ENDMNT'!L:L,0,0,1)</f>
        <v>5533314594.4836006</v>
      </c>
      <c r="AD453" s="44">
        <f>+_xlfn.XLOOKUP(PROYECTOS[[#This Row],[MUNICIPIO]],'4.CAP_ENDMNT'!B:B,'4.CAP_ENDMNT'!M:M,0,0,1)</f>
        <v>4149985945.8626995</v>
      </c>
      <c r="AE453" s="134">
        <f>+_xlfn.XLOOKUP(PROYECTOS[[#This Row],[MUNICIPIO]],'4.CAP_ENDMNT'!B:B,'4.CAP_ENDMNT'!N:N,0,0,1)</f>
        <v>0.65434662017271583</v>
      </c>
      <c r="AF453" s="134">
        <f>+_xlfn.XLOOKUP(PROYECTOS[[#This Row],[MUNICIPIO]],'4.CAP_ENDMNT'!B:B,'4.CAP_ENDMNT'!O:O,0,0,1)</f>
        <v>0.62730744736284794</v>
      </c>
      <c r="AG453" s="134">
        <f>+_xlfn.XLOOKUP(PROYECTOS[[#This Row],[MUNICIPIO]],'4.CAP_ENDMNT'!B:B,'4.CAP_ENDMNT'!P:P,0,0,1)</f>
        <v>0.8</v>
      </c>
      <c r="AH453" s="44" t="str">
        <f>+_xlfn.XLOOKUP(PROYECTOS[[#This Row],[MUNICIPIO]],'4.CAP_ENDMNT'!B:B,'4.CAP_ENDMNT'!Q:Q,0,0,1)</f>
        <v>Cumple</v>
      </c>
      <c r="AI453" s="139">
        <f>+_xlfn.XLOOKUP(PROYECTOS[[#This Row],[MUNICIPIO]],'4.CAP_ENDMNT'!B:B,'4.CAP_ENDMNT'!V:V,0,0,1)</f>
        <v>829997189.17253995</v>
      </c>
      <c r="AJ453" s="139">
        <f>+_xlfn.XLOOKUP(PROYECTOS[[#This Row],[MUNICIPIO]],'4.CAP_ENDMNT'!B:B,'4.CAP_ENDMNT'!Y:Y,0,0,1)</f>
        <v>-7956520095.9647608</v>
      </c>
    </row>
    <row r="454" spans="1:36" ht="15" customHeight="1">
      <c r="A454" s="44">
        <v>568</v>
      </c>
      <c r="B454" s="37" t="s">
        <v>1273</v>
      </c>
      <c r="C454" s="118">
        <v>45798</v>
      </c>
      <c r="D454" s="46" t="s">
        <v>362</v>
      </c>
      <c r="E454" s="47" t="str">
        <f>+_xlfn.XLOOKUP(PROYECTOS[[#This Row],[MUNICIPIO]],MUNICIPIOS!A:A,MUNICIPIOS!E:E,0,0,1)</f>
        <v>Occidente</v>
      </c>
      <c r="F454" s="44">
        <f>+_xlfn.XLOOKUP(PROYECTOS[[#This Row],[MUNICIPIO]],MUNICIPIOS!A:A,MUNICIPIOS!F:F,0,0,1)</f>
        <v>-76.261613999999994</v>
      </c>
      <c r="G454" s="44" t="str">
        <f>+_xlfn.XLOOKUP(PROYECTOS[[#This Row],[MUNICIPIO]],MUNICIPIOS!A:A,MUNICIPIOS!G:G,0,0,1)</f>
        <v>6,998112</v>
      </c>
      <c r="H454" s="44">
        <f>+_xlfn.XLOOKUP(PROYECTOS[[#This Row],[MUNICIPIO]],MUNICIPIOS!A:A,MUNICIPIOS!B:B,0,0,1)</f>
        <v>1</v>
      </c>
      <c r="I454" s="44">
        <f>+_xlfn.XLOOKUP(PROYECTOS[[#This Row],[MUNICIPIO]],MUNICIPIOS!A:A,MUNICIPIOS!C:C,0,0,1)</f>
        <v>1</v>
      </c>
      <c r="J454" s="34" t="str" cm="1">
        <f t="array" ref="J454">_xlfn.TEXTJOIN(" ", TRUE, IF(radicados[ID PROYECTOS]=A454, radicados[RADICADO], ""))</f>
        <v/>
      </c>
      <c r="K454" s="45">
        <v>3</v>
      </c>
      <c r="L454" s="48">
        <v>425600000</v>
      </c>
      <c r="M454" s="34" t="s">
        <v>761</v>
      </c>
      <c r="N454" s="40" t="s">
        <v>397</v>
      </c>
      <c r="O454" s="40" t="s">
        <v>56</v>
      </c>
      <c r="P454" s="37" t="s">
        <v>1322</v>
      </c>
      <c r="Q454" s="45">
        <v>1</v>
      </c>
      <c r="R454" s="166" t="s">
        <v>190</v>
      </c>
      <c r="S454" s="166" t="s">
        <v>1322</v>
      </c>
      <c r="T454" s="44">
        <f>+_xlfn.XLOOKUP(PROYECTOS[[#This Row],[MUNICIPIO]],'4.CAP_ENDMNT'!B:B,'4.CAP_ENDMNT'!C:C,0,0,1)</f>
        <v>6</v>
      </c>
      <c r="U454" s="167">
        <f>+_xlfn.XLOOKUP(PROYECTOS[[#This Row],[MUNICIPIO]],'4.CAP_ENDMNT'!B:B,'4.CAP_ENDMNT'!D:D,0,0,1)</f>
        <v>24612921465.534</v>
      </c>
      <c r="V454" s="44">
        <f>+_xlfn.XLOOKUP(PROYECTOS[[#This Row],[MUNICIPIO]],'4.CAP_ENDMNT'!B:B,'4.CAP_ENDMNT'!E:E,0,0,1)</f>
        <v>6692367651.6599998</v>
      </c>
      <c r="W454" s="44">
        <f>+_xlfn.XLOOKUP(PROYECTOS[[#This Row],[MUNICIPIO]],'4.CAP_ENDMNT'!B:B,'4.CAP_ENDMNT'!F:F,0,0,1)</f>
        <v>17920553813.874001</v>
      </c>
      <c r="X454" s="44">
        <f>+_xlfn.XLOOKUP(PROYECTOS[[#This Row],[MUNICIPIO]],'4.CAP_ENDMNT'!B:B,'4.CAP_ENDMNT'!G:G,0,0,1)</f>
        <v>830923107</v>
      </c>
      <c r="Y454" s="44">
        <f>+_xlfn.XLOOKUP(PROYECTOS[[#This Row],[MUNICIPIO]],'4.CAP_ENDMNT'!B:B,'4.CAP_ENDMNT'!H:H,0,0,1)</f>
        <v>8409573820</v>
      </c>
      <c r="Z454" s="44">
        <f>+_xlfn.XLOOKUP(PROYECTOS[[#This Row],[MUNICIPIO]],'4.CAP_ENDMNT'!B:B,'4.CAP_ENDMNT'!I:I,0,0,1)</f>
        <v>9240496927</v>
      </c>
      <c r="AA454" s="134">
        <f>+_xlfn.XLOOKUP(PROYECTOS[[#This Row],[MUNICIPIO]],'4.CAP_ENDMNT'!B:B,'4.CAP_ENDMNT'!J:J,0,0,1)</f>
        <v>0.37543275551176097</v>
      </c>
      <c r="AB454" s="44">
        <f>+_xlfn.XLOOKUP(PROYECTOS[[#This Row],[MUNICIPIO]],'4.CAP_ENDMNT'!B:B,'4.CAP_ENDMNT'!K:K,0,0,1)</f>
        <v>15372424538.534</v>
      </c>
      <c r="AC454" s="44">
        <f>+_xlfn.XLOOKUP(PROYECTOS[[#This Row],[MUNICIPIO]],'4.CAP_ENDMNT'!B:B,'4.CAP_ENDMNT'!L:L,0,0,1)</f>
        <v>12297939630.827202</v>
      </c>
      <c r="AD454" s="44">
        <f>+_xlfn.XLOOKUP(PROYECTOS[[#This Row],[MUNICIPIO]],'4.CAP_ENDMNT'!B:B,'4.CAP_ENDMNT'!M:M,0,0,1)</f>
        <v>9223454723.1203995</v>
      </c>
      <c r="AE454" s="134">
        <f>+_xlfn.XLOOKUP(PROYECTOS[[#This Row],[MUNICIPIO]],'4.CAP_ENDMNT'!B:B,'4.CAP_ENDMNT'!N:N,0,0,1)</f>
        <v>8.9921907183596203E-2</v>
      </c>
      <c r="AF454" s="134">
        <f>+_xlfn.XLOOKUP(PROYECTOS[[#This Row],[MUNICIPIO]],'4.CAP_ENDMNT'!B:B,'4.CAP_ENDMNT'!O:O,0,0,1)</f>
        <v>0.49254696748300181</v>
      </c>
      <c r="AG454" s="134">
        <f>+_xlfn.XLOOKUP(PROYECTOS[[#This Row],[MUNICIPIO]],'4.CAP_ENDMNT'!B:B,'4.CAP_ENDMNT'!P:P,0,0,1)</f>
        <v>0.8</v>
      </c>
      <c r="AH454" s="44" t="str">
        <f>+_xlfn.XLOOKUP(PROYECTOS[[#This Row],[MUNICIPIO]],'4.CAP_ENDMNT'!B:B,'4.CAP_ENDMNT'!Q:Q,0,0,1)</f>
        <v>Cumple</v>
      </c>
      <c r="AI454" s="139">
        <f>+_xlfn.XLOOKUP(PROYECTOS[[#This Row],[MUNICIPIO]],'4.CAP_ENDMNT'!B:B,'4.CAP_ENDMNT'!V:V,0,0,1)</f>
        <v>1844690944.6240799</v>
      </c>
      <c r="AJ454" s="139">
        <f>+_xlfn.XLOOKUP(PROYECTOS[[#This Row],[MUNICIPIO]],'4.CAP_ENDMNT'!B:B,'4.CAP_ENDMNT'!Y:Y,0,0,1)</f>
        <v>10069545667.74448</v>
      </c>
    </row>
    <row r="455" spans="1:36" ht="15" customHeight="1">
      <c r="A455" s="44">
        <v>569</v>
      </c>
      <c r="B455" s="37" t="s">
        <v>1274</v>
      </c>
      <c r="C455" s="118">
        <v>45798</v>
      </c>
      <c r="D455" s="46" t="s">
        <v>332</v>
      </c>
      <c r="E455" s="47" t="str">
        <f>+_xlfn.XLOOKUP(PROYECTOS[[#This Row],[MUNICIPIO]],MUNICIPIOS!A:A,MUNICIPIOS!E:E,0,0,1)</f>
        <v>Oriente</v>
      </c>
      <c r="F455" s="44">
        <f>+_xlfn.XLOOKUP(PROYECTOS[[#This Row],[MUNICIPIO]],MUNICIPIOS!A:A,MUNICIPIOS!F:F,0,0,1)</f>
        <v>-75.242693000000003</v>
      </c>
      <c r="G455" s="44" t="str">
        <f>+_xlfn.XLOOKUP(PROYECTOS[[#This Row],[MUNICIPIO]],MUNICIPIOS!A:A,MUNICIPIOS!G:G,0,0,1)</f>
        <v>6,219349</v>
      </c>
      <c r="H455" s="44">
        <f>+_xlfn.XLOOKUP(PROYECTOS[[#This Row],[MUNICIPIO]],MUNICIPIOS!A:A,MUNICIPIOS!B:B,0,0,1)</f>
        <v>0</v>
      </c>
      <c r="I455" s="44">
        <f>+_xlfn.XLOOKUP(PROYECTOS[[#This Row],[MUNICIPIO]],MUNICIPIOS!A:A,MUNICIPIOS!C:C,0,0,1)</f>
        <v>0</v>
      </c>
      <c r="J455" s="34" t="str" cm="1">
        <f t="array" ref="J455">_xlfn.TEXTJOIN(" ", TRUE, IF(radicados[ID PROYECTOS]=A455, radicados[RADICADO], ""))</f>
        <v/>
      </c>
      <c r="K455" s="45">
        <v>2</v>
      </c>
      <c r="L455" s="48">
        <v>578575600</v>
      </c>
      <c r="M455" s="34" t="s">
        <v>761</v>
      </c>
      <c r="N455" s="40" t="s">
        <v>398</v>
      </c>
      <c r="O455" s="40" t="s">
        <v>25</v>
      </c>
      <c r="P455" s="37" t="s">
        <v>1322</v>
      </c>
      <c r="Q455" s="45">
        <v>1</v>
      </c>
      <c r="R455" s="166" t="s">
        <v>190</v>
      </c>
      <c r="S455" s="166" t="s">
        <v>1322</v>
      </c>
      <c r="T455" s="44">
        <f>+_xlfn.XLOOKUP(PROYECTOS[[#This Row],[MUNICIPIO]],'4.CAP_ENDMNT'!B:B,'4.CAP_ENDMNT'!C:C,0,0,1)</f>
        <v>6</v>
      </c>
      <c r="U455" s="167">
        <f>+_xlfn.XLOOKUP(PROYECTOS[[#This Row],[MUNICIPIO]],'4.CAP_ENDMNT'!B:B,'4.CAP_ENDMNT'!D:D,0,0,1)</f>
        <v>28258567441.100002</v>
      </c>
      <c r="V455" s="44">
        <f>+_xlfn.XLOOKUP(PROYECTOS[[#This Row],[MUNICIPIO]],'4.CAP_ENDMNT'!B:B,'4.CAP_ENDMNT'!E:E,0,0,1)</f>
        <v>6469994311.25</v>
      </c>
      <c r="W455" s="44">
        <f>+_xlfn.XLOOKUP(PROYECTOS[[#This Row],[MUNICIPIO]],'4.CAP_ENDMNT'!B:B,'4.CAP_ENDMNT'!F:F,0,0,1)</f>
        <v>21788573129.850002</v>
      </c>
      <c r="X455" s="44">
        <f>+_xlfn.XLOOKUP(PROYECTOS[[#This Row],[MUNICIPIO]],'4.CAP_ENDMNT'!B:B,'4.CAP_ENDMNT'!G:G,0,0,1)</f>
        <v>1548230438</v>
      </c>
      <c r="Y455" s="44">
        <f>+_xlfn.XLOOKUP(PROYECTOS[[#This Row],[MUNICIPIO]],'4.CAP_ENDMNT'!B:B,'4.CAP_ENDMNT'!H:H,0,0,1)</f>
        <v>3356151670</v>
      </c>
      <c r="Z455" s="44">
        <f>+_xlfn.XLOOKUP(PROYECTOS[[#This Row],[MUNICIPIO]],'4.CAP_ENDMNT'!B:B,'4.CAP_ENDMNT'!I:I,0,0,1)</f>
        <v>4904382108</v>
      </c>
      <c r="AA455" s="134">
        <f>+_xlfn.XLOOKUP(PROYECTOS[[#This Row],[MUNICIPIO]],'4.CAP_ENDMNT'!B:B,'4.CAP_ENDMNT'!J:J,0,0,1)</f>
        <v>0.17355381224551877</v>
      </c>
      <c r="AB455" s="44">
        <f>+_xlfn.XLOOKUP(PROYECTOS[[#This Row],[MUNICIPIO]],'4.CAP_ENDMNT'!B:B,'4.CAP_ENDMNT'!K:K,0,0,1)</f>
        <v>23354185333.100002</v>
      </c>
      <c r="AC455" s="44">
        <f>+_xlfn.XLOOKUP(PROYECTOS[[#This Row],[MUNICIPIO]],'4.CAP_ENDMNT'!B:B,'4.CAP_ENDMNT'!L:L,0,0,1)</f>
        <v>18683348266.480003</v>
      </c>
      <c r="AD455" s="44">
        <f>+_xlfn.XLOOKUP(PROYECTOS[[#This Row],[MUNICIPIO]],'4.CAP_ENDMNT'!B:B,'4.CAP_ENDMNT'!M:M,0,0,1)</f>
        <v>14012511199.860001</v>
      </c>
      <c r="AE455" s="134">
        <f>+_xlfn.XLOOKUP(PROYECTOS[[#This Row],[MUNICIPIO]],'4.CAP_ENDMNT'!B:B,'4.CAP_ENDMNT'!N:N,0,0,1)</f>
        <v>0.31568307768567533</v>
      </c>
      <c r="AF455" s="134">
        <f>+_xlfn.XLOOKUP(PROYECTOS[[#This Row],[MUNICIPIO]],'4.CAP_ENDMNT'!B:B,'4.CAP_ENDMNT'!O:O,0,0,1)</f>
        <v>0.29902452385532635</v>
      </c>
      <c r="AG455" s="134">
        <f>+_xlfn.XLOOKUP(PROYECTOS[[#This Row],[MUNICIPIO]],'4.CAP_ENDMNT'!B:B,'4.CAP_ENDMNT'!P:P,0,0,1)</f>
        <v>0.8</v>
      </c>
      <c r="AH455" s="44" t="str">
        <f>+_xlfn.XLOOKUP(PROYECTOS[[#This Row],[MUNICIPIO]],'4.CAP_ENDMNT'!B:B,'4.CAP_ENDMNT'!Q:Q,0,0,1)</f>
        <v>Cumple</v>
      </c>
      <c r="AI455" s="139">
        <f>+_xlfn.XLOOKUP(PROYECTOS[[#This Row],[MUNICIPIO]],'4.CAP_ENDMNT'!B:B,'4.CAP_ENDMNT'!V:V,0,0,1)</f>
        <v>2802502239.9720001</v>
      </c>
      <c r="AJ455" s="139">
        <f>+_xlfn.XLOOKUP(PROYECTOS[[#This Row],[MUNICIPIO]],'4.CAP_ENDMNT'!B:B,'4.CAP_ENDMNT'!Y:Y,0,0,1)</f>
        <v>6184360283.8320007</v>
      </c>
    </row>
    <row r="456" spans="1:36" ht="15" customHeight="1">
      <c r="A456" s="44">
        <v>570</v>
      </c>
      <c r="B456" s="37" t="s">
        <v>1275</v>
      </c>
      <c r="C456" s="118">
        <v>45798</v>
      </c>
      <c r="D456" s="46" t="s">
        <v>332</v>
      </c>
      <c r="E456" s="47" t="str">
        <f>+_xlfn.XLOOKUP(PROYECTOS[[#This Row],[MUNICIPIO]],MUNICIPIOS!A:A,MUNICIPIOS!E:E,0,0,1)</f>
        <v>Oriente</v>
      </c>
      <c r="F456" s="44">
        <f>+_xlfn.XLOOKUP(PROYECTOS[[#This Row],[MUNICIPIO]],MUNICIPIOS!A:A,MUNICIPIOS!F:F,0,0,1)</f>
        <v>-75.242693000000003</v>
      </c>
      <c r="G456" s="44" t="str">
        <f>+_xlfn.XLOOKUP(PROYECTOS[[#This Row],[MUNICIPIO]],MUNICIPIOS!A:A,MUNICIPIOS!G:G,0,0,1)</f>
        <v>6,219349</v>
      </c>
      <c r="H456" s="44">
        <f>+_xlfn.XLOOKUP(PROYECTOS[[#This Row],[MUNICIPIO]],MUNICIPIOS!A:A,MUNICIPIOS!B:B,0,0,1)</f>
        <v>0</v>
      </c>
      <c r="I456" s="44">
        <f>+_xlfn.XLOOKUP(PROYECTOS[[#This Row],[MUNICIPIO]],MUNICIPIOS!A:A,MUNICIPIOS!C:C,0,0,1)</f>
        <v>0</v>
      </c>
      <c r="J456" s="34" t="str" cm="1">
        <f t="array" ref="J456">_xlfn.TEXTJOIN(" ", TRUE, IF(radicados[ID PROYECTOS]=A456, radicados[RADICADO], ""))</f>
        <v/>
      </c>
      <c r="K456" s="45">
        <v>2</v>
      </c>
      <c r="L456" s="48"/>
      <c r="M456" s="34" t="s">
        <v>761</v>
      </c>
      <c r="N456" s="40" t="s">
        <v>398</v>
      </c>
      <c r="O456" s="40" t="s">
        <v>25</v>
      </c>
      <c r="P456" s="37" t="s">
        <v>1324</v>
      </c>
      <c r="Q456" s="45"/>
      <c r="R456" s="166"/>
      <c r="S456" s="166"/>
      <c r="T456" s="44">
        <f>+_xlfn.XLOOKUP(PROYECTOS[[#This Row],[MUNICIPIO]],'4.CAP_ENDMNT'!B:B,'4.CAP_ENDMNT'!C:C,0,0,1)</f>
        <v>6</v>
      </c>
      <c r="U456" s="167">
        <f>+_xlfn.XLOOKUP(PROYECTOS[[#This Row],[MUNICIPIO]],'4.CAP_ENDMNT'!B:B,'4.CAP_ENDMNT'!D:D,0,0,1)</f>
        <v>28258567441.100002</v>
      </c>
      <c r="V456" s="44">
        <f>+_xlfn.XLOOKUP(PROYECTOS[[#This Row],[MUNICIPIO]],'4.CAP_ENDMNT'!B:B,'4.CAP_ENDMNT'!E:E,0,0,1)</f>
        <v>6469994311.25</v>
      </c>
      <c r="W456" s="44">
        <f>+_xlfn.XLOOKUP(PROYECTOS[[#This Row],[MUNICIPIO]],'4.CAP_ENDMNT'!B:B,'4.CAP_ENDMNT'!F:F,0,0,1)</f>
        <v>21788573129.850002</v>
      </c>
      <c r="X456" s="44">
        <f>+_xlfn.XLOOKUP(PROYECTOS[[#This Row],[MUNICIPIO]],'4.CAP_ENDMNT'!B:B,'4.CAP_ENDMNT'!G:G,0,0,1)</f>
        <v>1548230438</v>
      </c>
      <c r="Y456" s="44">
        <f>+_xlfn.XLOOKUP(PROYECTOS[[#This Row],[MUNICIPIO]],'4.CAP_ENDMNT'!B:B,'4.CAP_ENDMNT'!H:H,0,0,1)</f>
        <v>3356151670</v>
      </c>
      <c r="Z456" s="44">
        <f>+_xlfn.XLOOKUP(PROYECTOS[[#This Row],[MUNICIPIO]],'4.CAP_ENDMNT'!B:B,'4.CAP_ENDMNT'!I:I,0,0,1)</f>
        <v>4904382108</v>
      </c>
      <c r="AA456" s="134">
        <f>+_xlfn.XLOOKUP(PROYECTOS[[#This Row],[MUNICIPIO]],'4.CAP_ENDMNT'!B:B,'4.CAP_ENDMNT'!J:J,0,0,1)</f>
        <v>0.17355381224551877</v>
      </c>
      <c r="AB456" s="44">
        <f>+_xlfn.XLOOKUP(PROYECTOS[[#This Row],[MUNICIPIO]],'4.CAP_ENDMNT'!B:B,'4.CAP_ENDMNT'!K:K,0,0,1)</f>
        <v>23354185333.100002</v>
      </c>
      <c r="AC456" s="44">
        <f>+_xlfn.XLOOKUP(PROYECTOS[[#This Row],[MUNICIPIO]],'4.CAP_ENDMNT'!B:B,'4.CAP_ENDMNT'!L:L,0,0,1)</f>
        <v>18683348266.480003</v>
      </c>
      <c r="AD456" s="44">
        <f>+_xlfn.XLOOKUP(PROYECTOS[[#This Row],[MUNICIPIO]],'4.CAP_ENDMNT'!B:B,'4.CAP_ENDMNT'!M:M,0,0,1)</f>
        <v>14012511199.860001</v>
      </c>
      <c r="AE456" s="134">
        <f>+_xlfn.XLOOKUP(PROYECTOS[[#This Row],[MUNICIPIO]],'4.CAP_ENDMNT'!B:B,'4.CAP_ENDMNT'!N:N,0,0,1)</f>
        <v>0.31568307768567533</v>
      </c>
      <c r="AF456" s="134">
        <f>+_xlfn.XLOOKUP(PROYECTOS[[#This Row],[MUNICIPIO]],'4.CAP_ENDMNT'!B:B,'4.CAP_ENDMNT'!O:O,0,0,1)</f>
        <v>0.29902452385532635</v>
      </c>
      <c r="AG456" s="134">
        <f>+_xlfn.XLOOKUP(PROYECTOS[[#This Row],[MUNICIPIO]],'4.CAP_ENDMNT'!B:B,'4.CAP_ENDMNT'!P:P,0,0,1)</f>
        <v>0.8</v>
      </c>
      <c r="AH456" s="44" t="str">
        <f>+_xlfn.XLOOKUP(PROYECTOS[[#This Row],[MUNICIPIO]],'4.CAP_ENDMNT'!B:B,'4.CAP_ENDMNT'!Q:Q,0,0,1)</f>
        <v>Cumple</v>
      </c>
      <c r="AI456" s="139">
        <f>+_xlfn.XLOOKUP(PROYECTOS[[#This Row],[MUNICIPIO]],'4.CAP_ENDMNT'!B:B,'4.CAP_ENDMNT'!V:V,0,0,1)</f>
        <v>2802502239.9720001</v>
      </c>
      <c r="AJ456" s="139">
        <f>+_xlfn.XLOOKUP(PROYECTOS[[#This Row],[MUNICIPIO]],'4.CAP_ENDMNT'!B:B,'4.CAP_ENDMNT'!Y:Y,0,0,1)</f>
        <v>6184360283.8320007</v>
      </c>
    </row>
    <row r="457" spans="1:36" ht="15" customHeight="1">
      <c r="A457" s="44">
        <v>571</v>
      </c>
      <c r="B457" s="37" t="s">
        <v>1276</v>
      </c>
      <c r="C457" s="118">
        <v>45798</v>
      </c>
      <c r="D457" s="46" t="s">
        <v>332</v>
      </c>
      <c r="E457" s="47" t="str">
        <f>+_xlfn.XLOOKUP(PROYECTOS[[#This Row],[MUNICIPIO]],MUNICIPIOS!A:A,MUNICIPIOS!E:E,0,0,1)</f>
        <v>Oriente</v>
      </c>
      <c r="F457" s="44">
        <f>+_xlfn.XLOOKUP(PROYECTOS[[#This Row],[MUNICIPIO]],MUNICIPIOS!A:A,MUNICIPIOS!F:F,0,0,1)</f>
        <v>-75.242693000000003</v>
      </c>
      <c r="G457" s="44" t="str">
        <f>+_xlfn.XLOOKUP(PROYECTOS[[#This Row],[MUNICIPIO]],MUNICIPIOS!A:A,MUNICIPIOS!G:G,0,0,1)</f>
        <v>6,219349</v>
      </c>
      <c r="H457" s="44">
        <f>+_xlfn.XLOOKUP(PROYECTOS[[#This Row],[MUNICIPIO]],MUNICIPIOS!A:A,MUNICIPIOS!B:B,0,0,1)</f>
        <v>0</v>
      </c>
      <c r="I457" s="44">
        <f>+_xlfn.XLOOKUP(PROYECTOS[[#This Row],[MUNICIPIO]],MUNICIPIOS!A:A,MUNICIPIOS!C:C,0,0,1)</f>
        <v>0</v>
      </c>
      <c r="J457" s="34" t="str" cm="1">
        <f t="array" ref="J457">_xlfn.TEXTJOIN(" ", TRUE, IF(radicados[ID PROYECTOS]=A457, radicados[RADICADO], ""))</f>
        <v/>
      </c>
      <c r="K457" s="45">
        <v>2</v>
      </c>
      <c r="L457" s="48">
        <v>300000000</v>
      </c>
      <c r="M457" s="34" t="s">
        <v>761</v>
      </c>
      <c r="N457" s="40" t="s">
        <v>398</v>
      </c>
      <c r="O457" s="40" t="s">
        <v>25</v>
      </c>
      <c r="P457" s="37" t="s">
        <v>1323</v>
      </c>
      <c r="Q457" s="45"/>
      <c r="R457" s="166"/>
      <c r="S457" s="166"/>
      <c r="T457" s="44">
        <f>+_xlfn.XLOOKUP(PROYECTOS[[#This Row],[MUNICIPIO]],'4.CAP_ENDMNT'!B:B,'4.CAP_ENDMNT'!C:C,0,0,1)</f>
        <v>6</v>
      </c>
      <c r="U457" s="167">
        <f>+_xlfn.XLOOKUP(PROYECTOS[[#This Row],[MUNICIPIO]],'4.CAP_ENDMNT'!B:B,'4.CAP_ENDMNT'!D:D,0,0,1)</f>
        <v>28258567441.100002</v>
      </c>
      <c r="V457" s="44">
        <f>+_xlfn.XLOOKUP(PROYECTOS[[#This Row],[MUNICIPIO]],'4.CAP_ENDMNT'!B:B,'4.CAP_ENDMNT'!E:E,0,0,1)</f>
        <v>6469994311.25</v>
      </c>
      <c r="W457" s="44">
        <f>+_xlfn.XLOOKUP(PROYECTOS[[#This Row],[MUNICIPIO]],'4.CAP_ENDMNT'!B:B,'4.CAP_ENDMNT'!F:F,0,0,1)</f>
        <v>21788573129.850002</v>
      </c>
      <c r="X457" s="44">
        <f>+_xlfn.XLOOKUP(PROYECTOS[[#This Row],[MUNICIPIO]],'4.CAP_ENDMNT'!B:B,'4.CAP_ENDMNT'!G:G,0,0,1)</f>
        <v>1548230438</v>
      </c>
      <c r="Y457" s="44">
        <f>+_xlfn.XLOOKUP(PROYECTOS[[#This Row],[MUNICIPIO]],'4.CAP_ENDMNT'!B:B,'4.CAP_ENDMNT'!H:H,0,0,1)</f>
        <v>3356151670</v>
      </c>
      <c r="Z457" s="44">
        <f>+_xlfn.XLOOKUP(PROYECTOS[[#This Row],[MUNICIPIO]],'4.CAP_ENDMNT'!B:B,'4.CAP_ENDMNT'!I:I,0,0,1)</f>
        <v>4904382108</v>
      </c>
      <c r="AA457" s="134">
        <f>+_xlfn.XLOOKUP(PROYECTOS[[#This Row],[MUNICIPIO]],'4.CAP_ENDMNT'!B:B,'4.CAP_ENDMNT'!J:J,0,0,1)</f>
        <v>0.17355381224551877</v>
      </c>
      <c r="AB457" s="44">
        <f>+_xlfn.XLOOKUP(PROYECTOS[[#This Row],[MUNICIPIO]],'4.CAP_ENDMNT'!B:B,'4.CAP_ENDMNT'!K:K,0,0,1)</f>
        <v>23354185333.100002</v>
      </c>
      <c r="AC457" s="44">
        <f>+_xlfn.XLOOKUP(PROYECTOS[[#This Row],[MUNICIPIO]],'4.CAP_ENDMNT'!B:B,'4.CAP_ENDMNT'!L:L,0,0,1)</f>
        <v>18683348266.480003</v>
      </c>
      <c r="AD457" s="44">
        <f>+_xlfn.XLOOKUP(PROYECTOS[[#This Row],[MUNICIPIO]],'4.CAP_ENDMNT'!B:B,'4.CAP_ENDMNT'!M:M,0,0,1)</f>
        <v>14012511199.860001</v>
      </c>
      <c r="AE457" s="134">
        <f>+_xlfn.XLOOKUP(PROYECTOS[[#This Row],[MUNICIPIO]],'4.CAP_ENDMNT'!B:B,'4.CAP_ENDMNT'!N:N,0,0,1)</f>
        <v>0.31568307768567533</v>
      </c>
      <c r="AF457" s="134">
        <f>+_xlfn.XLOOKUP(PROYECTOS[[#This Row],[MUNICIPIO]],'4.CAP_ENDMNT'!B:B,'4.CAP_ENDMNT'!O:O,0,0,1)</f>
        <v>0.29902452385532635</v>
      </c>
      <c r="AG457" s="134">
        <f>+_xlfn.XLOOKUP(PROYECTOS[[#This Row],[MUNICIPIO]],'4.CAP_ENDMNT'!B:B,'4.CAP_ENDMNT'!P:P,0,0,1)</f>
        <v>0.8</v>
      </c>
      <c r="AH457" s="44" t="str">
        <f>+_xlfn.XLOOKUP(PROYECTOS[[#This Row],[MUNICIPIO]],'4.CAP_ENDMNT'!B:B,'4.CAP_ENDMNT'!Q:Q,0,0,1)</f>
        <v>Cumple</v>
      </c>
      <c r="AI457" s="139">
        <f>+_xlfn.XLOOKUP(PROYECTOS[[#This Row],[MUNICIPIO]],'4.CAP_ENDMNT'!B:B,'4.CAP_ENDMNT'!V:V,0,0,1)</f>
        <v>2802502239.9720001</v>
      </c>
      <c r="AJ457" s="139">
        <f>+_xlfn.XLOOKUP(PROYECTOS[[#This Row],[MUNICIPIO]],'4.CAP_ENDMNT'!B:B,'4.CAP_ENDMNT'!Y:Y,0,0,1)</f>
        <v>6184360283.8320007</v>
      </c>
    </row>
    <row r="458" spans="1:36" ht="15" customHeight="1">
      <c r="A458" s="44">
        <v>572</v>
      </c>
      <c r="B458" s="37" t="s">
        <v>1277</v>
      </c>
      <c r="C458" s="118">
        <v>45798</v>
      </c>
      <c r="D458" s="46" t="s">
        <v>332</v>
      </c>
      <c r="E458" s="47" t="str">
        <f>+_xlfn.XLOOKUP(PROYECTOS[[#This Row],[MUNICIPIO]],MUNICIPIOS!A:A,MUNICIPIOS!E:E,0,0,1)</f>
        <v>Oriente</v>
      </c>
      <c r="F458" s="44">
        <f>+_xlfn.XLOOKUP(PROYECTOS[[#This Row],[MUNICIPIO]],MUNICIPIOS!A:A,MUNICIPIOS!F:F,0,0,1)</f>
        <v>-75.242693000000003</v>
      </c>
      <c r="G458" s="44" t="str">
        <f>+_xlfn.XLOOKUP(PROYECTOS[[#This Row],[MUNICIPIO]],MUNICIPIOS!A:A,MUNICIPIOS!G:G,0,0,1)</f>
        <v>6,219349</v>
      </c>
      <c r="H458" s="44">
        <f>+_xlfn.XLOOKUP(PROYECTOS[[#This Row],[MUNICIPIO]],MUNICIPIOS!A:A,MUNICIPIOS!B:B,0,0,1)</f>
        <v>0</v>
      </c>
      <c r="I458" s="44">
        <f>+_xlfn.XLOOKUP(PROYECTOS[[#This Row],[MUNICIPIO]],MUNICIPIOS!A:A,MUNICIPIOS!C:C,0,0,1)</f>
        <v>0</v>
      </c>
      <c r="J458" s="34" t="str" cm="1">
        <f t="array" ref="J458">_xlfn.TEXTJOIN(" ", TRUE, IF(radicados[ID PROYECTOS]=A458, radicados[RADICADO], ""))</f>
        <v/>
      </c>
      <c r="K458" s="45">
        <v>2</v>
      </c>
      <c r="L458" s="48">
        <v>389964574</v>
      </c>
      <c r="M458" s="34" t="s">
        <v>761</v>
      </c>
      <c r="N458" s="40" t="s">
        <v>398</v>
      </c>
      <c r="O458" s="40" t="s">
        <v>25</v>
      </c>
      <c r="P458" s="37" t="s">
        <v>1324</v>
      </c>
      <c r="Q458" s="45"/>
      <c r="R458" s="166"/>
      <c r="S458" s="166"/>
      <c r="T458" s="44">
        <f>+_xlfn.XLOOKUP(PROYECTOS[[#This Row],[MUNICIPIO]],'4.CAP_ENDMNT'!B:B,'4.CAP_ENDMNT'!C:C,0,0,1)</f>
        <v>6</v>
      </c>
      <c r="U458" s="167">
        <f>+_xlfn.XLOOKUP(PROYECTOS[[#This Row],[MUNICIPIO]],'4.CAP_ENDMNT'!B:B,'4.CAP_ENDMNT'!D:D,0,0,1)</f>
        <v>28258567441.100002</v>
      </c>
      <c r="V458" s="44">
        <f>+_xlfn.XLOOKUP(PROYECTOS[[#This Row],[MUNICIPIO]],'4.CAP_ENDMNT'!B:B,'4.CAP_ENDMNT'!E:E,0,0,1)</f>
        <v>6469994311.25</v>
      </c>
      <c r="W458" s="44">
        <f>+_xlfn.XLOOKUP(PROYECTOS[[#This Row],[MUNICIPIO]],'4.CAP_ENDMNT'!B:B,'4.CAP_ENDMNT'!F:F,0,0,1)</f>
        <v>21788573129.850002</v>
      </c>
      <c r="X458" s="44">
        <f>+_xlfn.XLOOKUP(PROYECTOS[[#This Row],[MUNICIPIO]],'4.CAP_ENDMNT'!B:B,'4.CAP_ENDMNT'!G:G,0,0,1)</f>
        <v>1548230438</v>
      </c>
      <c r="Y458" s="44">
        <f>+_xlfn.XLOOKUP(PROYECTOS[[#This Row],[MUNICIPIO]],'4.CAP_ENDMNT'!B:B,'4.CAP_ENDMNT'!H:H,0,0,1)</f>
        <v>3356151670</v>
      </c>
      <c r="Z458" s="44">
        <f>+_xlfn.XLOOKUP(PROYECTOS[[#This Row],[MUNICIPIO]],'4.CAP_ENDMNT'!B:B,'4.CAP_ENDMNT'!I:I,0,0,1)</f>
        <v>4904382108</v>
      </c>
      <c r="AA458" s="134">
        <f>+_xlfn.XLOOKUP(PROYECTOS[[#This Row],[MUNICIPIO]],'4.CAP_ENDMNT'!B:B,'4.CAP_ENDMNT'!J:J,0,0,1)</f>
        <v>0.17355381224551877</v>
      </c>
      <c r="AB458" s="44">
        <f>+_xlfn.XLOOKUP(PROYECTOS[[#This Row],[MUNICIPIO]],'4.CAP_ENDMNT'!B:B,'4.CAP_ENDMNT'!K:K,0,0,1)</f>
        <v>23354185333.100002</v>
      </c>
      <c r="AC458" s="44">
        <f>+_xlfn.XLOOKUP(PROYECTOS[[#This Row],[MUNICIPIO]],'4.CAP_ENDMNT'!B:B,'4.CAP_ENDMNT'!L:L,0,0,1)</f>
        <v>18683348266.480003</v>
      </c>
      <c r="AD458" s="44">
        <f>+_xlfn.XLOOKUP(PROYECTOS[[#This Row],[MUNICIPIO]],'4.CAP_ENDMNT'!B:B,'4.CAP_ENDMNT'!M:M,0,0,1)</f>
        <v>14012511199.860001</v>
      </c>
      <c r="AE458" s="134">
        <f>+_xlfn.XLOOKUP(PROYECTOS[[#This Row],[MUNICIPIO]],'4.CAP_ENDMNT'!B:B,'4.CAP_ENDMNT'!N:N,0,0,1)</f>
        <v>0.31568307768567533</v>
      </c>
      <c r="AF458" s="134">
        <f>+_xlfn.XLOOKUP(PROYECTOS[[#This Row],[MUNICIPIO]],'4.CAP_ENDMNT'!B:B,'4.CAP_ENDMNT'!O:O,0,0,1)</f>
        <v>0.29902452385532635</v>
      </c>
      <c r="AG458" s="134">
        <f>+_xlfn.XLOOKUP(PROYECTOS[[#This Row],[MUNICIPIO]],'4.CAP_ENDMNT'!B:B,'4.CAP_ENDMNT'!P:P,0,0,1)</f>
        <v>0.8</v>
      </c>
      <c r="AH458" s="44" t="str">
        <f>+_xlfn.XLOOKUP(PROYECTOS[[#This Row],[MUNICIPIO]],'4.CAP_ENDMNT'!B:B,'4.CAP_ENDMNT'!Q:Q,0,0,1)</f>
        <v>Cumple</v>
      </c>
      <c r="AI458" s="139">
        <f>+_xlfn.XLOOKUP(PROYECTOS[[#This Row],[MUNICIPIO]],'4.CAP_ENDMNT'!B:B,'4.CAP_ENDMNT'!V:V,0,0,1)</f>
        <v>2802502239.9720001</v>
      </c>
      <c r="AJ458" s="139">
        <f>+_xlfn.XLOOKUP(PROYECTOS[[#This Row],[MUNICIPIO]],'4.CAP_ENDMNT'!B:B,'4.CAP_ENDMNT'!Y:Y,0,0,1)</f>
        <v>6184360283.8320007</v>
      </c>
    </row>
    <row r="459" spans="1:36" ht="15" customHeight="1">
      <c r="A459" s="44">
        <v>573</v>
      </c>
      <c r="B459" s="37" t="s">
        <v>1278</v>
      </c>
      <c r="C459" s="118">
        <v>45798</v>
      </c>
      <c r="D459" s="46" t="s">
        <v>61</v>
      </c>
      <c r="E459" s="47" t="str">
        <f>+_xlfn.XLOOKUP(PROYECTOS[[#This Row],[MUNICIPIO]],MUNICIPIOS!A:A,MUNICIPIOS!E:E,0,0,1)</f>
        <v>Suroeste</v>
      </c>
      <c r="F459" s="44">
        <f>+_xlfn.XLOOKUP(PROYECTOS[[#This Row],[MUNICIPIO]],MUNICIPIOS!A:A,MUNICIPIOS!F:F,0,0,1)</f>
        <v>-75.675072</v>
      </c>
      <c r="G459" s="44" t="str">
        <f>+_xlfn.XLOOKUP(PROYECTOS[[#This Row],[MUNICIPIO]],MUNICIPIOS!A:A,MUNICIPIOS!G:G,0,0,1)</f>
        <v>5,928039</v>
      </c>
      <c r="H459" s="44">
        <f>+_xlfn.XLOOKUP(PROYECTOS[[#This Row],[MUNICIPIO]],MUNICIPIOS!A:A,MUNICIPIOS!B:B,0,0,1)</f>
        <v>0</v>
      </c>
      <c r="I459" s="44">
        <f>+_xlfn.XLOOKUP(PROYECTOS[[#This Row],[MUNICIPIO]],MUNICIPIOS!A:A,MUNICIPIOS!C:C,0,0,1)</f>
        <v>0</v>
      </c>
      <c r="J459" s="34" t="str" cm="1">
        <f t="array" ref="J459">_xlfn.TEXTJOIN(" ", TRUE, IF(radicados[ID PROYECTOS]=A459, radicados[RADICADO], ""))</f>
        <v/>
      </c>
      <c r="K459" s="45">
        <v>3</v>
      </c>
      <c r="L459" s="48">
        <v>885000000</v>
      </c>
      <c r="M459" s="34" t="s">
        <v>761</v>
      </c>
      <c r="N459" s="40" t="s">
        <v>397</v>
      </c>
      <c r="O459" s="40" t="s">
        <v>56</v>
      </c>
      <c r="P459" s="37" t="s">
        <v>1325</v>
      </c>
      <c r="Q459" s="45">
        <v>1</v>
      </c>
      <c r="R459" s="43" t="s">
        <v>922</v>
      </c>
      <c r="S459" s="43" t="s">
        <v>1643</v>
      </c>
      <c r="T459" s="44">
        <f>+_xlfn.XLOOKUP(PROYECTOS[[#This Row],[MUNICIPIO]],'4.CAP_ENDMNT'!B:B,'4.CAP_ENDMNT'!C:C,0,0,1)</f>
        <v>6</v>
      </c>
      <c r="U459" s="167">
        <f>+_xlfn.XLOOKUP(PROYECTOS[[#This Row],[MUNICIPIO]],'4.CAP_ENDMNT'!B:B,'4.CAP_ENDMNT'!D:D,0,0,1)</f>
        <v>17515986067.273998</v>
      </c>
      <c r="V459" s="44">
        <f>+_xlfn.XLOOKUP(PROYECTOS[[#This Row],[MUNICIPIO]],'4.CAP_ENDMNT'!B:B,'4.CAP_ENDMNT'!E:E,0,0,1)</f>
        <v>8346764868.3600006</v>
      </c>
      <c r="W459" s="44">
        <f>+_xlfn.XLOOKUP(PROYECTOS[[#This Row],[MUNICIPIO]],'4.CAP_ENDMNT'!B:B,'4.CAP_ENDMNT'!F:F,0,0,1)</f>
        <v>9169221198.9139977</v>
      </c>
      <c r="X459" s="44">
        <f>+_xlfn.XLOOKUP(PROYECTOS[[#This Row],[MUNICIPIO]],'4.CAP_ENDMNT'!B:B,'4.CAP_ENDMNT'!G:G,0,0,1)</f>
        <v>0</v>
      </c>
      <c r="Y459" s="44">
        <f>+_xlfn.XLOOKUP(PROYECTOS[[#This Row],[MUNICIPIO]],'4.CAP_ENDMNT'!B:B,'4.CAP_ENDMNT'!H:H,0,0,1)</f>
        <v>6328650461</v>
      </c>
      <c r="Z459" s="44">
        <f>+_xlfn.XLOOKUP(PROYECTOS[[#This Row],[MUNICIPIO]],'4.CAP_ENDMNT'!B:B,'4.CAP_ENDMNT'!I:I,0,0,1)</f>
        <v>6328650461</v>
      </c>
      <c r="AA459" s="134">
        <f>+_xlfn.XLOOKUP(PROYECTOS[[#This Row],[MUNICIPIO]],'4.CAP_ENDMNT'!B:B,'4.CAP_ENDMNT'!J:J,0,0,1)</f>
        <v>0.36130711891945022</v>
      </c>
      <c r="AB459" s="44">
        <f>+_xlfn.XLOOKUP(PROYECTOS[[#This Row],[MUNICIPIO]],'4.CAP_ENDMNT'!B:B,'4.CAP_ENDMNT'!K:K,0,0,1)</f>
        <v>11187335606.273998</v>
      </c>
      <c r="AC459" s="44">
        <f>+_xlfn.XLOOKUP(PROYECTOS[[#This Row],[MUNICIPIO]],'4.CAP_ENDMNT'!B:B,'4.CAP_ENDMNT'!L:L,0,0,1)</f>
        <v>8949868485.0191994</v>
      </c>
      <c r="AD459" s="44">
        <f>+_xlfn.XLOOKUP(PROYECTOS[[#This Row],[MUNICIPIO]],'4.CAP_ENDMNT'!B:B,'4.CAP_ENDMNT'!M:M,0,0,1)</f>
        <v>6712401363.7643986</v>
      </c>
      <c r="AE459" s="134">
        <f>+_xlfn.XLOOKUP(PROYECTOS[[#This Row],[MUNICIPIO]],'4.CAP_ENDMNT'!B:B,'4.CAP_ENDMNT'!N:N,0,0,1)</f>
        <v>0</v>
      </c>
      <c r="AF459" s="134">
        <f>+_xlfn.XLOOKUP(PROYECTOS[[#This Row],[MUNICIPIO]],'4.CAP_ENDMNT'!B:B,'4.CAP_ENDMNT'!O:O,0,0,1)</f>
        <v>0.67376313277740918</v>
      </c>
      <c r="AG459" s="134">
        <f>+_xlfn.XLOOKUP(PROYECTOS[[#This Row],[MUNICIPIO]],'4.CAP_ENDMNT'!B:B,'4.CAP_ENDMNT'!P:P,0,0,1)</f>
        <v>0.8</v>
      </c>
      <c r="AH459" s="44" t="str">
        <f>+_xlfn.XLOOKUP(PROYECTOS[[#This Row],[MUNICIPIO]],'4.CAP_ENDMNT'!B:B,'4.CAP_ENDMNT'!Q:Q,0,0,1)</f>
        <v>Cumple</v>
      </c>
      <c r="AI459" s="139">
        <f>+_xlfn.XLOOKUP(PROYECTOS[[#This Row],[MUNICIPIO]],'4.CAP_ENDMNT'!B:B,'4.CAP_ENDMNT'!V:V,0,0,1)</f>
        <v>1342480272.7528799</v>
      </c>
      <c r="AJ459" s="139">
        <f>+_xlfn.XLOOKUP(PROYECTOS[[#This Row],[MUNICIPIO]],'4.CAP_ENDMNT'!B:B,'4.CAP_ENDMNT'!Y:Y,0,0,1)</f>
        <v>3280962216.5172787</v>
      </c>
    </row>
    <row r="460" spans="1:36" ht="15" customHeight="1">
      <c r="A460" s="44">
        <v>574</v>
      </c>
      <c r="B460" s="37" t="s">
        <v>1498</v>
      </c>
      <c r="C460" s="118">
        <v>45798</v>
      </c>
      <c r="D460" s="46" t="s">
        <v>256</v>
      </c>
      <c r="E460" s="47" t="str">
        <f>+_xlfn.XLOOKUP(PROYECTOS[[#This Row],[MUNICIPIO]],MUNICIPIOS!A:A,MUNICIPIOS!E:E,0,0,1)</f>
        <v>Occidente</v>
      </c>
      <c r="F460" s="44">
        <f>+_xlfn.XLOOKUP(PROYECTOS[[#This Row],[MUNICIPIO]],MUNICIPIOS!A:A,MUNICIPIOS!F:F,0,0,1)</f>
        <v>-76.130764999999997</v>
      </c>
      <c r="G460" s="44" t="str">
        <f>+_xlfn.XLOOKUP(PROYECTOS[[#This Row],[MUNICIPIO]],MUNICIPIOS!A:A,MUNICIPIOS!G:G,0,0,1)</f>
        <v>6,776066</v>
      </c>
      <c r="H460" s="44">
        <f>+_xlfn.XLOOKUP(PROYECTOS[[#This Row],[MUNICIPIO]],MUNICIPIOS!A:A,MUNICIPIOS!B:B,0,0,1)</f>
        <v>0</v>
      </c>
      <c r="I460" s="44">
        <f>+_xlfn.XLOOKUP(PROYECTOS[[#This Row],[MUNICIPIO]],MUNICIPIOS!A:A,MUNICIPIOS!C:C,0,0,1)</f>
        <v>1</v>
      </c>
      <c r="J460" s="34" t="str" cm="1">
        <f t="array" ref="J460">_xlfn.TEXTJOIN(" ", TRUE, IF(radicados[ID PROYECTOS]=A460, radicados[RADICADO], ""))</f>
        <v/>
      </c>
      <c r="K460" s="45">
        <v>1</v>
      </c>
      <c r="L460" s="48"/>
      <c r="M460" s="34" t="s">
        <v>40</v>
      </c>
      <c r="N460" s="40" t="s">
        <v>398</v>
      </c>
      <c r="O460" s="40" t="s">
        <v>25</v>
      </c>
      <c r="P460" s="37" t="s">
        <v>1326</v>
      </c>
      <c r="Q460" s="45"/>
      <c r="R460" s="166"/>
      <c r="S460" s="166"/>
      <c r="T460" s="44">
        <f>+_xlfn.XLOOKUP(PROYECTOS[[#This Row],[MUNICIPIO]],'4.CAP_ENDMNT'!B:B,'4.CAP_ENDMNT'!C:C,0,0,1)</f>
        <v>6</v>
      </c>
      <c r="U460" s="167">
        <f>+_xlfn.XLOOKUP(PROYECTOS[[#This Row],[MUNICIPIO]],'4.CAP_ENDMNT'!B:B,'4.CAP_ENDMNT'!D:D,0,0,1)</f>
        <v>15502017167.017002</v>
      </c>
      <c r="V460" s="44">
        <f>+_xlfn.XLOOKUP(PROYECTOS[[#This Row],[MUNICIPIO]],'4.CAP_ENDMNT'!B:B,'4.CAP_ENDMNT'!E:E,0,0,1)</f>
        <v>4560047682.8000002</v>
      </c>
      <c r="W460" s="44">
        <f>+_xlfn.XLOOKUP(PROYECTOS[[#This Row],[MUNICIPIO]],'4.CAP_ENDMNT'!B:B,'4.CAP_ENDMNT'!F:F,0,0,1)</f>
        <v>10941969484.217003</v>
      </c>
      <c r="X460" s="44">
        <f>+_xlfn.XLOOKUP(PROYECTOS[[#This Row],[MUNICIPIO]],'4.CAP_ENDMNT'!B:B,'4.CAP_ENDMNT'!G:G,0,0,1)</f>
        <v>1591148139</v>
      </c>
      <c r="Y460" s="44">
        <f>+_xlfn.XLOOKUP(PROYECTOS[[#This Row],[MUNICIPIO]],'4.CAP_ENDMNT'!B:B,'4.CAP_ENDMNT'!H:H,0,0,1)</f>
        <v>1671853559</v>
      </c>
      <c r="Z460" s="44">
        <f>+_xlfn.XLOOKUP(PROYECTOS[[#This Row],[MUNICIPIO]],'4.CAP_ENDMNT'!B:B,'4.CAP_ENDMNT'!I:I,0,0,1)</f>
        <v>3263001698</v>
      </c>
      <c r="AA460" s="134">
        <f>+_xlfn.XLOOKUP(PROYECTOS[[#This Row],[MUNICIPIO]],'4.CAP_ENDMNT'!B:B,'4.CAP_ENDMNT'!J:J,0,0,1)</f>
        <v>0.2104888456027873</v>
      </c>
      <c r="AB460" s="44">
        <f>+_xlfn.XLOOKUP(PROYECTOS[[#This Row],[MUNICIPIO]],'4.CAP_ENDMNT'!B:B,'4.CAP_ENDMNT'!K:K,0,0,1)</f>
        <v>12239015469.017002</v>
      </c>
      <c r="AC460" s="44">
        <f>+_xlfn.XLOOKUP(PROYECTOS[[#This Row],[MUNICIPIO]],'4.CAP_ENDMNT'!B:B,'4.CAP_ENDMNT'!L:L,0,0,1)</f>
        <v>9791212375.2136021</v>
      </c>
      <c r="AD460" s="44">
        <f>+_xlfn.XLOOKUP(PROYECTOS[[#This Row],[MUNICIPIO]],'4.CAP_ENDMNT'!B:B,'4.CAP_ENDMNT'!M:M,0,0,1)</f>
        <v>7343409281.4102011</v>
      </c>
      <c r="AE460" s="134">
        <f>+_xlfn.XLOOKUP(PROYECTOS[[#This Row],[MUNICIPIO]],'4.CAP_ENDMNT'!B:B,'4.CAP_ENDMNT'!N:N,0,0,1)</f>
        <v>0.4876332549796914</v>
      </c>
      <c r="AF460" s="134">
        <f>+_xlfn.XLOOKUP(PROYECTOS[[#This Row],[MUNICIPIO]],'4.CAP_ENDMNT'!B:B,'4.CAP_ENDMNT'!O:O,0,0,1)</f>
        <v>0.42560105953702715</v>
      </c>
      <c r="AG460" s="134">
        <f>+_xlfn.XLOOKUP(PROYECTOS[[#This Row],[MUNICIPIO]],'4.CAP_ENDMNT'!B:B,'4.CAP_ENDMNT'!P:P,0,0,1)</f>
        <v>0.8</v>
      </c>
      <c r="AH460" s="44" t="str">
        <f>+_xlfn.XLOOKUP(PROYECTOS[[#This Row],[MUNICIPIO]],'4.CAP_ENDMNT'!B:B,'4.CAP_ENDMNT'!Q:Q,0,0,1)</f>
        <v>Cumple</v>
      </c>
      <c r="AI460" s="139">
        <f>+_xlfn.XLOOKUP(PROYECTOS[[#This Row],[MUNICIPIO]],'4.CAP_ENDMNT'!B:B,'4.CAP_ENDMNT'!V:V,0,0,1)</f>
        <v>1468681856.2820404</v>
      </c>
      <c r="AJ460" s="139">
        <f>+_xlfn.XLOOKUP(PROYECTOS[[#This Row],[MUNICIPIO]],'4.CAP_ENDMNT'!B:B,'4.CAP_ENDMNT'!Y:Y,0,0,1)</f>
        <v>-10121554576.307758</v>
      </c>
    </row>
    <row r="461" spans="1:36" ht="15" customHeight="1">
      <c r="A461" s="44">
        <v>575</v>
      </c>
      <c r="B461" s="37" t="s">
        <v>1499</v>
      </c>
      <c r="C461" s="118">
        <v>45798</v>
      </c>
      <c r="D461" s="46" t="s">
        <v>256</v>
      </c>
      <c r="E461" s="47" t="str">
        <f>+_xlfn.XLOOKUP(PROYECTOS[[#This Row],[MUNICIPIO]],MUNICIPIOS!A:A,MUNICIPIOS!E:E,0,0,1)</f>
        <v>Occidente</v>
      </c>
      <c r="F461" s="44">
        <f>+_xlfn.XLOOKUP(PROYECTOS[[#This Row],[MUNICIPIO]],MUNICIPIOS!A:A,MUNICIPIOS!F:F,0,0,1)</f>
        <v>-76.130764999999997</v>
      </c>
      <c r="G461" s="44" t="str">
        <f>+_xlfn.XLOOKUP(PROYECTOS[[#This Row],[MUNICIPIO]],MUNICIPIOS!A:A,MUNICIPIOS!G:G,0,0,1)</f>
        <v>6,776066</v>
      </c>
      <c r="H461" s="44">
        <f>+_xlfn.XLOOKUP(PROYECTOS[[#This Row],[MUNICIPIO]],MUNICIPIOS!A:A,MUNICIPIOS!B:B,0,0,1)</f>
        <v>0</v>
      </c>
      <c r="I461" s="44">
        <f>+_xlfn.XLOOKUP(PROYECTOS[[#This Row],[MUNICIPIO]],MUNICIPIOS!A:A,MUNICIPIOS!C:C,0,0,1)</f>
        <v>1</v>
      </c>
      <c r="J461" s="34" t="str" cm="1">
        <f t="array" ref="J461">_xlfn.TEXTJOIN(" ", TRUE, IF(radicados[ID PROYECTOS]=A461, radicados[RADICADO], ""))</f>
        <v/>
      </c>
      <c r="K461" s="45">
        <v>1</v>
      </c>
      <c r="L461" s="48"/>
      <c r="M461" s="34" t="s">
        <v>40</v>
      </c>
      <c r="N461" s="40" t="s">
        <v>398</v>
      </c>
      <c r="O461" s="40" t="s">
        <v>25</v>
      </c>
      <c r="P461" s="37" t="s">
        <v>1326</v>
      </c>
      <c r="Q461" s="45"/>
      <c r="R461" s="166"/>
      <c r="S461" s="166"/>
      <c r="T461" s="44">
        <f>+_xlfn.XLOOKUP(PROYECTOS[[#This Row],[MUNICIPIO]],'4.CAP_ENDMNT'!B:B,'4.CAP_ENDMNT'!C:C,0,0,1)</f>
        <v>6</v>
      </c>
      <c r="U461" s="167">
        <f>+_xlfn.XLOOKUP(PROYECTOS[[#This Row],[MUNICIPIO]],'4.CAP_ENDMNT'!B:B,'4.CAP_ENDMNT'!D:D,0,0,1)</f>
        <v>15502017167.017002</v>
      </c>
      <c r="V461" s="44">
        <f>+_xlfn.XLOOKUP(PROYECTOS[[#This Row],[MUNICIPIO]],'4.CAP_ENDMNT'!B:B,'4.CAP_ENDMNT'!E:E,0,0,1)</f>
        <v>4560047682.8000002</v>
      </c>
      <c r="W461" s="44">
        <f>+_xlfn.XLOOKUP(PROYECTOS[[#This Row],[MUNICIPIO]],'4.CAP_ENDMNT'!B:B,'4.CAP_ENDMNT'!F:F,0,0,1)</f>
        <v>10941969484.217003</v>
      </c>
      <c r="X461" s="44">
        <f>+_xlfn.XLOOKUP(PROYECTOS[[#This Row],[MUNICIPIO]],'4.CAP_ENDMNT'!B:B,'4.CAP_ENDMNT'!G:G,0,0,1)</f>
        <v>1591148139</v>
      </c>
      <c r="Y461" s="44">
        <f>+_xlfn.XLOOKUP(PROYECTOS[[#This Row],[MUNICIPIO]],'4.CAP_ENDMNT'!B:B,'4.CAP_ENDMNT'!H:H,0,0,1)</f>
        <v>1671853559</v>
      </c>
      <c r="Z461" s="44">
        <f>+_xlfn.XLOOKUP(PROYECTOS[[#This Row],[MUNICIPIO]],'4.CAP_ENDMNT'!B:B,'4.CAP_ENDMNT'!I:I,0,0,1)</f>
        <v>3263001698</v>
      </c>
      <c r="AA461" s="134">
        <f>+_xlfn.XLOOKUP(PROYECTOS[[#This Row],[MUNICIPIO]],'4.CAP_ENDMNT'!B:B,'4.CAP_ENDMNT'!J:J,0,0,1)</f>
        <v>0.2104888456027873</v>
      </c>
      <c r="AB461" s="44">
        <f>+_xlfn.XLOOKUP(PROYECTOS[[#This Row],[MUNICIPIO]],'4.CAP_ENDMNT'!B:B,'4.CAP_ENDMNT'!K:K,0,0,1)</f>
        <v>12239015469.017002</v>
      </c>
      <c r="AC461" s="44">
        <f>+_xlfn.XLOOKUP(PROYECTOS[[#This Row],[MUNICIPIO]],'4.CAP_ENDMNT'!B:B,'4.CAP_ENDMNT'!L:L,0,0,1)</f>
        <v>9791212375.2136021</v>
      </c>
      <c r="AD461" s="44">
        <f>+_xlfn.XLOOKUP(PROYECTOS[[#This Row],[MUNICIPIO]],'4.CAP_ENDMNT'!B:B,'4.CAP_ENDMNT'!M:M,0,0,1)</f>
        <v>7343409281.4102011</v>
      </c>
      <c r="AE461" s="134">
        <f>+_xlfn.XLOOKUP(PROYECTOS[[#This Row],[MUNICIPIO]],'4.CAP_ENDMNT'!B:B,'4.CAP_ENDMNT'!N:N,0,0,1)</f>
        <v>0.4876332549796914</v>
      </c>
      <c r="AF461" s="134">
        <f>+_xlfn.XLOOKUP(PROYECTOS[[#This Row],[MUNICIPIO]],'4.CAP_ENDMNT'!B:B,'4.CAP_ENDMNT'!O:O,0,0,1)</f>
        <v>0.42560105953702715</v>
      </c>
      <c r="AG461" s="134">
        <f>+_xlfn.XLOOKUP(PROYECTOS[[#This Row],[MUNICIPIO]],'4.CAP_ENDMNT'!B:B,'4.CAP_ENDMNT'!P:P,0,0,1)</f>
        <v>0.8</v>
      </c>
      <c r="AH461" s="44" t="str">
        <f>+_xlfn.XLOOKUP(PROYECTOS[[#This Row],[MUNICIPIO]],'4.CAP_ENDMNT'!B:B,'4.CAP_ENDMNT'!Q:Q,0,0,1)</f>
        <v>Cumple</v>
      </c>
      <c r="AI461" s="139">
        <f>+_xlfn.XLOOKUP(PROYECTOS[[#This Row],[MUNICIPIO]],'4.CAP_ENDMNT'!B:B,'4.CAP_ENDMNT'!V:V,0,0,1)</f>
        <v>1468681856.2820404</v>
      </c>
      <c r="AJ461" s="139">
        <f>+_xlfn.XLOOKUP(PROYECTOS[[#This Row],[MUNICIPIO]],'4.CAP_ENDMNT'!B:B,'4.CAP_ENDMNT'!Y:Y,0,0,1)</f>
        <v>-10121554576.307758</v>
      </c>
    </row>
    <row r="462" spans="1:36" ht="15" customHeight="1">
      <c r="A462" s="44">
        <v>576</v>
      </c>
      <c r="B462" s="37" t="s">
        <v>1500</v>
      </c>
      <c r="C462" s="118">
        <v>45798</v>
      </c>
      <c r="D462" s="46" t="s">
        <v>256</v>
      </c>
      <c r="E462" s="47" t="str">
        <f>+_xlfn.XLOOKUP(PROYECTOS[[#This Row],[MUNICIPIO]],MUNICIPIOS!A:A,MUNICIPIOS!E:E,0,0,1)</f>
        <v>Occidente</v>
      </c>
      <c r="F462" s="44">
        <f>+_xlfn.XLOOKUP(PROYECTOS[[#This Row],[MUNICIPIO]],MUNICIPIOS!A:A,MUNICIPIOS!F:F,0,0,1)</f>
        <v>-76.130764999999997</v>
      </c>
      <c r="G462" s="44" t="str">
        <f>+_xlfn.XLOOKUP(PROYECTOS[[#This Row],[MUNICIPIO]],MUNICIPIOS!A:A,MUNICIPIOS!G:G,0,0,1)</f>
        <v>6,776066</v>
      </c>
      <c r="H462" s="44">
        <f>+_xlfn.XLOOKUP(PROYECTOS[[#This Row],[MUNICIPIO]],MUNICIPIOS!A:A,MUNICIPIOS!B:B,0,0,1)</f>
        <v>0</v>
      </c>
      <c r="I462" s="44">
        <f>+_xlfn.XLOOKUP(PROYECTOS[[#This Row],[MUNICIPIO]],MUNICIPIOS!A:A,MUNICIPIOS!C:C,0,0,1)</f>
        <v>1</v>
      </c>
      <c r="J462" s="34" t="str" cm="1">
        <f t="array" ref="J462">_xlfn.TEXTJOIN(" ", TRUE, IF(radicados[ID PROYECTOS]=A462, radicados[RADICADO], ""))</f>
        <v/>
      </c>
      <c r="K462" s="45">
        <v>1</v>
      </c>
      <c r="L462" s="48"/>
      <c r="M462" s="34" t="s">
        <v>40</v>
      </c>
      <c r="N462" s="40" t="s">
        <v>398</v>
      </c>
      <c r="O462" s="40" t="s">
        <v>25</v>
      </c>
      <c r="P462" s="37" t="s">
        <v>1326</v>
      </c>
      <c r="Q462" s="45"/>
      <c r="R462" s="166"/>
      <c r="S462" s="166"/>
      <c r="T462" s="44">
        <f>+_xlfn.XLOOKUP(PROYECTOS[[#This Row],[MUNICIPIO]],'4.CAP_ENDMNT'!B:B,'4.CAP_ENDMNT'!C:C,0,0,1)</f>
        <v>6</v>
      </c>
      <c r="U462" s="167">
        <f>+_xlfn.XLOOKUP(PROYECTOS[[#This Row],[MUNICIPIO]],'4.CAP_ENDMNT'!B:B,'4.CAP_ENDMNT'!D:D,0,0,1)</f>
        <v>15502017167.017002</v>
      </c>
      <c r="V462" s="44">
        <f>+_xlfn.XLOOKUP(PROYECTOS[[#This Row],[MUNICIPIO]],'4.CAP_ENDMNT'!B:B,'4.CAP_ENDMNT'!E:E,0,0,1)</f>
        <v>4560047682.8000002</v>
      </c>
      <c r="W462" s="44">
        <f>+_xlfn.XLOOKUP(PROYECTOS[[#This Row],[MUNICIPIO]],'4.CAP_ENDMNT'!B:B,'4.CAP_ENDMNT'!F:F,0,0,1)</f>
        <v>10941969484.217003</v>
      </c>
      <c r="X462" s="44">
        <f>+_xlfn.XLOOKUP(PROYECTOS[[#This Row],[MUNICIPIO]],'4.CAP_ENDMNT'!B:B,'4.CAP_ENDMNT'!G:G,0,0,1)</f>
        <v>1591148139</v>
      </c>
      <c r="Y462" s="44">
        <f>+_xlfn.XLOOKUP(PROYECTOS[[#This Row],[MUNICIPIO]],'4.CAP_ENDMNT'!B:B,'4.CAP_ENDMNT'!H:H,0,0,1)</f>
        <v>1671853559</v>
      </c>
      <c r="Z462" s="44">
        <f>+_xlfn.XLOOKUP(PROYECTOS[[#This Row],[MUNICIPIO]],'4.CAP_ENDMNT'!B:B,'4.CAP_ENDMNT'!I:I,0,0,1)</f>
        <v>3263001698</v>
      </c>
      <c r="AA462" s="134">
        <f>+_xlfn.XLOOKUP(PROYECTOS[[#This Row],[MUNICIPIO]],'4.CAP_ENDMNT'!B:B,'4.CAP_ENDMNT'!J:J,0,0,1)</f>
        <v>0.2104888456027873</v>
      </c>
      <c r="AB462" s="44">
        <f>+_xlfn.XLOOKUP(PROYECTOS[[#This Row],[MUNICIPIO]],'4.CAP_ENDMNT'!B:B,'4.CAP_ENDMNT'!K:K,0,0,1)</f>
        <v>12239015469.017002</v>
      </c>
      <c r="AC462" s="44">
        <f>+_xlfn.XLOOKUP(PROYECTOS[[#This Row],[MUNICIPIO]],'4.CAP_ENDMNT'!B:B,'4.CAP_ENDMNT'!L:L,0,0,1)</f>
        <v>9791212375.2136021</v>
      </c>
      <c r="AD462" s="44">
        <f>+_xlfn.XLOOKUP(PROYECTOS[[#This Row],[MUNICIPIO]],'4.CAP_ENDMNT'!B:B,'4.CAP_ENDMNT'!M:M,0,0,1)</f>
        <v>7343409281.4102011</v>
      </c>
      <c r="AE462" s="134">
        <f>+_xlfn.XLOOKUP(PROYECTOS[[#This Row],[MUNICIPIO]],'4.CAP_ENDMNT'!B:B,'4.CAP_ENDMNT'!N:N,0,0,1)</f>
        <v>0.4876332549796914</v>
      </c>
      <c r="AF462" s="134">
        <f>+_xlfn.XLOOKUP(PROYECTOS[[#This Row],[MUNICIPIO]],'4.CAP_ENDMNT'!B:B,'4.CAP_ENDMNT'!O:O,0,0,1)</f>
        <v>0.42560105953702715</v>
      </c>
      <c r="AG462" s="134">
        <f>+_xlfn.XLOOKUP(PROYECTOS[[#This Row],[MUNICIPIO]],'4.CAP_ENDMNT'!B:B,'4.CAP_ENDMNT'!P:P,0,0,1)</f>
        <v>0.8</v>
      </c>
      <c r="AH462" s="44" t="str">
        <f>+_xlfn.XLOOKUP(PROYECTOS[[#This Row],[MUNICIPIO]],'4.CAP_ENDMNT'!B:B,'4.CAP_ENDMNT'!Q:Q,0,0,1)</f>
        <v>Cumple</v>
      </c>
      <c r="AI462" s="139">
        <f>+_xlfn.XLOOKUP(PROYECTOS[[#This Row],[MUNICIPIO]],'4.CAP_ENDMNT'!B:B,'4.CAP_ENDMNT'!V:V,0,0,1)</f>
        <v>1468681856.2820404</v>
      </c>
      <c r="AJ462" s="139">
        <f>+_xlfn.XLOOKUP(PROYECTOS[[#This Row],[MUNICIPIO]],'4.CAP_ENDMNT'!B:B,'4.CAP_ENDMNT'!Y:Y,0,0,1)</f>
        <v>-10121554576.307758</v>
      </c>
    </row>
    <row r="463" spans="1:36" ht="15" customHeight="1">
      <c r="A463" s="44">
        <v>577</v>
      </c>
      <c r="B463" s="37" t="s">
        <v>1501</v>
      </c>
      <c r="C463" s="118">
        <v>45798</v>
      </c>
      <c r="D463" s="46" t="s">
        <v>256</v>
      </c>
      <c r="E463" s="47" t="str">
        <f>+_xlfn.XLOOKUP(PROYECTOS[[#This Row],[MUNICIPIO]],MUNICIPIOS!A:A,MUNICIPIOS!E:E,0,0,1)</f>
        <v>Occidente</v>
      </c>
      <c r="F463" s="44">
        <f>+_xlfn.XLOOKUP(PROYECTOS[[#This Row],[MUNICIPIO]],MUNICIPIOS!A:A,MUNICIPIOS!F:F,0,0,1)</f>
        <v>-76.130764999999997</v>
      </c>
      <c r="G463" s="44" t="str">
        <f>+_xlfn.XLOOKUP(PROYECTOS[[#This Row],[MUNICIPIO]],MUNICIPIOS!A:A,MUNICIPIOS!G:G,0,0,1)</f>
        <v>6,776066</v>
      </c>
      <c r="H463" s="44">
        <f>+_xlfn.XLOOKUP(PROYECTOS[[#This Row],[MUNICIPIO]],MUNICIPIOS!A:A,MUNICIPIOS!B:B,0,0,1)</f>
        <v>0</v>
      </c>
      <c r="I463" s="44">
        <f>+_xlfn.XLOOKUP(PROYECTOS[[#This Row],[MUNICIPIO]],MUNICIPIOS!A:A,MUNICIPIOS!C:C,0,0,1)</f>
        <v>1</v>
      </c>
      <c r="J463" s="34" t="str" cm="1">
        <f t="array" ref="J463">_xlfn.TEXTJOIN(" ", TRUE, IF(radicados[ID PROYECTOS]=A463, radicados[RADICADO], ""))</f>
        <v/>
      </c>
      <c r="K463" s="45">
        <v>1</v>
      </c>
      <c r="L463" s="48"/>
      <c r="M463" s="34" t="s">
        <v>40</v>
      </c>
      <c r="N463" s="40" t="s">
        <v>398</v>
      </c>
      <c r="O463" s="40" t="s">
        <v>25</v>
      </c>
      <c r="P463" s="37" t="s">
        <v>1326</v>
      </c>
      <c r="Q463" s="45"/>
      <c r="R463" s="166"/>
      <c r="S463" s="166"/>
      <c r="T463" s="44">
        <f>+_xlfn.XLOOKUP(PROYECTOS[[#This Row],[MUNICIPIO]],'4.CAP_ENDMNT'!B:B,'4.CAP_ENDMNT'!C:C,0,0,1)</f>
        <v>6</v>
      </c>
      <c r="U463" s="167">
        <f>+_xlfn.XLOOKUP(PROYECTOS[[#This Row],[MUNICIPIO]],'4.CAP_ENDMNT'!B:B,'4.CAP_ENDMNT'!D:D,0,0,1)</f>
        <v>15502017167.017002</v>
      </c>
      <c r="V463" s="44">
        <f>+_xlfn.XLOOKUP(PROYECTOS[[#This Row],[MUNICIPIO]],'4.CAP_ENDMNT'!B:B,'4.CAP_ENDMNT'!E:E,0,0,1)</f>
        <v>4560047682.8000002</v>
      </c>
      <c r="W463" s="44">
        <f>+_xlfn.XLOOKUP(PROYECTOS[[#This Row],[MUNICIPIO]],'4.CAP_ENDMNT'!B:B,'4.CAP_ENDMNT'!F:F,0,0,1)</f>
        <v>10941969484.217003</v>
      </c>
      <c r="X463" s="44">
        <f>+_xlfn.XLOOKUP(PROYECTOS[[#This Row],[MUNICIPIO]],'4.CAP_ENDMNT'!B:B,'4.CAP_ENDMNT'!G:G,0,0,1)</f>
        <v>1591148139</v>
      </c>
      <c r="Y463" s="44">
        <f>+_xlfn.XLOOKUP(PROYECTOS[[#This Row],[MUNICIPIO]],'4.CAP_ENDMNT'!B:B,'4.CAP_ENDMNT'!H:H,0,0,1)</f>
        <v>1671853559</v>
      </c>
      <c r="Z463" s="44">
        <f>+_xlfn.XLOOKUP(PROYECTOS[[#This Row],[MUNICIPIO]],'4.CAP_ENDMNT'!B:B,'4.CAP_ENDMNT'!I:I,0,0,1)</f>
        <v>3263001698</v>
      </c>
      <c r="AA463" s="134">
        <f>+_xlfn.XLOOKUP(PROYECTOS[[#This Row],[MUNICIPIO]],'4.CAP_ENDMNT'!B:B,'4.CAP_ENDMNT'!J:J,0,0,1)</f>
        <v>0.2104888456027873</v>
      </c>
      <c r="AB463" s="44">
        <f>+_xlfn.XLOOKUP(PROYECTOS[[#This Row],[MUNICIPIO]],'4.CAP_ENDMNT'!B:B,'4.CAP_ENDMNT'!K:K,0,0,1)</f>
        <v>12239015469.017002</v>
      </c>
      <c r="AC463" s="44">
        <f>+_xlfn.XLOOKUP(PROYECTOS[[#This Row],[MUNICIPIO]],'4.CAP_ENDMNT'!B:B,'4.CAP_ENDMNT'!L:L,0,0,1)</f>
        <v>9791212375.2136021</v>
      </c>
      <c r="AD463" s="44">
        <f>+_xlfn.XLOOKUP(PROYECTOS[[#This Row],[MUNICIPIO]],'4.CAP_ENDMNT'!B:B,'4.CAP_ENDMNT'!M:M,0,0,1)</f>
        <v>7343409281.4102011</v>
      </c>
      <c r="AE463" s="134">
        <f>+_xlfn.XLOOKUP(PROYECTOS[[#This Row],[MUNICIPIO]],'4.CAP_ENDMNT'!B:B,'4.CAP_ENDMNT'!N:N,0,0,1)</f>
        <v>0.4876332549796914</v>
      </c>
      <c r="AF463" s="134">
        <f>+_xlfn.XLOOKUP(PROYECTOS[[#This Row],[MUNICIPIO]],'4.CAP_ENDMNT'!B:B,'4.CAP_ENDMNT'!O:O,0,0,1)</f>
        <v>0.42560105953702715</v>
      </c>
      <c r="AG463" s="134">
        <f>+_xlfn.XLOOKUP(PROYECTOS[[#This Row],[MUNICIPIO]],'4.CAP_ENDMNT'!B:B,'4.CAP_ENDMNT'!P:P,0,0,1)</f>
        <v>0.8</v>
      </c>
      <c r="AH463" s="44" t="str">
        <f>+_xlfn.XLOOKUP(PROYECTOS[[#This Row],[MUNICIPIO]],'4.CAP_ENDMNT'!B:B,'4.CAP_ENDMNT'!Q:Q,0,0,1)</f>
        <v>Cumple</v>
      </c>
      <c r="AI463" s="139">
        <f>+_xlfn.XLOOKUP(PROYECTOS[[#This Row],[MUNICIPIO]],'4.CAP_ENDMNT'!B:B,'4.CAP_ENDMNT'!V:V,0,0,1)</f>
        <v>1468681856.2820404</v>
      </c>
      <c r="AJ463" s="139">
        <f>+_xlfn.XLOOKUP(PROYECTOS[[#This Row],[MUNICIPIO]],'4.CAP_ENDMNT'!B:B,'4.CAP_ENDMNT'!Y:Y,0,0,1)</f>
        <v>-10121554576.307758</v>
      </c>
    </row>
    <row r="464" spans="1:36" ht="15" customHeight="1">
      <c r="A464" s="44">
        <v>578</v>
      </c>
      <c r="B464" s="37" t="s">
        <v>1502</v>
      </c>
      <c r="C464" s="118">
        <v>45798</v>
      </c>
      <c r="D464" s="46" t="s">
        <v>256</v>
      </c>
      <c r="E464" s="47" t="str">
        <f>+_xlfn.XLOOKUP(PROYECTOS[[#This Row],[MUNICIPIO]],MUNICIPIOS!A:A,MUNICIPIOS!E:E,0,0,1)</f>
        <v>Occidente</v>
      </c>
      <c r="F464" s="44">
        <f>+_xlfn.XLOOKUP(PROYECTOS[[#This Row],[MUNICIPIO]],MUNICIPIOS!A:A,MUNICIPIOS!F:F,0,0,1)</f>
        <v>-76.130764999999997</v>
      </c>
      <c r="G464" s="44" t="str">
        <f>+_xlfn.XLOOKUP(PROYECTOS[[#This Row],[MUNICIPIO]],MUNICIPIOS!A:A,MUNICIPIOS!G:G,0,0,1)</f>
        <v>6,776066</v>
      </c>
      <c r="H464" s="44">
        <f>+_xlfn.XLOOKUP(PROYECTOS[[#This Row],[MUNICIPIO]],MUNICIPIOS!A:A,MUNICIPIOS!B:B,0,0,1)</f>
        <v>0</v>
      </c>
      <c r="I464" s="44">
        <f>+_xlfn.XLOOKUP(PROYECTOS[[#This Row],[MUNICIPIO]],MUNICIPIOS!A:A,MUNICIPIOS!C:C,0,0,1)</f>
        <v>1</v>
      </c>
      <c r="J464" s="34" t="str" cm="1">
        <f t="array" ref="J464">_xlfn.TEXTJOIN(" ", TRUE, IF(radicados[ID PROYECTOS]=A464, radicados[RADICADO], ""))</f>
        <v/>
      </c>
      <c r="K464" s="45">
        <v>1</v>
      </c>
      <c r="L464" s="48"/>
      <c r="M464" s="34" t="s">
        <v>40</v>
      </c>
      <c r="N464" s="40" t="s">
        <v>398</v>
      </c>
      <c r="O464" s="40" t="s">
        <v>25</v>
      </c>
      <c r="P464" s="37" t="s">
        <v>1326</v>
      </c>
      <c r="Q464" s="45"/>
      <c r="R464" s="166"/>
      <c r="S464" s="166"/>
      <c r="T464" s="44">
        <f>+_xlfn.XLOOKUP(PROYECTOS[[#This Row],[MUNICIPIO]],'4.CAP_ENDMNT'!B:B,'4.CAP_ENDMNT'!C:C,0,0,1)</f>
        <v>6</v>
      </c>
      <c r="U464" s="167">
        <f>+_xlfn.XLOOKUP(PROYECTOS[[#This Row],[MUNICIPIO]],'4.CAP_ENDMNT'!B:B,'4.CAP_ENDMNT'!D:D,0,0,1)</f>
        <v>15502017167.017002</v>
      </c>
      <c r="V464" s="44">
        <f>+_xlfn.XLOOKUP(PROYECTOS[[#This Row],[MUNICIPIO]],'4.CAP_ENDMNT'!B:B,'4.CAP_ENDMNT'!E:E,0,0,1)</f>
        <v>4560047682.8000002</v>
      </c>
      <c r="W464" s="44">
        <f>+_xlfn.XLOOKUP(PROYECTOS[[#This Row],[MUNICIPIO]],'4.CAP_ENDMNT'!B:B,'4.CAP_ENDMNT'!F:F,0,0,1)</f>
        <v>10941969484.217003</v>
      </c>
      <c r="X464" s="44">
        <f>+_xlfn.XLOOKUP(PROYECTOS[[#This Row],[MUNICIPIO]],'4.CAP_ENDMNT'!B:B,'4.CAP_ENDMNT'!G:G,0,0,1)</f>
        <v>1591148139</v>
      </c>
      <c r="Y464" s="44">
        <f>+_xlfn.XLOOKUP(PROYECTOS[[#This Row],[MUNICIPIO]],'4.CAP_ENDMNT'!B:B,'4.CAP_ENDMNT'!H:H,0,0,1)</f>
        <v>1671853559</v>
      </c>
      <c r="Z464" s="44">
        <f>+_xlfn.XLOOKUP(PROYECTOS[[#This Row],[MUNICIPIO]],'4.CAP_ENDMNT'!B:B,'4.CAP_ENDMNT'!I:I,0,0,1)</f>
        <v>3263001698</v>
      </c>
      <c r="AA464" s="134">
        <f>+_xlfn.XLOOKUP(PROYECTOS[[#This Row],[MUNICIPIO]],'4.CAP_ENDMNT'!B:B,'4.CAP_ENDMNT'!J:J,0,0,1)</f>
        <v>0.2104888456027873</v>
      </c>
      <c r="AB464" s="44">
        <f>+_xlfn.XLOOKUP(PROYECTOS[[#This Row],[MUNICIPIO]],'4.CAP_ENDMNT'!B:B,'4.CAP_ENDMNT'!K:K,0,0,1)</f>
        <v>12239015469.017002</v>
      </c>
      <c r="AC464" s="44">
        <f>+_xlfn.XLOOKUP(PROYECTOS[[#This Row],[MUNICIPIO]],'4.CAP_ENDMNT'!B:B,'4.CAP_ENDMNT'!L:L,0,0,1)</f>
        <v>9791212375.2136021</v>
      </c>
      <c r="AD464" s="44">
        <f>+_xlfn.XLOOKUP(PROYECTOS[[#This Row],[MUNICIPIO]],'4.CAP_ENDMNT'!B:B,'4.CAP_ENDMNT'!M:M,0,0,1)</f>
        <v>7343409281.4102011</v>
      </c>
      <c r="AE464" s="134">
        <f>+_xlfn.XLOOKUP(PROYECTOS[[#This Row],[MUNICIPIO]],'4.CAP_ENDMNT'!B:B,'4.CAP_ENDMNT'!N:N,0,0,1)</f>
        <v>0.4876332549796914</v>
      </c>
      <c r="AF464" s="134">
        <f>+_xlfn.XLOOKUP(PROYECTOS[[#This Row],[MUNICIPIO]],'4.CAP_ENDMNT'!B:B,'4.CAP_ENDMNT'!O:O,0,0,1)</f>
        <v>0.42560105953702715</v>
      </c>
      <c r="AG464" s="134">
        <f>+_xlfn.XLOOKUP(PROYECTOS[[#This Row],[MUNICIPIO]],'4.CAP_ENDMNT'!B:B,'4.CAP_ENDMNT'!P:P,0,0,1)</f>
        <v>0.8</v>
      </c>
      <c r="AH464" s="44" t="str">
        <f>+_xlfn.XLOOKUP(PROYECTOS[[#This Row],[MUNICIPIO]],'4.CAP_ENDMNT'!B:B,'4.CAP_ENDMNT'!Q:Q,0,0,1)</f>
        <v>Cumple</v>
      </c>
      <c r="AI464" s="139">
        <f>+_xlfn.XLOOKUP(PROYECTOS[[#This Row],[MUNICIPIO]],'4.CAP_ENDMNT'!B:B,'4.CAP_ENDMNT'!V:V,0,0,1)</f>
        <v>1468681856.2820404</v>
      </c>
      <c r="AJ464" s="139">
        <f>+_xlfn.XLOOKUP(PROYECTOS[[#This Row],[MUNICIPIO]],'4.CAP_ENDMNT'!B:B,'4.CAP_ENDMNT'!Y:Y,0,0,1)</f>
        <v>-10121554576.307758</v>
      </c>
    </row>
    <row r="465" spans="1:36" ht="15" customHeight="1">
      <c r="A465" s="44">
        <v>579</v>
      </c>
      <c r="B465" s="37" t="s">
        <v>1279</v>
      </c>
      <c r="C465" s="118">
        <v>45798</v>
      </c>
      <c r="D465" s="46" t="s">
        <v>163</v>
      </c>
      <c r="E465" s="47" t="str">
        <f>+_xlfn.XLOOKUP(PROYECTOS[[#This Row],[MUNICIPIO]],MUNICIPIOS!A:A,MUNICIPIOS!E:E,0,0,1)</f>
        <v>Oriente</v>
      </c>
      <c r="F465" s="44">
        <f>+_xlfn.XLOOKUP(PROYECTOS[[#This Row],[MUNICIPIO]],MUNICIPIOS!A:A,MUNICIPIOS!F:F,0,0,1)</f>
        <v>-75.441612000000006</v>
      </c>
      <c r="G465" s="44" t="str">
        <f>+_xlfn.XLOOKUP(PROYECTOS[[#This Row],[MUNICIPIO]],MUNICIPIOS!A:A,MUNICIPIOS!G:G,0,0,1)</f>
        <v>6,27787</v>
      </c>
      <c r="H465" s="44">
        <f>+_xlfn.XLOOKUP(PROYECTOS[[#This Row],[MUNICIPIO]],MUNICIPIOS!A:A,MUNICIPIOS!B:B,0,0,1)</f>
        <v>0</v>
      </c>
      <c r="I465" s="44">
        <f>+_xlfn.XLOOKUP(PROYECTOS[[#This Row],[MUNICIPIO]],MUNICIPIOS!A:A,MUNICIPIOS!C:C,0,0,1)</f>
        <v>0</v>
      </c>
      <c r="J465" s="34" t="str" cm="1">
        <f t="array" ref="J465">_xlfn.TEXTJOIN(" ", TRUE, IF(radicados[ID PROYECTOS]=A465, radicados[RADICADO], ""))</f>
        <v/>
      </c>
      <c r="K465" s="45">
        <v>1</v>
      </c>
      <c r="L465" s="48">
        <v>2586206636</v>
      </c>
      <c r="M465" s="34" t="s">
        <v>761</v>
      </c>
      <c r="N465" s="40" t="s">
        <v>397</v>
      </c>
      <c r="O465" s="40" t="s">
        <v>56</v>
      </c>
      <c r="P465" s="37" t="s">
        <v>1641</v>
      </c>
      <c r="Q465" s="45"/>
      <c r="R465" s="43"/>
      <c r="S465" s="166"/>
      <c r="T465" s="44">
        <f>+_xlfn.XLOOKUP(PROYECTOS[[#This Row],[MUNICIPIO]],'4.CAP_ENDMNT'!B:B,'4.CAP_ENDMNT'!C:C,0,0,1)</f>
        <v>2</v>
      </c>
      <c r="U465" s="167">
        <f>+_xlfn.XLOOKUP(PROYECTOS[[#This Row],[MUNICIPIO]],'4.CAP_ENDMNT'!B:B,'4.CAP_ENDMNT'!D:D,0,0,1)</f>
        <v>94297942873.182495</v>
      </c>
      <c r="V465" s="44">
        <f>+_xlfn.XLOOKUP(PROYECTOS[[#This Row],[MUNICIPIO]],'4.CAP_ENDMNT'!B:B,'4.CAP_ENDMNT'!E:E,0,0,1)</f>
        <v>31502477356.16</v>
      </c>
      <c r="W465" s="44">
        <f>+_xlfn.XLOOKUP(PROYECTOS[[#This Row],[MUNICIPIO]],'4.CAP_ENDMNT'!B:B,'4.CAP_ENDMNT'!F:F,0,0,1)</f>
        <v>62795465517.022491</v>
      </c>
      <c r="X465" s="44">
        <f>+_xlfn.XLOOKUP(PROYECTOS[[#This Row],[MUNICIPIO]],'4.CAP_ENDMNT'!B:B,'4.CAP_ENDMNT'!G:G,0,0,1)</f>
        <v>12269275368</v>
      </c>
      <c r="Y465" s="44">
        <f>+_xlfn.XLOOKUP(PROYECTOS[[#This Row],[MUNICIPIO]],'4.CAP_ENDMNT'!B:B,'4.CAP_ENDMNT'!H:H,0,0,1)</f>
        <v>1587282296.6800001</v>
      </c>
      <c r="Z465" s="44">
        <f>+_xlfn.XLOOKUP(PROYECTOS[[#This Row],[MUNICIPIO]],'4.CAP_ENDMNT'!B:B,'4.CAP_ENDMNT'!I:I,0,0,1)</f>
        <v>13856557664.68</v>
      </c>
      <c r="AA465" s="134">
        <f>+_xlfn.XLOOKUP(PROYECTOS[[#This Row],[MUNICIPIO]],'4.CAP_ENDMNT'!B:B,'4.CAP_ENDMNT'!J:J,0,0,1)</f>
        <v>0.14694443211041333</v>
      </c>
      <c r="AB465" s="44">
        <f>+_xlfn.XLOOKUP(PROYECTOS[[#This Row],[MUNICIPIO]],'4.CAP_ENDMNT'!B:B,'4.CAP_ENDMNT'!K:K,0,0,1)</f>
        <v>80441385208.502502</v>
      </c>
      <c r="AC465" s="44">
        <f>+_xlfn.XLOOKUP(PROYECTOS[[#This Row],[MUNICIPIO]],'4.CAP_ENDMNT'!B:B,'4.CAP_ENDMNT'!L:L,0,0,1)</f>
        <v>64353108166.802002</v>
      </c>
      <c r="AD465" s="44">
        <f>+_xlfn.XLOOKUP(PROYECTOS[[#This Row],[MUNICIPIO]],'4.CAP_ENDMNT'!B:B,'4.CAP_ENDMNT'!M:M,0,0,1)</f>
        <v>48264831125.101501</v>
      </c>
      <c r="AE465" s="134">
        <f>+_xlfn.XLOOKUP(PROYECTOS[[#This Row],[MUNICIPIO]],'4.CAP_ENDMNT'!B:B,'4.CAP_ENDMNT'!N:N,0,0,1)</f>
        <v>0.88544901734678727</v>
      </c>
      <c r="AF465" s="134">
        <f>+_xlfn.XLOOKUP(PROYECTOS[[#This Row],[MUNICIPIO]],'4.CAP_ENDMNT'!B:B,'4.CAP_ENDMNT'!O:O,0,0,1)</f>
        <v>0.32613717500698253</v>
      </c>
      <c r="AG465" s="134">
        <f>+_xlfn.XLOOKUP(PROYECTOS[[#This Row],[MUNICIPIO]],'4.CAP_ENDMNT'!B:B,'4.CAP_ENDMNT'!P:P,0,0,1)</f>
        <v>0.7</v>
      </c>
      <c r="AH465" s="44" t="str">
        <f>+_xlfn.XLOOKUP(PROYECTOS[[#This Row],[MUNICIPIO]],'4.CAP_ENDMNT'!B:B,'4.CAP_ENDMNT'!Q:Q,0,0,1)</f>
        <v>Cumple</v>
      </c>
      <c r="AI465" s="139">
        <f>+_xlfn.XLOOKUP(PROYECTOS[[#This Row],[MUNICIPIO]],'4.CAP_ENDMNT'!B:B,'4.CAP_ENDMNT'!V:V,0,0,1)</f>
        <v>9652966225.0202999</v>
      </c>
      <c r="AJ465" s="139">
        <f>+_xlfn.XLOOKUP(PROYECTOS[[#This Row],[MUNICIPIO]],'4.CAP_ENDMNT'!B:B,'4.CAP_ENDMNT'!Y:Y,0,0,1)</f>
        <v>-17638221041.878197</v>
      </c>
    </row>
    <row r="466" spans="1:36" ht="15" customHeight="1">
      <c r="A466" s="44">
        <v>580</v>
      </c>
      <c r="B466" s="37" t="s">
        <v>1280</v>
      </c>
      <c r="C466" s="118">
        <v>45798</v>
      </c>
      <c r="D466" s="46" t="s">
        <v>827</v>
      </c>
      <c r="E466" s="47" t="str">
        <f>+_xlfn.XLOOKUP(PROYECTOS[[#This Row],[MUNICIPIO]],MUNICIPIOS!A:A,MUNICIPIOS!E:E,0,0,1)</f>
        <v>Occidente</v>
      </c>
      <c r="F466" s="44">
        <f>+_xlfn.XLOOKUP(PROYECTOS[[#This Row],[MUNICIPIO]],MUNICIPIOS!A:A,MUNICIPIOS!F:F,0,0,1)</f>
        <v>-75.734322000000006</v>
      </c>
      <c r="G466" s="44" t="str">
        <f>+_xlfn.XLOOKUP(PROYECTOS[[#This Row],[MUNICIPIO]],MUNICIPIOS!A:A,MUNICIPIOS!G:G,0,0,1)</f>
        <v>6,206757</v>
      </c>
      <c r="H466" s="44">
        <f>+_xlfn.XLOOKUP(PROYECTOS[[#This Row],[MUNICIPIO]],MUNICIPIOS!A:A,MUNICIPIOS!B:B,0,0,1)</f>
        <v>0</v>
      </c>
      <c r="I466" s="44">
        <f>+_xlfn.XLOOKUP(PROYECTOS[[#This Row],[MUNICIPIO]],MUNICIPIOS!A:A,MUNICIPIOS!C:C,0,0,1)</f>
        <v>0</v>
      </c>
      <c r="J466" s="34" t="str" cm="1">
        <f t="array" ref="J466">_xlfn.TEXTJOIN(" ", TRUE, IF(radicados[ID PROYECTOS]=A466, radicados[RADICADO], ""))</f>
        <v/>
      </c>
      <c r="K466" s="45">
        <v>3</v>
      </c>
      <c r="L466" s="48">
        <v>9800000000</v>
      </c>
      <c r="M466" s="34" t="s">
        <v>761</v>
      </c>
      <c r="N466" s="40" t="s">
        <v>397</v>
      </c>
      <c r="O466" s="40" t="s">
        <v>56</v>
      </c>
      <c r="P466" s="37" t="s">
        <v>1327</v>
      </c>
      <c r="Q466" s="45">
        <v>1</v>
      </c>
      <c r="R466" s="43" t="s">
        <v>190</v>
      </c>
      <c r="S466" s="166" t="s">
        <v>190</v>
      </c>
      <c r="T466" s="44">
        <f>+_xlfn.XLOOKUP(PROYECTOS[[#This Row],[MUNICIPIO]],'4.CAP_ENDMNT'!B:B,'4.CAP_ENDMNT'!C:C,0,0,1)</f>
        <v>6</v>
      </c>
      <c r="U466" s="167">
        <f>+_xlfn.XLOOKUP(PROYECTOS[[#This Row],[MUNICIPIO]],'4.CAP_ENDMNT'!B:B,'4.CAP_ENDMNT'!D:D,0,0,1)</f>
        <v>5355567645.8094997</v>
      </c>
      <c r="V466" s="44">
        <f>+_xlfn.XLOOKUP(PROYECTOS[[#This Row],[MUNICIPIO]],'4.CAP_ENDMNT'!B:B,'4.CAP_ENDMNT'!E:E,0,0,1)</f>
        <v>2449508849.96</v>
      </c>
      <c r="W466" s="44">
        <f>+_xlfn.XLOOKUP(PROYECTOS[[#This Row],[MUNICIPIO]],'4.CAP_ENDMNT'!B:B,'4.CAP_ENDMNT'!F:F,0,0,1)</f>
        <v>2906058795.8494997</v>
      </c>
      <c r="X466" s="44">
        <f>+_xlfn.XLOOKUP(PROYECTOS[[#This Row],[MUNICIPIO]],'4.CAP_ENDMNT'!B:B,'4.CAP_ENDMNT'!G:G,0,0,1)</f>
        <v>2066524240.5699999</v>
      </c>
      <c r="Y466" s="44">
        <f>+_xlfn.XLOOKUP(PROYECTOS[[#This Row],[MUNICIPIO]],'4.CAP_ENDMNT'!B:B,'4.CAP_ENDMNT'!H:H,0,0,1)</f>
        <v>0</v>
      </c>
      <c r="Z466" s="44">
        <f>+_xlfn.XLOOKUP(PROYECTOS[[#This Row],[MUNICIPIO]],'4.CAP_ENDMNT'!B:B,'4.CAP_ENDMNT'!I:I,0,0,1)</f>
        <v>2066524240.5699999</v>
      </c>
      <c r="AA466" s="134">
        <f>+_xlfn.XLOOKUP(PROYECTOS[[#This Row],[MUNICIPIO]],'4.CAP_ENDMNT'!B:B,'4.CAP_ENDMNT'!J:J,0,0,1)</f>
        <v>0.38586465100239481</v>
      </c>
      <c r="AB466" s="44">
        <f>+_xlfn.XLOOKUP(PROYECTOS[[#This Row],[MUNICIPIO]],'4.CAP_ENDMNT'!B:B,'4.CAP_ENDMNT'!K:K,0,0,1)</f>
        <v>3289043405.2395</v>
      </c>
      <c r="AC466" s="44">
        <f>+_xlfn.XLOOKUP(PROYECTOS[[#This Row],[MUNICIPIO]],'4.CAP_ENDMNT'!B:B,'4.CAP_ENDMNT'!L:L,0,0,1)</f>
        <v>2631234724.1916003</v>
      </c>
      <c r="AD466" s="44">
        <f>+_xlfn.XLOOKUP(PROYECTOS[[#This Row],[MUNICIPIO]],'4.CAP_ENDMNT'!B:B,'4.CAP_ENDMNT'!M:M,0,0,1)</f>
        <v>1973426043.1436999</v>
      </c>
      <c r="AE466" s="134">
        <f>+_xlfn.XLOOKUP(PROYECTOS[[#This Row],[MUNICIPIO]],'4.CAP_ENDMNT'!B:B,'4.CAP_ENDMNT'!N:N,0,0,1)</f>
        <v>1</v>
      </c>
      <c r="AF466" s="134">
        <f>+_xlfn.XLOOKUP(PROYECTOS[[#This Row],[MUNICIPIO]],'4.CAP_ENDMNT'!B:B,'4.CAP_ENDMNT'!O:O,0,0,1)</f>
        <v>0.75647396108034337</v>
      </c>
      <c r="AG466" s="134">
        <f>+_xlfn.XLOOKUP(PROYECTOS[[#This Row],[MUNICIPIO]],'4.CAP_ENDMNT'!B:B,'4.CAP_ENDMNT'!P:P,0,0,1)</f>
        <v>0.8</v>
      </c>
      <c r="AH466" s="44" t="str">
        <f>+_xlfn.XLOOKUP(PROYECTOS[[#This Row],[MUNICIPIO]],'4.CAP_ENDMNT'!B:B,'4.CAP_ENDMNT'!Q:Q,0,0,1)</f>
        <v>Riesgo</v>
      </c>
      <c r="AI466" s="139">
        <f>+_xlfn.XLOOKUP(PROYECTOS[[#This Row],[MUNICIPIO]],'4.CAP_ENDMNT'!B:B,'4.CAP_ENDMNT'!V:V,0,0,1)</f>
        <v>394685208.62874001</v>
      </c>
      <c r="AJ466" s="139">
        <f>+_xlfn.XLOOKUP(PROYECTOS[[#This Row],[MUNICIPIO]],'4.CAP_ENDMNT'!B:B,'4.CAP_ENDMNT'!Y:Y,0,0,1)</f>
        <v>-7431888748.22756</v>
      </c>
    </row>
    <row r="467" spans="1:36" ht="15" customHeight="1">
      <c r="A467" s="44">
        <v>581</v>
      </c>
      <c r="B467" s="37" t="s">
        <v>1281</v>
      </c>
      <c r="C467" s="118">
        <v>45798</v>
      </c>
      <c r="D467" s="46" t="s">
        <v>832</v>
      </c>
      <c r="E467" s="47" t="str">
        <f>+_xlfn.XLOOKUP(PROYECTOS[[#This Row],[MUNICIPIO]],MUNICIPIOS!A:A,MUNICIPIOS!E:E,0,0,1)</f>
        <v>Norte</v>
      </c>
      <c r="F467" s="44">
        <f>+_xlfn.XLOOKUP(PROYECTOS[[#This Row],[MUNICIPIO]],MUNICIPIOS!A:A,MUNICIPIOS!F:F,0,0,1)</f>
        <v>-75.764673000000002</v>
      </c>
      <c r="G467" s="44" t="str">
        <f>+_xlfn.XLOOKUP(PROYECTOS[[#This Row],[MUNICIPIO]],MUNICIPIOS!A:A,MUNICIPIOS!G:G,0,0,1)</f>
        <v>7,171629</v>
      </c>
      <c r="H467" s="44">
        <f>+_xlfn.XLOOKUP(PROYECTOS[[#This Row],[MUNICIPIO]],MUNICIPIOS!A:A,MUNICIPIOS!B:B,0,0,1)</f>
        <v>1</v>
      </c>
      <c r="I467" s="44">
        <f>+_xlfn.XLOOKUP(PROYECTOS[[#This Row],[MUNICIPIO]],MUNICIPIOS!A:A,MUNICIPIOS!C:C,0,0,1)</f>
        <v>1</v>
      </c>
      <c r="J467" s="34" t="str" cm="1">
        <f t="array" ref="J467">_xlfn.TEXTJOIN(" ", TRUE, IF(radicados[ID PROYECTOS]=A467, radicados[RADICADO], ""))</f>
        <v/>
      </c>
      <c r="K467" s="45">
        <v>3</v>
      </c>
      <c r="L467" s="48">
        <v>1100000000</v>
      </c>
      <c r="M467" s="34" t="s">
        <v>761</v>
      </c>
      <c r="N467" s="40" t="s">
        <v>397</v>
      </c>
      <c r="O467" s="40" t="s">
        <v>56</v>
      </c>
      <c r="P467" s="37" t="s">
        <v>1328</v>
      </c>
      <c r="Q467" s="45">
        <v>1</v>
      </c>
      <c r="R467" s="43" t="s">
        <v>922</v>
      </c>
      <c r="S467" s="43" t="s">
        <v>1643</v>
      </c>
      <c r="T467" s="44">
        <f>+_xlfn.XLOOKUP(PROYECTOS[[#This Row],[MUNICIPIO]],'4.CAP_ENDMNT'!B:B,'4.CAP_ENDMNT'!C:C,0,0,1)</f>
        <v>6</v>
      </c>
      <c r="U467" s="167">
        <f>+_xlfn.XLOOKUP(PROYECTOS[[#This Row],[MUNICIPIO]],'4.CAP_ENDMNT'!B:B,'4.CAP_ENDMNT'!D:D,0,0,1)</f>
        <v>18426107981.286503</v>
      </c>
      <c r="V467" s="44">
        <f>+_xlfn.XLOOKUP(PROYECTOS[[#This Row],[MUNICIPIO]],'4.CAP_ENDMNT'!B:B,'4.CAP_ENDMNT'!E:E,0,0,1)</f>
        <v>4869802105.2700005</v>
      </c>
      <c r="W467" s="44">
        <f>+_xlfn.XLOOKUP(PROYECTOS[[#This Row],[MUNICIPIO]],'4.CAP_ENDMNT'!B:B,'4.CAP_ENDMNT'!F:F,0,0,1)</f>
        <v>13556305876.016502</v>
      </c>
      <c r="X467" s="44">
        <f>+_xlfn.XLOOKUP(PROYECTOS[[#This Row],[MUNICIPIO]],'4.CAP_ENDMNT'!B:B,'4.CAP_ENDMNT'!G:G,0,0,1)</f>
        <v>951343820.02999997</v>
      </c>
      <c r="Y467" s="44">
        <f>+_xlfn.XLOOKUP(PROYECTOS[[#This Row],[MUNICIPIO]],'4.CAP_ENDMNT'!B:B,'4.CAP_ENDMNT'!H:H,0,0,1)</f>
        <v>9684082914</v>
      </c>
      <c r="Z467" s="44">
        <f>+_xlfn.XLOOKUP(PROYECTOS[[#This Row],[MUNICIPIO]],'4.CAP_ENDMNT'!B:B,'4.CAP_ENDMNT'!I:I,0,0,1)</f>
        <v>10635426734.030001</v>
      </c>
      <c r="AA467" s="134">
        <f>+_xlfn.XLOOKUP(PROYECTOS[[#This Row],[MUNICIPIO]],'4.CAP_ENDMNT'!B:B,'4.CAP_ENDMNT'!J:J,0,0,1)</f>
        <v>0.57719333593569011</v>
      </c>
      <c r="AB467" s="44">
        <f>+_xlfn.XLOOKUP(PROYECTOS[[#This Row],[MUNICIPIO]],'4.CAP_ENDMNT'!B:B,'4.CAP_ENDMNT'!K:K,0,0,1)</f>
        <v>7790681247.2565022</v>
      </c>
      <c r="AC467" s="44">
        <f>+_xlfn.XLOOKUP(PROYECTOS[[#This Row],[MUNICIPIO]],'4.CAP_ENDMNT'!B:B,'4.CAP_ENDMNT'!L:L,0,0,1)</f>
        <v>6232544997.8052025</v>
      </c>
      <c r="AD467" s="44">
        <f>+_xlfn.XLOOKUP(PROYECTOS[[#This Row],[MUNICIPIO]],'4.CAP_ENDMNT'!B:B,'4.CAP_ENDMNT'!M:M,0,0,1)</f>
        <v>4674408748.3539009</v>
      </c>
      <c r="AE467" s="134">
        <f>+_xlfn.XLOOKUP(PROYECTOS[[#This Row],[MUNICIPIO]],'4.CAP_ENDMNT'!B:B,'4.CAP_ENDMNT'!N:N,0,0,1)</f>
        <v>8.9450460599385329E-2</v>
      </c>
      <c r="AF467" s="134">
        <f>+_xlfn.XLOOKUP(PROYECTOS[[#This Row],[MUNICIPIO]],'4.CAP_ENDMNT'!B:B,'4.CAP_ENDMNT'!O:O,0,0,1)</f>
        <v>0.56172885881394896</v>
      </c>
      <c r="AG467" s="134">
        <f>+_xlfn.XLOOKUP(PROYECTOS[[#This Row],[MUNICIPIO]],'4.CAP_ENDMNT'!B:B,'4.CAP_ENDMNT'!P:P,0,0,1)</f>
        <v>0.8</v>
      </c>
      <c r="AH467" s="44" t="str">
        <f>+_xlfn.XLOOKUP(PROYECTOS[[#This Row],[MUNICIPIO]],'4.CAP_ENDMNT'!B:B,'4.CAP_ENDMNT'!Q:Q,0,0,1)</f>
        <v>Cumple</v>
      </c>
      <c r="AI467" s="139">
        <f>+_xlfn.XLOOKUP(PROYECTOS[[#This Row],[MUNICIPIO]],'4.CAP_ENDMNT'!B:B,'4.CAP_ENDMNT'!V:V,0,0,1)</f>
        <v>934881749.67078018</v>
      </c>
      <c r="AJ467" s="139">
        <f>+_xlfn.XLOOKUP(PROYECTOS[[#This Row],[MUNICIPIO]],'4.CAP_ENDMNT'!B:B,'4.CAP_ENDMNT'!Y:Y,0,0,1)</f>
        <v>-17632992525.975319</v>
      </c>
    </row>
    <row r="468" spans="1:36" ht="15" customHeight="1">
      <c r="A468" s="44">
        <v>582</v>
      </c>
      <c r="B468" s="37" t="s">
        <v>1282</v>
      </c>
      <c r="C468" s="118">
        <v>45798</v>
      </c>
      <c r="D468" s="46" t="s">
        <v>832</v>
      </c>
      <c r="E468" s="47" t="str">
        <f>+_xlfn.XLOOKUP(PROYECTOS[[#This Row],[MUNICIPIO]],MUNICIPIOS!A:A,MUNICIPIOS!E:E,0,0,1)</f>
        <v>Norte</v>
      </c>
      <c r="F468" s="44">
        <f>+_xlfn.XLOOKUP(PROYECTOS[[#This Row],[MUNICIPIO]],MUNICIPIOS!A:A,MUNICIPIOS!F:F,0,0,1)</f>
        <v>-75.764673000000002</v>
      </c>
      <c r="G468" s="44" t="str">
        <f>+_xlfn.XLOOKUP(PROYECTOS[[#This Row],[MUNICIPIO]],MUNICIPIOS!A:A,MUNICIPIOS!G:G,0,0,1)</f>
        <v>7,171629</v>
      </c>
      <c r="H468" s="44">
        <f>+_xlfn.XLOOKUP(PROYECTOS[[#This Row],[MUNICIPIO]],MUNICIPIOS!A:A,MUNICIPIOS!B:B,0,0,1)</f>
        <v>1</v>
      </c>
      <c r="I468" s="44">
        <f>+_xlfn.XLOOKUP(PROYECTOS[[#This Row],[MUNICIPIO]],MUNICIPIOS!A:A,MUNICIPIOS!C:C,0,0,1)</f>
        <v>1</v>
      </c>
      <c r="J468" s="34" t="str" cm="1">
        <f t="array" ref="J468">_xlfn.TEXTJOIN(" ", TRUE, IF(radicados[ID PROYECTOS]=A468, radicados[RADICADO], ""))</f>
        <v/>
      </c>
      <c r="K468" s="45">
        <v>3</v>
      </c>
      <c r="L468" s="48">
        <v>342000000</v>
      </c>
      <c r="M468" s="34" t="s">
        <v>761</v>
      </c>
      <c r="N468" s="40" t="s">
        <v>397</v>
      </c>
      <c r="O468" s="40" t="s">
        <v>56</v>
      </c>
      <c r="P468" s="37" t="s">
        <v>1328</v>
      </c>
      <c r="Q468" s="45">
        <v>1</v>
      </c>
      <c r="R468" s="43" t="s">
        <v>922</v>
      </c>
      <c r="S468" s="43" t="s">
        <v>1643</v>
      </c>
      <c r="T468" s="44">
        <f>+_xlfn.XLOOKUP(PROYECTOS[[#This Row],[MUNICIPIO]],'4.CAP_ENDMNT'!B:B,'4.CAP_ENDMNT'!C:C,0,0,1)</f>
        <v>6</v>
      </c>
      <c r="U468" s="167">
        <f>+_xlfn.XLOOKUP(PROYECTOS[[#This Row],[MUNICIPIO]],'4.CAP_ENDMNT'!B:B,'4.CAP_ENDMNT'!D:D,0,0,1)</f>
        <v>18426107981.286503</v>
      </c>
      <c r="V468" s="44">
        <f>+_xlfn.XLOOKUP(PROYECTOS[[#This Row],[MUNICIPIO]],'4.CAP_ENDMNT'!B:B,'4.CAP_ENDMNT'!E:E,0,0,1)</f>
        <v>4869802105.2700005</v>
      </c>
      <c r="W468" s="44">
        <f>+_xlfn.XLOOKUP(PROYECTOS[[#This Row],[MUNICIPIO]],'4.CAP_ENDMNT'!B:B,'4.CAP_ENDMNT'!F:F,0,0,1)</f>
        <v>13556305876.016502</v>
      </c>
      <c r="X468" s="44">
        <f>+_xlfn.XLOOKUP(PROYECTOS[[#This Row],[MUNICIPIO]],'4.CAP_ENDMNT'!B:B,'4.CAP_ENDMNT'!G:G,0,0,1)</f>
        <v>951343820.02999997</v>
      </c>
      <c r="Y468" s="44">
        <f>+_xlfn.XLOOKUP(PROYECTOS[[#This Row],[MUNICIPIO]],'4.CAP_ENDMNT'!B:B,'4.CAP_ENDMNT'!H:H,0,0,1)</f>
        <v>9684082914</v>
      </c>
      <c r="Z468" s="44">
        <f>+_xlfn.XLOOKUP(PROYECTOS[[#This Row],[MUNICIPIO]],'4.CAP_ENDMNT'!B:B,'4.CAP_ENDMNT'!I:I,0,0,1)</f>
        <v>10635426734.030001</v>
      </c>
      <c r="AA468" s="134">
        <f>+_xlfn.XLOOKUP(PROYECTOS[[#This Row],[MUNICIPIO]],'4.CAP_ENDMNT'!B:B,'4.CAP_ENDMNT'!J:J,0,0,1)</f>
        <v>0.57719333593569011</v>
      </c>
      <c r="AB468" s="44">
        <f>+_xlfn.XLOOKUP(PROYECTOS[[#This Row],[MUNICIPIO]],'4.CAP_ENDMNT'!B:B,'4.CAP_ENDMNT'!K:K,0,0,1)</f>
        <v>7790681247.2565022</v>
      </c>
      <c r="AC468" s="44">
        <f>+_xlfn.XLOOKUP(PROYECTOS[[#This Row],[MUNICIPIO]],'4.CAP_ENDMNT'!B:B,'4.CAP_ENDMNT'!L:L,0,0,1)</f>
        <v>6232544997.8052025</v>
      </c>
      <c r="AD468" s="44">
        <f>+_xlfn.XLOOKUP(PROYECTOS[[#This Row],[MUNICIPIO]],'4.CAP_ENDMNT'!B:B,'4.CAP_ENDMNT'!M:M,0,0,1)</f>
        <v>4674408748.3539009</v>
      </c>
      <c r="AE468" s="134">
        <f>+_xlfn.XLOOKUP(PROYECTOS[[#This Row],[MUNICIPIO]],'4.CAP_ENDMNT'!B:B,'4.CAP_ENDMNT'!N:N,0,0,1)</f>
        <v>8.9450460599385329E-2</v>
      </c>
      <c r="AF468" s="134">
        <f>+_xlfn.XLOOKUP(PROYECTOS[[#This Row],[MUNICIPIO]],'4.CAP_ENDMNT'!B:B,'4.CAP_ENDMNT'!O:O,0,0,1)</f>
        <v>0.56172885881394896</v>
      </c>
      <c r="AG468" s="134">
        <f>+_xlfn.XLOOKUP(PROYECTOS[[#This Row],[MUNICIPIO]],'4.CAP_ENDMNT'!B:B,'4.CAP_ENDMNT'!P:P,0,0,1)</f>
        <v>0.8</v>
      </c>
      <c r="AH468" s="44" t="str">
        <f>+_xlfn.XLOOKUP(PROYECTOS[[#This Row],[MUNICIPIO]],'4.CAP_ENDMNT'!B:B,'4.CAP_ENDMNT'!Q:Q,0,0,1)</f>
        <v>Cumple</v>
      </c>
      <c r="AI468" s="139">
        <f>+_xlfn.XLOOKUP(PROYECTOS[[#This Row],[MUNICIPIO]],'4.CAP_ENDMNT'!B:B,'4.CAP_ENDMNT'!V:V,0,0,1)</f>
        <v>934881749.67078018</v>
      </c>
      <c r="AJ468" s="139">
        <f>+_xlfn.XLOOKUP(PROYECTOS[[#This Row],[MUNICIPIO]],'4.CAP_ENDMNT'!B:B,'4.CAP_ENDMNT'!Y:Y,0,0,1)</f>
        <v>-17632992525.975319</v>
      </c>
    </row>
    <row r="469" spans="1:36" ht="15" customHeight="1">
      <c r="A469" s="44">
        <v>583</v>
      </c>
      <c r="B469" s="37" t="s">
        <v>1283</v>
      </c>
      <c r="C469" s="118">
        <v>45798</v>
      </c>
      <c r="D469" s="46" t="s">
        <v>832</v>
      </c>
      <c r="E469" s="47" t="str">
        <f>+_xlfn.XLOOKUP(PROYECTOS[[#This Row],[MUNICIPIO]],MUNICIPIOS!A:A,MUNICIPIOS!E:E,0,0,1)</f>
        <v>Norte</v>
      </c>
      <c r="F469" s="44">
        <f>+_xlfn.XLOOKUP(PROYECTOS[[#This Row],[MUNICIPIO]],MUNICIPIOS!A:A,MUNICIPIOS!F:F,0,0,1)</f>
        <v>-75.764673000000002</v>
      </c>
      <c r="G469" s="44" t="str">
        <f>+_xlfn.XLOOKUP(PROYECTOS[[#This Row],[MUNICIPIO]],MUNICIPIOS!A:A,MUNICIPIOS!G:G,0,0,1)</f>
        <v>7,171629</v>
      </c>
      <c r="H469" s="44">
        <f>+_xlfn.XLOOKUP(PROYECTOS[[#This Row],[MUNICIPIO]],MUNICIPIOS!A:A,MUNICIPIOS!B:B,0,0,1)</f>
        <v>1</v>
      </c>
      <c r="I469" s="44">
        <f>+_xlfn.XLOOKUP(PROYECTOS[[#This Row],[MUNICIPIO]],MUNICIPIOS!A:A,MUNICIPIOS!C:C,0,0,1)</f>
        <v>1</v>
      </c>
      <c r="J469" s="34" t="str" cm="1">
        <f t="array" ref="J469">_xlfn.TEXTJOIN(" ", TRUE, IF(radicados[ID PROYECTOS]=A469, radicados[RADICADO], ""))</f>
        <v/>
      </c>
      <c r="K469" s="45">
        <v>3</v>
      </c>
      <c r="L469" s="48">
        <v>1472000000</v>
      </c>
      <c r="M469" s="34" t="s">
        <v>761</v>
      </c>
      <c r="N469" s="40" t="s">
        <v>397</v>
      </c>
      <c r="O469" s="40" t="s">
        <v>56</v>
      </c>
      <c r="P469" s="37" t="s">
        <v>1328</v>
      </c>
      <c r="Q469" s="45">
        <v>1</v>
      </c>
      <c r="R469" s="43" t="s">
        <v>922</v>
      </c>
      <c r="S469" s="43" t="s">
        <v>1643</v>
      </c>
      <c r="T469" s="44">
        <f>+_xlfn.XLOOKUP(PROYECTOS[[#This Row],[MUNICIPIO]],'4.CAP_ENDMNT'!B:B,'4.CAP_ENDMNT'!C:C,0,0,1)</f>
        <v>6</v>
      </c>
      <c r="U469" s="167">
        <f>+_xlfn.XLOOKUP(PROYECTOS[[#This Row],[MUNICIPIO]],'4.CAP_ENDMNT'!B:B,'4.CAP_ENDMNT'!D:D,0,0,1)</f>
        <v>18426107981.286503</v>
      </c>
      <c r="V469" s="44">
        <f>+_xlfn.XLOOKUP(PROYECTOS[[#This Row],[MUNICIPIO]],'4.CAP_ENDMNT'!B:B,'4.CAP_ENDMNT'!E:E,0,0,1)</f>
        <v>4869802105.2700005</v>
      </c>
      <c r="W469" s="44">
        <f>+_xlfn.XLOOKUP(PROYECTOS[[#This Row],[MUNICIPIO]],'4.CAP_ENDMNT'!B:B,'4.CAP_ENDMNT'!F:F,0,0,1)</f>
        <v>13556305876.016502</v>
      </c>
      <c r="X469" s="44">
        <f>+_xlfn.XLOOKUP(PROYECTOS[[#This Row],[MUNICIPIO]],'4.CAP_ENDMNT'!B:B,'4.CAP_ENDMNT'!G:G,0,0,1)</f>
        <v>951343820.02999997</v>
      </c>
      <c r="Y469" s="44">
        <f>+_xlfn.XLOOKUP(PROYECTOS[[#This Row],[MUNICIPIO]],'4.CAP_ENDMNT'!B:B,'4.CAP_ENDMNT'!H:H,0,0,1)</f>
        <v>9684082914</v>
      </c>
      <c r="Z469" s="44">
        <f>+_xlfn.XLOOKUP(PROYECTOS[[#This Row],[MUNICIPIO]],'4.CAP_ENDMNT'!B:B,'4.CAP_ENDMNT'!I:I,0,0,1)</f>
        <v>10635426734.030001</v>
      </c>
      <c r="AA469" s="134">
        <f>+_xlfn.XLOOKUP(PROYECTOS[[#This Row],[MUNICIPIO]],'4.CAP_ENDMNT'!B:B,'4.CAP_ENDMNT'!J:J,0,0,1)</f>
        <v>0.57719333593569011</v>
      </c>
      <c r="AB469" s="44">
        <f>+_xlfn.XLOOKUP(PROYECTOS[[#This Row],[MUNICIPIO]],'4.CAP_ENDMNT'!B:B,'4.CAP_ENDMNT'!K:K,0,0,1)</f>
        <v>7790681247.2565022</v>
      </c>
      <c r="AC469" s="44">
        <f>+_xlfn.XLOOKUP(PROYECTOS[[#This Row],[MUNICIPIO]],'4.CAP_ENDMNT'!B:B,'4.CAP_ENDMNT'!L:L,0,0,1)</f>
        <v>6232544997.8052025</v>
      </c>
      <c r="AD469" s="44">
        <f>+_xlfn.XLOOKUP(PROYECTOS[[#This Row],[MUNICIPIO]],'4.CAP_ENDMNT'!B:B,'4.CAP_ENDMNT'!M:M,0,0,1)</f>
        <v>4674408748.3539009</v>
      </c>
      <c r="AE469" s="134">
        <f>+_xlfn.XLOOKUP(PROYECTOS[[#This Row],[MUNICIPIO]],'4.CAP_ENDMNT'!B:B,'4.CAP_ENDMNT'!N:N,0,0,1)</f>
        <v>8.9450460599385329E-2</v>
      </c>
      <c r="AF469" s="134">
        <f>+_xlfn.XLOOKUP(PROYECTOS[[#This Row],[MUNICIPIO]],'4.CAP_ENDMNT'!B:B,'4.CAP_ENDMNT'!O:O,0,0,1)</f>
        <v>0.56172885881394896</v>
      </c>
      <c r="AG469" s="134">
        <f>+_xlfn.XLOOKUP(PROYECTOS[[#This Row],[MUNICIPIO]],'4.CAP_ENDMNT'!B:B,'4.CAP_ENDMNT'!P:P,0,0,1)</f>
        <v>0.8</v>
      </c>
      <c r="AH469" s="44" t="str">
        <f>+_xlfn.XLOOKUP(PROYECTOS[[#This Row],[MUNICIPIO]],'4.CAP_ENDMNT'!B:B,'4.CAP_ENDMNT'!Q:Q,0,0,1)</f>
        <v>Cumple</v>
      </c>
      <c r="AI469" s="139">
        <f>+_xlfn.XLOOKUP(PROYECTOS[[#This Row],[MUNICIPIO]],'4.CAP_ENDMNT'!B:B,'4.CAP_ENDMNT'!V:V,0,0,1)</f>
        <v>934881749.67078018</v>
      </c>
      <c r="AJ469" s="139">
        <f>+_xlfn.XLOOKUP(PROYECTOS[[#This Row],[MUNICIPIO]],'4.CAP_ENDMNT'!B:B,'4.CAP_ENDMNT'!Y:Y,0,0,1)</f>
        <v>-17632992525.975319</v>
      </c>
    </row>
    <row r="470" spans="1:36" ht="15" customHeight="1">
      <c r="A470" s="44">
        <v>584</v>
      </c>
      <c r="B470" s="37" t="s">
        <v>1284</v>
      </c>
      <c r="C470" s="118">
        <v>45798</v>
      </c>
      <c r="D470" s="46" t="s">
        <v>832</v>
      </c>
      <c r="E470" s="47" t="str">
        <f>+_xlfn.XLOOKUP(PROYECTOS[[#This Row],[MUNICIPIO]],MUNICIPIOS!A:A,MUNICIPIOS!E:E,0,0,1)</f>
        <v>Norte</v>
      </c>
      <c r="F470" s="44">
        <f>+_xlfn.XLOOKUP(PROYECTOS[[#This Row],[MUNICIPIO]],MUNICIPIOS!A:A,MUNICIPIOS!F:F,0,0,1)</f>
        <v>-75.764673000000002</v>
      </c>
      <c r="G470" s="44" t="str">
        <f>+_xlfn.XLOOKUP(PROYECTOS[[#This Row],[MUNICIPIO]],MUNICIPIOS!A:A,MUNICIPIOS!G:G,0,0,1)</f>
        <v>7,171629</v>
      </c>
      <c r="H470" s="44">
        <f>+_xlfn.XLOOKUP(PROYECTOS[[#This Row],[MUNICIPIO]],MUNICIPIOS!A:A,MUNICIPIOS!B:B,0,0,1)</f>
        <v>1</v>
      </c>
      <c r="I470" s="44">
        <f>+_xlfn.XLOOKUP(PROYECTOS[[#This Row],[MUNICIPIO]],MUNICIPIOS!A:A,MUNICIPIOS!C:C,0,0,1)</f>
        <v>1</v>
      </c>
      <c r="J470" s="34" t="str" cm="1">
        <f t="array" ref="J470">_xlfn.TEXTJOIN(" ", TRUE, IF(radicados[ID PROYECTOS]=A470, radicados[RADICADO], ""))</f>
        <v/>
      </c>
      <c r="K470" s="45">
        <v>2</v>
      </c>
      <c r="L470" s="48">
        <v>320000000</v>
      </c>
      <c r="M470" s="34" t="s">
        <v>761</v>
      </c>
      <c r="N470" s="40" t="s">
        <v>394</v>
      </c>
      <c r="O470" s="40" t="s">
        <v>18</v>
      </c>
      <c r="P470" s="37" t="s">
        <v>1329</v>
      </c>
      <c r="Q470" s="45"/>
      <c r="R470" s="166"/>
      <c r="S470" s="166"/>
      <c r="T470" s="44">
        <f>+_xlfn.XLOOKUP(PROYECTOS[[#This Row],[MUNICIPIO]],'4.CAP_ENDMNT'!B:B,'4.CAP_ENDMNT'!C:C,0,0,1)</f>
        <v>6</v>
      </c>
      <c r="U470" s="167">
        <f>+_xlfn.XLOOKUP(PROYECTOS[[#This Row],[MUNICIPIO]],'4.CAP_ENDMNT'!B:B,'4.CAP_ENDMNT'!D:D,0,0,1)</f>
        <v>18426107981.286503</v>
      </c>
      <c r="V470" s="44">
        <f>+_xlfn.XLOOKUP(PROYECTOS[[#This Row],[MUNICIPIO]],'4.CAP_ENDMNT'!B:B,'4.CAP_ENDMNT'!E:E,0,0,1)</f>
        <v>4869802105.2700005</v>
      </c>
      <c r="W470" s="44">
        <f>+_xlfn.XLOOKUP(PROYECTOS[[#This Row],[MUNICIPIO]],'4.CAP_ENDMNT'!B:B,'4.CAP_ENDMNT'!F:F,0,0,1)</f>
        <v>13556305876.016502</v>
      </c>
      <c r="X470" s="44">
        <f>+_xlfn.XLOOKUP(PROYECTOS[[#This Row],[MUNICIPIO]],'4.CAP_ENDMNT'!B:B,'4.CAP_ENDMNT'!G:G,0,0,1)</f>
        <v>951343820.02999997</v>
      </c>
      <c r="Y470" s="44">
        <f>+_xlfn.XLOOKUP(PROYECTOS[[#This Row],[MUNICIPIO]],'4.CAP_ENDMNT'!B:B,'4.CAP_ENDMNT'!H:H,0,0,1)</f>
        <v>9684082914</v>
      </c>
      <c r="Z470" s="44">
        <f>+_xlfn.XLOOKUP(PROYECTOS[[#This Row],[MUNICIPIO]],'4.CAP_ENDMNT'!B:B,'4.CAP_ENDMNT'!I:I,0,0,1)</f>
        <v>10635426734.030001</v>
      </c>
      <c r="AA470" s="134">
        <f>+_xlfn.XLOOKUP(PROYECTOS[[#This Row],[MUNICIPIO]],'4.CAP_ENDMNT'!B:B,'4.CAP_ENDMNT'!J:J,0,0,1)</f>
        <v>0.57719333593569011</v>
      </c>
      <c r="AB470" s="44">
        <f>+_xlfn.XLOOKUP(PROYECTOS[[#This Row],[MUNICIPIO]],'4.CAP_ENDMNT'!B:B,'4.CAP_ENDMNT'!K:K,0,0,1)</f>
        <v>7790681247.2565022</v>
      </c>
      <c r="AC470" s="44">
        <f>+_xlfn.XLOOKUP(PROYECTOS[[#This Row],[MUNICIPIO]],'4.CAP_ENDMNT'!B:B,'4.CAP_ENDMNT'!L:L,0,0,1)</f>
        <v>6232544997.8052025</v>
      </c>
      <c r="AD470" s="44">
        <f>+_xlfn.XLOOKUP(PROYECTOS[[#This Row],[MUNICIPIO]],'4.CAP_ENDMNT'!B:B,'4.CAP_ENDMNT'!M:M,0,0,1)</f>
        <v>4674408748.3539009</v>
      </c>
      <c r="AE470" s="134">
        <f>+_xlfn.XLOOKUP(PROYECTOS[[#This Row],[MUNICIPIO]],'4.CAP_ENDMNT'!B:B,'4.CAP_ENDMNT'!N:N,0,0,1)</f>
        <v>8.9450460599385329E-2</v>
      </c>
      <c r="AF470" s="134">
        <f>+_xlfn.XLOOKUP(PROYECTOS[[#This Row],[MUNICIPIO]],'4.CAP_ENDMNT'!B:B,'4.CAP_ENDMNT'!O:O,0,0,1)</f>
        <v>0.56172885881394896</v>
      </c>
      <c r="AG470" s="134">
        <f>+_xlfn.XLOOKUP(PROYECTOS[[#This Row],[MUNICIPIO]],'4.CAP_ENDMNT'!B:B,'4.CAP_ENDMNT'!P:P,0,0,1)</f>
        <v>0.8</v>
      </c>
      <c r="AH470" s="44" t="str">
        <f>+_xlfn.XLOOKUP(PROYECTOS[[#This Row],[MUNICIPIO]],'4.CAP_ENDMNT'!B:B,'4.CAP_ENDMNT'!Q:Q,0,0,1)</f>
        <v>Cumple</v>
      </c>
      <c r="AI470" s="139">
        <f>+_xlfn.XLOOKUP(PROYECTOS[[#This Row],[MUNICIPIO]],'4.CAP_ENDMNT'!B:B,'4.CAP_ENDMNT'!V:V,0,0,1)</f>
        <v>934881749.67078018</v>
      </c>
      <c r="AJ470" s="139">
        <f>+_xlfn.XLOOKUP(PROYECTOS[[#This Row],[MUNICIPIO]],'4.CAP_ENDMNT'!B:B,'4.CAP_ENDMNT'!Y:Y,0,0,1)</f>
        <v>-17632992525.975319</v>
      </c>
    </row>
    <row r="471" spans="1:36" ht="15" customHeight="1">
      <c r="A471" s="44">
        <v>585</v>
      </c>
      <c r="B471" s="37" t="s">
        <v>1285</v>
      </c>
      <c r="C471" s="118">
        <v>45798</v>
      </c>
      <c r="D471" s="46" t="s">
        <v>832</v>
      </c>
      <c r="E471" s="47" t="str">
        <f>+_xlfn.XLOOKUP(PROYECTOS[[#This Row],[MUNICIPIO]],MUNICIPIOS!A:A,MUNICIPIOS!E:E,0,0,1)</f>
        <v>Norte</v>
      </c>
      <c r="F471" s="44">
        <f>+_xlfn.XLOOKUP(PROYECTOS[[#This Row],[MUNICIPIO]],MUNICIPIOS!A:A,MUNICIPIOS!F:F,0,0,1)</f>
        <v>-75.764673000000002</v>
      </c>
      <c r="G471" s="44" t="str">
        <f>+_xlfn.XLOOKUP(PROYECTOS[[#This Row],[MUNICIPIO]],MUNICIPIOS!A:A,MUNICIPIOS!G:G,0,0,1)</f>
        <v>7,171629</v>
      </c>
      <c r="H471" s="44">
        <f>+_xlfn.XLOOKUP(PROYECTOS[[#This Row],[MUNICIPIO]],MUNICIPIOS!A:A,MUNICIPIOS!B:B,0,0,1)</f>
        <v>1</v>
      </c>
      <c r="I471" s="44">
        <f>+_xlfn.XLOOKUP(PROYECTOS[[#This Row],[MUNICIPIO]],MUNICIPIOS!A:A,MUNICIPIOS!C:C,0,0,1)</f>
        <v>1</v>
      </c>
      <c r="J471" s="34" t="str" cm="1">
        <f t="array" ref="J471">_xlfn.TEXTJOIN(" ", TRUE, IF(radicados[ID PROYECTOS]=A471, radicados[RADICADO], ""))</f>
        <v/>
      </c>
      <c r="K471" s="45">
        <v>2</v>
      </c>
      <c r="L471" s="48">
        <v>13275501357</v>
      </c>
      <c r="M471" s="34" t="s">
        <v>435</v>
      </c>
      <c r="N471" s="40" t="s">
        <v>398</v>
      </c>
      <c r="O471" s="40" t="s">
        <v>25</v>
      </c>
      <c r="P471" s="37" t="s">
        <v>1330</v>
      </c>
      <c r="Q471" s="45"/>
      <c r="R471" s="166"/>
      <c r="S471" s="166"/>
      <c r="T471" s="44">
        <f>+_xlfn.XLOOKUP(PROYECTOS[[#This Row],[MUNICIPIO]],'4.CAP_ENDMNT'!B:B,'4.CAP_ENDMNT'!C:C,0,0,1)</f>
        <v>6</v>
      </c>
      <c r="U471" s="167">
        <f>+_xlfn.XLOOKUP(PROYECTOS[[#This Row],[MUNICIPIO]],'4.CAP_ENDMNT'!B:B,'4.CAP_ENDMNT'!D:D,0,0,1)</f>
        <v>18426107981.286503</v>
      </c>
      <c r="V471" s="44">
        <f>+_xlfn.XLOOKUP(PROYECTOS[[#This Row],[MUNICIPIO]],'4.CAP_ENDMNT'!B:B,'4.CAP_ENDMNT'!E:E,0,0,1)</f>
        <v>4869802105.2700005</v>
      </c>
      <c r="W471" s="44">
        <f>+_xlfn.XLOOKUP(PROYECTOS[[#This Row],[MUNICIPIO]],'4.CAP_ENDMNT'!B:B,'4.CAP_ENDMNT'!F:F,0,0,1)</f>
        <v>13556305876.016502</v>
      </c>
      <c r="X471" s="44">
        <f>+_xlfn.XLOOKUP(PROYECTOS[[#This Row],[MUNICIPIO]],'4.CAP_ENDMNT'!B:B,'4.CAP_ENDMNT'!G:G,0,0,1)</f>
        <v>951343820.02999997</v>
      </c>
      <c r="Y471" s="44">
        <f>+_xlfn.XLOOKUP(PROYECTOS[[#This Row],[MUNICIPIO]],'4.CAP_ENDMNT'!B:B,'4.CAP_ENDMNT'!H:H,0,0,1)</f>
        <v>9684082914</v>
      </c>
      <c r="Z471" s="44">
        <f>+_xlfn.XLOOKUP(PROYECTOS[[#This Row],[MUNICIPIO]],'4.CAP_ENDMNT'!B:B,'4.CAP_ENDMNT'!I:I,0,0,1)</f>
        <v>10635426734.030001</v>
      </c>
      <c r="AA471" s="134">
        <f>+_xlfn.XLOOKUP(PROYECTOS[[#This Row],[MUNICIPIO]],'4.CAP_ENDMNT'!B:B,'4.CAP_ENDMNT'!J:J,0,0,1)</f>
        <v>0.57719333593569011</v>
      </c>
      <c r="AB471" s="44">
        <f>+_xlfn.XLOOKUP(PROYECTOS[[#This Row],[MUNICIPIO]],'4.CAP_ENDMNT'!B:B,'4.CAP_ENDMNT'!K:K,0,0,1)</f>
        <v>7790681247.2565022</v>
      </c>
      <c r="AC471" s="44">
        <f>+_xlfn.XLOOKUP(PROYECTOS[[#This Row],[MUNICIPIO]],'4.CAP_ENDMNT'!B:B,'4.CAP_ENDMNT'!L:L,0,0,1)</f>
        <v>6232544997.8052025</v>
      </c>
      <c r="AD471" s="44">
        <f>+_xlfn.XLOOKUP(PROYECTOS[[#This Row],[MUNICIPIO]],'4.CAP_ENDMNT'!B:B,'4.CAP_ENDMNT'!M:M,0,0,1)</f>
        <v>4674408748.3539009</v>
      </c>
      <c r="AE471" s="134">
        <f>+_xlfn.XLOOKUP(PROYECTOS[[#This Row],[MUNICIPIO]],'4.CAP_ENDMNT'!B:B,'4.CAP_ENDMNT'!N:N,0,0,1)</f>
        <v>8.9450460599385329E-2</v>
      </c>
      <c r="AF471" s="134">
        <f>+_xlfn.XLOOKUP(PROYECTOS[[#This Row],[MUNICIPIO]],'4.CAP_ENDMNT'!B:B,'4.CAP_ENDMNT'!O:O,0,0,1)</f>
        <v>0.56172885881394896</v>
      </c>
      <c r="AG471" s="134">
        <f>+_xlfn.XLOOKUP(PROYECTOS[[#This Row],[MUNICIPIO]],'4.CAP_ENDMNT'!B:B,'4.CAP_ENDMNT'!P:P,0,0,1)</f>
        <v>0.8</v>
      </c>
      <c r="AH471" s="44" t="str">
        <f>+_xlfn.XLOOKUP(PROYECTOS[[#This Row],[MUNICIPIO]],'4.CAP_ENDMNT'!B:B,'4.CAP_ENDMNT'!Q:Q,0,0,1)</f>
        <v>Cumple</v>
      </c>
      <c r="AI471" s="139">
        <f>+_xlfn.XLOOKUP(PROYECTOS[[#This Row],[MUNICIPIO]],'4.CAP_ENDMNT'!B:B,'4.CAP_ENDMNT'!V:V,0,0,1)</f>
        <v>934881749.67078018</v>
      </c>
      <c r="AJ471" s="139">
        <f>+_xlfn.XLOOKUP(PROYECTOS[[#This Row],[MUNICIPIO]],'4.CAP_ENDMNT'!B:B,'4.CAP_ENDMNT'!Y:Y,0,0,1)</f>
        <v>-17632992525.975319</v>
      </c>
    </row>
    <row r="472" spans="1:36" ht="15" customHeight="1">
      <c r="A472" s="44">
        <v>586</v>
      </c>
      <c r="B472" s="37" t="s">
        <v>1286</v>
      </c>
      <c r="C472" s="118">
        <v>45798</v>
      </c>
      <c r="D472" s="3" t="s">
        <v>156</v>
      </c>
      <c r="E472" s="47" t="str">
        <f>+_xlfn.XLOOKUP(PROYECTOS[[#This Row],[MUNICIPIO]],MUNICIPIOS!A:A,MUNICIPIOS!E:E,0,0,1)</f>
        <v>Suroeste</v>
      </c>
      <c r="F472" s="44">
        <f>+_xlfn.XLOOKUP(PROYECTOS[[#This Row],[MUNICIPIO]],MUNICIPIOS!A:A,MUNICIPIOS!F:F,0,0,1)</f>
        <v>-75.818982000000005</v>
      </c>
      <c r="G472" s="44" t="str">
        <f>+_xlfn.XLOOKUP(PROYECTOS[[#This Row],[MUNICIPIO]],MUNICIPIOS!A:A,MUNICIPIOS!G:G,0,0,1)</f>
        <v>5,597542</v>
      </c>
      <c r="H472" s="44">
        <f>+_xlfn.XLOOKUP(PROYECTOS[[#This Row],[MUNICIPIO]],MUNICIPIOS!A:A,MUNICIPIOS!B:B,0,0,1)</f>
        <v>0</v>
      </c>
      <c r="I472" s="44">
        <f>+_xlfn.XLOOKUP(PROYECTOS[[#This Row],[MUNICIPIO]],MUNICIPIOS!A:A,MUNICIPIOS!C:C,0,0,1)</f>
        <v>0</v>
      </c>
      <c r="J472" s="34" t="str" cm="1">
        <f t="array" ref="J472">_xlfn.TEXTJOIN(" ", TRUE, IF(radicados[ID PROYECTOS]=A472, radicados[RADICADO], ""))</f>
        <v/>
      </c>
      <c r="K472" s="45">
        <v>3</v>
      </c>
      <c r="L472" s="48"/>
      <c r="M472" s="34" t="s">
        <v>435</v>
      </c>
      <c r="N472" s="40" t="s">
        <v>398</v>
      </c>
      <c r="O472" s="40" t="s">
        <v>25</v>
      </c>
      <c r="P472" s="37" t="s">
        <v>1325</v>
      </c>
      <c r="Q472" s="45">
        <v>1</v>
      </c>
      <c r="R472" s="43" t="s">
        <v>922</v>
      </c>
      <c r="S472" s="43" t="s">
        <v>1643</v>
      </c>
      <c r="T472" s="44">
        <f>+_xlfn.XLOOKUP(PROYECTOS[[#This Row],[MUNICIPIO]],'4.CAP_ENDMNT'!B:B,'4.CAP_ENDMNT'!C:C,0,0,1)</f>
        <v>6</v>
      </c>
      <c r="U472" s="167">
        <f>+_xlfn.XLOOKUP(PROYECTOS[[#This Row],[MUNICIPIO]],'4.CAP_ENDMNT'!B:B,'4.CAP_ENDMNT'!D:D,0,0,1)</f>
        <v>14419744847.987999</v>
      </c>
      <c r="V472" s="44">
        <f>+_xlfn.XLOOKUP(PROYECTOS[[#This Row],[MUNICIPIO]],'4.CAP_ENDMNT'!B:B,'4.CAP_ENDMNT'!E:E,0,0,1)</f>
        <v>4888479181.79</v>
      </c>
      <c r="W472" s="44">
        <f>+_xlfn.XLOOKUP(PROYECTOS[[#This Row],[MUNICIPIO]],'4.CAP_ENDMNT'!B:B,'4.CAP_ENDMNT'!F:F,0,0,1)</f>
        <v>9531265666.197998</v>
      </c>
      <c r="X472" s="44">
        <f>+_xlfn.XLOOKUP(PROYECTOS[[#This Row],[MUNICIPIO]],'4.CAP_ENDMNT'!B:B,'4.CAP_ENDMNT'!G:G,0,0,1)</f>
        <v>0</v>
      </c>
      <c r="Y472" s="44">
        <f>+_xlfn.XLOOKUP(PROYECTOS[[#This Row],[MUNICIPIO]],'4.CAP_ENDMNT'!B:B,'4.CAP_ENDMNT'!H:H,0,0,1)</f>
        <v>0</v>
      </c>
      <c r="Z472" s="44">
        <f>+_xlfn.XLOOKUP(PROYECTOS[[#This Row],[MUNICIPIO]],'4.CAP_ENDMNT'!B:B,'4.CAP_ENDMNT'!I:I,0,0,1)</f>
        <v>0</v>
      </c>
      <c r="AA472" s="134">
        <f>+_xlfn.XLOOKUP(PROYECTOS[[#This Row],[MUNICIPIO]],'4.CAP_ENDMNT'!B:B,'4.CAP_ENDMNT'!J:J,0,0,1)</f>
        <v>0</v>
      </c>
      <c r="AB472" s="44">
        <f>+_xlfn.XLOOKUP(PROYECTOS[[#This Row],[MUNICIPIO]],'4.CAP_ENDMNT'!B:B,'4.CAP_ENDMNT'!K:K,0,0,1)</f>
        <v>14419744847.987999</v>
      </c>
      <c r="AC472" s="44">
        <f>+_xlfn.XLOOKUP(PROYECTOS[[#This Row],[MUNICIPIO]],'4.CAP_ENDMNT'!B:B,'4.CAP_ENDMNT'!L:L,0,0,1)</f>
        <v>11535795878.3904</v>
      </c>
      <c r="AD472" s="44">
        <f>+_xlfn.XLOOKUP(PROYECTOS[[#This Row],[MUNICIPIO]],'4.CAP_ENDMNT'!B:B,'4.CAP_ENDMNT'!M:M,0,0,1)</f>
        <v>8651846908.792799</v>
      </c>
      <c r="AE472" s="134">
        <f>+_xlfn.XLOOKUP(PROYECTOS[[#This Row],[MUNICIPIO]],'4.CAP_ENDMNT'!B:B,'4.CAP_ENDMNT'!N:N,0,0,1)</f>
        <v>0</v>
      </c>
      <c r="AF472" s="134">
        <f>+_xlfn.XLOOKUP(PROYECTOS[[#This Row],[MUNICIPIO]],'4.CAP_ENDMNT'!B:B,'4.CAP_ENDMNT'!O:O,0,0,1)</f>
        <v>0.45738888558733654</v>
      </c>
      <c r="AG472" s="134">
        <f>+_xlfn.XLOOKUP(PROYECTOS[[#This Row],[MUNICIPIO]],'4.CAP_ENDMNT'!B:B,'4.CAP_ENDMNT'!P:P,0,0,1)</f>
        <v>0.8</v>
      </c>
      <c r="AH472" s="44" t="str">
        <f>+_xlfn.XLOOKUP(PROYECTOS[[#This Row],[MUNICIPIO]],'4.CAP_ENDMNT'!B:B,'4.CAP_ENDMNT'!Q:Q,0,0,1)</f>
        <v>Cumple</v>
      </c>
      <c r="AI472" s="139">
        <f>+_xlfn.XLOOKUP(PROYECTOS[[#This Row],[MUNICIPIO]],'4.CAP_ENDMNT'!B:B,'4.CAP_ENDMNT'!V:V,0,0,1)</f>
        <v>1730369381.7585599</v>
      </c>
      <c r="AJ472" s="139">
        <f>+_xlfn.XLOOKUP(PROYECTOS[[#This Row],[MUNICIPIO]],'4.CAP_ENDMNT'!B:B,'4.CAP_ENDMNT'!Y:Y,0,0,1)</f>
        <v>7792173252.5513592</v>
      </c>
    </row>
    <row r="473" spans="1:36" ht="15" customHeight="1">
      <c r="A473" s="44">
        <v>587</v>
      </c>
      <c r="B473" s="37" t="s">
        <v>1287</v>
      </c>
      <c r="C473" s="118">
        <v>45798</v>
      </c>
      <c r="D473" s="46" t="s">
        <v>101</v>
      </c>
      <c r="E473" s="47" t="str">
        <f>+_xlfn.XLOOKUP(PROYECTOS[[#This Row],[MUNICIPIO]],MUNICIPIOS!A:A,MUNICIPIOS!E:E,0,0,1)</f>
        <v>Suroeste</v>
      </c>
      <c r="F473" s="44">
        <f>+_xlfn.XLOOKUP(PROYECTOS[[#This Row],[MUNICIPIO]],MUNICIPIOS!A:A,MUNICIPIOS!F:F,0,0,1)</f>
        <v>-75.607810000000001</v>
      </c>
      <c r="G473" s="44" t="str">
        <f>+_xlfn.XLOOKUP(PROYECTOS[[#This Row],[MUNICIPIO]],MUNICIPIOS!A:A,MUNICIPIOS!G:G,0,0,1)</f>
        <v>5,743808</v>
      </c>
      <c r="H473" s="44">
        <f>+_xlfn.XLOOKUP(PROYECTOS[[#This Row],[MUNICIPIO]],MUNICIPIOS!A:A,MUNICIPIOS!B:B,0,0,1)</f>
        <v>0</v>
      </c>
      <c r="I473" s="44">
        <f>+_xlfn.XLOOKUP(PROYECTOS[[#This Row],[MUNICIPIO]],MUNICIPIOS!A:A,MUNICIPIOS!C:C,0,0,1)</f>
        <v>0</v>
      </c>
      <c r="J473" s="34" t="str" cm="1">
        <f t="array" ref="J473">_xlfn.TEXTJOIN(" ", TRUE, IF(radicados[ID PROYECTOS]=A473, radicados[RADICADO], ""))</f>
        <v/>
      </c>
      <c r="K473" s="45">
        <v>1</v>
      </c>
      <c r="L473" s="48"/>
      <c r="M473" s="34" t="s">
        <v>761</v>
      </c>
      <c r="N473" s="40" t="s">
        <v>762</v>
      </c>
      <c r="O473" s="40" t="s">
        <v>720</v>
      </c>
      <c r="P473" s="37" t="s">
        <v>1323</v>
      </c>
      <c r="Q473" s="45"/>
      <c r="R473" s="166"/>
      <c r="S473" s="166"/>
      <c r="T473" s="44">
        <f>+_xlfn.XLOOKUP(PROYECTOS[[#This Row],[MUNICIPIO]],'4.CAP_ENDMNT'!B:B,'4.CAP_ENDMNT'!C:C,0,0,1)</f>
        <v>6</v>
      </c>
      <c r="U473" s="167">
        <f>+_xlfn.XLOOKUP(PROYECTOS[[#This Row],[MUNICIPIO]],'4.CAP_ENDMNT'!B:B,'4.CAP_ENDMNT'!D:D,0,0,1)</f>
        <v>10783113038.2925</v>
      </c>
      <c r="V473" s="44">
        <f>+_xlfn.XLOOKUP(PROYECTOS[[#This Row],[MUNICIPIO]],'4.CAP_ENDMNT'!B:B,'4.CAP_ENDMNT'!E:E,0,0,1)</f>
        <v>5750561650.9200001</v>
      </c>
      <c r="W473" s="44">
        <f>+_xlfn.XLOOKUP(PROYECTOS[[#This Row],[MUNICIPIO]],'4.CAP_ENDMNT'!B:B,'4.CAP_ENDMNT'!F:F,0,0,1)</f>
        <v>5032551387.3724995</v>
      </c>
      <c r="X473" s="44">
        <f>+_xlfn.XLOOKUP(PROYECTOS[[#This Row],[MUNICIPIO]],'4.CAP_ENDMNT'!B:B,'4.CAP_ENDMNT'!G:G,0,0,1)</f>
        <v>4104930290</v>
      </c>
      <c r="Y473" s="44">
        <f>+_xlfn.XLOOKUP(PROYECTOS[[#This Row],[MUNICIPIO]],'4.CAP_ENDMNT'!B:B,'4.CAP_ENDMNT'!H:H,0,0,1)</f>
        <v>0</v>
      </c>
      <c r="Z473" s="44">
        <f>+_xlfn.XLOOKUP(PROYECTOS[[#This Row],[MUNICIPIO]],'4.CAP_ENDMNT'!B:B,'4.CAP_ENDMNT'!I:I,0,0,1)</f>
        <v>4104930290</v>
      </c>
      <c r="AA473" s="134">
        <f>+_xlfn.XLOOKUP(PROYECTOS[[#This Row],[MUNICIPIO]],'4.CAP_ENDMNT'!B:B,'4.CAP_ENDMNT'!J:J,0,0,1)</f>
        <v>0.38068137423977277</v>
      </c>
      <c r="AB473" s="44">
        <f>+_xlfn.XLOOKUP(PROYECTOS[[#This Row],[MUNICIPIO]],'4.CAP_ENDMNT'!B:B,'4.CAP_ENDMNT'!K:K,0,0,1)</f>
        <v>6678182748.2924995</v>
      </c>
      <c r="AC473" s="44">
        <f>+_xlfn.XLOOKUP(PROYECTOS[[#This Row],[MUNICIPIO]],'4.CAP_ENDMNT'!B:B,'4.CAP_ENDMNT'!L:L,0,0,1)</f>
        <v>5342546198.6339998</v>
      </c>
      <c r="AD473" s="44">
        <f>+_xlfn.XLOOKUP(PROYECTOS[[#This Row],[MUNICIPIO]],'4.CAP_ENDMNT'!B:B,'4.CAP_ENDMNT'!M:M,0,0,1)</f>
        <v>4006909648.9754996</v>
      </c>
      <c r="AE473" s="134">
        <f>+_xlfn.XLOOKUP(PROYECTOS[[#This Row],[MUNICIPIO]],'4.CAP_ENDMNT'!B:B,'4.CAP_ENDMNT'!N:N,0,0,1)</f>
        <v>1</v>
      </c>
      <c r="AF473" s="134">
        <f>+_xlfn.XLOOKUP(PROYECTOS[[#This Row],[MUNICIPIO]],'4.CAP_ENDMNT'!B:B,'4.CAP_ENDMNT'!O:O,0,0,1)</f>
        <v>0.6829525248720959</v>
      </c>
      <c r="AG473" s="134">
        <f>+_xlfn.XLOOKUP(PROYECTOS[[#This Row],[MUNICIPIO]],'4.CAP_ENDMNT'!B:B,'4.CAP_ENDMNT'!P:P,0,0,1)</f>
        <v>0.8</v>
      </c>
      <c r="AH473" s="44" t="str">
        <f>+_xlfn.XLOOKUP(PROYECTOS[[#This Row],[MUNICIPIO]],'4.CAP_ENDMNT'!B:B,'4.CAP_ENDMNT'!Q:Q,0,0,1)</f>
        <v>Cumple</v>
      </c>
      <c r="AI473" s="139">
        <f>+_xlfn.XLOOKUP(PROYECTOS[[#This Row],[MUNICIPIO]],'4.CAP_ENDMNT'!B:B,'4.CAP_ENDMNT'!V:V,0,0,1)</f>
        <v>801381929.79509997</v>
      </c>
      <c r="AJ473" s="139">
        <f>+_xlfn.XLOOKUP(PROYECTOS[[#This Row],[MUNICIPIO]],'4.CAP_ENDMNT'!B:B,'4.CAP_ENDMNT'!Y:Y,0,0,1)</f>
        <v>3545266902.7705994</v>
      </c>
    </row>
    <row r="474" spans="1:36" ht="15" customHeight="1">
      <c r="A474" s="44">
        <v>588</v>
      </c>
      <c r="B474" s="37" t="s">
        <v>1288</v>
      </c>
      <c r="C474" s="118">
        <v>45798</v>
      </c>
      <c r="D474" s="46" t="s">
        <v>214</v>
      </c>
      <c r="E474" s="47" t="str">
        <f>+_xlfn.XLOOKUP(PROYECTOS[[#This Row],[MUNICIPIO]],MUNICIPIOS!A:A,MUNICIPIOS!E:E,0,0,1)</f>
        <v>Occidente</v>
      </c>
      <c r="F474" s="44">
        <f>+_xlfn.XLOOKUP(PROYECTOS[[#This Row],[MUNICIPIO]],MUNICIPIOS!A:A,MUNICIPIOS!F:F,0,0,1)</f>
        <v>-75.812837999999999</v>
      </c>
      <c r="G474" s="44" t="str">
        <f>+_xlfn.XLOOKUP(PROYECTOS[[#This Row],[MUNICIPIO]],MUNICIPIOS!A:A,MUNICIPIOS!G:G,0,0,1)</f>
        <v>6,677316</v>
      </c>
      <c r="H474" s="44">
        <f>+_xlfn.XLOOKUP(PROYECTOS[[#This Row],[MUNICIPIO]],MUNICIPIOS!A:A,MUNICIPIOS!B:B,0,0,1)</f>
        <v>0</v>
      </c>
      <c r="I474" s="44">
        <f>+_xlfn.XLOOKUP(PROYECTOS[[#This Row],[MUNICIPIO]],MUNICIPIOS!A:A,MUNICIPIOS!C:C,0,0,1)</f>
        <v>0</v>
      </c>
      <c r="J474" s="34" t="str" cm="1">
        <f t="array" ref="J474">_xlfn.TEXTJOIN(" ", TRUE, IF(radicados[ID PROYECTOS]=A474, radicados[RADICADO], ""))</f>
        <v/>
      </c>
      <c r="K474" s="45">
        <v>1</v>
      </c>
      <c r="L474" s="48"/>
      <c r="M474" s="34" t="s">
        <v>435</v>
      </c>
      <c r="N474" s="40" t="s">
        <v>398</v>
      </c>
      <c r="O474" s="40" t="s">
        <v>25</v>
      </c>
      <c r="P474" s="37" t="s">
        <v>1331</v>
      </c>
      <c r="Q474" s="45"/>
      <c r="R474" s="166"/>
      <c r="S474" s="166"/>
      <c r="T474" s="44">
        <f>+_xlfn.XLOOKUP(PROYECTOS[[#This Row],[MUNICIPIO]],'4.CAP_ENDMNT'!B:B,'4.CAP_ENDMNT'!C:C,0,0,1)</f>
        <v>6</v>
      </c>
      <c r="U474" s="167">
        <f>+_xlfn.XLOOKUP(PROYECTOS[[#This Row],[MUNICIPIO]],'4.CAP_ENDMNT'!B:B,'4.CAP_ENDMNT'!D:D,0,0,1)</f>
        <v>8030428413.9210014</v>
      </c>
      <c r="V474" s="44">
        <f>+_xlfn.XLOOKUP(PROYECTOS[[#This Row],[MUNICIPIO]],'4.CAP_ENDMNT'!B:B,'4.CAP_ENDMNT'!E:E,0,0,1)</f>
        <v>3080588699.4500003</v>
      </c>
      <c r="W474" s="44">
        <f>+_xlfn.XLOOKUP(PROYECTOS[[#This Row],[MUNICIPIO]],'4.CAP_ENDMNT'!B:B,'4.CAP_ENDMNT'!F:F,0,0,1)</f>
        <v>4949839714.4710007</v>
      </c>
      <c r="X474" s="44">
        <f>+_xlfn.XLOOKUP(PROYECTOS[[#This Row],[MUNICIPIO]],'4.CAP_ENDMNT'!B:B,'4.CAP_ENDMNT'!G:G,0,0,1)</f>
        <v>1577607418.01</v>
      </c>
      <c r="Y474" s="44">
        <f>+_xlfn.XLOOKUP(PROYECTOS[[#This Row],[MUNICIPIO]],'4.CAP_ENDMNT'!B:B,'4.CAP_ENDMNT'!H:H,0,0,1)</f>
        <v>1800000000</v>
      </c>
      <c r="Z474" s="44">
        <f>+_xlfn.XLOOKUP(PROYECTOS[[#This Row],[MUNICIPIO]],'4.CAP_ENDMNT'!B:B,'4.CAP_ENDMNT'!I:I,0,0,1)</f>
        <v>3377607418.0100002</v>
      </c>
      <c r="AA474" s="134">
        <f>+_xlfn.XLOOKUP(PROYECTOS[[#This Row],[MUNICIPIO]],'4.CAP_ENDMNT'!B:B,'4.CAP_ENDMNT'!J:J,0,0,1)</f>
        <v>0.42060114901900014</v>
      </c>
      <c r="AB474" s="44">
        <f>+_xlfn.XLOOKUP(PROYECTOS[[#This Row],[MUNICIPIO]],'4.CAP_ENDMNT'!B:B,'4.CAP_ENDMNT'!K:K,0,0,1)</f>
        <v>4652820995.9110012</v>
      </c>
      <c r="AC474" s="44">
        <f>+_xlfn.XLOOKUP(PROYECTOS[[#This Row],[MUNICIPIO]],'4.CAP_ENDMNT'!B:B,'4.CAP_ENDMNT'!L:L,0,0,1)</f>
        <v>3722256796.7288013</v>
      </c>
      <c r="AD474" s="44">
        <f>+_xlfn.XLOOKUP(PROYECTOS[[#This Row],[MUNICIPIO]],'4.CAP_ENDMNT'!B:B,'4.CAP_ENDMNT'!M:M,0,0,1)</f>
        <v>2791692597.5466008</v>
      </c>
      <c r="AE474" s="134">
        <f>+_xlfn.XLOOKUP(PROYECTOS[[#This Row],[MUNICIPIO]],'4.CAP_ENDMNT'!B:B,'4.CAP_ENDMNT'!N:N,0,0,1)</f>
        <v>0.46707838501239612</v>
      </c>
      <c r="AF474" s="134">
        <f>+_xlfn.XLOOKUP(PROYECTOS[[#This Row],[MUNICIPIO]],'4.CAP_ENDMNT'!B:B,'4.CAP_ENDMNT'!O:O,0,0,1)</f>
        <v>0.73590701114566914</v>
      </c>
      <c r="AG474" s="134">
        <f>+_xlfn.XLOOKUP(PROYECTOS[[#This Row],[MUNICIPIO]],'4.CAP_ENDMNT'!B:B,'4.CAP_ENDMNT'!P:P,0,0,1)</f>
        <v>0.8</v>
      </c>
      <c r="AH474" s="44" t="str">
        <f>+_xlfn.XLOOKUP(PROYECTOS[[#This Row],[MUNICIPIO]],'4.CAP_ENDMNT'!B:B,'4.CAP_ENDMNT'!Q:Q,0,0,1)</f>
        <v>Cumple</v>
      </c>
      <c r="AI474" s="139">
        <f>+_xlfn.XLOOKUP(PROYECTOS[[#This Row],[MUNICIPIO]],'4.CAP_ENDMNT'!B:B,'4.CAP_ENDMNT'!V:V,0,0,1)</f>
        <v>558338519.50932014</v>
      </c>
      <c r="AJ474" s="139">
        <f>+_xlfn.XLOOKUP(PROYECTOS[[#This Row],[MUNICIPIO]],'4.CAP_ENDMNT'!B:B,'4.CAP_ENDMNT'!Y:Y,0,0,1)</f>
        <v>-4580433251.9440784</v>
      </c>
    </row>
    <row r="475" spans="1:36" ht="15" customHeight="1">
      <c r="A475" s="44">
        <v>589</v>
      </c>
      <c r="B475" s="37" t="s">
        <v>1289</v>
      </c>
      <c r="C475" s="118">
        <v>45798</v>
      </c>
      <c r="D475" s="46" t="s">
        <v>214</v>
      </c>
      <c r="E475" s="47" t="str">
        <f>+_xlfn.XLOOKUP(PROYECTOS[[#This Row],[MUNICIPIO]],MUNICIPIOS!A:A,MUNICIPIOS!E:E,0,0,1)</f>
        <v>Occidente</v>
      </c>
      <c r="F475" s="44">
        <f>+_xlfn.XLOOKUP(PROYECTOS[[#This Row],[MUNICIPIO]],MUNICIPIOS!A:A,MUNICIPIOS!F:F,0,0,1)</f>
        <v>-75.812837999999999</v>
      </c>
      <c r="G475" s="44" t="str">
        <f>+_xlfn.XLOOKUP(PROYECTOS[[#This Row],[MUNICIPIO]],MUNICIPIOS!A:A,MUNICIPIOS!G:G,0,0,1)</f>
        <v>6,677316</v>
      </c>
      <c r="H475" s="44">
        <f>+_xlfn.XLOOKUP(PROYECTOS[[#This Row],[MUNICIPIO]],MUNICIPIOS!A:A,MUNICIPIOS!B:B,0,0,1)</f>
        <v>0</v>
      </c>
      <c r="I475" s="44">
        <f>+_xlfn.XLOOKUP(PROYECTOS[[#This Row],[MUNICIPIO]],MUNICIPIOS!A:A,MUNICIPIOS!C:C,0,0,1)</f>
        <v>0</v>
      </c>
      <c r="J475" s="34" t="str" cm="1">
        <f t="array" ref="J475">_xlfn.TEXTJOIN(" ", TRUE, IF(radicados[ID PROYECTOS]=A475, radicados[RADICADO], ""))</f>
        <v/>
      </c>
      <c r="K475" s="45">
        <v>1</v>
      </c>
      <c r="L475" s="48"/>
      <c r="M475" s="34" t="s">
        <v>761</v>
      </c>
      <c r="N475" s="40" t="s">
        <v>398</v>
      </c>
      <c r="O475" s="40" t="s">
        <v>25</v>
      </c>
      <c r="P475" s="37" t="s">
        <v>1331</v>
      </c>
      <c r="Q475" s="45"/>
      <c r="R475" s="166"/>
      <c r="S475" s="166"/>
      <c r="T475" s="44">
        <f>+_xlfn.XLOOKUP(PROYECTOS[[#This Row],[MUNICIPIO]],'4.CAP_ENDMNT'!B:B,'4.CAP_ENDMNT'!C:C,0,0,1)</f>
        <v>6</v>
      </c>
      <c r="U475" s="167">
        <f>+_xlfn.XLOOKUP(PROYECTOS[[#This Row],[MUNICIPIO]],'4.CAP_ENDMNT'!B:B,'4.CAP_ENDMNT'!D:D,0,0,1)</f>
        <v>8030428413.9210014</v>
      </c>
      <c r="V475" s="44">
        <f>+_xlfn.XLOOKUP(PROYECTOS[[#This Row],[MUNICIPIO]],'4.CAP_ENDMNT'!B:B,'4.CAP_ENDMNT'!E:E,0,0,1)</f>
        <v>3080588699.4500003</v>
      </c>
      <c r="W475" s="44">
        <f>+_xlfn.XLOOKUP(PROYECTOS[[#This Row],[MUNICIPIO]],'4.CAP_ENDMNT'!B:B,'4.CAP_ENDMNT'!F:F,0,0,1)</f>
        <v>4949839714.4710007</v>
      </c>
      <c r="X475" s="44">
        <f>+_xlfn.XLOOKUP(PROYECTOS[[#This Row],[MUNICIPIO]],'4.CAP_ENDMNT'!B:B,'4.CAP_ENDMNT'!G:G,0,0,1)</f>
        <v>1577607418.01</v>
      </c>
      <c r="Y475" s="44">
        <f>+_xlfn.XLOOKUP(PROYECTOS[[#This Row],[MUNICIPIO]],'4.CAP_ENDMNT'!B:B,'4.CAP_ENDMNT'!H:H,0,0,1)</f>
        <v>1800000000</v>
      </c>
      <c r="Z475" s="44">
        <f>+_xlfn.XLOOKUP(PROYECTOS[[#This Row],[MUNICIPIO]],'4.CAP_ENDMNT'!B:B,'4.CAP_ENDMNT'!I:I,0,0,1)</f>
        <v>3377607418.0100002</v>
      </c>
      <c r="AA475" s="134">
        <f>+_xlfn.XLOOKUP(PROYECTOS[[#This Row],[MUNICIPIO]],'4.CAP_ENDMNT'!B:B,'4.CAP_ENDMNT'!J:J,0,0,1)</f>
        <v>0.42060114901900014</v>
      </c>
      <c r="AB475" s="44">
        <f>+_xlfn.XLOOKUP(PROYECTOS[[#This Row],[MUNICIPIO]],'4.CAP_ENDMNT'!B:B,'4.CAP_ENDMNT'!K:K,0,0,1)</f>
        <v>4652820995.9110012</v>
      </c>
      <c r="AC475" s="44">
        <f>+_xlfn.XLOOKUP(PROYECTOS[[#This Row],[MUNICIPIO]],'4.CAP_ENDMNT'!B:B,'4.CAP_ENDMNT'!L:L,0,0,1)</f>
        <v>3722256796.7288013</v>
      </c>
      <c r="AD475" s="44">
        <f>+_xlfn.XLOOKUP(PROYECTOS[[#This Row],[MUNICIPIO]],'4.CAP_ENDMNT'!B:B,'4.CAP_ENDMNT'!M:M,0,0,1)</f>
        <v>2791692597.5466008</v>
      </c>
      <c r="AE475" s="134">
        <f>+_xlfn.XLOOKUP(PROYECTOS[[#This Row],[MUNICIPIO]],'4.CAP_ENDMNT'!B:B,'4.CAP_ENDMNT'!N:N,0,0,1)</f>
        <v>0.46707838501239612</v>
      </c>
      <c r="AF475" s="134">
        <f>+_xlfn.XLOOKUP(PROYECTOS[[#This Row],[MUNICIPIO]],'4.CAP_ENDMNT'!B:B,'4.CAP_ENDMNT'!O:O,0,0,1)</f>
        <v>0.73590701114566914</v>
      </c>
      <c r="AG475" s="134">
        <f>+_xlfn.XLOOKUP(PROYECTOS[[#This Row],[MUNICIPIO]],'4.CAP_ENDMNT'!B:B,'4.CAP_ENDMNT'!P:P,0,0,1)</f>
        <v>0.8</v>
      </c>
      <c r="AH475" s="44" t="str">
        <f>+_xlfn.XLOOKUP(PROYECTOS[[#This Row],[MUNICIPIO]],'4.CAP_ENDMNT'!B:B,'4.CAP_ENDMNT'!Q:Q,0,0,1)</f>
        <v>Cumple</v>
      </c>
      <c r="AI475" s="139">
        <f>+_xlfn.XLOOKUP(PROYECTOS[[#This Row],[MUNICIPIO]],'4.CAP_ENDMNT'!B:B,'4.CAP_ENDMNT'!V:V,0,0,1)</f>
        <v>558338519.50932014</v>
      </c>
      <c r="AJ475" s="139">
        <f>+_xlfn.XLOOKUP(PROYECTOS[[#This Row],[MUNICIPIO]],'4.CAP_ENDMNT'!B:B,'4.CAP_ENDMNT'!Y:Y,0,0,1)</f>
        <v>-4580433251.9440784</v>
      </c>
    </row>
    <row r="476" spans="1:36" ht="15" customHeight="1">
      <c r="A476" s="44">
        <v>590</v>
      </c>
      <c r="B476" s="37" t="s">
        <v>1290</v>
      </c>
      <c r="C476" s="118">
        <v>45798</v>
      </c>
      <c r="D476" s="46" t="s">
        <v>214</v>
      </c>
      <c r="E476" s="47" t="str">
        <f>+_xlfn.XLOOKUP(PROYECTOS[[#This Row],[MUNICIPIO]],MUNICIPIOS!A:A,MUNICIPIOS!E:E,0,0,1)</f>
        <v>Occidente</v>
      </c>
      <c r="F476" s="44">
        <f>+_xlfn.XLOOKUP(PROYECTOS[[#This Row],[MUNICIPIO]],MUNICIPIOS!A:A,MUNICIPIOS!F:F,0,0,1)</f>
        <v>-75.812837999999999</v>
      </c>
      <c r="G476" s="44" t="str">
        <f>+_xlfn.XLOOKUP(PROYECTOS[[#This Row],[MUNICIPIO]],MUNICIPIOS!A:A,MUNICIPIOS!G:G,0,0,1)</f>
        <v>6,677316</v>
      </c>
      <c r="H476" s="44">
        <f>+_xlfn.XLOOKUP(PROYECTOS[[#This Row],[MUNICIPIO]],MUNICIPIOS!A:A,MUNICIPIOS!B:B,0,0,1)</f>
        <v>0</v>
      </c>
      <c r="I476" s="44">
        <f>+_xlfn.XLOOKUP(PROYECTOS[[#This Row],[MUNICIPIO]],MUNICIPIOS!A:A,MUNICIPIOS!C:C,0,0,1)</f>
        <v>0</v>
      </c>
      <c r="J476" s="34" t="str" cm="1">
        <f t="array" ref="J476">_xlfn.TEXTJOIN(" ", TRUE, IF(radicados[ID PROYECTOS]=A476, radicados[RADICADO], ""))</f>
        <v/>
      </c>
      <c r="K476" s="45">
        <v>1</v>
      </c>
      <c r="L476" s="48"/>
      <c r="M476" s="34" t="s">
        <v>761</v>
      </c>
      <c r="N476" s="40" t="s">
        <v>398</v>
      </c>
      <c r="O476" s="40" t="s">
        <v>25</v>
      </c>
      <c r="P476" s="37" t="s">
        <v>1331</v>
      </c>
      <c r="Q476" s="45"/>
      <c r="R476" s="166"/>
      <c r="S476" s="166"/>
      <c r="T476" s="44">
        <f>+_xlfn.XLOOKUP(PROYECTOS[[#This Row],[MUNICIPIO]],'4.CAP_ENDMNT'!B:B,'4.CAP_ENDMNT'!C:C,0,0,1)</f>
        <v>6</v>
      </c>
      <c r="U476" s="167">
        <f>+_xlfn.XLOOKUP(PROYECTOS[[#This Row],[MUNICIPIO]],'4.CAP_ENDMNT'!B:B,'4.CAP_ENDMNT'!D:D,0,0,1)</f>
        <v>8030428413.9210014</v>
      </c>
      <c r="V476" s="44">
        <f>+_xlfn.XLOOKUP(PROYECTOS[[#This Row],[MUNICIPIO]],'4.CAP_ENDMNT'!B:B,'4.CAP_ENDMNT'!E:E,0,0,1)</f>
        <v>3080588699.4500003</v>
      </c>
      <c r="W476" s="44">
        <f>+_xlfn.XLOOKUP(PROYECTOS[[#This Row],[MUNICIPIO]],'4.CAP_ENDMNT'!B:B,'4.CAP_ENDMNT'!F:F,0,0,1)</f>
        <v>4949839714.4710007</v>
      </c>
      <c r="X476" s="44">
        <f>+_xlfn.XLOOKUP(PROYECTOS[[#This Row],[MUNICIPIO]],'4.CAP_ENDMNT'!B:B,'4.CAP_ENDMNT'!G:G,0,0,1)</f>
        <v>1577607418.01</v>
      </c>
      <c r="Y476" s="44">
        <f>+_xlfn.XLOOKUP(PROYECTOS[[#This Row],[MUNICIPIO]],'4.CAP_ENDMNT'!B:B,'4.CAP_ENDMNT'!H:H,0,0,1)</f>
        <v>1800000000</v>
      </c>
      <c r="Z476" s="44">
        <f>+_xlfn.XLOOKUP(PROYECTOS[[#This Row],[MUNICIPIO]],'4.CAP_ENDMNT'!B:B,'4.CAP_ENDMNT'!I:I,0,0,1)</f>
        <v>3377607418.0100002</v>
      </c>
      <c r="AA476" s="134">
        <f>+_xlfn.XLOOKUP(PROYECTOS[[#This Row],[MUNICIPIO]],'4.CAP_ENDMNT'!B:B,'4.CAP_ENDMNT'!J:J,0,0,1)</f>
        <v>0.42060114901900014</v>
      </c>
      <c r="AB476" s="44">
        <f>+_xlfn.XLOOKUP(PROYECTOS[[#This Row],[MUNICIPIO]],'4.CAP_ENDMNT'!B:B,'4.CAP_ENDMNT'!K:K,0,0,1)</f>
        <v>4652820995.9110012</v>
      </c>
      <c r="AC476" s="44">
        <f>+_xlfn.XLOOKUP(PROYECTOS[[#This Row],[MUNICIPIO]],'4.CAP_ENDMNT'!B:B,'4.CAP_ENDMNT'!L:L,0,0,1)</f>
        <v>3722256796.7288013</v>
      </c>
      <c r="AD476" s="44">
        <f>+_xlfn.XLOOKUP(PROYECTOS[[#This Row],[MUNICIPIO]],'4.CAP_ENDMNT'!B:B,'4.CAP_ENDMNT'!M:M,0,0,1)</f>
        <v>2791692597.5466008</v>
      </c>
      <c r="AE476" s="134">
        <f>+_xlfn.XLOOKUP(PROYECTOS[[#This Row],[MUNICIPIO]],'4.CAP_ENDMNT'!B:B,'4.CAP_ENDMNT'!N:N,0,0,1)</f>
        <v>0.46707838501239612</v>
      </c>
      <c r="AF476" s="134">
        <f>+_xlfn.XLOOKUP(PROYECTOS[[#This Row],[MUNICIPIO]],'4.CAP_ENDMNT'!B:B,'4.CAP_ENDMNT'!O:O,0,0,1)</f>
        <v>0.73590701114566914</v>
      </c>
      <c r="AG476" s="134">
        <f>+_xlfn.XLOOKUP(PROYECTOS[[#This Row],[MUNICIPIO]],'4.CAP_ENDMNT'!B:B,'4.CAP_ENDMNT'!P:P,0,0,1)</f>
        <v>0.8</v>
      </c>
      <c r="AH476" s="44" t="str">
        <f>+_xlfn.XLOOKUP(PROYECTOS[[#This Row],[MUNICIPIO]],'4.CAP_ENDMNT'!B:B,'4.CAP_ENDMNT'!Q:Q,0,0,1)</f>
        <v>Cumple</v>
      </c>
      <c r="AI476" s="139">
        <f>+_xlfn.XLOOKUP(PROYECTOS[[#This Row],[MUNICIPIO]],'4.CAP_ENDMNT'!B:B,'4.CAP_ENDMNT'!V:V,0,0,1)</f>
        <v>558338519.50932014</v>
      </c>
      <c r="AJ476" s="139">
        <f>+_xlfn.XLOOKUP(PROYECTOS[[#This Row],[MUNICIPIO]],'4.CAP_ENDMNT'!B:B,'4.CAP_ENDMNT'!Y:Y,0,0,1)</f>
        <v>-4580433251.9440784</v>
      </c>
    </row>
    <row r="477" spans="1:36" ht="15" customHeight="1">
      <c r="A477" s="44">
        <v>591</v>
      </c>
      <c r="B477" s="37" t="s">
        <v>1291</v>
      </c>
      <c r="C477" s="118">
        <v>45798</v>
      </c>
      <c r="D477" s="46" t="s">
        <v>214</v>
      </c>
      <c r="E477" s="47" t="str">
        <f>+_xlfn.XLOOKUP(PROYECTOS[[#This Row],[MUNICIPIO]],MUNICIPIOS!A:A,MUNICIPIOS!E:E,0,0,1)</f>
        <v>Occidente</v>
      </c>
      <c r="F477" s="44">
        <f>+_xlfn.XLOOKUP(PROYECTOS[[#This Row],[MUNICIPIO]],MUNICIPIOS!A:A,MUNICIPIOS!F:F,0,0,1)</f>
        <v>-75.812837999999999</v>
      </c>
      <c r="G477" s="44" t="str">
        <f>+_xlfn.XLOOKUP(PROYECTOS[[#This Row],[MUNICIPIO]],MUNICIPIOS!A:A,MUNICIPIOS!G:G,0,0,1)</f>
        <v>6,677316</v>
      </c>
      <c r="H477" s="44">
        <f>+_xlfn.XLOOKUP(PROYECTOS[[#This Row],[MUNICIPIO]],MUNICIPIOS!A:A,MUNICIPIOS!B:B,0,0,1)</f>
        <v>0</v>
      </c>
      <c r="I477" s="44">
        <f>+_xlfn.XLOOKUP(PROYECTOS[[#This Row],[MUNICIPIO]],MUNICIPIOS!A:A,MUNICIPIOS!C:C,0,0,1)</f>
        <v>0</v>
      </c>
      <c r="J477" s="34" t="str" cm="1">
        <f t="array" ref="J477">_xlfn.TEXTJOIN(" ", TRUE, IF(radicados[ID PROYECTOS]=A477, radicados[RADICADO], ""))</f>
        <v/>
      </c>
      <c r="K477" s="45">
        <v>1</v>
      </c>
      <c r="L477" s="48"/>
      <c r="M477" s="34" t="s">
        <v>435</v>
      </c>
      <c r="N477" s="40" t="s">
        <v>398</v>
      </c>
      <c r="O477" s="40" t="s">
        <v>25</v>
      </c>
      <c r="P477" s="37" t="s">
        <v>1332</v>
      </c>
      <c r="Q477" s="45"/>
      <c r="R477" s="166"/>
      <c r="S477" s="166"/>
      <c r="T477" s="44">
        <f>+_xlfn.XLOOKUP(PROYECTOS[[#This Row],[MUNICIPIO]],'4.CAP_ENDMNT'!B:B,'4.CAP_ENDMNT'!C:C,0,0,1)</f>
        <v>6</v>
      </c>
      <c r="U477" s="167">
        <f>+_xlfn.XLOOKUP(PROYECTOS[[#This Row],[MUNICIPIO]],'4.CAP_ENDMNT'!B:B,'4.CAP_ENDMNT'!D:D,0,0,1)</f>
        <v>8030428413.9210014</v>
      </c>
      <c r="V477" s="44">
        <f>+_xlfn.XLOOKUP(PROYECTOS[[#This Row],[MUNICIPIO]],'4.CAP_ENDMNT'!B:B,'4.CAP_ENDMNT'!E:E,0,0,1)</f>
        <v>3080588699.4500003</v>
      </c>
      <c r="W477" s="44">
        <f>+_xlfn.XLOOKUP(PROYECTOS[[#This Row],[MUNICIPIO]],'4.CAP_ENDMNT'!B:B,'4.CAP_ENDMNT'!F:F,0,0,1)</f>
        <v>4949839714.4710007</v>
      </c>
      <c r="X477" s="44">
        <f>+_xlfn.XLOOKUP(PROYECTOS[[#This Row],[MUNICIPIO]],'4.CAP_ENDMNT'!B:B,'4.CAP_ENDMNT'!G:G,0,0,1)</f>
        <v>1577607418.01</v>
      </c>
      <c r="Y477" s="44">
        <f>+_xlfn.XLOOKUP(PROYECTOS[[#This Row],[MUNICIPIO]],'4.CAP_ENDMNT'!B:B,'4.CAP_ENDMNT'!H:H,0,0,1)</f>
        <v>1800000000</v>
      </c>
      <c r="Z477" s="44">
        <f>+_xlfn.XLOOKUP(PROYECTOS[[#This Row],[MUNICIPIO]],'4.CAP_ENDMNT'!B:B,'4.CAP_ENDMNT'!I:I,0,0,1)</f>
        <v>3377607418.0100002</v>
      </c>
      <c r="AA477" s="134">
        <f>+_xlfn.XLOOKUP(PROYECTOS[[#This Row],[MUNICIPIO]],'4.CAP_ENDMNT'!B:B,'4.CAP_ENDMNT'!J:J,0,0,1)</f>
        <v>0.42060114901900014</v>
      </c>
      <c r="AB477" s="44">
        <f>+_xlfn.XLOOKUP(PROYECTOS[[#This Row],[MUNICIPIO]],'4.CAP_ENDMNT'!B:B,'4.CAP_ENDMNT'!K:K,0,0,1)</f>
        <v>4652820995.9110012</v>
      </c>
      <c r="AC477" s="44">
        <f>+_xlfn.XLOOKUP(PROYECTOS[[#This Row],[MUNICIPIO]],'4.CAP_ENDMNT'!B:B,'4.CAP_ENDMNT'!L:L,0,0,1)</f>
        <v>3722256796.7288013</v>
      </c>
      <c r="AD477" s="44">
        <f>+_xlfn.XLOOKUP(PROYECTOS[[#This Row],[MUNICIPIO]],'4.CAP_ENDMNT'!B:B,'4.CAP_ENDMNT'!M:M,0,0,1)</f>
        <v>2791692597.5466008</v>
      </c>
      <c r="AE477" s="134">
        <f>+_xlfn.XLOOKUP(PROYECTOS[[#This Row],[MUNICIPIO]],'4.CAP_ENDMNT'!B:B,'4.CAP_ENDMNT'!N:N,0,0,1)</f>
        <v>0.46707838501239612</v>
      </c>
      <c r="AF477" s="134">
        <f>+_xlfn.XLOOKUP(PROYECTOS[[#This Row],[MUNICIPIO]],'4.CAP_ENDMNT'!B:B,'4.CAP_ENDMNT'!O:O,0,0,1)</f>
        <v>0.73590701114566914</v>
      </c>
      <c r="AG477" s="134">
        <f>+_xlfn.XLOOKUP(PROYECTOS[[#This Row],[MUNICIPIO]],'4.CAP_ENDMNT'!B:B,'4.CAP_ENDMNT'!P:P,0,0,1)</f>
        <v>0.8</v>
      </c>
      <c r="AH477" s="44" t="str">
        <f>+_xlfn.XLOOKUP(PROYECTOS[[#This Row],[MUNICIPIO]],'4.CAP_ENDMNT'!B:B,'4.CAP_ENDMNT'!Q:Q,0,0,1)</f>
        <v>Cumple</v>
      </c>
      <c r="AI477" s="139">
        <f>+_xlfn.XLOOKUP(PROYECTOS[[#This Row],[MUNICIPIO]],'4.CAP_ENDMNT'!B:B,'4.CAP_ENDMNT'!V:V,0,0,1)</f>
        <v>558338519.50932014</v>
      </c>
      <c r="AJ477" s="139">
        <f>+_xlfn.XLOOKUP(PROYECTOS[[#This Row],[MUNICIPIO]],'4.CAP_ENDMNT'!B:B,'4.CAP_ENDMNT'!Y:Y,0,0,1)</f>
        <v>-4580433251.9440784</v>
      </c>
    </row>
    <row r="478" spans="1:36" ht="15" customHeight="1">
      <c r="A478" s="44">
        <v>592</v>
      </c>
      <c r="B478" s="37" t="s">
        <v>1292</v>
      </c>
      <c r="C478" s="118">
        <v>45798</v>
      </c>
      <c r="D478" s="46" t="s">
        <v>311</v>
      </c>
      <c r="E478" s="47" t="str">
        <f>+_xlfn.XLOOKUP(PROYECTOS[[#This Row],[MUNICIPIO]],MUNICIPIOS!A:A,MUNICIPIOS!E:E,0,0,1)</f>
        <v>Magdalena Medio</v>
      </c>
      <c r="F478" s="44">
        <f>+_xlfn.XLOOKUP(PROYECTOS[[#This Row],[MUNICIPIO]],MUNICIPIOS!A:A,MUNICIPIOS!F:F,0,0,1)</f>
        <v>-74.78716</v>
      </c>
      <c r="G478" s="44" t="str">
        <f>+_xlfn.XLOOKUP(PROYECTOS[[#This Row],[MUNICIPIO]],MUNICIPIOS!A:A,MUNICIPIOS!G:G,0,0,1)</f>
        <v>6,552116</v>
      </c>
      <c r="H478" s="44">
        <f>+_xlfn.XLOOKUP(PROYECTOS[[#This Row],[MUNICIPIO]],MUNICIPIOS!A:A,MUNICIPIOS!B:B,0,0,1)</f>
        <v>0</v>
      </c>
      <c r="I478" s="44">
        <f>+_xlfn.XLOOKUP(PROYECTOS[[#This Row],[MUNICIPIO]],MUNICIPIOS!A:A,MUNICIPIOS!C:C,0,0,1)</f>
        <v>0</v>
      </c>
      <c r="J478" s="34" t="str" cm="1">
        <f t="array" ref="J478">_xlfn.TEXTJOIN(" ", TRUE, IF(radicados[ID PROYECTOS]=A478, radicados[RADICADO], ""))</f>
        <v/>
      </c>
      <c r="K478" s="45">
        <v>1</v>
      </c>
      <c r="L478" s="48"/>
      <c r="M478" s="34" t="s">
        <v>435</v>
      </c>
      <c r="N478" s="40" t="s">
        <v>398</v>
      </c>
      <c r="O478" s="40" t="s">
        <v>25</v>
      </c>
      <c r="P478" s="37" t="s">
        <v>1333</v>
      </c>
      <c r="Q478" s="45"/>
      <c r="R478" s="166"/>
      <c r="S478" s="166"/>
      <c r="T478" s="44">
        <f>+_xlfn.XLOOKUP(PROYECTOS[[#This Row],[MUNICIPIO]],'4.CAP_ENDMNT'!B:B,'4.CAP_ENDMNT'!C:C,0,0,1)</f>
        <v>6</v>
      </c>
      <c r="U478" s="167">
        <f>+_xlfn.XLOOKUP(PROYECTOS[[#This Row],[MUNICIPIO]],'4.CAP_ENDMNT'!B:B,'4.CAP_ENDMNT'!D:D,0,0,1)</f>
        <v>12443958135.744499</v>
      </c>
      <c r="V478" s="44">
        <f>+_xlfn.XLOOKUP(PROYECTOS[[#This Row],[MUNICIPIO]],'4.CAP_ENDMNT'!B:B,'4.CAP_ENDMNT'!E:E,0,0,1)</f>
        <v>4756407219.6099997</v>
      </c>
      <c r="W478" s="44">
        <f>+_xlfn.XLOOKUP(PROYECTOS[[#This Row],[MUNICIPIO]],'4.CAP_ENDMNT'!B:B,'4.CAP_ENDMNT'!F:F,0,0,1)</f>
        <v>7687550916.1344995</v>
      </c>
      <c r="X478" s="44">
        <f>+_xlfn.XLOOKUP(PROYECTOS[[#This Row],[MUNICIPIO]],'4.CAP_ENDMNT'!B:B,'4.CAP_ENDMNT'!G:G,0,0,1)</f>
        <v>8000000000</v>
      </c>
      <c r="Y478" s="44">
        <f>+_xlfn.XLOOKUP(PROYECTOS[[#This Row],[MUNICIPIO]],'4.CAP_ENDMNT'!B:B,'4.CAP_ENDMNT'!H:H,0,0,1)</f>
        <v>0</v>
      </c>
      <c r="Z478" s="44">
        <f>+_xlfn.XLOOKUP(PROYECTOS[[#This Row],[MUNICIPIO]],'4.CAP_ENDMNT'!B:B,'4.CAP_ENDMNT'!I:I,0,0,1)</f>
        <v>8000000000</v>
      </c>
      <c r="AA478" s="134">
        <f>+_xlfn.XLOOKUP(PROYECTOS[[#This Row],[MUNICIPIO]],'4.CAP_ENDMNT'!B:B,'4.CAP_ENDMNT'!J:J,0,0,1)</f>
        <v>0.64288226565312012</v>
      </c>
      <c r="AB478" s="44">
        <f>+_xlfn.XLOOKUP(PROYECTOS[[#This Row],[MUNICIPIO]],'4.CAP_ENDMNT'!B:B,'4.CAP_ENDMNT'!K:K,0,0,1)</f>
        <v>4443958135.7444992</v>
      </c>
      <c r="AC478" s="44">
        <f>+_xlfn.XLOOKUP(PROYECTOS[[#This Row],[MUNICIPIO]],'4.CAP_ENDMNT'!B:B,'4.CAP_ENDMNT'!L:L,0,0,1)</f>
        <v>3555166508.5955997</v>
      </c>
      <c r="AD478" s="44">
        <f>+_xlfn.XLOOKUP(PROYECTOS[[#This Row],[MUNICIPIO]],'4.CAP_ENDMNT'!B:B,'4.CAP_ENDMNT'!M:M,0,0,1)</f>
        <v>2666374881.4466996</v>
      </c>
      <c r="AE478" s="134">
        <f>+_xlfn.XLOOKUP(PROYECTOS[[#This Row],[MUNICIPIO]],'4.CAP_ENDMNT'!B:B,'4.CAP_ENDMNT'!N:N,0,0,1)</f>
        <v>1</v>
      </c>
      <c r="AF478" s="134">
        <f>+_xlfn.XLOOKUP(PROYECTOS[[#This Row],[MUNICIPIO]],'4.CAP_ENDMNT'!B:B,'4.CAP_ENDMNT'!O:O,0,0,1)</f>
        <v>0.49448054880206244</v>
      </c>
      <c r="AG478" s="134">
        <f>+_xlfn.XLOOKUP(PROYECTOS[[#This Row],[MUNICIPIO]],'4.CAP_ENDMNT'!B:B,'4.CAP_ENDMNT'!P:P,0,0,1)</f>
        <v>0.8</v>
      </c>
      <c r="AH478" s="44" t="str">
        <f>+_xlfn.XLOOKUP(PROYECTOS[[#This Row],[MUNICIPIO]],'4.CAP_ENDMNT'!B:B,'4.CAP_ENDMNT'!Q:Q,0,0,1)</f>
        <v>Cumple</v>
      </c>
      <c r="AI478" s="139">
        <f>+_xlfn.XLOOKUP(PROYECTOS[[#This Row],[MUNICIPIO]],'4.CAP_ENDMNT'!B:B,'4.CAP_ENDMNT'!V:V,0,0,1)</f>
        <v>533274976.28933996</v>
      </c>
      <c r="AJ478" s="139">
        <f>+_xlfn.XLOOKUP(PROYECTOS[[#This Row],[MUNICIPIO]],'4.CAP_ENDMNT'!B:B,'4.CAP_ENDMNT'!Y:Y,0,0,1)</f>
        <v>-10227839015.26396</v>
      </c>
    </row>
    <row r="479" spans="1:36" ht="15" customHeight="1">
      <c r="A479" s="44">
        <v>593</v>
      </c>
      <c r="B479" s="37" t="s">
        <v>1503</v>
      </c>
      <c r="C479" s="118">
        <v>45798</v>
      </c>
      <c r="D479" s="46" t="s">
        <v>153</v>
      </c>
      <c r="E479" s="47" t="str">
        <f>+_xlfn.XLOOKUP(PROYECTOS[[#This Row],[MUNICIPIO]],MUNICIPIOS!A:A,MUNICIPIOS!E:E,0,0,1)</f>
        <v>Urabá</v>
      </c>
      <c r="F479" s="44">
        <f>+_xlfn.XLOOKUP(PROYECTOS[[#This Row],[MUNICIPIO]],MUNICIPIOS!A:A,MUNICIPIOS!F:F,0,0,1)</f>
        <v>-76.787271000000004</v>
      </c>
      <c r="G479" s="44" t="str">
        <f>+_xlfn.XLOOKUP(PROYECTOS[[#This Row],[MUNICIPIO]],MUNICIPIOS!A:A,MUNICIPIOS!G:G,0,0,1)</f>
        <v>8,434526</v>
      </c>
      <c r="H479" s="44">
        <f>+_xlfn.XLOOKUP(PROYECTOS[[#This Row],[MUNICIPIO]],MUNICIPIOS!A:A,MUNICIPIOS!B:B,0,0,1)</f>
        <v>1</v>
      </c>
      <c r="I479" s="44">
        <f>+_xlfn.XLOOKUP(PROYECTOS[[#This Row],[MUNICIPIO]],MUNICIPIOS!A:A,MUNICIPIOS!C:C,0,0,1)</f>
        <v>1</v>
      </c>
      <c r="J479" s="34" t="str" cm="1">
        <f t="array" ref="J479">_xlfn.TEXTJOIN(" ", TRUE, IF(radicados[ID PROYECTOS]=A479, radicados[RADICADO], ""))</f>
        <v/>
      </c>
      <c r="K479" s="45">
        <v>3</v>
      </c>
      <c r="L479" s="48">
        <v>3750563800</v>
      </c>
      <c r="M479" s="34" t="s">
        <v>435</v>
      </c>
      <c r="N479" s="40" t="s">
        <v>398</v>
      </c>
      <c r="O479" s="40" t="s">
        <v>25</v>
      </c>
      <c r="P479" s="37" t="s">
        <v>1334</v>
      </c>
      <c r="Q479" s="45"/>
      <c r="R479" s="166"/>
      <c r="S479" s="166"/>
      <c r="T479" s="44">
        <f>+_xlfn.XLOOKUP(PROYECTOS[[#This Row],[MUNICIPIO]],'4.CAP_ENDMNT'!B:B,'4.CAP_ENDMNT'!C:C,0,0,1)</f>
        <v>6</v>
      </c>
      <c r="U479" s="167">
        <f>+_xlfn.XLOOKUP(PROYECTOS[[#This Row],[MUNICIPIO]],'4.CAP_ENDMNT'!B:B,'4.CAP_ENDMNT'!D:D,0,0,1)</f>
        <v>30137297790.127998</v>
      </c>
      <c r="V479" s="44">
        <f>+_xlfn.XLOOKUP(PROYECTOS[[#This Row],[MUNICIPIO]],'4.CAP_ENDMNT'!B:B,'4.CAP_ENDMNT'!E:E,0,0,1)</f>
        <v>12298726691.530001</v>
      </c>
      <c r="W479" s="44">
        <f>+_xlfn.XLOOKUP(PROYECTOS[[#This Row],[MUNICIPIO]],'4.CAP_ENDMNT'!B:B,'4.CAP_ENDMNT'!F:F,0,0,1)</f>
        <v>17838571098.598</v>
      </c>
      <c r="X479" s="44">
        <f>+_xlfn.XLOOKUP(PROYECTOS[[#This Row],[MUNICIPIO]],'4.CAP_ENDMNT'!B:B,'4.CAP_ENDMNT'!G:G,0,0,1)</f>
        <v>2369107602</v>
      </c>
      <c r="Y479" s="44">
        <f>+_xlfn.XLOOKUP(PROYECTOS[[#This Row],[MUNICIPIO]],'4.CAP_ENDMNT'!B:B,'4.CAP_ENDMNT'!H:H,0,0,1)</f>
        <v>13974896585</v>
      </c>
      <c r="Z479" s="44">
        <f>+_xlfn.XLOOKUP(PROYECTOS[[#This Row],[MUNICIPIO]],'4.CAP_ENDMNT'!B:B,'4.CAP_ENDMNT'!I:I,0,0,1)</f>
        <v>16344004187</v>
      </c>
      <c r="AA479" s="134">
        <f>+_xlfn.XLOOKUP(PROYECTOS[[#This Row],[MUNICIPIO]],'4.CAP_ENDMNT'!B:B,'4.CAP_ENDMNT'!J:J,0,0,1)</f>
        <v>0.54231817002364979</v>
      </c>
      <c r="AB479" s="44">
        <f>+_xlfn.XLOOKUP(PROYECTOS[[#This Row],[MUNICIPIO]],'4.CAP_ENDMNT'!B:B,'4.CAP_ENDMNT'!K:K,0,0,1)</f>
        <v>13793293603.127998</v>
      </c>
      <c r="AC479" s="44">
        <f>+_xlfn.XLOOKUP(PROYECTOS[[#This Row],[MUNICIPIO]],'4.CAP_ENDMNT'!B:B,'4.CAP_ENDMNT'!L:L,0,0,1)</f>
        <v>11034634882.502399</v>
      </c>
      <c r="AD479" s="44">
        <f>+_xlfn.XLOOKUP(PROYECTOS[[#This Row],[MUNICIPIO]],'4.CAP_ENDMNT'!B:B,'4.CAP_ENDMNT'!M:M,0,0,1)</f>
        <v>8275976161.8767986</v>
      </c>
      <c r="AE479" s="134">
        <f>+_xlfn.XLOOKUP(PROYECTOS[[#This Row],[MUNICIPIO]],'4.CAP_ENDMNT'!B:B,'4.CAP_ENDMNT'!N:N,0,0,1)</f>
        <v>0.1449527040554961</v>
      </c>
      <c r="AF479" s="134">
        <f>+_xlfn.XLOOKUP(PROYECTOS[[#This Row],[MUNICIPIO]],'4.CAP_ENDMNT'!B:B,'4.CAP_ENDMNT'!O:O,0,0,1)</f>
        <v>0.58055985759165929</v>
      </c>
      <c r="AG479" s="134">
        <f>+_xlfn.XLOOKUP(PROYECTOS[[#This Row],[MUNICIPIO]],'4.CAP_ENDMNT'!B:B,'4.CAP_ENDMNT'!P:P,0,0,1)</f>
        <v>0.8</v>
      </c>
      <c r="AH479" s="44" t="str">
        <f>+_xlfn.XLOOKUP(PROYECTOS[[#This Row],[MUNICIPIO]],'4.CAP_ENDMNT'!B:B,'4.CAP_ENDMNT'!Q:Q,0,0,1)</f>
        <v>Cumple</v>
      </c>
      <c r="AI479" s="139">
        <f>+_xlfn.XLOOKUP(PROYECTOS[[#This Row],[MUNICIPIO]],'4.CAP_ENDMNT'!B:B,'4.CAP_ENDMNT'!V:V,0,0,1)</f>
        <v>1655195232.3753598</v>
      </c>
      <c r="AJ479" s="139">
        <f>+_xlfn.XLOOKUP(PROYECTOS[[#This Row],[MUNICIPIO]],'4.CAP_ENDMNT'!B:B,'4.CAP_ENDMNT'!Y:Y,0,0,1)</f>
        <v>-48565434249.747841</v>
      </c>
    </row>
    <row r="480" spans="1:36" ht="15" customHeight="1">
      <c r="A480" s="44">
        <v>594</v>
      </c>
      <c r="B480" s="37" t="s">
        <v>1293</v>
      </c>
      <c r="C480" s="118">
        <v>45798</v>
      </c>
      <c r="D480" s="46" t="s">
        <v>452</v>
      </c>
      <c r="E480" s="47" t="str">
        <f>+_xlfn.XLOOKUP(PROYECTOS[[#This Row],[MUNICIPIO]],MUNICIPIOS!A:A,MUNICIPIOS!E:E,0,0,1)</f>
        <v>Occidente</v>
      </c>
      <c r="F480" s="44">
        <f>+_xlfn.XLOOKUP(PROYECTOS[[#This Row],[MUNICIPIO]],MUNICIPIOS!A:A,MUNICIPIOS!F:F,0,0,1)</f>
        <v>-75.910357000000005</v>
      </c>
      <c r="G480" s="44" t="str">
        <f>+_xlfn.XLOOKUP(PROYECTOS[[#This Row],[MUNICIPIO]],MUNICIPIOS!A:A,MUNICIPIOS!G:G,0,0,1)</f>
        <v>7,021029</v>
      </c>
      <c r="H480" s="44">
        <f>+_xlfn.XLOOKUP(PROYECTOS[[#This Row],[MUNICIPIO]],MUNICIPIOS!A:A,MUNICIPIOS!B:B,0,0,1)</f>
        <v>0</v>
      </c>
      <c r="I480" s="44">
        <f>+_xlfn.XLOOKUP(PROYECTOS[[#This Row],[MUNICIPIO]],MUNICIPIOS!A:A,MUNICIPIOS!C:C,0,0,1)</f>
        <v>0</v>
      </c>
      <c r="J480" s="34" t="str" cm="1">
        <f t="array" ref="J480">_xlfn.TEXTJOIN(" ", TRUE, IF(radicados[ID PROYECTOS]=A480, radicados[RADICADO], ""))</f>
        <v/>
      </c>
      <c r="K480" s="45">
        <v>3</v>
      </c>
      <c r="L480" s="48">
        <v>1329105000</v>
      </c>
      <c r="M480" s="34" t="s">
        <v>761</v>
      </c>
      <c r="N480" s="40" t="s">
        <v>394</v>
      </c>
      <c r="O480" s="40" t="s">
        <v>18</v>
      </c>
      <c r="P480" s="37" t="s">
        <v>1323</v>
      </c>
      <c r="Q480" s="45"/>
      <c r="R480" s="166"/>
      <c r="S480" s="166"/>
      <c r="T480" s="44">
        <f>+_xlfn.XLOOKUP(PROYECTOS[[#This Row],[MUNICIPIO]],'4.CAP_ENDMNT'!B:B,'4.CAP_ENDMNT'!C:C,0,0,1)</f>
        <v>6</v>
      </c>
      <c r="U480" s="167">
        <f>+_xlfn.XLOOKUP(PROYECTOS[[#This Row],[MUNICIPIO]],'4.CAP_ENDMNT'!B:B,'4.CAP_ENDMNT'!D:D,0,0,1)</f>
        <v>13002660545.618999</v>
      </c>
      <c r="V480" s="44">
        <f>+_xlfn.XLOOKUP(PROYECTOS[[#This Row],[MUNICIPIO]],'4.CAP_ENDMNT'!B:B,'4.CAP_ENDMNT'!E:E,0,0,1)</f>
        <v>2851909764.96</v>
      </c>
      <c r="W480" s="44">
        <f>+_xlfn.XLOOKUP(PROYECTOS[[#This Row],[MUNICIPIO]],'4.CAP_ENDMNT'!B:B,'4.CAP_ENDMNT'!F:F,0,0,1)</f>
        <v>10150750780.659</v>
      </c>
      <c r="X480" s="44">
        <f>+_xlfn.XLOOKUP(PROYECTOS[[#This Row],[MUNICIPIO]],'4.CAP_ENDMNT'!B:B,'4.CAP_ENDMNT'!G:G,0,0,1)</f>
        <v>3580400217</v>
      </c>
      <c r="Y480" s="44">
        <f>+_xlfn.XLOOKUP(PROYECTOS[[#This Row],[MUNICIPIO]],'4.CAP_ENDMNT'!B:B,'4.CAP_ENDMNT'!H:H,0,0,1)</f>
        <v>0</v>
      </c>
      <c r="Z480" s="44">
        <f>+_xlfn.XLOOKUP(PROYECTOS[[#This Row],[MUNICIPIO]],'4.CAP_ENDMNT'!B:B,'4.CAP_ENDMNT'!I:I,0,0,1)</f>
        <v>3580400217</v>
      </c>
      <c r="AA480" s="134">
        <f>+_xlfn.XLOOKUP(PROYECTOS[[#This Row],[MUNICIPIO]],'4.CAP_ENDMNT'!B:B,'4.CAP_ENDMNT'!J:J,0,0,1)</f>
        <v>0.27535904705336234</v>
      </c>
      <c r="AB480" s="44">
        <f>+_xlfn.XLOOKUP(PROYECTOS[[#This Row],[MUNICIPIO]],'4.CAP_ENDMNT'!B:B,'4.CAP_ENDMNT'!K:K,0,0,1)</f>
        <v>9422260328.6189995</v>
      </c>
      <c r="AC480" s="44">
        <f>+_xlfn.XLOOKUP(PROYECTOS[[#This Row],[MUNICIPIO]],'4.CAP_ENDMNT'!B:B,'4.CAP_ENDMNT'!L:L,0,0,1)</f>
        <v>7537808262.8951998</v>
      </c>
      <c r="AD480" s="44">
        <f>+_xlfn.XLOOKUP(PROYECTOS[[#This Row],[MUNICIPIO]],'4.CAP_ENDMNT'!B:B,'4.CAP_ENDMNT'!M:M,0,0,1)</f>
        <v>5653356197.1713991</v>
      </c>
      <c r="AE480" s="134">
        <f>+_xlfn.XLOOKUP(PROYECTOS[[#This Row],[MUNICIPIO]],'4.CAP_ENDMNT'!B:B,'4.CAP_ENDMNT'!N:N,0,0,1)</f>
        <v>1</v>
      </c>
      <c r="AF480" s="134">
        <f>+_xlfn.XLOOKUP(PROYECTOS[[#This Row],[MUNICIPIO]],'4.CAP_ENDMNT'!B:B,'4.CAP_ENDMNT'!O:O,0,0,1)</f>
        <v>0.60546314083774588</v>
      </c>
      <c r="AG480" s="134">
        <f>+_xlfn.XLOOKUP(PROYECTOS[[#This Row],[MUNICIPIO]],'4.CAP_ENDMNT'!B:B,'4.CAP_ENDMNT'!P:P,0,0,1)</f>
        <v>0.8</v>
      </c>
      <c r="AH480" s="44" t="str">
        <f>+_xlfn.XLOOKUP(PROYECTOS[[#This Row],[MUNICIPIO]],'4.CAP_ENDMNT'!B:B,'4.CAP_ENDMNT'!Q:Q,0,0,1)</f>
        <v>Cumple</v>
      </c>
      <c r="AI480" s="139">
        <f>+_xlfn.XLOOKUP(PROYECTOS[[#This Row],[MUNICIPIO]],'4.CAP_ENDMNT'!B:B,'4.CAP_ENDMNT'!V:V,0,0,1)</f>
        <v>1130671239.4342799</v>
      </c>
      <c r="AJ480" s="139">
        <f>+_xlfn.XLOOKUP(PROYECTOS[[#This Row],[MUNICIPIO]],'4.CAP_ENDMNT'!B:B,'4.CAP_ENDMNT'!Y:Y,0,0,1)</f>
        <v>-65295013.394321442</v>
      </c>
    </row>
    <row r="481" spans="1:36" ht="15" customHeight="1">
      <c r="A481" s="44">
        <v>595</v>
      </c>
      <c r="B481" s="37" t="s">
        <v>1294</v>
      </c>
      <c r="C481" s="118">
        <v>45798</v>
      </c>
      <c r="D481" s="46" t="s">
        <v>452</v>
      </c>
      <c r="E481" s="47" t="str">
        <f>+_xlfn.XLOOKUP(PROYECTOS[[#This Row],[MUNICIPIO]],MUNICIPIOS!A:A,MUNICIPIOS!E:E,0,0,1)</f>
        <v>Occidente</v>
      </c>
      <c r="F481" s="44">
        <f>+_xlfn.XLOOKUP(PROYECTOS[[#This Row],[MUNICIPIO]],MUNICIPIOS!A:A,MUNICIPIOS!F:F,0,0,1)</f>
        <v>-75.910357000000005</v>
      </c>
      <c r="G481" s="44" t="str">
        <f>+_xlfn.XLOOKUP(PROYECTOS[[#This Row],[MUNICIPIO]],MUNICIPIOS!A:A,MUNICIPIOS!G:G,0,0,1)</f>
        <v>7,021029</v>
      </c>
      <c r="H481" s="44">
        <f>+_xlfn.XLOOKUP(PROYECTOS[[#This Row],[MUNICIPIO]],MUNICIPIOS!A:A,MUNICIPIOS!B:B,0,0,1)</f>
        <v>0</v>
      </c>
      <c r="I481" s="44">
        <f>+_xlfn.XLOOKUP(PROYECTOS[[#This Row],[MUNICIPIO]],MUNICIPIOS!A:A,MUNICIPIOS!C:C,0,0,1)</f>
        <v>0</v>
      </c>
      <c r="J481" s="34" t="str" cm="1">
        <f t="array" ref="J481">_xlfn.TEXTJOIN(" ", TRUE, IF(radicados[ID PROYECTOS]=A481, radicados[RADICADO], ""))</f>
        <v/>
      </c>
      <c r="K481" s="45">
        <v>1</v>
      </c>
      <c r="L481" s="48"/>
      <c r="M481" s="34" t="s">
        <v>761</v>
      </c>
      <c r="N481" s="40" t="s">
        <v>397</v>
      </c>
      <c r="O481" s="40" t="s">
        <v>56</v>
      </c>
      <c r="P481" s="37" t="s">
        <v>1335</v>
      </c>
      <c r="Q481" s="45"/>
      <c r="R481" s="166"/>
      <c r="S481" s="166"/>
      <c r="T481" s="44">
        <f>+_xlfn.XLOOKUP(PROYECTOS[[#This Row],[MUNICIPIO]],'4.CAP_ENDMNT'!B:B,'4.CAP_ENDMNT'!C:C,0,0,1)</f>
        <v>6</v>
      </c>
      <c r="U481" s="167">
        <f>+_xlfn.XLOOKUP(PROYECTOS[[#This Row],[MUNICIPIO]],'4.CAP_ENDMNT'!B:B,'4.CAP_ENDMNT'!D:D,0,0,1)</f>
        <v>13002660545.618999</v>
      </c>
      <c r="V481" s="44">
        <f>+_xlfn.XLOOKUP(PROYECTOS[[#This Row],[MUNICIPIO]],'4.CAP_ENDMNT'!B:B,'4.CAP_ENDMNT'!E:E,0,0,1)</f>
        <v>2851909764.96</v>
      </c>
      <c r="W481" s="44">
        <f>+_xlfn.XLOOKUP(PROYECTOS[[#This Row],[MUNICIPIO]],'4.CAP_ENDMNT'!B:B,'4.CAP_ENDMNT'!F:F,0,0,1)</f>
        <v>10150750780.659</v>
      </c>
      <c r="X481" s="44">
        <f>+_xlfn.XLOOKUP(PROYECTOS[[#This Row],[MUNICIPIO]],'4.CAP_ENDMNT'!B:B,'4.CAP_ENDMNT'!G:G,0,0,1)</f>
        <v>3580400217</v>
      </c>
      <c r="Y481" s="44">
        <f>+_xlfn.XLOOKUP(PROYECTOS[[#This Row],[MUNICIPIO]],'4.CAP_ENDMNT'!B:B,'4.CAP_ENDMNT'!H:H,0,0,1)</f>
        <v>0</v>
      </c>
      <c r="Z481" s="44">
        <f>+_xlfn.XLOOKUP(PROYECTOS[[#This Row],[MUNICIPIO]],'4.CAP_ENDMNT'!B:B,'4.CAP_ENDMNT'!I:I,0,0,1)</f>
        <v>3580400217</v>
      </c>
      <c r="AA481" s="134">
        <f>+_xlfn.XLOOKUP(PROYECTOS[[#This Row],[MUNICIPIO]],'4.CAP_ENDMNT'!B:B,'4.CAP_ENDMNT'!J:J,0,0,1)</f>
        <v>0.27535904705336234</v>
      </c>
      <c r="AB481" s="44">
        <f>+_xlfn.XLOOKUP(PROYECTOS[[#This Row],[MUNICIPIO]],'4.CAP_ENDMNT'!B:B,'4.CAP_ENDMNT'!K:K,0,0,1)</f>
        <v>9422260328.6189995</v>
      </c>
      <c r="AC481" s="44">
        <f>+_xlfn.XLOOKUP(PROYECTOS[[#This Row],[MUNICIPIO]],'4.CAP_ENDMNT'!B:B,'4.CAP_ENDMNT'!L:L,0,0,1)</f>
        <v>7537808262.8951998</v>
      </c>
      <c r="AD481" s="44">
        <f>+_xlfn.XLOOKUP(PROYECTOS[[#This Row],[MUNICIPIO]],'4.CAP_ENDMNT'!B:B,'4.CAP_ENDMNT'!M:M,0,0,1)</f>
        <v>5653356197.1713991</v>
      </c>
      <c r="AE481" s="134">
        <f>+_xlfn.XLOOKUP(PROYECTOS[[#This Row],[MUNICIPIO]],'4.CAP_ENDMNT'!B:B,'4.CAP_ENDMNT'!N:N,0,0,1)</f>
        <v>1</v>
      </c>
      <c r="AF481" s="134">
        <f>+_xlfn.XLOOKUP(PROYECTOS[[#This Row],[MUNICIPIO]],'4.CAP_ENDMNT'!B:B,'4.CAP_ENDMNT'!O:O,0,0,1)</f>
        <v>0.60546314083774588</v>
      </c>
      <c r="AG481" s="134">
        <f>+_xlfn.XLOOKUP(PROYECTOS[[#This Row],[MUNICIPIO]],'4.CAP_ENDMNT'!B:B,'4.CAP_ENDMNT'!P:P,0,0,1)</f>
        <v>0.8</v>
      </c>
      <c r="AH481" s="44" t="str">
        <f>+_xlfn.XLOOKUP(PROYECTOS[[#This Row],[MUNICIPIO]],'4.CAP_ENDMNT'!B:B,'4.CAP_ENDMNT'!Q:Q,0,0,1)</f>
        <v>Cumple</v>
      </c>
      <c r="AI481" s="139">
        <f>+_xlfn.XLOOKUP(PROYECTOS[[#This Row],[MUNICIPIO]],'4.CAP_ENDMNT'!B:B,'4.CAP_ENDMNT'!V:V,0,0,1)</f>
        <v>1130671239.4342799</v>
      </c>
      <c r="AJ481" s="139">
        <f>+_xlfn.XLOOKUP(PROYECTOS[[#This Row],[MUNICIPIO]],'4.CAP_ENDMNT'!B:B,'4.CAP_ENDMNT'!Y:Y,0,0,1)</f>
        <v>-65295013.394321442</v>
      </c>
    </row>
    <row r="482" spans="1:36" ht="15" customHeight="1">
      <c r="A482" s="44">
        <v>596</v>
      </c>
      <c r="B482" s="37" t="s">
        <v>1295</v>
      </c>
      <c r="C482" s="118">
        <v>45798</v>
      </c>
      <c r="D482" s="46" t="s">
        <v>858</v>
      </c>
      <c r="E482" s="47" t="str">
        <f>+_xlfn.XLOOKUP(PROYECTOS[[#This Row],[MUNICIPIO]],MUNICIPIOS!A:A,MUNICIPIOS!E:E,0,0,1)</f>
        <v>Nordeste</v>
      </c>
      <c r="F482" s="44">
        <f>+_xlfn.XLOOKUP(PROYECTOS[[#This Row],[MUNICIPIO]],MUNICIPIOS!A:A,MUNICIPIOS!F:F,0,0,1)</f>
        <v>-74.698134999999994</v>
      </c>
      <c r="G482" s="44" t="str">
        <f>+_xlfn.XLOOKUP(PROYECTOS[[#This Row],[MUNICIPIO]],MUNICIPIOS!A:A,MUNICIPIOS!G:G,0,0,1)</f>
        <v>7,029424</v>
      </c>
      <c r="H482" s="44">
        <f>+_xlfn.XLOOKUP(PROYECTOS[[#This Row],[MUNICIPIO]],MUNICIPIOS!A:A,MUNICIPIOS!B:B,0,0,1)</f>
        <v>1</v>
      </c>
      <c r="I482" s="44">
        <f>+_xlfn.XLOOKUP(PROYECTOS[[#This Row],[MUNICIPIO]],MUNICIPIOS!A:A,MUNICIPIOS!C:C,0,0,1)</f>
        <v>1</v>
      </c>
      <c r="J482" s="34" t="str" cm="1">
        <f t="array" ref="J482">_xlfn.TEXTJOIN(" ", TRUE, IF(radicados[ID PROYECTOS]=A482, radicados[RADICADO], ""))</f>
        <v/>
      </c>
      <c r="K482" s="45">
        <v>1</v>
      </c>
      <c r="L482" s="48"/>
      <c r="M482" s="34" t="s">
        <v>761</v>
      </c>
      <c r="N482" s="40" t="s">
        <v>397</v>
      </c>
      <c r="O482" s="40" t="s">
        <v>56</v>
      </c>
      <c r="P482" s="37" t="s">
        <v>1336</v>
      </c>
      <c r="Q482" s="45"/>
      <c r="R482" s="166"/>
      <c r="S482" s="166"/>
      <c r="T482" s="44">
        <f>+_xlfn.XLOOKUP(PROYECTOS[[#This Row],[MUNICIPIO]],'4.CAP_ENDMNT'!B:B,'4.CAP_ENDMNT'!C:C,0,0,1)</f>
        <v>6</v>
      </c>
      <c r="U482" s="167">
        <f>+_xlfn.XLOOKUP(PROYECTOS[[#This Row],[MUNICIPIO]],'4.CAP_ENDMNT'!B:B,'4.CAP_ENDMNT'!D:D,0,0,1)</f>
        <v>31836256303.883995</v>
      </c>
      <c r="V482" s="44">
        <f>+_xlfn.XLOOKUP(PROYECTOS[[#This Row],[MUNICIPIO]],'4.CAP_ENDMNT'!B:B,'4.CAP_ENDMNT'!E:E,0,0,1)</f>
        <v>12586903103.25</v>
      </c>
      <c r="W482" s="44">
        <f>+_xlfn.XLOOKUP(PROYECTOS[[#This Row],[MUNICIPIO]],'4.CAP_ENDMNT'!B:B,'4.CAP_ENDMNT'!F:F,0,0,1)</f>
        <v>19249353200.633995</v>
      </c>
      <c r="X482" s="44">
        <f>+_xlfn.XLOOKUP(PROYECTOS[[#This Row],[MUNICIPIO]],'4.CAP_ENDMNT'!B:B,'4.CAP_ENDMNT'!G:G,0,0,1)</f>
        <v>0</v>
      </c>
      <c r="Y482" s="44">
        <f>+_xlfn.XLOOKUP(PROYECTOS[[#This Row],[MUNICIPIO]],'4.CAP_ENDMNT'!B:B,'4.CAP_ENDMNT'!H:H,0,0,1)</f>
        <v>0</v>
      </c>
      <c r="Z482" s="44">
        <f>+_xlfn.XLOOKUP(PROYECTOS[[#This Row],[MUNICIPIO]],'4.CAP_ENDMNT'!B:B,'4.CAP_ENDMNT'!I:I,0,0,1)</f>
        <v>0</v>
      </c>
      <c r="AA482" s="134">
        <f>+_xlfn.XLOOKUP(PROYECTOS[[#This Row],[MUNICIPIO]],'4.CAP_ENDMNT'!B:B,'4.CAP_ENDMNT'!J:J,0,0,1)</f>
        <v>0</v>
      </c>
      <c r="AB482" s="44">
        <f>+_xlfn.XLOOKUP(PROYECTOS[[#This Row],[MUNICIPIO]],'4.CAP_ENDMNT'!B:B,'4.CAP_ENDMNT'!K:K,0,0,1)</f>
        <v>31836256303.883995</v>
      </c>
      <c r="AC482" s="44">
        <f>+_xlfn.XLOOKUP(PROYECTOS[[#This Row],[MUNICIPIO]],'4.CAP_ENDMNT'!B:B,'4.CAP_ENDMNT'!L:L,0,0,1)</f>
        <v>25469005043.107197</v>
      </c>
      <c r="AD482" s="44">
        <f>+_xlfn.XLOOKUP(PROYECTOS[[#This Row],[MUNICIPIO]],'4.CAP_ENDMNT'!B:B,'4.CAP_ENDMNT'!M:M,0,0,1)</f>
        <v>19101753782.330395</v>
      </c>
      <c r="AE482" s="134">
        <f>+_xlfn.XLOOKUP(PROYECTOS[[#This Row],[MUNICIPIO]],'4.CAP_ENDMNT'!B:B,'4.CAP_ENDMNT'!N:N,0,0,1)</f>
        <v>0</v>
      </c>
      <c r="AF482" s="134">
        <f>+_xlfn.XLOOKUP(PROYECTOS[[#This Row],[MUNICIPIO]],'4.CAP_ENDMNT'!B:B,'4.CAP_ENDMNT'!O:O,0,0,1)</f>
        <v>1.3391267531682534</v>
      </c>
      <c r="AG482" s="134">
        <f>+_xlfn.XLOOKUP(PROYECTOS[[#This Row],[MUNICIPIO]],'4.CAP_ENDMNT'!B:B,'4.CAP_ENDMNT'!P:P,0,0,1)</f>
        <v>0.8</v>
      </c>
      <c r="AH482" s="44" t="str">
        <f>+_xlfn.XLOOKUP(PROYECTOS[[#This Row],[MUNICIPIO]],'4.CAP_ENDMNT'!B:B,'4.CAP_ENDMNT'!Q:Q,0,0,1)</f>
        <v>Incumple</v>
      </c>
      <c r="AI482" s="139">
        <f>+_xlfn.XLOOKUP(PROYECTOS[[#This Row],[MUNICIPIO]],'4.CAP_ENDMNT'!B:B,'4.CAP_ENDMNT'!V:V,0,0,1)</f>
        <v>3820350756.4660792</v>
      </c>
      <c r="AJ482" s="139">
        <f>+_xlfn.XLOOKUP(PROYECTOS[[#This Row],[MUNICIPIO]],'4.CAP_ENDMNT'!B:B,'4.CAP_ENDMNT'!Y:Y,0,0,1)</f>
        <v>20085989687.796474</v>
      </c>
    </row>
    <row r="483" spans="1:36" ht="15" customHeight="1">
      <c r="A483" s="44">
        <v>597</v>
      </c>
      <c r="B483" s="37" t="s">
        <v>1296</v>
      </c>
      <c r="C483" s="118">
        <v>45798</v>
      </c>
      <c r="D483" s="46" t="s">
        <v>113</v>
      </c>
      <c r="E483" s="47" t="str">
        <f>+_xlfn.XLOOKUP(PROYECTOS[[#This Row],[MUNICIPIO]],MUNICIPIOS!A:A,MUNICIPIOS!E:E,0,0,1)</f>
        <v>Oriente</v>
      </c>
      <c r="F483" s="44">
        <f>+_xlfn.XLOOKUP(PROYECTOS[[#This Row],[MUNICIPIO]],MUNICIPIOS!A:A,MUNICIPIOS!F:F,0,0,1)</f>
        <v>-75.101562000000001</v>
      </c>
      <c r="G483" s="44" t="str">
        <f>+_xlfn.XLOOKUP(PROYECTOS[[#This Row],[MUNICIPIO]],MUNICIPIOS!A:A,MUNICIPIOS!G:G,0,0,1)</f>
        <v>5,963476</v>
      </c>
      <c r="H483" s="44">
        <f>+_xlfn.XLOOKUP(PROYECTOS[[#This Row],[MUNICIPIO]],MUNICIPIOS!A:A,MUNICIPIOS!B:B,0,0,1)</f>
        <v>0</v>
      </c>
      <c r="I483" s="44">
        <f>+_xlfn.XLOOKUP(PROYECTOS[[#This Row],[MUNICIPIO]],MUNICIPIOS!A:A,MUNICIPIOS!C:C,0,0,1)</f>
        <v>1</v>
      </c>
      <c r="J483" s="34" t="str" cm="1">
        <f t="array" ref="J483">_xlfn.TEXTJOIN(" ", TRUE, IF(radicados[ID PROYECTOS]=A483, radicados[RADICADO], ""))</f>
        <v>2025010139131</v>
      </c>
      <c r="K483" s="45">
        <v>1</v>
      </c>
      <c r="L483" s="48"/>
      <c r="M483" s="34" t="s">
        <v>761</v>
      </c>
      <c r="N483" s="40" t="s">
        <v>397</v>
      </c>
      <c r="O483" s="40" t="s">
        <v>56</v>
      </c>
      <c r="P483" s="37" t="s">
        <v>1337</v>
      </c>
      <c r="Q483" s="45"/>
      <c r="R483" s="166"/>
      <c r="S483" s="166"/>
      <c r="T483" s="44">
        <f>+_xlfn.XLOOKUP(PROYECTOS[[#This Row],[MUNICIPIO]],'4.CAP_ENDMNT'!B:B,'4.CAP_ENDMNT'!C:C,0,0,1)</f>
        <v>6</v>
      </c>
      <c r="U483" s="167">
        <f>+_xlfn.XLOOKUP(PROYECTOS[[#This Row],[MUNICIPIO]],'4.CAP_ENDMNT'!B:B,'4.CAP_ENDMNT'!D:D,0,0,1)</f>
        <v>7763487077.335</v>
      </c>
      <c r="V483" s="44">
        <f>+_xlfn.XLOOKUP(PROYECTOS[[#This Row],[MUNICIPIO]],'4.CAP_ENDMNT'!B:B,'4.CAP_ENDMNT'!E:E,0,0,1)</f>
        <v>2329929022.3600001</v>
      </c>
      <c r="W483" s="44">
        <f>+_xlfn.XLOOKUP(PROYECTOS[[#This Row],[MUNICIPIO]],'4.CAP_ENDMNT'!B:B,'4.CAP_ENDMNT'!F:F,0,0,1)</f>
        <v>5433558054.9750004</v>
      </c>
      <c r="X483" s="44">
        <f>+_xlfn.XLOOKUP(PROYECTOS[[#This Row],[MUNICIPIO]],'4.CAP_ENDMNT'!B:B,'4.CAP_ENDMNT'!G:G,0,0,1)</f>
        <v>1217107364.4400001</v>
      </c>
      <c r="Y483" s="44">
        <f>+_xlfn.XLOOKUP(PROYECTOS[[#This Row],[MUNICIPIO]],'4.CAP_ENDMNT'!B:B,'4.CAP_ENDMNT'!H:H,0,0,1)</f>
        <v>0</v>
      </c>
      <c r="Z483" s="44">
        <f>+_xlfn.XLOOKUP(PROYECTOS[[#This Row],[MUNICIPIO]],'4.CAP_ENDMNT'!B:B,'4.CAP_ENDMNT'!I:I,0,0,1)</f>
        <v>1217107364.4400001</v>
      </c>
      <c r="AA483" s="134">
        <f>+_xlfn.XLOOKUP(PROYECTOS[[#This Row],[MUNICIPIO]],'4.CAP_ENDMNT'!B:B,'4.CAP_ENDMNT'!J:J,0,0,1)</f>
        <v>0.15677328400446064</v>
      </c>
      <c r="AB483" s="44">
        <f>+_xlfn.XLOOKUP(PROYECTOS[[#This Row],[MUNICIPIO]],'4.CAP_ENDMNT'!B:B,'4.CAP_ENDMNT'!K:K,0,0,1)</f>
        <v>6546379712.8950005</v>
      </c>
      <c r="AC483" s="44">
        <f>+_xlfn.XLOOKUP(PROYECTOS[[#This Row],[MUNICIPIO]],'4.CAP_ENDMNT'!B:B,'4.CAP_ENDMNT'!L:L,0,0,1)</f>
        <v>5237103770.3160009</v>
      </c>
      <c r="AD483" s="44">
        <f>+_xlfn.XLOOKUP(PROYECTOS[[#This Row],[MUNICIPIO]],'4.CAP_ENDMNT'!B:B,'4.CAP_ENDMNT'!M:M,0,0,1)</f>
        <v>3927827827.737</v>
      </c>
      <c r="AE483" s="134">
        <f>+_xlfn.XLOOKUP(PROYECTOS[[#This Row],[MUNICIPIO]],'4.CAP_ENDMNT'!B:B,'4.CAP_ENDMNT'!N:N,0,0,1)</f>
        <v>1</v>
      </c>
      <c r="AF483" s="134">
        <f>+_xlfn.XLOOKUP(PROYECTOS[[#This Row],[MUNICIPIO]],'4.CAP_ENDMNT'!B:B,'4.CAP_ENDMNT'!O:O,0,0,1)</f>
        <v>0.68141761997590633</v>
      </c>
      <c r="AG483" s="134">
        <f>+_xlfn.XLOOKUP(PROYECTOS[[#This Row],[MUNICIPIO]],'4.CAP_ENDMNT'!B:B,'4.CAP_ENDMNT'!P:P,0,0,1)</f>
        <v>0.8</v>
      </c>
      <c r="AH483" s="44" t="str">
        <f>+_xlfn.XLOOKUP(PROYECTOS[[#This Row],[MUNICIPIO]],'4.CAP_ENDMNT'!B:B,'4.CAP_ENDMNT'!Q:Q,0,0,1)</f>
        <v>Cumple</v>
      </c>
      <c r="AI483" s="139">
        <f>+_xlfn.XLOOKUP(PROYECTOS[[#This Row],[MUNICIPIO]],'4.CAP_ENDMNT'!B:B,'4.CAP_ENDMNT'!V:V,0,0,1)</f>
        <v>785565565.5474</v>
      </c>
      <c r="AJ483" s="139">
        <f>+_xlfn.XLOOKUP(PROYECTOS[[#This Row],[MUNICIPIO]],'4.CAP_ENDMNT'!B:B,'4.CAP_ENDMNT'!Y:Y,0,0,1)</f>
        <v>-10352204929.605598</v>
      </c>
    </row>
    <row r="484" spans="1:36" ht="15" customHeight="1">
      <c r="A484" s="44">
        <v>598</v>
      </c>
      <c r="B484" s="37" t="s">
        <v>1297</v>
      </c>
      <c r="C484" s="118">
        <v>45798</v>
      </c>
      <c r="D484" s="46" t="s">
        <v>113</v>
      </c>
      <c r="E484" s="47" t="str">
        <f>+_xlfn.XLOOKUP(PROYECTOS[[#This Row],[MUNICIPIO]],MUNICIPIOS!A:A,MUNICIPIOS!E:E,0,0,1)</f>
        <v>Oriente</v>
      </c>
      <c r="F484" s="44">
        <f>+_xlfn.XLOOKUP(PROYECTOS[[#This Row],[MUNICIPIO]],MUNICIPIOS!A:A,MUNICIPIOS!F:F,0,0,1)</f>
        <v>-75.101562000000001</v>
      </c>
      <c r="G484" s="44" t="str">
        <f>+_xlfn.XLOOKUP(PROYECTOS[[#This Row],[MUNICIPIO]],MUNICIPIOS!A:A,MUNICIPIOS!G:G,0,0,1)</f>
        <v>5,963476</v>
      </c>
      <c r="H484" s="44">
        <f>+_xlfn.XLOOKUP(PROYECTOS[[#This Row],[MUNICIPIO]],MUNICIPIOS!A:A,MUNICIPIOS!B:B,0,0,1)</f>
        <v>0</v>
      </c>
      <c r="I484" s="44">
        <f>+_xlfn.XLOOKUP(PROYECTOS[[#This Row],[MUNICIPIO]],MUNICIPIOS!A:A,MUNICIPIOS!C:C,0,0,1)</f>
        <v>1</v>
      </c>
      <c r="J484" s="34" t="str" cm="1">
        <f t="array" ref="J484">_xlfn.TEXTJOIN(" ", TRUE, IF(radicados[ID PROYECTOS]=A484, radicados[RADICADO], ""))</f>
        <v/>
      </c>
      <c r="K484" s="45">
        <v>1</v>
      </c>
      <c r="L484" s="48"/>
      <c r="M484" s="34" t="s">
        <v>761</v>
      </c>
      <c r="N484" s="40" t="s">
        <v>397</v>
      </c>
      <c r="O484" s="40" t="s">
        <v>56</v>
      </c>
      <c r="P484" s="37" t="s">
        <v>1337</v>
      </c>
      <c r="Q484" s="45"/>
      <c r="R484" s="166"/>
      <c r="S484" s="166"/>
      <c r="T484" s="44">
        <f>+_xlfn.XLOOKUP(PROYECTOS[[#This Row],[MUNICIPIO]],'4.CAP_ENDMNT'!B:B,'4.CAP_ENDMNT'!C:C,0,0,1)</f>
        <v>6</v>
      </c>
      <c r="U484" s="167">
        <f>+_xlfn.XLOOKUP(PROYECTOS[[#This Row],[MUNICIPIO]],'4.CAP_ENDMNT'!B:B,'4.CAP_ENDMNT'!D:D,0,0,1)</f>
        <v>7763487077.335</v>
      </c>
      <c r="V484" s="44">
        <f>+_xlfn.XLOOKUP(PROYECTOS[[#This Row],[MUNICIPIO]],'4.CAP_ENDMNT'!B:B,'4.CAP_ENDMNT'!E:E,0,0,1)</f>
        <v>2329929022.3600001</v>
      </c>
      <c r="W484" s="44">
        <f>+_xlfn.XLOOKUP(PROYECTOS[[#This Row],[MUNICIPIO]],'4.CAP_ENDMNT'!B:B,'4.CAP_ENDMNT'!F:F,0,0,1)</f>
        <v>5433558054.9750004</v>
      </c>
      <c r="X484" s="44">
        <f>+_xlfn.XLOOKUP(PROYECTOS[[#This Row],[MUNICIPIO]],'4.CAP_ENDMNT'!B:B,'4.CAP_ENDMNT'!G:G,0,0,1)</f>
        <v>1217107364.4400001</v>
      </c>
      <c r="Y484" s="44">
        <f>+_xlfn.XLOOKUP(PROYECTOS[[#This Row],[MUNICIPIO]],'4.CAP_ENDMNT'!B:B,'4.CAP_ENDMNT'!H:H,0,0,1)</f>
        <v>0</v>
      </c>
      <c r="Z484" s="44">
        <f>+_xlfn.XLOOKUP(PROYECTOS[[#This Row],[MUNICIPIO]],'4.CAP_ENDMNT'!B:B,'4.CAP_ENDMNT'!I:I,0,0,1)</f>
        <v>1217107364.4400001</v>
      </c>
      <c r="AA484" s="134">
        <f>+_xlfn.XLOOKUP(PROYECTOS[[#This Row],[MUNICIPIO]],'4.CAP_ENDMNT'!B:B,'4.CAP_ENDMNT'!J:J,0,0,1)</f>
        <v>0.15677328400446064</v>
      </c>
      <c r="AB484" s="44">
        <f>+_xlfn.XLOOKUP(PROYECTOS[[#This Row],[MUNICIPIO]],'4.CAP_ENDMNT'!B:B,'4.CAP_ENDMNT'!K:K,0,0,1)</f>
        <v>6546379712.8950005</v>
      </c>
      <c r="AC484" s="44">
        <f>+_xlfn.XLOOKUP(PROYECTOS[[#This Row],[MUNICIPIO]],'4.CAP_ENDMNT'!B:B,'4.CAP_ENDMNT'!L:L,0,0,1)</f>
        <v>5237103770.3160009</v>
      </c>
      <c r="AD484" s="44">
        <f>+_xlfn.XLOOKUP(PROYECTOS[[#This Row],[MUNICIPIO]],'4.CAP_ENDMNT'!B:B,'4.CAP_ENDMNT'!M:M,0,0,1)</f>
        <v>3927827827.737</v>
      </c>
      <c r="AE484" s="134">
        <f>+_xlfn.XLOOKUP(PROYECTOS[[#This Row],[MUNICIPIO]],'4.CAP_ENDMNT'!B:B,'4.CAP_ENDMNT'!N:N,0,0,1)</f>
        <v>1</v>
      </c>
      <c r="AF484" s="134">
        <f>+_xlfn.XLOOKUP(PROYECTOS[[#This Row],[MUNICIPIO]],'4.CAP_ENDMNT'!B:B,'4.CAP_ENDMNT'!O:O,0,0,1)</f>
        <v>0.68141761997590633</v>
      </c>
      <c r="AG484" s="134">
        <f>+_xlfn.XLOOKUP(PROYECTOS[[#This Row],[MUNICIPIO]],'4.CAP_ENDMNT'!B:B,'4.CAP_ENDMNT'!P:P,0,0,1)</f>
        <v>0.8</v>
      </c>
      <c r="AH484" s="44" t="str">
        <f>+_xlfn.XLOOKUP(PROYECTOS[[#This Row],[MUNICIPIO]],'4.CAP_ENDMNT'!B:B,'4.CAP_ENDMNT'!Q:Q,0,0,1)</f>
        <v>Cumple</v>
      </c>
      <c r="AI484" s="139">
        <f>+_xlfn.XLOOKUP(PROYECTOS[[#This Row],[MUNICIPIO]],'4.CAP_ENDMNT'!B:B,'4.CAP_ENDMNT'!V:V,0,0,1)</f>
        <v>785565565.5474</v>
      </c>
      <c r="AJ484" s="139">
        <f>+_xlfn.XLOOKUP(PROYECTOS[[#This Row],[MUNICIPIO]],'4.CAP_ENDMNT'!B:B,'4.CAP_ENDMNT'!Y:Y,0,0,1)</f>
        <v>-10352204929.605598</v>
      </c>
    </row>
    <row r="485" spans="1:36" ht="15" customHeight="1">
      <c r="A485" s="44">
        <v>599</v>
      </c>
      <c r="B485" s="37" t="s">
        <v>1298</v>
      </c>
      <c r="C485" s="118">
        <v>45798</v>
      </c>
      <c r="D485" s="46" t="s">
        <v>113</v>
      </c>
      <c r="E485" s="47" t="str">
        <f>+_xlfn.XLOOKUP(PROYECTOS[[#This Row],[MUNICIPIO]],MUNICIPIOS!A:A,MUNICIPIOS!E:E,0,0,1)</f>
        <v>Oriente</v>
      </c>
      <c r="F485" s="44">
        <f>+_xlfn.XLOOKUP(PROYECTOS[[#This Row],[MUNICIPIO]],MUNICIPIOS!A:A,MUNICIPIOS!F:F,0,0,1)</f>
        <v>-75.101562000000001</v>
      </c>
      <c r="G485" s="44" t="str">
        <f>+_xlfn.XLOOKUP(PROYECTOS[[#This Row],[MUNICIPIO]],MUNICIPIOS!A:A,MUNICIPIOS!G:G,0,0,1)</f>
        <v>5,963476</v>
      </c>
      <c r="H485" s="44">
        <f>+_xlfn.XLOOKUP(PROYECTOS[[#This Row],[MUNICIPIO]],MUNICIPIOS!A:A,MUNICIPIOS!B:B,0,0,1)</f>
        <v>0</v>
      </c>
      <c r="I485" s="44">
        <f>+_xlfn.XLOOKUP(PROYECTOS[[#This Row],[MUNICIPIO]],MUNICIPIOS!A:A,MUNICIPIOS!C:C,0,0,1)</f>
        <v>1</v>
      </c>
      <c r="J485" s="34" t="str" cm="1">
        <f t="array" ref="J485">_xlfn.TEXTJOIN(" ", TRUE, IF(radicados[ID PROYECTOS]=A485, radicados[RADICADO], ""))</f>
        <v/>
      </c>
      <c r="K485" s="45">
        <v>1</v>
      </c>
      <c r="L485" s="48"/>
      <c r="M485" s="34" t="s">
        <v>761</v>
      </c>
      <c r="N485" s="40" t="s">
        <v>397</v>
      </c>
      <c r="O485" s="40" t="s">
        <v>56</v>
      </c>
      <c r="P485" s="37" t="s">
        <v>1337</v>
      </c>
      <c r="Q485" s="45"/>
      <c r="R485" s="166"/>
      <c r="S485" s="166"/>
      <c r="T485" s="44">
        <f>+_xlfn.XLOOKUP(PROYECTOS[[#This Row],[MUNICIPIO]],'4.CAP_ENDMNT'!B:B,'4.CAP_ENDMNT'!C:C,0,0,1)</f>
        <v>6</v>
      </c>
      <c r="U485" s="167">
        <f>+_xlfn.XLOOKUP(PROYECTOS[[#This Row],[MUNICIPIO]],'4.CAP_ENDMNT'!B:B,'4.CAP_ENDMNT'!D:D,0,0,1)</f>
        <v>7763487077.335</v>
      </c>
      <c r="V485" s="44">
        <f>+_xlfn.XLOOKUP(PROYECTOS[[#This Row],[MUNICIPIO]],'4.CAP_ENDMNT'!B:B,'4.CAP_ENDMNT'!E:E,0,0,1)</f>
        <v>2329929022.3600001</v>
      </c>
      <c r="W485" s="44">
        <f>+_xlfn.XLOOKUP(PROYECTOS[[#This Row],[MUNICIPIO]],'4.CAP_ENDMNT'!B:B,'4.CAP_ENDMNT'!F:F,0,0,1)</f>
        <v>5433558054.9750004</v>
      </c>
      <c r="X485" s="44">
        <f>+_xlfn.XLOOKUP(PROYECTOS[[#This Row],[MUNICIPIO]],'4.CAP_ENDMNT'!B:B,'4.CAP_ENDMNT'!G:G,0,0,1)</f>
        <v>1217107364.4400001</v>
      </c>
      <c r="Y485" s="44">
        <f>+_xlfn.XLOOKUP(PROYECTOS[[#This Row],[MUNICIPIO]],'4.CAP_ENDMNT'!B:B,'4.CAP_ENDMNT'!H:H,0,0,1)</f>
        <v>0</v>
      </c>
      <c r="Z485" s="44">
        <f>+_xlfn.XLOOKUP(PROYECTOS[[#This Row],[MUNICIPIO]],'4.CAP_ENDMNT'!B:B,'4.CAP_ENDMNT'!I:I,0,0,1)</f>
        <v>1217107364.4400001</v>
      </c>
      <c r="AA485" s="134">
        <f>+_xlfn.XLOOKUP(PROYECTOS[[#This Row],[MUNICIPIO]],'4.CAP_ENDMNT'!B:B,'4.CAP_ENDMNT'!J:J,0,0,1)</f>
        <v>0.15677328400446064</v>
      </c>
      <c r="AB485" s="44">
        <f>+_xlfn.XLOOKUP(PROYECTOS[[#This Row],[MUNICIPIO]],'4.CAP_ENDMNT'!B:B,'4.CAP_ENDMNT'!K:K,0,0,1)</f>
        <v>6546379712.8950005</v>
      </c>
      <c r="AC485" s="44">
        <f>+_xlfn.XLOOKUP(PROYECTOS[[#This Row],[MUNICIPIO]],'4.CAP_ENDMNT'!B:B,'4.CAP_ENDMNT'!L:L,0,0,1)</f>
        <v>5237103770.3160009</v>
      </c>
      <c r="AD485" s="44">
        <f>+_xlfn.XLOOKUP(PROYECTOS[[#This Row],[MUNICIPIO]],'4.CAP_ENDMNT'!B:B,'4.CAP_ENDMNT'!M:M,0,0,1)</f>
        <v>3927827827.737</v>
      </c>
      <c r="AE485" s="134">
        <f>+_xlfn.XLOOKUP(PROYECTOS[[#This Row],[MUNICIPIO]],'4.CAP_ENDMNT'!B:B,'4.CAP_ENDMNT'!N:N,0,0,1)</f>
        <v>1</v>
      </c>
      <c r="AF485" s="134">
        <f>+_xlfn.XLOOKUP(PROYECTOS[[#This Row],[MUNICIPIO]],'4.CAP_ENDMNT'!B:B,'4.CAP_ENDMNT'!O:O,0,0,1)</f>
        <v>0.68141761997590633</v>
      </c>
      <c r="AG485" s="134">
        <f>+_xlfn.XLOOKUP(PROYECTOS[[#This Row],[MUNICIPIO]],'4.CAP_ENDMNT'!B:B,'4.CAP_ENDMNT'!P:P,0,0,1)</f>
        <v>0.8</v>
      </c>
      <c r="AH485" s="44" t="str">
        <f>+_xlfn.XLOOKUP(PROYECTOS[[#This Row],[MUNICIPIO]],'4.CAP_ENDMNT'!B:B,'4.CAP_ENDMNT'!Q:Q,0,0,1)</f>
        <v>Cumple</v>
      </c>
      <c r="AI485" s="139">
        <f>+_xlfn.XLOOKUP(PROYECTOS[[#This Row],[MUNICIPIO]],'4.CAP_ENDMNT'!B:B,'4.CAP_ENDMNT'!V:V,0,0,1)</f>
        <v>785565565.5474</v>
      </c>
      <c r="AJ485" s="139">
        <f>+_xlfn.XLOOKUP(PROYECTOS[[#This Row],[MUNICIPIO]],'4.CAP_ENDMNT'!B:B,'4.CAP_ENDMNT'!Y:Y,0,0,1)</f>
        <v>-10352204929.605598</v>
      </c>
    </row>
    <row r="486" spans="1:36" ht="15" customHeight="1">
      <c r="A486" s="44">
        <v>600</v>
      </c>
      <c r="B486" s="37" t="s">
        <v>1299</v>
      </c>
      <c r="C486" s="118">
        <v>45798</v>
      </c>
      <c r="D486" s="46" t="s">
        <v>113</v>
      </c>
      <c r="E486" s="47" t="str">
        <f>+_xlfn.XLOOKUP(PROYECTOS[[#This Row],[MUNICIPIO]],MUNICIPIOS!A:A,MUNICIPIOS!E:E,0,0,1)</f>
        <v>Oriente</v>
      </c>
      <c r="F486" s="44">
        <f>+_xlfn.XLOOKUP(PROYECTOS[[#This Row],[MUNICIPIO]],MUNICIPIOS!A:A,MUNICIPIOS!F:F,0,0,1)</f>
        <v>-75.101562000000001</v>
      </c>
      <c r="G486" s="44" t="str">
        <f>+_xlfn.XLOOKUP(PROYECTOS[[#This Row],[MUNICIPIO]],MUNICIPIOS!A:A,MUNICIPIOS!G:G,0,0,1)</f>
        <v>5,963476</v>
      </c>
      <c r="H486" s="44">
        <f>+_xlfn.XLOOKUP(PROYECTOS[[#This Row],[MUNICIPIO]],MUNICIPIOS!A:A,MUNICIPIOS!B:B,0,0,1)</f>
        <v>0</v>
      </c>
      <c r="I486" s="44">
        <f>+_xlfn.XLOOKUP(PROYECTOS[[#This Row],[MUNICIPIO]],MUNICIPIOS!A:A,MUNICIPIOS!C:C,0,0,1)</f>
        <v>1</v>
      </c>
      <c r="J486" s="34" t="str" cm="1">
        <f t="array" ref="J486">_xlfn.TEXTJOIN(" ", TRUE, IF(radicados[ID PROYECTOS]=A486, radicados[RADICADO], ""))</f>
        <v/>
      </c>
      <c r="K486" s="45">
        <v>1</v>
      </c>
      <c r="L486" s="48"/>
      <c r="M486" s="34" t="s">
        <v>761</v>
      </c>
      <c r="N486" s="40" t="s">
        <v>397</v>
      </c>
      <c r="O486" s="40" t="s">
        <v>56</v>
      </c>
      <c r="P486" s="37" t="s">
        <v>1337</v>
      </c>
      <c r="Q486" s="45"/>
      <c r="R486" s="166"/>
      <c r="S486" s="166"/>
      <c r="T486" s="44">
        <f>+_xlfn.XLOOKUP(PROYECTOS[[#This Row],[MUNICIPIO]],'4.CAP_ENDMNT'!B:B,'4.CAP_ENDMNT'!C:C,0,0,1)</f>
        <v>6</v>
      </c>
      <c r="U486" s="167">
        <f>+_xlfn.XLOOKUP(PROYECTOS[[#This Row],[MUNICIPIO]],'4.CAP_ENDMNT'!B:B,'4.CAP_ENDMNT'!D:D,0,0,1)</f>
        <v>7763487077.335</v>
      </c>
      <c r="V486" s="44">
        <f>+_xlfn.XLOOKUP(PROYECTOS[[#This Row],[MUNICIPIO]],'4.CAP_ENDMNT'!B:B,'4.CAP_ENDMNT'!E:E,0,0,1)</f>
        <v>2329929022.3600001</v>
      </c>
      <c r="W486" s="44">
        <f>+_xlfn.XLOOKUP(PROYECTOS[[#This Row],[MUNICIPIO]],'4.CAP_ENDMNT'!B:B,'4.CAP_ENDMNT'!F:F,0,0,1)</f>
        <v>5433558054.9750004</v>
      </c>
      <c r="X486" s="44">
        <f>+_xlfn.XLOOKUP(PROYECTOS[[#This Row],[MUNICIPIO]],'4.CAP_ENDMNT'!B:B,'4.CAP_ENDMNT'!G:G,0,0,1)</f>
        <v>1217107364.4400001</v>
      </c>
      <c r="Y486" s="44">
        <f>+_xlfn.XLOOKUP(PROYECTOS[[#This Row],[MUNICIPIO]],'4.CAP_ENDMNT'!B:B,'4.CAP_ENDMNT'!H:H,0,0,1)</f>
        <v>0</v>
      </c>
      <c r="Z486" s="44">
        <f>+_xlfn.XLOOKUP(PROYECTOS[[#This Row],[MUNICIPIO]],'4.CAP_ENDMNT'!B:B,'4.CAP_ENDMNT'!I:I,0,0,1)</f>
        <v>1217107364.4400001</v>
      </c>
      <c r="AA486" s="134">
        <f>+_xlfn.XLOOKUP(PROYECTOS[[#This Row],[MUNICIPIO]],'4.CAP_ENDMNT'!B:B,'4.CAP_ENDMNT'!J:J,0,0,1)</f>
        <v>0.15677328400446064</v>
      </c>
      <c r="AB486" s="44">
        <f>+_xlfn.XLOOKUP(PROYECTOS[[#This Row],[MUNICIPIO]],'4.CAP_ENDMNT'!B:B,'4.CAP_ENDMNT'!K:K,0,0,1)</f>
        <v>6546379712.8950005</v>
      </c>
      <c r="AC486" s="44">
        <f>+_xlfn.XLOOKUP(PROYECTOS[[#This Row],[MUNICIPIO]],'4.CAP_ENDMNT'!B:B,'4.CAP_ENDMNT'!L:L,0,0,1)</f>
        <v>5237103770.3160009</v>
      </c>
      <c r="AD486" s="44">
        <f>+_xlfn.XLOOKUP(PROYECTOS[[#This Row],[MUNICIPIO]],'4.CAP_ENDMNT'!B:B,'4.CAP_ENDMNT'!M:M,0,0,1)</f>
        <v>3927827827.737</v>
      </c>
      <c r="AE486" s="134">
        <f>+_xlfn.XLOOKUP(PROYECTOS[[#This Row],[MUNICIPIO]],'4.CAP_ENDMNT'!B:B,'4.CAP_ENDMNT'!N:N,0,0,1)</f>
        <v>1</v>
      </c>
      <c r="AF486" s="134">
        <f>+_xlfn.XLOOKUP(PROYECTOS[[#This Row],[MUNICIPIO]],'4.CAP_ENDMNT'!B:B,'4.CAP_ENDMNT'!O:O,0,0,1)</f>
        <v>0.68141761997590633</v>
      </c>
      <c r="AG486" s="134">
        <f>+_xlfn.XLOOKUP(PROYECTOS[[#This Row],[MUNICIPIO]],'4.CAP_ENDMNT'!B:B,'4.CAP_ENDMNT'!P:P,0,0,1)</f>
        <v>0.8</v>
      </c>
      <c r="AH486" s="44" t="str">
        <f>+_xlfn.XLOOKUP(PROYECTOS[[#This Row],[MUNICIPIO]],'4.CAP_ENDMNT'!B:B,'4.CAP_ENDMNT'!Q:Q,0,0,1)</f>
        <v>Cumple</v>
      </c>
      <c r="AI486" s="139">
        <f>+_xlfn.XLOOKUP(PROYECTOS[[#This Row],[MUNICIPIO]],'4.CAP_ENDMNT'!B:B,'4.CAP_ENDMNT'!V:V,0,0,1)</f>
        <v>785565565.5474</v>
      </c>
      <c r="AJ486" s="139">
        <f>+_xlfn.XLOOKUP(PROYECTOS[[#This Row],[MUNICIPIO]],'4.CAP_ENDMNT'!B:B,'4.CAP_ENDMNT'!Y:Y,0,0,1)</f>
        <v>-10352204929.605598</v>
      </c>
    </row>
    <row r="487" spans="1:36" ht="15" customHeight="1">
      <c r="A487" s="44">
        <v>601</v>
      </c>
      <c r="B487" s="37" t="s">
        <v>1300</v>
      </c>
      <c r="C487" s="118">
        <v>45798</v>
      </c>
      <c r="D487" s="46" t="s">
        <v>113</v>
      </c>
      <c r="E487" s="47" t="str">
        <f>+_xlfn.XLOOKUP(PROYECTOS[[#This Row],[MUNICIPIO]],MUNICIPIOS!A:A,MUNICIPIOS!E:E,0,0,1)</f>
        <v>Oriente</v>
      </c>
      <c r="F487" s="44">
        <f>+_xlfn.XLOOKUP(PROYECTOS[[#This Row],[MUNICIPIO]],MUNICIPIOS!A:A,MUNICIPIOS!F:F,0,0,1)</f>
        <v>-75.101562000000001</v>
      </c>
      <c r="G487" s="44" t="str">
        <f>+_xlfn.XLOOKUP(PROYECTOS[[#This Row],[MUNICIPIO]],MUNICIPIOS!A:A,MUNICIPIOS!G:G,0,0,1)</f>
        <v>5,963476</v>
      </c>
      <c r="H487" s="44">
        <f>+_xlfn.XLOOKUP(PROYECTOS[[#This Row],[MUNICIPIO]],MUNICIPIOS!A:A,MUNICIPIOS!B:B,0,0,1)</f>
        <v>0</v>
      </c>
      <c r="I487" s="44">
        <f>+_xlfn.XLOOKUP(PROYECTOS[[#This Row],[MUNICIPIO]],MUNICIPIOS!A:A,MUNICIPIOS!C:C,0,0,1)</f>
        <v>1</v>
      </c>
      <c r="J487" s="34" t="str" cm="1">
        <f t="array" ref="J487">_xlfn.TEXTJOIN(" ", TRUE, IF(radicados[ID PROYECTOS]=A487, radicados[RADICADO], ""))</f>
        <v/>
      </c>
      <c r="K487" s="45">
        <v>1</v>
      </c>
      <c r="L487" s="48"/>
      <c r="M487" s="34" t="s">
        <v>761</v>
      </c>
      <c r="N487" s="40" t="s">
        <v>397</v>
      </c>
      <c r="O487" s="40" t="s">
        <v>56</v>
      </c>
      <c r="P487" s="37" t="s">
        <v>1337</v>
      </c>
      <c r="Q487" s="45"/>
      <c r="R487" s="166"/>
      <c r="S487" s="166"/>
      <c r="T487" s="44">
        <f>+_xlfn.XLOOKUP(PROYECTOS[[#This Row],[MUNICIPIO]],'4.CAP_ENDMNT'!B:B,'4.CAP_ENDMNT'!C:C,0,0,1)</f>
        <v>6</v>
      </c>
      <c r="U487" s="167">
        <f>+_xlfn.XLOOKUP(PROYECTOS[[#This Row],[MUNICIPIO]],'4.CAP_ENDMNT'!B:B,'4.CAP_ENDMNT'!D:D,0,0,1)</f>
        <v>7763487077.335</v>
      </c>
      <c r="V487" s="44">
        <f>+_xlfn.XLOOKUP(PROYECTOS[[#This Row],[MUNICIPIO]],'4.CAP_ENDMNT'!B:B,'4.CAP_ENDMNT'!E:E,0,0,1)</f>
        <v>2329929022.3600001</v>
      </c>
      <c r="W487" s="44">
        <f>+_xlfn.XLOOKUP(PROYECTOS[[#This Row],[MUNICIPIO]],'4.CAP_ENDMNT'!B:B,'4.CAP_ENDMNT'!F:F,0,0,1)</f>
        <v>5433558054.9750004</v>
      </c>
      <c r="X487" s="44">
        <f>+_xlfn.XLOOKUP(PROYECTOS[[#This Row],[MUNICIPIO]],'4.CAP_ENDMNT'!B:B,'4.CAP_ENDMNT'!G:G,0,0,1)</f>
        <v>1217107364.4400001</v>
      </c>
      <c r="Y487" s="44">
        <f>+_xlfn.XLOOKUP(PROYECTOS[[#This Row],[MUNICIPIO]],'4.CAP_ENDMNT'!B:B,'4.CAP_ENDMNT'!H:H,0,0,1)</f>
        <v>0</v>
      </c>
      <c r="Z487" s="44">
        <f>+_xlfn.XLOOKUP(PROYECTOS[[#This Row],[MUNICIPIO]],'4.CAP_ENDMNT'!B:B,'4.CAP_ENDMNT'!I:I,0,0,1)</f>
        <v>1217107364.4400001</v>
      </c>
      <c r="AA487" s="134">
        <f>+_xlfn.XLOOKUP(PROYECTOS[[#This Row],[MUNICIPIO]],'4.CAP_ENDMNT'!B:B,'4.CAP_ENDMNT'!J:J,0,0,1)</f>
        <v>0.15677328400446064</v>
      </c>
      <c r="AB487" s="44">
        <f>+_xlfn.XLOOKUP(PROYECTOS[[#This Row],[MUNICIPIO]],'4.CAP_ENDMNT'!B:B,'4.CAP_ENDMNT'!K:K,0,0,1)</f>
        <v>6546379712.8950005</v>
      </c>
      <c r="AC487" s="44">
        <f>+_xlfn.XLOOKUP(PROYECTOS[[#This Row],[MUNICIPIO]],'4.CAP_ENDMNT'!B:B,'4.CAP_ENDMNT'!L:L,0,0,1)</f>
        <v>5237103770.3160009</v>
      </c>
      <c r="AD487" s="44">
        <f>+_xlfn.XLOOKUP(PROYECTOS[[#This Row],[MUNICIPIO]],'4.CAP_ENDMNT'!B:B,'4.CAP_ENDMNT'!M:M,0,0,1)</f>
        <v>3927827827.737</v>
      </c>
      <c r="AE487" s="134">
        <f>+_xlfn.XLOOKUP(PROYECTOS[[#This Row],[MUNICIPIO]],'4.CAP_ENDMNT'!B:B,'4.CAP_ENDMNT'!N:N,0,0,1)</f>
        <v>1</v>
      </c>
      <c r="AF487" s="134">
        <f>+_xlfn.XLOOKUP(PROYECTOS[[#This Row],[MUNICIPIO]],'4.CAP_ENDMNT'!B:B,'4.CAP_ENDMNT'!O:O,0,0,1)</f>
        <v>0.68141761997590633</v>
      </c>
      <c r="AG487" s="134">
        <f>+_xlfn.XLOOKUP(PROYECTOS[[#This Row],[MUNICIPIO]],'4.CAP_ENDMNT'!B:B,'4.CAP_ENDMNT'!P:P,0,0,1)</f>
        <v>0.8</v>
      </c>
      <c r="AH487" s="44" t="str">
        <f>+_xlfn.XLOOKUP(PROYECTOS[[#This Row],[MUNICIPIO]],'4.CAP_ENDMNT'!B:B,'4.CAP_ENDMNT'!Q:Q,0,0,1)</f>
        <v>Cumple</v>
      </c>
      <c r="AI487" s="139">
        <f>+_xlfn.XLOOKUP(PROYECTOS[[#This Row],[MUNICIPIO]],'4.CAP_ENDMNT'!B:B,'4.CAP_ENDMNT'!V:V,0,0,1)</f>
        <v>785565565.5474</v>
      </c>
      <c r="AJ487" s="139">
        <f>+_xlfn.XLOOKUP(PROYECTOS[[#This Row],[MUNICIPIO]],'4.CAP_ENDMNT'!B:B,'4.CAP_ENDMNT'!Y:Y,0,0,1)</f>
        <v>-10352204929.605598</v>
      </c>
    </row>
    <row r="488" spans="1:36" ht="15" customHeight="1">
      <c r="A488" s="44">
        <v>602</v>
      </c>
      <c r="B488" s="37" t="s">
        <v>1301</v>
      </c>
      <c r="C488" s="118">
        <v>45798</v>
      </c>
      <c r="D488" s="46" t="s">
        <v>113</v>
      </c>
      <c r="E488" s="47" t="str">
        <f>+_xlfn.XLOOKUP(PROYECTOS[[#This Row],[MUNICIPIO]],MUNICIPIOS!A:A,MUNICIPIOS!E:E,0,0,1)</f>
        <v>Oriente</v>
      </c>
      <c r="F488" s="44">
        <f>+_xlfn.XLOOKUP(PROYECTOS[[#This Row],[MUNICIPIO]],MUNICIPIOS!A:A,MUNICIPIOS!F:F,0,0,1)</f>
        <v>-75.101562000000001</v>
      </c>
      <c r="G488" s="44" t="str">
        <f>+_xlfn.XLOOKUP(PROYECTOS[[#This Row],[MUNICIPIO]],MUNICIPIOS!A:A,MUNICIPIOS!G:G,0,0,1)</f>
        <v>5,963476</v>
      </c>
      <c r="H488" s="44">
        <f>+_xlfn.XLOOKUP(PROYECTOS[[#This Row],[MUNICIPIO]],MUNICIPIOS!A:A,MUNICIPIOS!B:B,0,0,1)</f>
        <v>0</v>
      </c>
      <c r="I488" s="44">
        <f>+_xlfn.XLOOKUP(PROYECTOS[[#This Row],[MUNICIPIO]],MUNICIPIOS!A:A,MUNICIPIOS!C:C,0,0,1)</f>
        <v>1</v>
      </c>
      <c r="J488" s="34" t="str" cm="1">
        <f t="array" ref="J488">_xlfn.TEXTJOIN(" ", TRUE, IF(radicados[ID PROYECTOS]=A488, radicados[RADICADO], ""))</f>
        <v/>
      </c>
      <c r="K488" s="45">
        <v>1</v>
      </c>
      <c r="L488" s="48"/>
      <c r="M488" s="34" t="s">
        <v>761</v>
      </c>
      <c r="N488" s="40" t="s">
        <v>397</v>
      </c>
      <c r="O488" s="40" t="s">
        <v>56</v>
      </c>
      <c r="P488" s="37" t="s">
        <v>1337</v>
      </c>
      <c r="Q488" s="45"/>
      <c r="R488" s="166"/>
      <c r="S488" s="166"/>
      <c r="T488" s="44">
        <f>+_xlfn.XLOOKUP(PROYECTOS[[#This Row],[MUNICIPIO]],'4.CAP_ENDMNT'!B:B,'4.CAP_ENDMNT'!C:C,0,0,1)</f>
        <v>6</v>
      </c>
      <c r="U488" s="167">
        <f>+_xlfn.XLOOKUP(PROYECTOS[[#This Row],[MUNICIPIO]],'4.CAP_ENDMNT'!B:B,'4.CAP_ENDMNT'!D:D,0,0,1)</f>
        <v>7763487077.335</v>
      </c>
      <c r="V488" s="44">
        <f>+_xlfn.XLOOKUP(PROYECTOS[[#This Row],[MUNICIPIO]],'4.CAP_ENDMNT'!B:B,'4.CAP_ENDMNT'!E:E,0,0,1)</f>
        <v>2329929022.3600001</v>
      </c>
      <c r="W488" s="44">
        <f>+_xlfn.XLOOKUP(PROYECTOS[[#This Row],[MUNICIPIO]],'4.CAP_ENDMNT'!B:B,'4.CAP_ENDMNT'!F:F,0,0,1)</f>
        <v>5433558054.9750004</v>
      </c>
      <c r="X488" s="44">
        <f>+_xlfn.XLOOKUP(PROYECTOS[[#This Row],[MUNICIPIO]],'4.CAP_ENDMNT'!B:B,'4.CAP_ENDMNT'!G:G,0,0,1)</f>
        <v>1217107364.4400001</v>
      </c>
      <c r="Y488" s="44">
        <f>+_xlfn.XLOOKUP(PROYECTOS[[#This Row],[MUNICIPIO]],'4.CAP_ENDMNT'!B:B,'4.CAP_ENDMNT'!H:H,0,0,1)</f>
        <v>0</v>
      </c>
      <c r="Z488" s="44">
        <f>+_xlfn.XLOOKUP(PROYECTOS[[#This Row],[MUNICIPIO]],'4.CAP_ENDMNT'!B:B,'4.CAP_ENDMNT'!I:I,0,0,1)</f>
        <v>1217107364.4400001</v>
      </c>
      <c r="AA488" s="134">
        <f>+_xlfn.XLOOKUP(PROYECTOS[[#This Row],[MUNICIPIO]],'4.CAP_ENDMNT'!B:B,'4.CAP_ENDMNT'!J:J,0,0,1)</f>
        <v>0.15677328400446064</v>
      </c>
      <c r="AB488" s="44">
        <f>+_xlfn.XLOOKUP(PROYECTOS[[#This Row],[MUNICIPIO]],'4.CAP_ENDMNT'!B:B,'4.CAP_ENDMNT'!K:K,0,0,1)</f>
        <v>6546379712.8950005</v>
      </c>
      <c r="AC488" s="44">
        <f>+_xlfn.XLOOKUP(PROYECTOS[[#This Row],[MUNICIPIO]],'4.CAP_ENDMNT'!B:B,'4.CAP_ENDMNT'!L:L,0,0,1)</f>
        <v>5237103770.3160009</v>
      </c>
      <c r="AD488" s="44">
        <f>+_xlfn.XLOOKUP(PROYECTOS[[#This Row],[MUNICIPIO]],'4.CAP_ENDMNT'!B:B,'4.CAP_ENDMNT'!M:M,0,0,1)</f>
        <v>3927827827.737</v>
      </c>
      <c r="AE488" s="134">
        <f>+_xlfn.XLOOKUP(PROYECTOS[[#This Row],[MUNICIPIO]],'4.CAP_ENDMNT'!B:B,'4.CAP_ENDMNT'!N:N,0,0,1)</f>
        <v>1</v>
      </c>
      <c r="AF488" s="134">
        <f>+_xlfn.XLOOKUP(PROYECTOS[[#This Row],[MUNICIPIO]],'4.CAP_ENDMNT'!B:B,'4.CAP_ENDMNT'!O:O,0,0,1)</f>
        <v>0.68141761997590633</v>
      </c>
      <c r="AG488" s="134">
        <f>+_xlfn.XLOOKUP(PROYECTOS[[#This Row],[MUNICIPIO]],'4.CAP_ENDMNT'!B:B,'4.CAP_ENDMNT'!P:P,0,0,1)</f>
        <v>0.8</v>
      </c>
      <c r="AH488" s="44" t="str">
        <f>+_xlfn.XLOOKUP(PROYECTOS[[#This Row],[MUNICIPIO]],'4.CAP_ENDMNT'!B:B,'4.CAP_ENDMNT'!Q:Q,0,0,1)</f>
        <v>Cumple</v>
      </c>
      <c r="AI488" s="139">
        <f>+_xlfn.XLOOKUP(PROYECTOS[[#This Row],[MUNICIPIO]],'4.CAP_ENDMNT'!B:B,'4.CAP_ENDMNT'!V:V,0,0,1)</f>
        <v>785565565.5474</v>
      </c>
      <c r="AJ488" s="139">
        <f>+_xlfn.XLOOKUP(PROYECTOS[[#This Row],[MUNICIPIO]],'4.CAP_ENDMNT'!B:B,'4.CAP_ENDMNT'!Y:Y,0,0,1)</f>
        <v>-10352204929.605598</v>
      </c>
    </row>
    <row r="489" spans="1:36" ht="15" customHeight="1">
      <c r="A489" s="44">
        <v>603</v>
      </c>
      <c r="B489" s="37" t="s">
        <v>1302</v>
      </c>
      <c r="C489" s="118">
        <v>45798</v>
      </c>
      <c r="D489" s="3" t="s">
        <v>57</v>
      </c>
      <c r="E489" s="47" t="str">
        <f>+_xlfn.XLOOKUP(PROYECTOS[[#This Row],[MUNICIPIO]],MUNICIPIOS!A:A,MUNICIPIOS!E:E,0,0,1)</f>
        <v>Norte</v>
      </c>
      <c r="F489" s="44">
        <f>+_xlfn.XLOOKUP(PROYECTOS[[#This Row],[MUNICIPIO]],MUNICIPIOS!A:A,MUNICIPIOS!F:F,0,0,1)</f>
        <v>-75.683351999999999</v>
      </c>
      <c r="G489" s="44" t="str">
        <f>+_xlfn.XLOOKUP(PROYECTOS[[#This Row],[MUNICIPIO]],MUNICIPIOS!A:A,MUNICIPIOS!G:G,0,0,1)</f>
        <v>6,85009</v>
      </c>
      <c r="H489" s="44">
        <f>+_xlfn.XLOOKUP(PROYECTOS[[#This Row],[MUNICIPIO]],MUNICIPIOS!A:A,MUNICIPIOS!B:B,0,0,1)</f>
        <v>0</v>
      </c>
      <c r="I489" s="44">
        <f>+_xlfn.XLOOKUP(PROYECTOS[[#This Row],[MUNICIPIO]],MUNICIPIOS!A:A,MUNICIPIOS!C:C,0,0,1)</f>
        <v>0</v>
      </c>
      <c r="J489" s="34" t="str" cm="1">
        <f t="array" ref="J489">_xlfn.TEXTJOIN(" ", TRUE, IF(radicados[ID PROYECTOS]=A489, radicados[RADICADO], ""))</f>
        <v/>
      </c>
      <c r="K489" s="45">
        <v>3</v>
      </c>
      <c r="L489" s="48">
        <v>10196000000</v>
      </c>
      <c r="M489" s="34" t="s">
        <v>761</v>
      </c>
      <c r="N489" s="40" t="s">
        <v>397</v>
      </c>
      <c r="O489" s="40" t="s">
        <v>56</v>
      </c>
      <c r="P489" s="37" t="s">
        <v>1338</v>
      </c>
      <c r="Q489" s="45"/>
      <c r="R489" s="166"/>
      <c r="S489" s="166"/>
      <c r="T489" s="44">
        <f>+_xlfn.XLOOKUP(PROYECTOS[[#This Row],[MUNICIPIO]],'4.CAP_ENDMNT'!B:B,'4.CAP_ENDMNT'!C:C,0,0,1)</f>
        <v>6</v>
      </c>
      <c r="U489" s="167">
        <f>+_xlfn.XLOOKUP(PROYECTOS[[#This Row],[MUNICIPIO]],'4.CAP_ENDMNT'!B:B,'4.CAP_ENDMNT'!D:D,0,0,1)</f>
        <v>5437802568.3275003</v>
      </c>
      <c r="V489" s="44">
        <f>+_xlfn.XLOOKUP(PROYECTOS[[#This Row],[MUNICIPIO]],'4.CAP_ENDMNT'!B:B,'4.CAP_ENDMNT'!E:E,0,0,1)</f>
        <v>2195257843.8499999</v>
      </c>
      <c r="W489" s="44">
        <f>+_xlfn.XLOOKUP(PROYECTOS[[#This Row],[MUNICIPIO]],'4.CAP_ENDMNT'!B:B,'4.CAP_ENDMNT'!F:F,0,0,1)</f>
        <v>3242544724.4775004</v>
      </c>
      <c r="X489" s="44">
        <f>+_xlfn.XLOOKUP(PROYECTOS[[#This Row],[MUNICIPIO]],'4.CAP_ENDMNT'!B:B,'4.CAP_ENDMNT'!G:G,0,0,1)</f>
        <v>1389038990</v>
      </c>
      <c r="Y489" s="44">
        <f>+_xlfn.XLOOKUP(PROYECTOS[[#This Row],[MUNICIPIO]],'4.CAP_ENDMNT'!B:B,'4.CAP_ENDMNT'!H:H,0,0,1)</f>
        <v>0</v>
      </c>
      <c r="Z489" s="44">
        <f>+_xlfn.XLOOKUP(PROYECTOS[[#This Row],[MUNICIPIO]],'4.CAP_ENDMNT'!B:B,'4.CAP_ENDMNT'!I:I,0,0,1)</f>
        <v>1389038990</v>
      </c>
      <c r="AA489" s="134">
        <f>+_xlfn.XLOOKUP(PROYECTOS[[#This Row],[MUNICIPIO]],'4.CAP_ENDMNT'!B:B,'4.CAP_ENDMNT'!J:J,0,0,1)</f>
        <v>0.25544123247329026</v>
      </c>
      <c r="AB489" s="44">
        <f>+_xlfn.XLOOKUP(PROYECTOS[[#This Row],[MUNICIPIO]],'4.CAP_ENDMNT'!B:B,'4.CAP_ENDMNT'!K:K,0,0,1)</f>
        <v>4048763578.3275003</v>
      </c>
      <c r="AC489" s="44">
        <f>+_xlfn.XLOOKUP(PROYECTOS[[#This Row],[MUNICIPIO]],'4.CAP_ENDMNT'!B:B,'4.CAP_ENDMNT'!L:L,0,0,1)</f>
        <v>3239010862.6620007</v>
      </c>
      <c r="AD489" s="44">
        <f>+_xlfn.XLOOKUP(PROYECTOS[[#This Row],[MUNICIPIO]],'4.CAP_ENDMNT'!B:B,'4.CAP_ENDMNT'!M:M,0,0,1)</f>
        <v>2429258146.9965</v>
      </c>
      <c r="AE489" s="134">
        <f>+_xlfn.XLOOKUP(PROYECTOS[[#This Row],[MUNICIPIO]],'4.CAP_ENDMNT'!B:B,'4.CAP_ENDMNT'!N:N,0,0,1)</f>
        <v>1</v>
      </c>
      <c r="AF489" s="134">
        <f>+_xlfn.XLOOKUP(PROYECTOS[[#This Row],[MUNICIPIO]],'4.CAP_ENDMNT'!B:B,'4.CAP_ENDMNT'!O:O,0,0,1)</f>
        <v>0.74230580339650343</v>
      </c>
      <c r="AG489" s="134">
        <f>+_xlfn.XLOOKUP(PROYECTOS[[#This Row],[MUNICIPIO]],'4.CAP_ENDMNT'!B:B,'4.CAP_ENDMNT'!P:P,0,0,1)</f>
        <v>0.8</v>
      </c>
      <c r="AH489" s="44" t="str">
        <f>+_xlfn.XLOOKUP(PROYECTOS[[#This Row],[MUNICIPIO]],'4.CAP_ENDMNT'!B:B,'4.CAP_ENDMNT'!Q:Q,0,0,1)</f>
        <v>Cumple</v>
      </c>
      <c r="AI489" s="139">
        <f>+_xlfn.XLOOKUP(PROYECTOS[[#This Row],[MUNICIPIO]],'4.CAP_ENDMNT'!B:B,'4.CAP_ENDMNT'!V:V,0,0,1)</f>
        <v>485851629.39930004</v>
      </c>
      <c r="AJ489" s="139">
        <f>+_xlfn.XLOOKUP(PROYECTOS[[#This Row],[MUNICIPIO]],'4.CAP_ENDMNT'!B:B,'4.CAP_ENDMNT'!Y:Y,0,0,1)</f>
        <v>-14155936706.6042</v>
      </c>
    </row>
    <row r="490" spans="1:36" ht="15" customHeight="1">
      <c r="A490" s="44">
        <v>604</v>
      </c>
      <c r="B490" s="37" t="s">
        <v>1303</v>
      </c>
      <c r="C490" s="118">
        <v>45798</v>
      </c>
      <c r="D490" s="3" t="s">
        <v>57</v>
      </c>
      <c r="E490" s="47" t="str">
        <f>+_xlfn.XLOOKUP(PROYECTOS[[#This Row],[MUNICIPIO]],MUNICIPIOS!A:A,MUNICIPIOS!E:E,0,0,1)</f>
        <v>Norte</v>
      </c>
      <c r="F490" s="44">
        <f>+_xlfn.XLOOKUP(PROYECTOS[[#This Row],[MUNICIPIO]],MUNICIPIOS!A:A,MUNICIPIOS!F:F,0,0,1)</f>
        <v>-75.683351999999999</v>
      </c>
      <c r="G490" s="44" t="str">
        <f>+_xlfn.XLOOKUP(PROYECTOS[[#This Row],[MUNICIPIO]],MUNICIPIOS!A:A,MUNICIPIOS!G:G,0,0,1)</f>
        <v>6,85009</v>
      </c>
      <c r="H490" s="44">
        <f>+_xlfn.XLOOKUP(PROYECTOS[[#This Row],[MUNICIPIO]],MUNICIPIOS!A:A,MUNICIPIOS!B:B,0,0,1)</f>
        <v>0</v>
      </c>
      <c r="I490" s="44">
        <f>+_xlfn.XLOOKUP(PROYECTOS[[#This Row],[MUNICIPIO]],MUNICIPIOS!A:A,MUNICIPIOS!C:C,0,0,1)</f>
        <v>0</v>
      </c>
      <c r="J490" s="34" t="str" cm="1">
        <f t="array" ref="J490">_xlfn.TEXTJOIN(" ", TRUE, IF(radicados[ID PROYECTOS]=A490, radicados[RADICADO], ""))</f>
        <v/>
      </c>
      <c r="K490" s="45">
        <v>1</v>
      </c>
      <c r="L490" s="48"/>
      <c r="M490" s="34" t="s">
        <v>435</v>
      </c>
      <c r="N490" s="40" t="s">
        <v>397</v>
      </c>
      <c r="O490" s="40" t="s">
        <v>56</v>
      </c>
      <c r="P490" s="37" t="s">
        <v>1339</v>
      </c>
      <c r="Q490" s="45"/>
      <c r="R490" s="166"/>
      <c r="S490" s="166"/>
      <c r="T490" s="44">
        <f>+_xlfn.XLOOKUP(PROYECTOS[[#This Row],[MUNICIPIO]],'4.CAP_ENDMNT'!B:B,'4.CAP_ENDMNT'!C:C,0,0,1)</f>
        <v>6</v>
      </c>
      <c r="U490" s="167">
        <f>+_xlfn.XLOOKUP(PROYECTOS[[#This Row],[MUNICIPIO]],'4.CAP_ENDMNT'!B:B,'4.CAP_ENDMNT'!D:D,0,0,1)</f>
        <v>5437802568.3275003</v>
      </c>
      <c r="V490" s="44">
        <f>+_xlfn.XLOOKUP(PROYECTOS[[#This Row],[MUNICIPIO]],'4.CAP_ENDMNT'!B:B,'4.CAP_ENDMNT'!E:E,0,0,1)</f>
        <v>2195257843.8499999</v>
      </c>
      <c r="W490" s="44">
        <f>+_xlfn.XLOOKUP(PROYECTOS[[#This Row],[MUNICIPIO]],'4.CAP_ENDMNT'!B:B,'4.CAP_ENDMNT'!F:F,0,0,1)</f>
        <v>3242544724.4775004</v>
      </c>
      <c r="X490" s="44">
        <f>+_xlfn.XLOOKUP(PROYECTOS[[#This Row],[MUNICIPIO]],'4.CAP_ENDMNT'!B:B,'4.CAP_ENDMNT'!G:G,0,0,1)</f>
        <v>1389038990</v>
      </c>
      <c r="Y490" s="44">
        <f>+_xlfn.XLOOKUP(PROYECTOS[[#This Row],[MUNICIPIO]],'4.CAP_ENDMNT'!B:B,'4.CAP_ENDMNT'!H:H,0,0,1)</f>
        <v>0</v>
      </c>
      <c r="Z490" s="44">
        <f>+_xlfn.XLOOKUP(PROYECTOS[[#This Row],[MUNICIPIO]],'4.CAP_ENDMNT'!B:B,'4.CAP_ENDMNT'!I:I,0,0,1)</f>
        <v>1389038990</v>
      </c>
      <c r="AA490" s="134">
        <f>+_xlfn.XLOOKUP(PROYECTOS[[#This Row],[MUNICIPIO]],'4.CAP_ENDMNT'!B:B,'4.CAP_ENDMNT'!J:J,0,0,1)</f>
        <v>0.25544123247329026</v>
      </c>
      <c r="AB490" s="44">
        <f>+_xlfn.XLOOKUP(PROYECTOS[[#This Row],[MUNICIPIO]],'4.CAP_ENDMNT'!B:B,'4.CAP_ENDMNT'!K:K,0,0,1)</f>
        <v>4048763578.3275003</v>
      </c>
      <c r="AC490" s="44">
        <f>+_xlfn.XLOOKUP(PROYECTOS[[#This Row],[MUNICIPIO]],'4.CAP_ENDMNT'!B:B,'4.CAP_ENDMNT'!L:L,0,0,1)</f>
        <v>3239010862.6620007</v>
      </c>
      <c r="AD490" s="44">
        <f>+_xlfn.XLOOKUP(PROYECTOS[[#This Row],[MUNICIPIO]],'4.CAP_ENDMNT'!B:B,'4.CAP_ENDMNT'!M:M,0,0,1)</f>
        <v>2429258146.9965</v>
      </c>
      <c r="AE490" s="134">
        <f>+_xlfn.XLOOKUP(PROYECTOS[[#This Row],[MUNICIPIO]],'4.CAP_ENDMNT'!B:B,'4.CAP_ENDMNT'!N:N,0,0,1)</f>
        <v>1</v>
      </c>
      <c r="AF490" s="134">
        <f>+_xlfn.XLOOKUP(PROYECTOS[[#This Row],[MUNICIPIO]],'4.CAP_ENDMNT'!B:B,'4.CAP_ENDMNT'!O:O,0,0,1)</f>
        <v>0.74230580339650343</v>
      </c>
      <c r="AG490" s="134">
        <f>+_xlfn.XLOOKUP(PROYECTOS[[#This Row],[MUNICIPIO]],'4.CAP_ENDMNT'!B:B,'4.CAP_ENDMNT'!P:P,0,0,1)</f>
        <v>0.8</v>
      </c>
      <c r="AH490" s="44" t="str">
        <f>+_xlfn.XLOOKUP(PROYECTOS[[#This Row],[MUNICIPIO]],'4.CAP_ENDMNT'!B:B,'4.CAP_ENDMNT'!Q:Q,0,0,1)</f>
        <v>Cumple</v>
      </c>
      <c r="AI490" s="139">
        <f>+_xlfn.XLOOKUP(PROYECTOS[[#This Row],[MUNICIPIO]],'4.CAP_ENDMNT'!B:B,'4.CAP_ENDMNT'!V:V,0,0,1)</f>
        <v>485851629.39930004</v>
      </c>
      <c r="AJ490" s="139">
        <f>+_xlfn.XLOOKUP(PROYECTOS[[#This Row],[MUNICIPIO]],'4.CAP_ENDMNT'!B:B,'4.CAP_ENDMNT'!Y:Y,0,0,1)</f>
        <v>-14155936706.6042</v>
      </c>
    </row>
    <row r="491" spans="1:36" ht="15" customHeight="1">
      <c r="A491" s="44">
        <v>605</v>
      </c>
      <c r="B491" s="37" t="s">
        <v>1304</v>
      </c>
      <c r="C491" s="118">
        <v>45798</v>
      </c>
      <c r="D491" s="46" t="s">
        <v>270</v>
      </c>
      <c r="E491" s="47" t="str">
        <f>+_xlfn.XLOOKUP(PROYECTOS[[#This Row],[MUNICIPIO]],MUNICIPIOS!A:A,MUNICIPIOS!E:E,0,0,1)</f>
        <v>Oriente</v>
      </c>
      <c r="F491" s="44">
        <f>+_xlfn.XLOOKUP(PROYECTOS[[#This Row],[MUNICIPIO]],MUNICIPIOS!A:A,MUNICIPIOS!F:F,0,0,1)</f>
        <v>-74.993618999999995</v>
      </c>
      <c r="G491" s="44" t="str">
        <f>+_xlfn.XLOOKUP(PROYECTOS[[#This Row],[MUNICIPIO]],MUNICIPIOS!A:A,MUNICIPIOS!G:G,0,0,1)</f>
        <v>6,043017</v>
      </c>
      <c r="H491" s="44">
        <f>+_xlfn.XLOOKUP(PROYECTOS[[#This Row],[MUNICIPIO]],MUNICIPIOS!A:A,MUNICIPIOS!B:B,0,0,1)</f>
        <v>0</v>
      </c>
      <c r="I491" s="44">
        <f>+_xlfn.XLOOKUP(PROYECTOS[[#This Row],[MUNICIPIO]],MUNICIPIOS!A:A,MUNICIPIOS!C:C,0,0,1)</f>
        <v>1</v>
      </c>
      <c r="J491" s="34" t="str" cm="1">
        <f t="array" ref="J491">_xlfn.TEXTJOIN(" ", TRUE, IF(radicados[ID PROYECTOS]=A491, radicados[RADICADO], ""))</f>
        <v/>
      </c>
      <c r="K491" s="45">
        <v>1</v>
      </c>
      <c r="L491" s="48"/>
      <c r="M491" s="34" t="s">
        <v>435</v>
      </c>
      <c r="N491" s="40" t="s">
        <v>398</v>
      </c>
      <c r="O491" s="40" t="s">
        <v>25</v>
      </c>
      <c r="P491" s="37" t="s">
        <v>1341</v>
      </c>
      <c r="Q491" s="45"/>
      <c r="R491" s="166"/>
      <c r="S491" s="166"/>
      <c r="T491" s="44">
        <f>+_xlfn.XLOOKUP(PROYECTOS[[#This Row],[MUNICIPIO]],'4.CAP_ENDMNT'!B:B,'4.CAP_ENDMNT'!C:C,0,0,1)</f>
        <v>6</v>
      </c>
      <c r="U491" s="167">
        <f>+_xlfn.XLOOKUP(PROYECTOS[[#This Row],[MUNICIPIO]],'4.CAP_ENDMNT'!B:B,'4.CAP_ENDMNT'!D:D,0,0,1)</f>
        <v>10860999220.161499</v>
      </c>
      <c r="V491" s="44">
        <f>+_xlfn.XLOOKUP(PROYECTOS[[#This Row],[MUNICIPIO]],'4.CAP_ENDMNT'!B:B,'4.CAP_ENDMNT'!E:E,0,0,1)</f>
        <v>3903981787.4000001</v>
      </c>
      <c r="W491" s="44">
        <f>+_xlfn.XLOOKUP(PROYECTOS[[#This Row],[MUNICIPIO]],'4.CAP_ENDMNT'!B:B,'4.CAP_ENDMNT'!F:F,0,0,1)</f>
        <v>6957017432.7614994</v>
      </c>
      <c r="X491" s="44">
        <f>+_xlfn.XLOOKUP(PROYECTOS[[#This Row],[MUNICIPIO]],'4.CAP_ENDMNT'!B:B,'4.CAP_ENDMNT'!G:G,0,0,1)</f>
        <v>1425530293</v>
      </c>
      <c r="Y491" s="44">
        <f>+_xlfn.XLOOKUP(PROYECTOS[[#This Row],[MUNICIPIO]],'4.CAP_ENDMNT'!B:B,'4.CAP_ENDMNT'!H:H,0,0,1)</f>
        <v>0</v>
      </c>
      <c r="Z491" s="44">
        <f>+_xlfn.XLOOKUP(PROYECTOS[[#This Row],[MUNICIPIO]],'4.CAP_ENDMNT'!B:B,'4.CAP_ENDMNT'!I:I,0,0,1)</f>
        <v>1425530293</v>
      </c>
      <c r="AA491" s="134">
        <f>+_xlfn.XLOOKUP(PROYECTOS[[#This Row],[MUNICIPIO]],'4.CAP_ENDMNT'!B:B,'4.CAP_ENDMNT'!J:J,0,0,1)</f>
        <v>0.13125222312453153</v>
      </c>
      <c r="AB491" s="44">
        <f>+_xlfn.XLOOKUP(PROYECTOS[[#This Row],[MUNICIPIO]],'4.CAP_ENDMNT'!B:B,'4.CAP_ENDMNT'!K:K,0,0,1)</f>
        <v>9435468927.161499</v>
      </c>
      <c r="AC491" s="44">
        <f>+_xlfn.XLOOKUP(PROYECTOS[[#This Row],[MUNICIPIO]],'4.CAP_ENDMNT'!B:B,'4.CAP_ENDMNT'!L:L,0,0,1)</f>
        <v>7548375141.7291994</v>
      </c>
      <c r="AD491" s="44">
        <f>+_xlfn.XLOOKUP(PROYECTOS[[#This Row],[MUNICIPIO]],'4.CAP_ENDMNT'!B:B,'4.CAP_ENDMNT'!M:M,0,0,1)</f>
        <v>5661281356.2968988</v>
      </c>
      <c r="AE491" s="134">
        <f>+_xlfn.XLOOKUP(PROYECTOS[[#This Row],[MUNICIPIO]],'4.CAP_ENDMNT'!B:B,'4.CAP_ENDMNT'!N:N,0,0,1)</f>
        <v>1</v>
      </c>
      <c r="AF491" s="134">
        <f>+_xlfn.XLOOKUP(PROYECTOS[[#This Row],[MUNICIPIO]],'4.CAP_ENDMNT'!B:B,'4.CAP_ENDMNT'!O:O,0,0,1)</f>
        <v>0.63270124114427018</v>
      </c>
      <c r="AG491" s="134">
        <f>+_xlfn.XLOOKUP(PROYECTOS[[#This Row],[MUNICIPIO]],'4.CAP_ENDMNT'!B:B,'4.CAP_ENDMNT'!P:P,0,0,1)</f>
        <v>0.8</v>
      </c>
      <c r="AH491" s="44" t="str">
        <f>+_xlfn.XLOOKUP(PROYECTOS[[#This Row],[MUNICIPIO]],'4.CAP_ENDMNT'!B:B,'4.CAP_ENDMNT'!Q:Q,0,0,1)</f>
        <v>Cumple</v>
      </c>
      <c r="AI491" s="139">
        <f>+_xlfn.XLOOKUP(PROYECTOS[[#This Row],[MUNICIPIO]],'4.CAP_ENDMNT'!B:B,'4.CAP_ENDMNT'!V:V,0,0,1)</f>
        <v>1132256271.2593799</v>
      </c>
      <c r="AJ491" s="139">
        <f>+_xlfn.XLOOKUP(PROYECTOS[[#This Row],[MUNICIPIO]],'4.CAP_ENDMNT'!B:B,'4.CAP_ENDMNT'!Y:Y,0,0,1)</f>
        <v>-72218731181.443726</v>
      </c>
    </row>
    <row r="492" spans="1:36" ht="15" customHeight="1">
      <c r="A492" s="44">
        <v>606</v>
      </c>
      <c r="B492" s="37" t="s">
        <v>1504</v>
      </c>
      <c r="C492" s="118">
        <v>45798</v>
      </c>
      <c r="D492" s="46" t="s">
        <v>270</v>
      </c>
      <c r="E492" s="47" t="str">
        <f>+_xlfn.XLOOKUP(PROYECTOS[[#This Row],[MUNICIPIO]],MUNICIPIOS!A:A,MUNICIPIOS!E:E,0,0,1)</f>
        <v>Oriente</v>
      </c>
      <c r="F492" s="44">
        <f>+_xlfn.XLOOKUP(PROYECTOS[[#This Row],[MUNICIPIO]],MUNICIPIOS!A:A,MUNICIPIOS!F:F,0,0,1)</f>
        <v>-74.993618999999995</v>
      </c>
      <c r="G492" s="44" t="str">
        <f>+_xlfn.XLOOKUP(PROYECTOS[[#This Row],[MUNICIPIO]],MUNICIPIOS!A:A,MUNICIPIOS!G:G,0,0,1)</f>
        <v>6,043017</v>
      </c>
      <c r="H492" s="44">
        <f>+_xlfn.XLOOKUP(PROYECTOS[[#This Row],[MUNICIPIO]],MUNICIPIOS!A:A,MUNICIPIOS!B:B,0,0,1)</f>
        <v>0</v>
      </c>
      <c r="I492" s="44">
        <f>+_xlfn.XLOOKUP(PROYECTOS[[#This Row],[MUNICIPIO]],MUNICIPIOS!A:A,MUNICIPIOS!C:C,0,0,1)</f>
        <v>1</v>
      </c>
      <c r="J492" s="34" t="str" cm="1">
        <f t="array" ref="J492">_xlfn.TEXTJOIN(" ", TRUE, IF(radicados[ID PROYECTOS]=A492, radicados[RADICADO], ""))</f>
        <v/>
      </c>
      <c r="K492" s="45">
        <v>1</v>
      </c>
      <c r="L492" s="48"/>
      <c r="M492" s="34" t="s">
        <v>761</v>
      </c>
      <c r="N492" s="40" t="s">
        <v>397</v>
      </c>
      <c r="O492" s="40" t="s">
        <v>56</v>
      </c>
      <c r="P492" s="37" t="s">
        <v>1340</v>
      </c>
      <c r="Q492" s="45"/>
      <c r="R492" s="166"/>
      <c r="S492" s="166"/>
      <c r="T492" s="44">
        <f>+_xlfn.XLOOKUP(PROYECTOS[[#This Row],[MUNICIPIO]],'4.CAP_ENDMNT'!B:B,'4.CAP_ENDMNT'!C:C,0,0,1)</f>
        <v>6</v>
      </c>
      <c r="U492" s="167">
        <f>+_xlfn.XLOOKUP(PROYECTOS[[#This Row],[MUNICIPIO]],'4.CAP_ENDMNT'!B:B,'4.CAP_ENDMNT'!D:D,0,0,1)</f>
        <v>10860999220.161499</v>
      </c>
      <c r="V492" s="44">
        <f>+_xlfn.XLOOKUP(PROYECTOS[[#This Row],[MUNICIPIO]],'4.CAP_ENDMNT'!B:B,'4.CAP_ENDMNT'!E:E,0,0,1)</f>
        <v>3903981787.4000001</v>
      </c>
      <c r="W492" s="44">
        <f>+_xlfn.XLOOKUP(PROYECTOS[[#This Row],[MUNICIPIO]],'4.CAP_ENDMNT'!B:B,'4.CAP_ENDMNT'!F:F,0,0,1)</f>
        <v>6957017432.7614994</v>
      </c>
      <c r="X492" s="44">
        <f>+_xlfn.XLOOKUP(PROYECTOS[[#This Row],[MUNICIPIO]],'4.CAP_ENDMNT'!B:B,'4.CAP_ENDMNT'!G:G,0,0,1)</f>
        <v>1425530293</v>
      </c>
      <c r="Y492" s="44">
        <f>+_xlfn.XLOOKUP(PROYECTOS[[#This Row],[MUNICIPIO]],'4.CAP_ENDMNT'!B:B,'4.CAP_ENDMNT'!H:H,0,0,1)</f>
        <v>0</v>
      </c>
      <c r="Z492" s="44">
        <f>+_xlfn.XLOOKUP(PROYECTOS[[#This Row],[MUNICIPIO]],'4.CAP_ENDMNT'!B:B,'4.CAP_ENDMNT'!I:I,0,0,1)</f>
        <v>1425530293</v>
      </c>
      <c r="AA492" s="134">
        <f>+_xlfn.XLOOKUP(PROYECTOS[[#This Row],[MUNICIPIO]],'4.CAP_ENDMNT'!B:B,'4.CAP_ENDMNT'!J:J,0,0,1)</f>
        <v>0.13125222312453153</v>
      </c>
      <c r="AB492" s="44">
        <f>+_xlfn.XLOOKUP(PROYECTOS[[#This Row],[MUNICIPIO]],'4.CAP_ENDMNT'!B:B,'4.CAP_ENDMNT'!K:K,0,0,1)</f>
        <v>9435468927.161499</v>
      </c>
      <c r="AC492" s="44">
        <f>+_xlfn.XLOOKUP(PROYECTOS[[#This Row],[MUNICIPIO]],'4.CAP_ENDMNT'!B:B,'4.CAP_ENDMNT'!L:L,0,0,1)</f>
        <v>7548375141.7291994</v>
      </c>
      <c r="AD492" s="44">
        <f>+_xlfn.XLOOKUP(PROYECTOS[[#This Row],[MUNICIPIO]],'4.CAP_ENDMNT'!B:B,'4.CAP_ENDMNT'!M:M,0,0,1)</f>
        <v>5661281356.2968988</v>
      </c>
      <c r="AE492" s="134">
        <f>+_xlfn.XLOOKUP(PROYECTOS[[#This Row],[MUNICIPIO]],'4.CAP_ENDMNT'!B:B,'4.CAP_ENDMNT'!N:N,0,0,1)</f>
        <v>1</v>
      </c>
      <c r="AF492" s="134">
        <f>+_xlfn.XLOOKUP(PROYECTOS[[#This Row],[MUNICIPIO]],'4.CAP_ENDMNT'!B:B,'4.CAP_ENDMNT'!O:O,0,0,1)</f>
        <v>0.63270124114427018</v>
      </c>
      <c r="AG492" s="134">
        <f>+_xlfn.XLOOKUP(PROYECTOS[[#This Row],[MUNICIPIO]],'4.CAP_ENDMNT'!B:B,'4.CAP_ENDMNT'!P:P,0,0,1)</f>
        <v>0.8</v>
      </c>
      <c r="AH492" s="44" t="str">
        <f>+_xlfn.XLOOKUP(PROYECTOS[[#This Row],[MUNICIPIO]],'4.CAP_ENDMNT'!B:B,'4.CAP_ENDMNT'!Q:Q,0,0,1)</f>
        <v>Cumple</v>
      </c>
      <c r="AI492" s="139">
        <f>+_xlfn.XLOOKUP(PROYECTOS[[#This Row],[MUNICIPIO]],'4.CAP_ENDMNT'!B:B,'4.CAP_ENDMNT'!V:V,0,0,1)</f>
        <v>1132256271.2593799</v>
      </c>
      <c r="AJ492" s="139">
        <f>+_xlfn.XLOOKUP(PROYECTOS[[#This Row],[MUNICIPIO]],'4.CAP_ENDMNT'!B:B,'4.CAP_ENDMNT'!Y:Y,0,0,1)</f>
        <v>-72218731181.443726</v>
      </c>
    </row>
    <row r="493" spans="1:36" ht="15" customHeight="1">
      <c r="A493" s="44">
        <v>607</v>
      </c>
      <c r="B493" s="37" t="s">
        <v>1305</v>
      </c>
      <c r="C493" s="118">
        <v>45798</v>
      </c>
      <c r="D493" s="46" t="s">
        <v>270</v>
      </c>
      <c r="E493" s="47" t="str">
        <f>+_xlfn.XLOOKUP(PROYECTOS[[#This Row],[MUNICIPIO]],MUNICIPIOS!A:A,MUNICIPIOS!E:E,0,0,1)</f>
        <v>Oriente</v>
      </c>
      <c r="F493" s="44">
        <f>+_xlfn.XLOOKUP(PROYECTOS[[#This Row],[MUNICIPIO]],MUNICIPIOS!A:A,MUNICIPIOS!F:F,0,0,1)</f>
        <v>-74.993618999999995</v>
      </c>
      <c r="G493" s="44" t="str">
        <f>+_xlfn.XLOOKUP(PROYECTOS[[#This Row],[MUNICIPIO]],MUNICIPIOS!A:A,MUNICIPIOS!G:G,0,0,1)</f>
        <v>6,043017</v>
      </c>
      <c r="H493" s="44">
        <f>+_xlfn.XLOOKUP(PROYECTOS[[#This Row],[MUNICIPIO]],MUNICIPIOS!A:A,MUNICIPIOS!B:B,0,0,1)</f>
        <v>0</v>
      </c>
      <c r="I493" s="44">
        <f>+_xlfn.XLOOKUP(PROYECTOS[[#This Row],[MUNICIPIO]],MUNICIPIOS!A:A,MUNICIPIOS!C:C,0,0,1)</f>
        <v>1</v>
      </c>
      <c r="J493" s="34" t="str" cm="1">
        <f t="array" ref="J493">_xlfn.TEXTJOIN(" ", TRUE, IF(radicados[ID PROYECTOS]=A493, radicados[RADICADO], ""))</f>
        <v>2025010248056</v>
      </c>
      <c r="K493" s="45">
        <v>3</v>
      </c>
      <c r="L493" s="48">
        <v>853757339</v>
      </c>
      <c r="M493" s="34" t="s">
        <v>761</v>
      </c>
      <c r="N493" s="40" t="s">
        <v>398</v>
      </c>
      <c r="O493" s="40" t="s">
        <v>25</v>
      </c>
      <c r="P493" s="37"/>
      <c r="Q493" s="45">
        <v>1</v>
      </c>
      <c r="R493" s="43" t="s">
        <v>922</v>
      </c>
      <c r="S493" s="43" t="s">
        <v>1643</v>
      </c>
      <c r="T493" s="44">
        <f>+_xlfn.XLOOKUP(PROYECTOS[[#This Row],[MUNICIPIO]],'4.CAP_ENDMNT'!B:B,'4.CAP_ENDMNT'!C:C,0,0,1)</f>
        <v>6</v>
      </c>
      <c r="U493" s="167">
        <f>+_xlfn.XLOOKUP(PROYECTOS[[#This Row],[MUNICIPIO]],'4.CAP_ENDMNT'!B:B,'4.CAP_ENDMNT'!D:D,0,0,1)</f>
        <v>10860999220.161499</v>
      </c>
      <c r="V493" s="44">
        <f>+_xlfn.XLOOKUP(PROYECTOS[[#This Row],[MUNICIPIO]],'4.CAP_ENDMNT'!B:B,'4.CAP_ENDMNT'!E:E,0,0,1)</f>
        <v>3903981787.4000001</v>
      </c>
      <c r="W493" s="44">
        <f>+_xlfn.XLOOKUP(PROYECTOS[[#This Row],[MUNICIPIO]],'4.CAP_ENDMNT'!B:B,'4.CAP_ENDMNT'!F:F,0,0,1)</f>
        <v>6957017432.7614994</v>
      </c>
      <c r="X493" s="44">
        <f>+_xlfn.XLOOKUP(PROYECTOS[[#This Row],[MUNICIPIO]],'4.CAP_ENDMNT'!B:B,'4.CAP_ENDMNT'!G:G,0,0,1)</f>
        <v>1425530293</v>
      </c>
      <c r="Y493" s="44">
        <f>+_xlfn.XLOOKUP(PROYECTOS[[#This Row],[MUNICIPIO]],'4.CAP_ENDMNT'!B:B,'4.CAP_ENDMNT'!H:H,0,0,1)</f>
        <v>0</v>
      </c>
      <c r="Z493" s="44">
        <f>+_xlfn.XLOOKUP(PROYECTOS[[#This Row],[MUNICIPIO]],'4.CAP_ENDMNT'!B:B,'4.CAP_ENDMNT'!I:I,0,0,1)</f>
        <v>1425530293</v>
      </c>
      <c r="AA493" s="134">
        <f>+_xlfn.XLOOKUP(PROYECTOS[[#This Row],[MUNICIPIO]],'4.CAP_ENDMNT'!B:B,'4.CAP_ENDMNT'!J:J,0,0,1)</f>
        <v>0.13125222312453153</v>
      </c>
      <c r="AB493" s="44">
        <f>+_xlfn.XLOOKUP(PROYECTOS[[#This Row],[MUNICIPIO]],'4.CAP_ENDMNT'!B:B,'4.CAP_ENDMNT'!K:K,0,0,1)</f>
        <v>9435468927.161499</v>
      </c>
      <c r="AC493" s="44">
        <f>+_xlfn.XLOOKUP(PROYECTOS[[#This Row],[MUNICIPIO]],'4.CAP_ENDMNT'!B:B,'4.CAP_ENDMNT'!L:L,0,0,1)</f>
        <v>7548375141.7291994</v>
      </c>
      <c r="AD493" s="44">
        <f>+_xlfn.XLOOKUP(PROYECTOS[[#This Row],[MUNICIPIO]],'4.CAP_ENDMNT'!B:B,'4.CAP_ENDMNT'!M:M,0,0,1)</f>
        <v>5661281356.2968988</v>
      </c>
      <c r="AE493" s="134">
        <f>+_xlfn.XLOOKUP(PROYECTOS[[#This Row],[MUNICIPIO]],'4.CAP_ENDMNT'!B:B,'4.CAP_ENDMNT'!N:N,0,0,1)</f>
        <v>1</v>
      </c>
      <c r="AF493" s="134">
        <f>+_xlfn.XLOOKUP(PROYECTOS[[#This Row],[MUNICIPIO]],'4.CAP_ENDMNT'!B:B,'4.CAP_ENDMNT'!O:O,0,0,1)</f>
        <v>0.63270124114427018</v>
      </c>
      <c r="AG493" s="134">
        <f>+_xlfn.XLOOKUP(PROYECTOS[[#This Row],[MUNICIPIO]],'4.CAP_ENDMNT'!B:B,'4.CAP_ENDMNT'!P:P,0,0,1)</f>
        <v>0.8</v>
      </c>
      <c r="AH493" s="44" t="str">
        <f>+_xlfn.XLOOKUP(PROYECTOS[[#This Row],[MUNICIPIO]],'4.CAP_ENDMNT'!B:B,'4.CAP_ENDMNT'!Q:Q,0,0,1)</f>
        <v>Cumple</v>
      </c>
      <c r="AI493" s="139">
        <f>+_xlfn.XLOOKUP(PROYECTOS[[#This Row],[MUNICIPIO]],'4.CAP_ENDMNT'!B:B,'4.CAP_ENDMNT'!V:V,0,0,1)</f>
        <v>1132256271.2593799</v>
      </c>
      <c r="AJ493" s="139">
        <f>+_xlfn.XLOOKUP(PROYECTOS[[#This Row],[MUNICIPIO]],'4.CAP_ENDMNT'!B:B,'4.CAP_ENDMNT'!Y:Y,0,0,1)</f>
        <v>-72218731181.443726</v>
      </c>
    </row>
    <row r="494" spans="1:36" ht="15" customHeight="1">
      <c r="A494" s="44">
        <v>608</v>
      </c>
      <c r="B494" s="37" t="s">
        <v>1537</v>
      </c>
      <c r="C494" s="118">
        <v>45798</v>
      </c>
      <c r="D494" s="46" t="s">
        <v>63</v>
      </c>
      <c r="E494" s="47" t="str">
        <f>+_xlfn.XLOOKUP(PROYECTOS[[#This Row],[MUNICIPIO]],MUNICIPIOS!A:A,MUNICIPIOS!E:E,0,0,1)</f>
        <v>Urabá</v>
      </c>
      <c r="F494" s="44">
        <f>+_xlfn.XLOOKUP(PROYECTOS[[#This Row],[MUNICIPIO]],MUNICIPIOS!A:A,MUNICIPIOS!F:F,0,0,1)</f>
        <v>-76.380566999999999</v>
      </c>
      <c r="G494" s="44" t="str">
        <f>+_xlfn.XLOOKUP(PROYECTOS[[#This Row],[MUNICIPIO]],MUNICIPIOS!A:A,MUNICIPIOS!G:G,0,0,1)</f>
        <v>8,276884</v>
      </c>
      <c r="H494" s="44">
        <f>+_xlfn.XLOOKUP(PROYECTOS[[#This Row],[MUNICIPIO]],MUNICIPIOS!A:A,MUNICIPIOS!B:B,0,0,1)</f>
        <v>1</v>
      </c>
      <c r="I494" s="44">
        <f>+_xlfn.XLOOKUP(PROYECTOS[[#This Row],[MUNICIPIO]],MUNICIPIOS!A:A,MUNICIPIOS!C:C,0,0,1)</f>
        <v>1</v>
      </c>
      <c r="J494" s="34" t="str" cm="1">
        <f t="array" ref="J494">_xlfn.TEXTJOIN(" ", TRUE, IF(radicados[ID PROYECTOS]=A494, radicados[RADICADO], ""))</f>
        <v/>
      </c>
      <c r="K494" s="45">
        <v>3</v>
      </c>
      <c r="L494" s="48">
        <v>5200000000</v>
      </c>
      <c r="M494" s="34" t="s">
        <v>761</v>
      </c>
      <c r="N494" s="40" t="s">
        <v>397</v>
      </c>
      <c r="O494" s="40" t="s">
        <v>56</v>
      </c>
      <c r="P494" s="37"/>
      <c r="Q494" s="45">
        <v>1</v>
      </c>
      <c r="R494" s="166" t="s">
        <v>190</v>
      </c>
      <c r="S494" s="166"/>
      <c r="T494" s="44">
        <f>+_xlfn.XLOOKUP(PROYECTOS[[#This Row],[MUNICIPIO]],'4.CAP_ENDMNT'!B:B,'4.CAP_ENDMNT'!C:C,0,0,1)</f>
        <v>6</v>
      </c>
      <c r="U494" s="167">
        <f>+_xlfn.XLOOKUP(PROYECTOS[[#This Row],[MUNICIPIO]],'4.CAP_ENDMNT'!B:B,'4.CAP_ENDMNT'!D:D,0,0,1)</f>
        <v>19508372714.52</v>
      </c>
      <c r="V494" s="44">
        <f>+_xlfn.XLOOKUP(PROYECTOS[[#This Row],[MUNICIPIO]],'4.CAP_ENDMNT'!B:B,'4.CAP_ENDMNT'!E:E,0,0,1)</f>
        <v>5389834315.5</v>
      </c>
      <c r="W494" s="44">
        <f>+_xlfn.XLOOKUP(PROYECTOS[[#This Row],[MUNICIPIO]],'4.CAP_ENDMNT'!B:B,'4.CAP_ENDMNT'!F:F,0,0,1)</f>
        <v>14118538399.02</v>
      </c>
      <c r="X494" s="44">
        <f>+_xlfn.XLOOKUP(PROYECTOS[[#This Row],[MUNICIPIO]],'4.CAP_ENDMNT'!B:B,'4.CAP_ENDMNT'!G:G,0,0,1)</f>
        <v>2594281047</v>
      </c>
      <c r="Y494" s="44">
        <f>+_xlfn.XLOOKUP(PROYECTOS[[#This Row],[MUNICIPIO]],'4.CAP_ENDMNT'!B:B,'4.CAP_ENDMNT'!H:H,0,0,1)</f>
        <v>1833333333</v>
      </c>
      <c r="Z494" s="44">
        <f>+_xlfn.XLOOKUP(PROYECTOS[[#This Row],[MUNICIPIO]],'4.CAP_ENDMNT'!B:B,'4.CAP_ENDMNT'!I:I,0,0,1)</f>
        <v>4427614380</v>
      </c>
      <c r="AA494" s="134">
        <f>+_xlfn.XLOOKUP(PROYECTOS[[#This Row],[MUNICIPIO]],'4.CAP_ENDMNT'!B:B,'4.CAP_ENDMNT'!J:J,0,0,1)</f>
        <v>0.22695969801235882</v>
      </c>
      <c r="AB494" s="44">
        <f>+_xlfn.XLOOKUP(PROYECTOS[[#This Row],[MUNICIPIO]],'4.CAP_ENDMNT'!B:B,'4.CAP_ENDMNT'!K:K,0,0,1)</f>
        <v>15080758334.52</v>
      </c>
      <c r="AC494" s="44">
        <f>+_xlfn.XLOOKUP(PROYECTOS[[#This Row],[MUNICIPIO]],'4.CAP_ENDMNT'!B:B,'4.CAP_ENDMNT'!L:L,0,0,1)</f>
        <v>12064606667.616001</v>
      </c>
      <c r="AD494" s="44">
        <f>+_xlfn.XLOOKUP(PROYECTOS[[#This Row],[MUNICIPIO]],'4.CAP_ENDMNT'!B:B,'4.CAP_ENDMNT'!M:M,0,0,1)</f>
        <v>9048455000.7119999</v>
      </c>
      <c r="AE494" s="134">
        <f>+_xlfn.XLOOKUP(PROYECTOS[[#This Row],[MUNICIPIO]],'4.CAP_ENDMNT'!B:B,'4.CAP_ENDMNT'!N:N,0,0,1)</f>
        <v>0.58593202215591322</v>
      </c>
      <c r="AF494" s="134">
        <f>+_xlfn.XLOOKUP(PROYECTOS[[#This Row],[MUNICIPIO]],'4.CAP_ENDMNT'!B:B,'4.CAP_ENDMNT'!O:O,0,0,1)</f>
        <v>0.58851112900500024</v>
      </c>
      <c r="AG494" s="134">
        <f>+_xlfn.XLOOKUP(PROYECTOS[[#This Row],[MUNICIPIO]],'4.CAP_ENDMNT'!B:B,'4.CAP_ENDMNT'!P:P,0,0,1)</f>
        <v>0.8</v>
      </c>
      <c r="AH494" s="44" t="str">
        <f>+_xlfn.XLOOKUP(PROYECTOS[[#This Row],[MUNICIPIO]],'4.CAP_ENDMNT'!B:B,'4.CAP_ENDMNT'!Q:Q,0,0,1)</f>
        <v>Cumple</v>
      </c>
      <c r="AI494" s="139">
        <f>+_xlfn.XLOOKUP(PROYECTOS[[#This Row],[MUNICIPIO]],'4.CAP_ENDMNT'!B:B,'4.CAP_ENDMNT'!V:V,0,0,1)</f>
        <v>1809691000.1424</v>
      </c>
      <c r="AJ494" s="139">
        <f>+_xlfn.XLOOKUP(PROYECTOS[[#This Row],[MUNICIPIO]],'4.CAP_ENDMNT'!B:B,'4.CAP_ENDMNT'!Y:Y,0,0,1)</f>
        <v>-12348843887.145599</v>
      </c>
    </row>
    <row r="495" spans="1:36" ht="15" customHeight="1">
      <c r="A495" s="44">
        <v>609</v>
      </c>
      <c r="B495" s="37" t="s">
        <v>1306</v>
      </c>
      <c r="C495" s="118">
        <v>45798</v>
      </c>
      <c r="D495" s="46" t="s">
        <v>470</v>
      </c>
      <c r="E495" s="47" t="str">
        <f>+_xlfn.XLOOKUP(PROYECTOS[[#This Row],[MUNICIPIO]],MUNICIPIOS!A:A,MUNICIPIOS!E:E,0,0,1)</f>
        <v>Oriente</v>
      </c>
      <c r="F495" s="44">
        <f>+_xlfn.XLOOKUP(PROYECTOS[[#This Row],[MUNICIPIO]],MUNICIPIOS!A:A,MUNICIPIOS!F:F,0,0,1)</f>
        <v>-75.028490000000005</v>
      </c>
      <c r="G495" s="44" t="str">
        <f>+_xlfn.XLOOKUP(PROYECTOS[[#This Row],[MUNICIPIO]],MUNICIPIOS!A:A,MUNICIPIOS!G:G,0,0,1)</f>
        <v>6,293759</v>
      </c>
      <c r="H495" s="44">
        <f>+_xlfn.XLOOKUP(PROYECTOS[[#This Row],[MUNICIPIO]],MUNICIPIOS!A:A,MUNICIPIOS!B:B,0,0,1)</f>
        <v>0</v>
      </c>
      <c r="I495" s="44">
        <f>+_xlfn.XLOOKUP(PROYECTOS[[#This Row],[MUNICIPIO]],MUNICIPIOS!A:A,MUNICIPIOS!C:C,0,0,1)</f>
        <v>1</v>
      </c>
      <c r="J495" s="34" t="str" cm="1">
        <f t="array" ref="J495">_xlfn.TEXTJOIN(" ", TRUE, IF(radicados[ID PROYECTOS]=A495, radicados[RADICADO], ""))</f>
        <v/>
      </c>
      <c r="K495" s="45">
        <v>1</v>
      </c>
      <c r="L495" s="48"/>
      <c r="M495" s="34" t="s">
        <v>435</v>
      </c>
      <c r="N495" s="40" t="s">
        <v>397</v>
      </c>
      <c r="O495" s="40" t="s">
        <v>56</v>
      </c>
      <c r="P495" s="37" t="s">
        <v>1642</v>
      </c>
      <c r="Q495" s="45">
        <v>1</v>
      </c>
      <c r="R495" s="166" t="s">
        <v>179</v>
      </c>
      <c r="S495" s="166" t="s">
        <v>1342</v>
      </c>
      <c r="T495" s="44">
        <f>+_xlfn.XLOOKUP(PROYECTOS[[#This Row],[MUNICIPIO]],'4.CAP_ENDMNT'!B:B,'4.CAP_ENDMNT'!C:C,0,0,1)</f>
        <v>6</v>
      </c>
      <c r="U495" s="167">
        <f>+_xlfn.XLOOKUP(PROYECTOS[[#This Row],[MUNICIPIO]],'4.CAP_ENDMNT'!B:B,'4.CAP_ENDMNT'!D:D,0,0,1)</f>
        <v>17565923370.843998</v>
      </c>
      <c r="V495" s="44">
        <f>+_xlfn.XLOOKUP(PROYECTOS[[#This Row],[MUNICIPIO]],'4.CAP_ENDMNT'!B:B,'4.CAP_ENDMNT'!E:E,0,0,1)</f>
        <v>4463335582.5100002</v>
      </c>
      <c r="W495" s="44">
        <f>+_xlfn.XLOOKUP(PROYECTOS[[#This Row],[MUNICIPIO]],'4.CAP_ENDMNT'!B:B,'4.CAP_ENDMNT'!F:F,0,0,1)</f>
        <v>13102587788.333998</v>
      </c>
      <c r="X495" s="44">
        <f>+_xlfn.XLOOKUP(PROYECTOS[[#This Row],[MUNICIPIO]],'4.CAP_ENDMNT'!B:B,'4.CAP_ENDMNT'!G:G,0,0,1)</f>
        <v>2561424191</v>
      </c>
      <c r="Y495" s="44">
        <f>+_xlfn.XLOOKUP(PROYECTOS[[#This Row],[MUNICIPIO]],'4.CAP_ENDMNT'!B:B,'4.CAP_ENDMNT'!H:H,0,0,1)</f>
        <v>0</v>
      </c>
      <c r="Z495" s="44">
        <f>+_xlfn.XLOOKUP(PROYECTOS[[#This Row],[MUNICIPIO]],'4.CAP_ENDMNT'!B:B,'4.CAP_ENDMNT'!I:I,0,0,1)</f>
        <v>2561424191</v>
      </c>
      <c r="AA495" s="134">
        <f>+_xlfn.XLOOKUP(PROYECTOS[[#This Row],[MUNICIPIO]],'4.CAP_ENDMNT'!B:B,'4.CAP_ENDMNT'!J:J,0,0,1)</f>
        <v>0.14581779374328047</v>
      </c>
      <c r="AB495" s="44">
        <f>+_xlfn.XLOOKUP(PROYECTOS[[#This Row],[MUNICIPIO]],'4.CAP_ENDMNT'!B:B,'4.CAP_ENDMNT'!K:K,0,0,1)</f>
        <v>15004499179.843998</v>
      </c>
      <c r="AC495" s="44">
        <f>+_xlfn.XLOOKUP(PROYECTOS[[#This Row],[MUNICIPIO]],'4.CAP_ENDMNT'!B:B,'4.CAP_ENDMNT'!L:L,0,0,1)</f>
        <v>12003599343.875198</v>
      </c>
      <c r="AD495" s="44">
        <f>+_xlfn.XLOOKUP(PROYECTOS[[#This Row],[MUNICIPIO]],'4.CAP_ENDMNT'!B:B,'4.CAP_ENDMNT'!M:M,0,0,1)</f>
        <v>9002699507.9063988</v>
      </c>
      <c r="AE495" s="134">
        <f>+_xlfn.XLOOKUP(PROYECTOS[[#This Row],[MUNICIPIO]],'4.CAP_ENDMNT'!B:B,'4.CAP_ENDMNT'!N:N,0,0,1)</f>
        <v>1</v>
      </c>
      <c r="AF495" s="134">
        <f>+_xlfn.XLOOKUP(PROYECTOS[[#This Row],[MUNICIPIO]],'4.CAP_ENDMNT'!B:B,'4.CAP_ENDMNT'!O:O,0,0,1)</f>
        <v>0.64471709259563048</v>
      </c>
      <c r="AG495" s="134">
        <f>+_xlfn.XLOOKUP(PROYECTOS[[#This Row],[MUNICIPIO]],'4.CAP_ENDMNT'!B:B,'4.CAP_ENDMNT'!P:P,0,0,1)</f>
        <v>0.8</v>
      </c>
      <c r="AH495" s="44" t="str">
        <f>+_xlfn.XLOOKUP(PROYECTOS[[#This Row],[MUNICIPIO]],'4.CAP_ENDMNT'!B:B,'4.CAP_ENDMNT'!Q:Q,0,0,1)</f>
        <v>Cumple</v>
      </c>
      <c r="AI495" s="139">
        <f>+_xlfn.XLOOKUP(PROYECTOS[[#This Row],[MUNICIPIO]],'4.CAP_ENDMNT'!B:B,'4.CAP_ENDMNT'!V:V,0,0,1)</f>
        <v>1800539901.5812798</v>
      </c>
      <c r="AJ495" s="139">
        <f>+_xlfn.XLOOKUP(PROYECTOS[[#This Row],[MUNICIPIO]],'4.CAP_ENDMNT'!B:B,'4.CAP_ENDMNT'!Y:Y,0,0,1)</f>
        <v>3805966446.4876785</v>
      </c>
    </row>
    <row r="496" spans="1:36" ht="15" customHeight="1">
      <c r="A496" s="44">
        <v>610</v>
      </c>
      <c r="B496" s="37" t="s">
        <v>1320</v>
      </c>
      <c r="C496" s="118">
        <v>45798</v>
      </c>
      <c r="D496" s="46" t="s">
        <v>470</v>
      </c>
      <c r="E496" s="47" t="str">
        <f>+_xlfn.XLOOKUP(PROYECTOS[[#This Row],[MUNICIPIO]],MUNICIPIOS!A:A,MUNICIPIOS!E:E,0,0,1)</f>
        <v>Oriente</v>
      </c>
      <c r="F496" s="44">
        <f>+_xlfn.XLOOKUP(PROYECTOS[[#This Row],[MUNICIPIO]],MUNICIPIOS!A:A,MUNICIPIOS!F:F,0,0,1)</f>
        <v>-75.028490000000005</v>
      </c>
      <c r="G496" s="44" t="str">
        <f>+_xlfn.XLOOKUP(PROYECTOS[[#This Row],[MUNICIPIO]],MUNICIPIOS!A:A,MUNICIPIOS!G:G,0,0,1)</f>
        <v>6,293759</v>
      </c>
      <c r="H496" s="44">
        <f>+_xlfn.XLOOKUP(PROYECTOS[[#This Row],[MUNICIPIO]],MUNICIPIOS!A:A,MUNICIPIOS!B:B,0,0,1)</f>
        <v>0</v>
      </c>
      <c r="I496" s="44">
        <f>+_xlfn.XLOOKUP(PROYECTOS[[#This Row],[MUNICIPIO]],MUNICIPIOS!A:A,MUNICIPIOS!C:C,0,0,1)</f>
        <v>1</v>
      </c>
      <c r="J496" s="34" t="str" cm="1">
        <f t="array" ref="J496">_xlfn.TEXTJOIN(" ", TRUE, IF(radicados[ID PROYECTOS]=A496, radicados[RADICADO], ""))</f>
        <v/>
      </c>
      <c r="K496" s="45">
        <v>1</v>
      </c>
      <c r="L496" s="48"/>
      <c r="M496" s="34" t="s">
        <v>435</v>
      </c>
      <c r="N496" s="40" t="s">
        <v>398</v>
      </c>
      <c r="O496" s="40" t="s">
        <v>25</v>
      </c>
      <c r="P496" s="37"/>
      <c r="Q496" s="45"/>
      <c r="R496" s="166"/>
      <c r="S496" s="166"/>
      <c r="T496" s="44">
        <f>+_xlfn.XLOOKUP(PROYECTOS[[#This Row],[MUNICIPIO]],'4.CAP_ENDMNT'!B:B,'4.CAP_ENDMNT'!C:C,0,0,1)</f>
        <v>6</v>
      </c>
      <c r="U496" s="167">
        <f>+_xlfn.XLOOKUP(PROYECTOS[[#This Row],[MUNICIPIO]],'4.CAP_ENDMNT'!B:B,'4.CAP_ENDMNT'!D:D,0,0,1)</f>
        <v>17565923370.843998</v>
      </c>
      <c r="V496" s="44">
        <f>+_xlfn.XLOOKUP(PROYECTOS[[#This Row],[MUNICIPIO]],'4.CAP_ENDMNT'!B:B,'4.CAP_ENDMNT'!E:E,0,0,1)</f>
        <v>4463335582.5100002</v>
      </c>
      <c r="W496" s="44">
        <f>+_xlfn.XLOOKUP(PROYECTOS[[#This Row],[MUNICIPIO]],'4.CAP_ENDMNT'!B:B,'4.CAP_ENDMNT'!F:F,0,0,1)</f>
        <v>13102587788.333998</v>
      </c>
      <c r="X496" s="44">
        <f>+_xlfn.XLOOKUP(PROYECTOS[[#This Row],[MUNICIPIO]],'4.CAP_ENDMNT'!B:B,'4.CAP_ENDMNT'!G:G,0,0,1)</f>
        <v>2561424191</v>
      </c>
      <c r="Y496" s="44">
        <f>+_xlfn.XLOOKUP(PROYECTOS[[#This Row],[MUNICIPIO]],'4.CAP_ENDMNT'!B:B,'4.CAP_ENDMNT'!H:H,0,0,1)</f>
        <v>0</v>
      </c>
      <c r="Z496" s="44">
        <f>+_xlfn.XLOOKUP(PROYECTOS[[#This Row],[MUNICIPIO]],'4.CAP_ENDMNT'!B:B,'4.CAP_ENDMNT'!I:I,0,0,1)</f>
        <v>2561424191</v>
      </c>
      <c r="AA496" s="134">
        <f>+_xlfn.XLOOKUP(PROYECTOS[[#This Row],[MUNICIPIO]],'4.CAP_ENDMNT'!B:B,'4.CAP_ENDMNT'!J:J,0,0,1)</f>
        <v>0.14581779374328047</v>
      </c>
      <c r="AB496" s="44">
        <f>+_xlfn.XLOOKUP(PROYECTOS[[#This Row],[MUNICIPIO]],'4.CAP_ENDMNT'!B:B,'4.CAP_ENDMNT'!K:K,0,0,1)</f>
        <v>15004499179.843998</v>
      </c>
      <c r="AC496" s="44">
        <f>+_xlfn.XLOOKUP(PROYECTOS[[#This Row],[MUNICIPIO]],'4.CAP_ENDMNT'!B:B,'4.CAP_ENDMNT'!L:L,0,0,1)</f>
        <v>12003599343.875198</v>
      </c>
      <c r="AD496" s="44">
        <f>+_xlfn.XLOOKUP(PROYECTOS[[#This Row],[MUNICIPIO]],'4.CAP_ENDMNT'!B:B,'4.CAP_ENDMNT'!M:M,0,0,1)</f>
        <v>9002699507.9063988</v>
      </c>
      <c r="AE496" s="134">
        <f>+_xlfn.XLOOKUP(PROYECTOS[[#This Row],[MUNICIPIO]],'4.CAP_ENDMNT'!B:B,'4.CAP_ENDMNT'!N:N,0,0,1)</f>
        <v>1</v>
      </c>
      <c r="AF496" s="134">
        <f>+_xlfn.XLOOKUP(PROYECTOS[[#This Row],[MUNICIPIO]],'4.CAP_ENDMNT'!B:B,'4.CAP_ENDMNT'!O:O,0,0,1)</f>
        <v>0.64471709259563048</v>
      </c>
      <c r="AG496" s="134">
        <f>+_xlfn.XLOOKUP(PROYECTOS[[#This Row],[MUNICIPIO]],'4.CAP_ENDMNT'!B:B,'4.CAP_ENDMNT'!P:P,0,0,1)</f>
        <v>0.8</v>
      </c>
      <c r="AH496" s="44" t="str">
        <f>+_xlfn.XLOOKUP(PROYECTOS[[#This Row],[MUNICIPIO]],'4.CAP_ENDMNT'!B:B,'4.CAP_ENDMNT'!Q:Q,0,0,1)</f>
        <v>Cumple</v>
      </c>
      <c r="AI496" s="139">
        <f>+_xlfn.XLOOKUP(PROYECTOS[[#This Row],[MUNICIPIO]],'4.CAP_ENDMNT'!B:B,'4.CAP_ENDMNT'!V:V,0,0,1)</f>
        <v>1800539901.5812798</v>
      </c>
      <c r="AJ496" s="139">
        <f>+_xlfn.XLOOKUP(PROYECTOS[[#This Row],[MUNICIPIO]],'4.CAP_ENDMNT'!B:B,'4.CAP_ENDMNT'!Y:Y,0,0,1)</f>
        <v>3805966446.4876785</v>
      </c>
    </row>
    <row r="497" spans="1:36" ht="15" customHeight="1">
      <c r="A497" s="44">
        <v>611</v>
      </c>
      <c r="B497" s="37" t="s">
        <v>515</v>
      </c>
      <c r="C497" s="118">
        <v>45798</v>
      </c>
      <c r="D497" s="46" t="s">
        <v>327</v>
      </c>
      <c r="E497" s="47" t="str">
        <f>+_xlfn.XLOOKUP(PROYECTOS[[#This Row],[MUNICIPIO]],MUNICIPIOS!A:A,MUNICIPIOS!E:E,0,0,1)</f>
        <v>Nordeste</v>
      </c>
      <c r="F497" s="44">
        <f>+_xlfn.XLOOKUP(PROYECTOS[[#This Row],[MUNICIPIO]],MUNICIPIOS!A:A,MUNICIPIOS!F:F,0,0,1)</f>
        <v>-75.019109</v>
      </c>
      <c r="G497" s="44" t="str">
        <f>+_xlfn.XLOOKUP(PROYECTOS[[#This Row],[MUNICIPIO]],MUNICIPIOS!A:A,MUNICIPIOS!G:G,0,0,1)</f>
        <v>6,485939</v>
      </c>
      <c r="H497" s="44">
        <f>+_xlfn.XLOOKUP(PROYECTOS[[#This Row],[MUNICIPIO]],MUNICIPIOS!A:A,MUNICIPIOS!B:B,0,0,1)</f>
        <v>0</v>
      </c>
      <c r="I497" s="44">
        <f>+_xlfn.XLOOKUP(PROYECTOS[[#This Row],[MUNICIPIO]],MUNICIPIOS!A:A,MUNICIPIOS!C:C,0,0,1)</f>
        <v>0</v>
      </c>
      <c r="J497" s="34" t="str" cm="1">
        <f t="array" ref="J497">_xlfn.TEXTJOIN(" ", TRUE, IF(radicados[ID PROYECTOS]=A497, radicados[RADICADO], ""))</f>
        <v/>
      </c>
      <c r="K497" s="45">
        <v>1</v>
      </c>
      <c r="L497" s="48"/>
      <c r="M497" s="34" t="s">
        <v>435</v>
      </c>
      <c r="N497" s="40" t="s">
        <v>398</v>
      </c>
      <c r="O497" s="40" t="s">
        <v>25</v>
      </c>
      <c r="P497" s="37"/>
      <c r="Q497" s="45"/>
      <c r="R497" s="166"/>
      <c r="S497" s="166"/>
      <c r="T497" s="44">
        <f>+_xlfn.XLOOKUP(PROYECTOS[[#This Row],[MUNICIPIO]],'4.CAP_ENDMNT'!B:B,'4.CAP_ENDMNT'!C:C,0,0,1)</f>
        <v>6</v>
      </c>
      <c r="U497" s="167">
        <f>+_xlfn.XLOOKUP(PROYECTOS[[#This Row],[MUNICIPIO]],'4.CAP_ENDMNT'!B:B,'4.CAP_ENDMNT'!D:D,0,0,1)</f>
        <v>13645854382.4415</v>
      </c>
      <c r="V497" s="44">
        <f>+_xlfn.XLOOKUP(PROYECTOS[[#This Row],[MUNICIPIO]],'4.CAP_ENDMNT'!B:B,'4.CAP_ENDMNT'!E:E,0,0,1)</f>
        <v>5036095672.2200003</v>
      </c>
      <c r="W497" s="44">
        <f>+_xlfn.XLOOKUP(PROYECTOS[[#This Row],[MUNICIPIO]],'4.CAP_ENDMNT'!B:B,'4.CAP_ENDMNT'!F:F,0,0,1)</f>
        <v>8609758710.2215004</v>
      </c>
      <c r="X497" s="44">
        <f>+_xlfn.XLOOKUP(PROYECTOS[[#This Row],[MUNICIPIO]],'4.CAP_ENDMNT'!B:B,'4.CAP_ENDMNT'!G:G,0,0,1)</f>
        <v>2357809963</v>
      </c>
      <c r="Y497" s="44">
        <f>+_xlfn.XLOOKUP(PROYECTOS[[#This Row],[MUNICIPIO]],'4.CAP_ENDMNT'!B:B,'4.CAP_ENDMNT'!H:H,0,0,1)</f>
        <v>1093248488</v>
      </c>
      <c r="Z497" s="44">
        <f>+_xlfn.XLOOKUP(PROYECTOS[[#This Row],[MUNICIPIO]],'4.CAP_ENDMNT'!B:B,'4.CAP_ENDMNT'!I:I,0,0,1)</f>
        <v>3451058451</v>
      </c>
      <c r="AA497" s="134">
        <f>+_xlfn.XLOOKUP(PROYECTOS[[#This Row],[MUNICIPIO]],'4.CAP_ENDMNT'!B:B,'4.CAP_ENDMNT'!J:J,0,0,1)</f>
        <v>0.25290160324739891</v>
      </c>
      <c r="AB497" s="44">
        <f>+_xlfn.XLOOKUP(PROYECTOS[[#This Row],[MUNICIPIO]],'4.CAP_ENDMNT'!B:B,'4.CAP_ENDMNT'!K:K,0,0,1)</f>
        <v>10194795931.4415</v>
      </c>
      <c r="AC497" s="44">
        <f>+_xlfn.XLOOKUP(PROYECTOS[[#This Row],[MUNICIPIO]],'4.CAP_ENDMNT'!B:B,'4.CAP_ENDMNT'!L:L,0,0,1)</f>
        <v>8155836745.1532001</v>
      </c>
      <c r="AD497" s="44">
        <f>+_xlfn.XLOOKUP(PROYECTOS[[#This Row],[MUNICIPIO]],'4.CAP_ENDMNT'!B:B,'4.CAP_ENDMNT'!M:M,0,0,1)</f>
        <v>6116877558.8648996</v>
      </c>
      <c r="AE497" s="134">
        <f>+_xlfn.XLOOKUP(PROYECTOS[[#This Row],[MUNICIPIO]],'4.CAP_ENDMNT'!B:B,'4.CAP_ENDMNT'!N:N,0,0,1)</f>
        <v>0.68321356954032075</v>
      </c>
      <c r="AF497" s="134">
        <f>+_xlfn.XLOOKUP(PROYECTOS[[#This Row],[MUNICIPIO]],'4.CAP_ENDMNT'!B:B,'4.CAP_ENDMNT'!O:O,0,0,1)</f>
        <v>0.58815143933117542</v>
      </c>
      <c r="AG497" s="134">
        <f>+_xlfn.XLOOKUP(PROYECTOS[[#This Row],[MUNICIPIO]],'4.CAP_ENDMNT'!B:B,'4.CAP_ENDMNT'!P:P,0,0,1)</f>
        <v>0.8</v>
      </c>
      <c r="AH497" s="44" t="str">
        <f>+_xlfn.XLOOKUP(PROYECTOS[[#This Row],[MUNICIPIO]],'4.CAP_ENDMNT'!B:B,'4.CAP_ENDMNT'!Q:Q,0,0,1)</f>
        <v>Cumple</v>
      </c>
      <c r="AI497" s="139">
        <f>+_xlfn.XLOOKUP(PROYECTOS[[#This Row],[MUNICIPIO]],'4.CAP_ENDMNT'!B:B,'4.CAP_ENDMNT'!V:V,0,0,1)</f>
        <v>1223375511.77298</v>
      </c>
      <c r="AJ497" s="139">
        <f>+_xlfn.XLOOKUP(PROYECTOS[[#This Row],[MUNICIPIO]],'4.CAP_ENDMNT'!B:B,'4.CAP_ENDMNT'!Y:Y,0,0,1)</f>
        <v>-3684666242.3621206</v>
      </c>
    </row>
    <row r="498" spans="1:36" ht="15" customHeight="1">
      <c r="A498" s="44">
        <v>612</v>
      </c>
      <c r="B498" s="37" t="s">
        <v>1307</v>
      </c>
      <c r="C498" s="118">
        <v>45798</v>
      </c>
      <c r="D498" s="46" t="s">
        <v>327</v>
      </c>
      <c r="E498" s="47" t="str">
        <f>+_xlfn.XLOOKUP(PROYECTOS[[#This Row],[MUNICIPIO]],MUNICIPIOS!A:A,MUNICIPIOS!E:E,0,0,1)</f>
        <v>Nordeste</v>
      </c>
      <c r="F498" s="44">
        <f>+_xlfn.XLOOKUP(PROYECTOS[[#This Row],[MUNICIPIO]],MUNICIPIOS!A:A,MUNICIPIOS!F:F,0,0,1)</f>
        <v>-75.019109</v>
      </c>
      <c r="G498" s="44" t="str">
        <f>+_xlfn.XLOOKUP(PROYECTOS[[#This Row],[MUNICIPIO]],MUNICIPIOS!A:A,MUNICIPIOS!G:G,0,0,1)</f>
        <v>6,485939</v>
      </c>
      <c r="H498" s="44">
        <f>+_xlfn.XLOOKUP(PROYECTOS[[#This Row],[MUNICIPIO]],MUNICIPIOS!A:A,MUNICIPIOS!B:B,0,0,1)</f>
        <v>0</v>
      </c>
      <c r="I498" s="44">
        <f>+_xlfn.XLOOKUP(PROYECTOS[[#This Row],[MUNICIPIO]],MUNICIPIOS!A:A,MUNICIPIOS!C:C,0,0,1)</f>
        <v>0</v>
      </c>
      <c r="J498" s="34" t="str" cm="1">
        <f t="array" ref="J498">_xlfn.TEXTJOIN(" ", TRUE, IF(radicados[ID PROYECTOS]=A498, radicados[RADICADO], ""))</f>
        <v/>
      </c>
      <c r="K498" s="45">
        <v>1</v>
      </c>
      <c r="L498" s="48"/>
      <c r="M498" s="34" t="s">
        <v>761</v>
      </c>
      <c r="N498" s="40" t="s">
        <v>398</v>
      </c>
      <c r="O498" s="40" t="s">
        <v>25</v>
      </c>
      <c r="P498" s="37"/>
      <c r="Q498" s="45"/>
      <c r="R498" s="166"/>
      <c r="S498" s="166"/>
      <c r="T498" s="44">
        <f>+_xlfn.XLOOKUP(PROYECTOS[[#This Row],[MUNICIPIO]],'4.CAP_ENDMNT'!B:B,'4.CAP_ENDMNT'!C:C,0,0,1)</f>
        <v>6</v>
      </c>
      <c r="U498" s="167">
        <f>+_xlfn.XLOOKUP(PROYECTOS[[#This Row],[MUNICIPIO]],'4.CAP_ENDMNT'!B:B,'4.CAP_ENDMNT'!D:D,0,0,1)</f>
        <v>13645854382.4415</v>
      </c>
      <c r="V498" s="44">
        <f>+_xlfn.XLOOKUP(PROYECTOS[[#This Row],[MUNICIPIO]],'4.CAP_ENDMNT'!B:B,'4.CAP_ENDMNT'!E:E,0,0,1)</f>
        <v>5036095672.2200003</v>
      </c>
      <c r="W498" s="44">
        <f>+_xlfn.XLOOKUP(PROYECTOS[[#This Row],[MUNICIPIO]],'4.CAP_ENDMNT'!B:B,'4.CAP_ENDMNT'!F:F,0,0,1)</f>
        <v>8609758710.2215004</v>
      </c>
      <c r="X498" s="44">
        <f>+_xlfn.XLOOKUP(PROYECTOS[[#This Row],[MUNICIPIO]],'4.CAP_ENDMNT'!B:B,'4.CAP_ENDMNT'!G:G,0,0,1)</f>
        <v>2357809963</v>
      </c>
      <c r="Y498" s="44">
        <f>+_xlfn.XLOOKUP(PROYECTOS[[#This Row],[MUNICIPIO]],'4.CAP_ENDMNT'!B:B,'4.CAP_ENDMNT'!H:H,0,0,1)</f>
        <v>1093248488</v>
      </c>
      <c r="Z498" s="44">
        <f>+_xlfn.XLOOKUP(PROYECTOS[[#This Row],[MUNICIPIO]],'4.CAP_ENDMNT'!B:B,'4.CAP_ENDMNT'!I:I,0,0,1)</f>
        <v>3451058451</v>
      </c>
      <c r="AA498" s="134">
        <f>+_xlfn.XLOOKUP(PROYECTOS[[#This Row],[MUNICIPIO]],'4.CAP_ENDMNT'!B:B,'4.CAP_ENDMNT'!J:J,0,0,1)</f>
        <v>0.25290160324739891</v>
      </c>
      <c r="AB498" s="44">
        <f>+_xlfn.XLOOKUP(PROYECTOS[[#This Row],[MUNICIPIO]],'4.CAP_ENDMNT'!B:B,'4.CAP_ENDMNT'!K:K,0,0,1)</f>
        <v>10194795931.4415</v>
      </c>
      <c r="AC498" s="44">
        <f>+_xlfn.XLOOKUP(PROYECTOS[[#This Row],[MUNICIPIO]],'4.CAP_ENDMNT'!B:B,'4.CAP_ENDMNT'!L:L,0,0,1)</f>
        <v>8155836745.1532001</v>
      </c>
      <c r="AD498" s="44">
        <f>+_xlfn.XLOOKUP(PROYECTOS[[#This Row],[MUNICIPIO]],'4.CAP_ENDMNT'!B:B,'4.CAP_ENDMNT'!M:M,0,0,1)</f>
        <v>6116877558.8648996</v>
      </c>
      <c r="AE498" s="134">
        <f>+_xlfn.XLOOKUP(PROYECTOS[[#This Row],[MUNICIPIO]],'4.CAP_ENDMNT'!B:B,'4.CAP_ENDMNT'!N:N,0,0,1)</f>
        <v>0.68321356954032075</v>
      </c>
      <c r="AF498" s="134">
        <f>+_xlfn.XLOOKUP(PROYECTOS[[#This Row],[MUNICIPIO]],'4.CAP_ENDMNT'!B:B,'4.CAP_ENDMNT'!O:O,0,0,1)</f>
        <v>0.58815143933117542</v>
      </c>
      <c r="AG498" s="134">
        <f>+_xlfn.XLOOKUP(PROYECTOS[[#This Row],[MUNICIPIO]],'4.CAP_ENDMNT'!B:B,'4.CAP_ENDMNT'!P:P,0,0,1)</f>
        <v>0.8</v>
      </c>
      <c r="AH498" s="44" t="str">
        <f>+_xlfn.XLOOKUP(PROYECTOS[[#This Row],[MUNICIPIO]],'4.CAP_ENDMNT'!B:B,'4.CAP_ENDMNT'!Q:Q,0,0,1)</f>
        <v>Cumple</v>
      </c>
      <c r="AI498" s="139">
        <f>+_xlfn.XLOOKUP(PROYECTOS[[#This Row],[MUNICIPIO]],'4.CAP_ENDMNT'!B:B,'4.CAP_ENDMNT'!V:V,0,0,1)</f>
        <v>1223375511.77298</v>
      </c>
      <c r="AJ498" s="139">
        <f>+_xlfn.XLOOKUP(PROYECTOS[[#This Row],[MUNICIPIO]],'4.CAP_ENDMNT'!B:B,'4.CAP_ENDMNT'!Y:Y,0,0,1)</f>
        <v>-3684666242.3621206</v>
      </c>
    </row>
    <row r="499" spans="1:36" ht="15" customHeight="1">
      <c r="A499" s="44">
        <v>613</v>
      </c>
      <c r="B499" s="37" t="s">
        <v>1308</v>
      </c>
      <c r="C499" s="118">
        <v>45798</v>
      </c>
      <c r="D499" s="46" t="s">
        <v>327</v>
      </c>
      <c r="E499" s="47" t="str">
        <f>+_xlfn.XLOOKUP(PROYECTOS[[#This Row],[MUNICIPIO]],MUNICIPIOS!A:A,MUNICIPIOS!E:E,0,0,1)</f>
        <v>Nordeste</v>
      </c>
      <c r="F499" s="44">
        <f>+_xlfn.XLOOKUP(PROYECTOS[[#This Row],[MUNICIPIO]],MUNICIPIOS!A:A,MUNICIPIOS!F:F,0,0,1)</f>
        <v>-75.019109</v>
      </c>
      <c r="G499" s="44" t="str">
        <f>+_xlfn.XLOOKUP(PROYECTOS[[#This Row],[MUNICIPIO]],MUNICIPIOS!A:A,MUNICIPIOS!G:G,0,0,1)</f>
        <v>6,485939</v>
      </c>
      <c r="H499" s="44">
        <f>+_xlfn.XLOOKUP(PROYECTOS[[#This Row],[MUNICIPIO]],MUNICIPIOS!A:A,MUNICIPIOS!B:B,0,0,1)</f>
        <v>0</v>
      </c>
      <c r="I499" s="44">
        <f>+_xlfn.XLOOKUP(PROYECTOS[[#This Row],[MUNICIPIO]],MUNICIPIOS!A:A,MUNICIPIOS!C:C,0,0,1)</f>
        <v>0</v>
      </c>
      <c r="J499" s="34" t="str" cm="1">
        <f t="array" ref="J499">_xlfn.TEXTJOIN(" ", TRUE, IF(radicados[ID PROYECTOS]=A499, radicados[RADICADO], ""))</f>
        <v/>
      </c>
      <c r="K499" s="45">
        <v>1</v>
      </c>
      <c r="L499" s="48"/>
      <c r="M499" s="34" t="s">
        <v>761</v>
      </c>
      <c r="N499" s="40" t="s">
        <v>398</v>
      </c>
      <c r="O499" s="40" t="s">
        <v>25</v>
      </c>
      <c r="P499" s="37"/>
      <c r="Q499" s="45"/>
      <c r="R499" s="166"/>
      <c r="S499" s="166"/>
      <c r="T499" s="44">
        <f>+_xlfn.XLOOKUP(PROYECTOS[[#This Row],[MUNICIPIO]],'4.CAP_ENDMNT'!B:B,'4.CAP_ENDMNT'!C:C,0,0,1)</f>
        <v>6</v>
      </c>
      <c r="U499" s="167">
        <f>+_xlfn.XLOOKUP(PROYECTOS[[#This Row],[MUNICIPIO]],'4.CAP_ENDMNT'!B:B,'4.CAP_ENDMNT'!D:D,0,0,1)</f>
        <v>13645854382.4415</v>
      </c>
      <c r="V499" s="44">
        <f>+_xlfn.XLOOKUP(PROYECTOS[[#This Row],[MUNICIPIO]],'4.CAP_ENDMNT'!B:B,'4.CAP_ENDMNT'!E:E,0,0,1)</f>
        <v>5036095672.2200003</v>
      </c>
      <c r="W499" s="44">
        <f>+_xlfn.XLOOKUP(PROYECTOS[[#This Row],[MUNICIPIO]],'4.CAP_ENDMNT'!B:B,'4.CAP_ENDMNT'!F:F,0,0,1)</f>
        <v>8609758710.2215004</v>
      </c>
      <c r="X499" s="44">
        <f>+_xlfn.XLOOKUP(PROYECTOS[[#This Row],[MUNICIPIO]],'4.CAP_ENDMNT'!B:B,'4.CAP_ENDMNT'!G:G,0,0,1)</f>
        <v>2357809963</v>
      </c>
      <c r="Y499" s="44">
        <f>+_xlfn.XLOOKUP(PROYECTOS[[#This Row],[MUNICIPIO]],'4.CAP_ENDMNT'!B:B,'4.CAP_ENDMNT'!H:H,0,0,1)</f>
        <v>1093248488</v>
      </c>
      <c r="Z499" s="44">
        <f>+_xlfn.XLOOKUP(PROYECTOS[[#This Row],[MUNICIPIO]],'4.CAP_ENDMNT'!B:B,'4.CAP_ENDMNT'!I:I,0,0,1)</f>
        <v>3451058451</v>
      </c>
      <c r="AA499" s="134">
        <f>+_xlfn.XLOOKUP(PROYECTOS[[#This Row],[MUNICIPIO]],'4.CAP_ENDMNT'!B:B,'4.CAP_ENDMNT'!J:J,0,0,1)</f>
        <v>0.25290160324739891</v>
      </c>
      <c r="AB499" s="44">
        <f>+_xlfn.XLOOKUP(PROYECTOS[[#This Row],[MUNICIPIO]],'4.CAP_ENDMNT'!B:B,'4.CAP_ENDMNT'!K:K,0,0,1)</f>
        <v>10194795931.4415</v>
      </c>
      <c r="AC499" s="44">
        <f>+_xlfn.XLOOKUP(PROYECTOS[[#This Row],[MUNICIPIO]],'4.CAP_ENDMNT'!B:B,'4.CAP_ENDMNT'!L:L,0,0,1)</f>
        <v>8155836745.1532001</v>
      </c>
      <c r="AD499" s="44">
        <f>+_xlfn.XLOOKUP(PROYECTOS[[#This Row],[MUNICIPIO]],'4.CAP_ENDMNT'!B:B,'4.CAP_ENDMNT'!M:M,0,0,1)</f>
        <v>6116877558.8648996</v>
      </c>
      <c r="AE499" s="134">
        <f>+_xlfn.XLOOKUP(PROYECTOS[[#This Row],[MUNICIPIO]],'4.CAP_ENDMNT'!B:B,'4.CAP_ENDMNT'!N:N,0,0,1)</f>
        <v>0.68321356954032075</v>
      </c>
      <c r="AF499" s="134">
        <f>+_xlfn.XLOOKUP(PROYECTOS[[#This Row],[MUNICIPIO]],'4.CAP_ENDMNT'!B:B,'4.CAP_ENDMNT'!O:O,0,0,1)</f>
        <v>0.58815143933117542</v>
      </c>
      <c r="AG499" s="134">
        <f>+_xlfn.XLOOKUP(PROYECTOS[[#This Row],[MUNICIPIO]],'4.CAP_ENDMNT'!B:B,'4.CAP_ENDMNT'!P:P,0,0,1)</f>
        <v>0.8</v>
      </c>
      <c r="AH499" s="44" t="str">
        <f>+_xlfn.XLOOKUP(PROYECTOS[[#This Row],[MUNICIPIO]],'4.CAP_ENDMNT'!B:B,'4.CAP_ENDMNT'!Q:Q,0,0,1)</f>
        <v>Cumple</v>
      </c>
      <c r="AI499" s="139">
        <f>+_xlfn.XLOOKUP(PROYECTOS[[#This Row],[MUNICIPIO]],'4.CAP_ENDMNT'!B:B,'4.CAP_ENDMNT'!V:V,0,0,1)</f>
        <v>1223375511.77298</v>
      </c>
      <c r="AJ499" s="139">
        <f>+_xlfn.XLOOKUP(PROYECTOS[[#This Row],[MUNICIPIO]],'4.CAP_ENDMNT'!B:B,'4.CAP_ENDMNT'!Y:Y,0,0,1)</f>
        <v>-3684666242.3621206</v>
      </c>
    </row>
    <row r="500" spans="1:36" ht="15" customHeight="1">
      <c r="A500" s="44">
        <v>614</v>
      </c>
      <c r="B500" s="37" t="s">
        <v>1309</v>
      </c>
      <c r="C500" s="118">
        <v>45798</v>
      </c>
      <c r="D500" s="46" t="s">
        <v>327</v>
      </c>
      <c r="E500" s="47" t="str">
        <f>+_xlfn.XLOOKUP(PROYECTOS[[#This Row],[MUNICIPIO]],MUNICIPIOS!A:A,MUNICIPIOS!E:E,0,0,1)</f>
        <v>Nordeste</v>
      </c>
      <c r="F500" s="44">
        <f>+_xlfn.XLOOKUP(PROYECTOS[[#This Row],[MUNICIPIO]],MUNICIPIOS!A:A,MUNICIPIOS!F:F,0,0,1)</f>
        <v>-75.019109</v>
      </c>
      <c r="G500" s="44" t="str">
        <f>+_xlfn.XLOOKUP(PROYECTOS[[#This Row],[MUNICIPIO]],MUNICIPIOS!A:A,MUNICIPIOS!G:G,0,0,1)</f>
        <v>6,485939</v>
      </c>
      <c r="H500" s="44">
        <f>+_xlfn.XLOOKUP(PROYECTOS[[#This Row],[MUNICIPIO]],MUNICIPIOS!A:A,MUNICIPIOS!B:B,0,0,1)</f>
        <v>0</v>
      </c>
      <c r="I500" s="44">
        <f>+_xlfn.XLOOKUP(PROYECTOS[[#This Row],[MUNICIPIO]],MUNICIPIOS!A:A,MUNICIPIOS!C:C,0,0,1)</f>
        <v>0</v>
      </c>
      <c r="J500" s="34" t="str" cm="1">
        <f t="array" ref="J500">_xlfn.TEXTJOIN(" ", TRUE, IF(radicados[ID PROYECTOS]=A500, radicados[RADICADO], ""))</f>
        <v/>
      </c>
      <c r="K500" s="45">
        <v>1</v>
      </c>
      <c r="L500" s="48"/>
      <c r="M500" s="34" t="s">
        <v>761</v>
      </c>
      <c r="N500" s="40" t="s">
        <v>398</v>
      </c>
      <c r="O500" s="40" t="s">
        <v>25</v>
      </c>
      <c r="P500" s="37"/>
      <c r="Q500" s="45"/>
      <c r="R500" s="166"/>
      <c r="S500" s="166"/>
      <c r="T500" s="44">
        <f>+_xlfn.XLOOKUP(PROYECTOS[[#This Row],[MUNICIPIO]],'4.CAP_ENDMNT'!B:B,'4.CAP_ENDMNT'!C:C,0,0,1)</f>
        <v>6</v>
      </c>
      <c r="U500" s="167">
        <f>+_xlfn.XLOOKUP(PROYECTOS[[#This Row],[MUNICIPIO]],'4.CAP_ENDMNT'!B:B,'4.CAP_ENDMNT'!D:D,0,0,1)</f>
        <v>13645854382.4415</v>
      </c>
      <c r="V500" s="44">
        <f>+_xlfn.XLOOKUP(PROYECTOS[[#This Row],[MUNICIPIO]],'4.CAP_ENDMNT'!B:B,'4.CAP_ENDMNT'!E:E,0,0,1)</f>
        <v>5036095672.2200003</v>
      </c>
      <c r="W500" s="44">
        <f>+_xlfn.XLOOKUP(PROYECTOS[[#This Row],[MUNICIPIO]],'4.CAP_ENDMNT'!B:B,'4.CAP_ENDMNT'!F:F,0,0,1)</f>
        <v>8609758710.2215004</v>
      </c>
      <c r="X500" s="44">
        <f>+_xlfn.XLOOKUP(PROYECTOS[[#This Row],[MUNICIPIO]],'4.CAP_ENDMNT'!B:B,'4.CAP_ENDMNT'!G:G,0,0,1)</f>
        <v>2357809963</v>
      </c>
      <c r="Y500" s="44">
        <f>+_xlfn.XLOOKUP(PROYECTOS[[#This Row],[MUNICIPIO]],'4.CAP_ENDMNT'!B:B,'4.CAP_ENDMNT'!H:H,0,0,1)</f>
        <v>1093248488</v>
      </c>
      <c r="Z500" s="44">
        <f>+_xlfn.XLOOKUP(PROYECTOS[[#This Row],[MUNICIPIO]],'4.CAP_ENDMNT'!B:B,'4.CAP_ENDMNT'!I:I,0,0,1)</f>
        <v>3451058451</v>
      </c>
      <c r="AA500" s="134">
        <f>+_xlfn.XLOOKUP(PROYECTOS[[#This Row],[MUNICIPIO]],'4.CAP_ENDMNT'!B:B,'4.CAP_ENDMNT'!J:J,0,0,1)</f>
        <v>0.25290160324739891</v>
      </c>
      <c r="AB500" s="44">
        <f>+_xlfn.XLOOKUP(PROYECTOS[[#This Row],[MUNICIPIO]],'4.CAP_ENDMNT'!B:B,'4.CAP_ENDMNT'!K:K,0,0,1)</f>
        <v>10194795931.4415</v>
      </c>
      <c r="AC500" s="44">
        <f>+_xlfn.XLOOKUP(PROYECTOS[[#This Row],[MUNICIPIO]],'4.CAP_ENDMNT'!B:B,'4.CAP_ENDMNT'!L:L,0,0,1)</f>
        <v>8155836745.1532001</v>
      </c>
      <c r="AD500" s="44">
        <f>+_xlfn.XLOOKUP(PROYECTOS[[#This Row],[MUNICIPIO]],'4.CAP_ENDMNT'!B:B,'4.CAP_ENDMNT'!M:M,0,0,1)</f>
        <v>6116877558.8648996</v>
      </c>
      <c r="AE500" s="134">
        <f>+_xlfn.XLOOKUP(PROYECTOS[[#This Row],[MUNICIPIO]],'4.CAP_ENDMNT'!B:B,'4.CAP_ENDMNT'!N:N,0,0,1)</f>
        <v>0.68321356954032075</v>
      </c>
      <c r="AF500" s="134">
        <f>+_xlfn.XLOOKUP(PROYECTOS[[#This Row],[MUNICIPIO]],'4.CAP_ENDMNT'!B:B,'4.CAP_ENDMNT'!O:O,0,0,1)</f>
        <v>0.58815143933117542</v>
      </c>
      <c r="AG500" s="134">
        <f>+_xlfn.XLOOKUP(PROYECTOS[[#This Row],[MUNICIPIO]],'4.CAP_ENDMNT'!B:B,'4.CAP_ENDMNT'!P:P,0,0,1)</f>
        <v>0.8</v>
      </c>
      <c r="AH500" s="44" t="str">
        <f>+_xlfn.XLOOKUP(PROYECTOS[[#This Row],[MUNICIPIO]],'4.CAP_ENDMNT'!B:B,'4.CAP_ENDMNT'!Q:Q,0,0,1)</f>
        <v>Cumple</v>
      </c>
      <c r="AI500" s="139">
        <f>+_xlfn.XLOOKUP(PROYECTOS[[#This Row],[MUNICIPIO]],'4.CAP_ENDMNT'!B:B,'4.CAP_ENDMNT'!V:V,0,0,1)</f>
        <v>1223375511.77298</v>
      </c>
      <c r="AJ500" s="139">
        <f>+_xlfn.XLOOKUP(PROYECTOS[[#This Row],[MUNICIPIO]],'4.CAP_ENDMNT'!B:B,'4.CAP_ENDMNT'!Y:Y,0,0,1)</f>
        <v>-3684666242.3621206</v>
      </c>
    </row>
    <row r="501" spans="1:36" ht="15" customHeight="1">
      <c r="A501" s="44">
        <v>615</v>
      </c>
      <c r="B501" s="37" t="s">
        <v>1310</v>
      </c>
      <c r="C501" s="118">
        <v>45798</v>
      </c>
      <c r="D501" s="46" t="s">
        <v>327</v>
      </c>
      <c r="E501" s="47" t="str">
        <f>+_xlfn.XLOOKUP(PROYECTOS[[#This Row],[MUNICIPIO]],MUNICIPIOS!A:A,MUNICIPIOS!E:E,0,0,1)</f>
        <v>Nordeste</v>
      </c>
      <c r="F501" s="44">
        <f>+_xlfn.XLOOKUP(PROYECTOS[[#This Row],[MUNICIPIO]],MUNICIPIOS!A:A,MUNICIPIOS!F:F,0,0,1)</f>
        <v>-75.019109</v>
      </c>
      <c r="G501" s="44" t="str">
        <f>+_xlfn.XLOOKUP(PROYECTOS[[#This Row],[MUNICIPIO]],MUNICIPIOS!A:A,MUNICIPIOS!G:G,0,0,1)</f>
        <v>6,485939</v>
      </c>
      <c r="H501" s="44">
        <f>+_xlfn.XLOOKUP(PROYECTOS[[#This Row],[MUNICIPIO]],MUNICIPIOS!A:A,MUNICIPIOS!B:B,0,0,1)</f>
        <v>0</v>
      </c>
      <c r="I501" s="44">
        <f>+_xlfn.XLOOKUP(PROYECTOS[[#This Row],[MUNICIPIO]],MUNICIPIOS!A:A,MUNICIPIOS!C:C,0,0,1)</f>
        <v>0</v>
      </c>
      <c r="J501" s="34" t="str" cm="1">
        <f t="array" ref="J501">_xlfn.TEXTJOIN(" ", TRUE, IF(radicados[ID PROYECTOS]=A501, radicados[RADICADO], ""))</f>
        <v/>
      </c>
      <c r="K501" s="45">
        <v>1</v>
      </c>
      <c r="L501" s="48"/>
      <c r="M501" s="34" t="s">
        <v>761</v>
      </c>
      <c r="N501" s="40" t="s">
        <v>398</v>
      </c>
      <c r="O501" s="40" t="s">
        <v>25</v>
      </c>
      <c r="P501" s="37"/>
      <c r="Q501" s="45"/>
      <c r="R501" s="166"/>
      <c r="S501" s="166"/>
      <c r="T501" s="44">
        <f>+_xlfn.XLOOKUP(PROYECTOS[[#This Row],[MUNICIPIO]],'4.CAP_ENDMNT'!B:B,'4.CAP_ENDMNT'!C:C,0,0,1)</f>
        <v>6</v>
      </c>
      <c r="U501" s="167">
        <f>+_xlfn.XLOOKUP(PROYECTOS[[#This Row],[MUNICIPIO]],'4.CAP_ENDMNT'!B:B,'4.CAP_ENDMNT'!D:D,0,0,1)</f>
        <v>13645854382.4415</v>
      </c>
      <c r="V501" s="44">
        <f>+_xlfn.XLOOKUP(PROYECTOS[[#This Row],[MUNICIPIO]],'4.CAP_ENDMNT'!B:B,'4.CAP_ENDMNT'!E:E,0,0,1)</f>
        <v>5036095672.2200003</v>
      </c>
      <c r="W501" s="44">
        <f>+_xlfn.XLOOKUP(PROYECTOS[[#This Row],[MUNICIPIO]],'4.CAP_ENDMNT'!B:B,'4.CAP_ENDMNT'!F:F,0,0,1)</f>
        <v>8609758710.2215004</v>
      </c>
      <c r="X501" s="44">
        <f>+_xlfn.XLOOKUP(PROYECTOS[[#This Row],[MUNICIPIO]],'4.CAP_ENDMNT'!B:B,'4.CAP_ENDMNT'!G:G,0,0,1)</f>
        <v>2357809963</v>
      </c>
      <c r="Y501" s="44">
        <f>+_xlfn.XLOOKUP(PROYECTOS[[#This Row],[MUNICIPIO]],'4.CAP_ENDMNT'!B:B,'4.CAP_ENDMNT'!H:H,0,0,1)</f>
        <v>1093248488</v>
      </c>
      <c r="Z501" s="44">
        <f>+_xlfn.XLOOKUP(PROYECTOS[[#This Row],[MUNICIPIO]],'4.CAP_ENDMNT'!B:B,'4.CAP_ENDMNT'!I:I,0,0,1)</f>
        <v>3451058451</v>
      </c>
      <c r="AA501" s="134">
        <f>+_xlfn.XLOOKUP(PROYECTOS[[#This Row],[MUNICIPIO]],'4.CAP_ENDMNT'!B:B,'4.CAP_ENDMNT'!J:J,0,0,1)</f>
        <v>0.25290160324739891</v>
      </c>
      <c r="AB501" s="44">
        <f>+_xlfn.XLOOKUP(PROYECTOS[[#This Row],[MUNICIPIO]],'4.CAP_ENDMNT'!B:B,'4.CAP_ENDMNT'!K:K,0,0,1)</f>
        <v>10194795931.4415</v>
      </c>
      <c r="AC501" s="44">
        <f>+_xlfn.XLOOKUP(PROYECTOS[[#This Row],[MUNICIPIO]],'4.CAP_ENDMNT'!B:B,'4.CAP_ENDMNT'!L:L,0,0,1)</f>
        <v>8155836745.1532001</v>
      </c>
      <c r="AD501" s="44">
        <f>+_xlfn.XLOOKUP(PROYECTOS[[#This Row],[MUNICIPIO]],'4.CAP_ENDMNT'!B:B,'4.CAP_ENDMNT'!M:M,0,0,1)</f>
        <v>6116877558.8648996</v>
      </c>
      <c r="AE501" s="134">
        <f>+_xlfn.XLOOKUP(PROYECTOS[[#This Row],[MUNICIPIO]],'4.CAP_ENDMNT'!B:B,'4.CAP_ENDMNT'!N:N,0,0,1)</f>
        <v>0.68321356954032075</v>
      </c>
      <c r="AF501" s="134">
        <f>+_xlfn.XLOOKUP(PROYECTOS[[#This Row],[MUNICIPIO]],'4.CAP_ENDMNT'!B:B,'4.CAP_ENDMNT'!O:O,0,0,1)</f>
        <v>0.58815143933117542</v>
      </c>
      <c r="AG501" s="134">
        <f>+_xlfn.XLOOKUP(PROYECTOS[[#This Row],[MUNICIPIO]],'4.CAP_ENDMNT'!B:B,'4.CAP_ENDMNT'!P:P,0,0,1)</f>
        <v>0.8</v>
      </c>
      <c r="AH501" s="44" t="str">
        <f>+_xlfn.XLOOKUP(PROYECTOS[[#This Row],[MUNICIPIO]],'4.CAP_ENDMNT'!B:B,'4.CAP_ENDMNT'!Q:Q,0,0,1)</f>
        <v>Cumple</v>
      </c>
      <c r="AI501" s="139">
        <f>+_xlfn.XLOOKUP(PROYECTOS[[#This Row],[MUNICIPIO]],'4.CAP_ENDMNT'!B:B,'4.CAP_ENDMNT'!V:V,0,0,1)</f>
        <v>1223375511.77298</v>
      </c>
      <c r="AJ501" s="139">
        <f>+_xlfn.XLOOKUP(PROYECTOS[[#This Row],[MUNICIPIO]],'4.CAP_ENDMNT'!B:B,'4.CAP_ENDMNT'!Y:Y,0,0,1)</f>
        <v>-3684666242.3621206</v>
      </c>
    </row>
    <row r="502" spans="1:36" ht="15" customHeight="1">
      <c r="A502" s="44">
        <v>616</v>
      </c>
      <c r="B502" s="37" t="s">
        <v>1311</v>
      </c>
      <c r="C502" s="118">
        <v>45798</v>
      </c>
      <c r="D502" s="3" t="s">
        <v>30</v>
      </c>
      <c r="E502" s="47" t="str">
        <f>+_xlfn.XLOOKUP(PROYECTOS[[#This Row],[MUNICIPIO]],MUNICIPIOS!A:A,MUNICIPIOS!E:E,0,0,1)</f>
        <v>Suroeste</v>
      </c>
      <c r="F502" s="44">
        <f>+_xlfn.XLOOKUP(PROYECTOS[[#This Row],[MUNICIPIO]],MUNICIPIOS!A:A,MUNICIPIOS!F:F,0,0,1)</f>
        <v>-75.567351000000002</v>
      </c>
      <c r="G502" s="44" t="str">
        <f>+_xlfn.XLOOKUP(PROYECTOS[[#This Row],[MUNICIPIO]],MUNICIPIOS!A:A,MUNICIPIOS!G:G,0,0,1)</f>
        <v>5,875527</v>
      </c>
      <c r="H502" s="44">
        <f>+_xlfn.XLOOKUP(PROYECTOS[[#This Row],[MUNICIPIO]],MUNICIPIOS!A:A,MUNICIPIOS!B:B,0,0,1)</f>
        <v>0</v>
      </c>
      <c r="I502" s="44">
        <f>+_xlfn.XLOOKUP(PROYECTOS[[#This Row],[MUNICIPIO]],MUNICIPIOS!A:A,MUNICIPIOS!C:C,0,0,1)</f>
        <v>0</v>
      </c>
      <c r="J502" s="34" t="str" cm="1">
        <f t="array" ref="J502">_xlfn.TEXTJOIN(" ", TRUE, IF(radicados[ID PROYECTOS]=A502, radicados[RADICADO], ""))</f>
        <v/>
      </c>
      <c r="K502" s="45">
        <v>3</v>
      </c>
      <c r="L502" s="48">
        <v>800000000</v>
      </c>
      <c r="M502" s="34" t="s">
        <v>761</v>
      </c>
      <c r="N502" s="40" t="s">
        <v>394</v>
      </c>
      <c r="O502" s="40" t="s">
        <v>18</v>
      </c>
      <c r="P502" s="37" t="s">
        <v>1640</v>
      </c>
      <c r="Q502" s="45">
        <v>1</v>
      </c>
      <c r="R502" s="43"/>
      <c r="S502" s="166"/>
      <c r="T502" s="44">
        <f>+_xlfn.XLOOKUP(PROYECTOS[[#This Row],[MUNICIPIO]],'4.CAP_ENDMNT'!B:B,'4.CAP_ENDMNT'!C:C,0,0,1)</f>
        <v>6</v>
      </c>
      <c r="U502" s="167">
        <f>+_xlfn.XLOOKUP(PROYECTOS[[#This Row],[MUNICIPIO]],'4.CAP_ENDMNT'!B:B,'4.CAP_ENDMNT'!D:D,0,0,1)</f>
        <v>12109127304.486</v>
      </c>
      <c r="V502" s="44">
        <f>+_xlfn.XLOOKUP(PROYECTOS[[#This Row],[MUNICIPIO]],'4.CAP_ENDMNT'!B:B,'4.CAP_ENDMNT'!E:E,0,0,1)</f>
        <v>6485076277.8299999</v>
      </c>
      <c r="W502" s="44">
        <f>+_xlfn.XLOOKUP(PROYECTOS[[#This Row],[MUNICIPIO]],'4.CAP_ENDMNT'!B:B,'4.CAP_ENDMNT'!F:F,0,0,1)</f>
        <v>5624051026.6560001</v>
      </c>
      <c r="X502" s="44">
        <f>+_xlfn.XLOOKUP(PROYECTOS[[#This Row],[MUNICIPIO]],'4.CAP_ENDMNT'!B:B,'4.CAP_ENDMNT'!G:G,0,0,1)</f>
        <v>3662325591</v>
      </c>
      <c r="Y502" s="44">
        <f>+_xlfn.XLOOKUP(PROYECTOS[[#This Row],[MUNICIPIO]],'4.CAP_ENDMNT'!B:B,'4.CAP_ENDMNT'!H:H,0,0,1)</f>
        <v>0</v>
      </c>
      <c r="Z502" s="44">
        <f>+_xlfn.XLOOKUP(PROYECTOS[[#This Row],[MUNICIPIO]],'4.CAP_ENDMNT'!B:B,'4.CAP_ENDMNT'!I:I,0,0,1)</f>
        <v>3662325591</v>
      </c>
      <c r="AA502" s="134">
        <f>+_xlfn.XLOOKUP(PROYECTOS[[#This Row],[MUNICIPIO]],'4.CAP_ENDMNT'!B:B,'4.CAP_ENDMNT'!J:J,0,0,1)</f>
        <v>0.30244339653141139</v>
      </c>
      <c r="AB502" s="44">
        <f>+_xlfn.XLOOKUP(PROYECTOS[[#This Row],[MUNICIPIO]],'4.CAP_ENDMNT'!B:B,'4.CAP_ENDMNT'!K:K,0,0,1)</f>
        <v>8446801713.4860001</v>
      </c>
      <c r="AC502" s="44">
        <f>+_xlfn.XLOOKUP(PROYECTOS[[#This Row],[MUNICIPIO]],'4.CAP_ENDMNT'!B:B,'4.CAP_ENDMNT'!L:L,0,0,1)</f>
        <v>6757441370.7888002</v>
      </c>
      <c r="AD502" s="44">
        <f>+_xlfn.XLOOKUP(PROYECTOS[[#This Row],[MUNICIPIO]],'4.CAP_ENDMNT'!B:B,'4.CAP_ENDMNT'!M:M,0,0,1)</f>
        <v>5068081028.0915995</v>
      </c>
      <c r="AE502" s="134">
        <f>+_xlfn.XLOOKUP(PROYECTOS[[#This Row],[MUNICIPIO]],'4.CAP_ENDMNT'!B:B,'4.CAP_ENDMNT'!N:N,0,0,1)</f>
        <v>1</v>
      </c>
      <c r="AF502" s="134">
        <f>+_xlfn.XLOOKUP(PROYECTOS[[#This Row],[MUNICIPIO]],'4.CAP_ENDMNT'!B:B,'4.CAP_ENDMNT'!O:O,0,0,1)</f>
        <v>0.55253262293583549</v>
      </c>
      <c r="AG502" s="134">
        <f>+_xlfn.XLOOKUP(PROYECTOS[[#This Row],[MUNICIPIO]],'4.CAP_ENDMNT'!B:B,'4.CAP_ENDMNT'!P:P,0,0,1)</f>
        <v>0.8</v>
      </c>
      <c r="AH502" s="44" t="str">
        <f>+_xlfn.XLOOKUP(PROYECTOS[[#This Row],[MUNICIPIO]],'4.CAP_ENDMNT'!B:B,'4.CAP_ENDMNT'!Q:Q,0,0,1)</f>
        <v>Cumple</v>
      </c>
      <c r="AI502" s="139">
        <f>+_xlfn.XLOOKUP(PROYECTOS[[#This Row],[MUNICIPIO]],'4.CAP_ENDMNT'!B:B,'4.CAP_ENDMNT'!V:V,0,0,1)</f>
        <v>1013616205.61832</v>
      </c>
      <c r="AJ502" s="139">
        <f>+_xlfn.XLOOKUP(PROYECTOS[[#This Row],[MUNICIPIO]],'4.CAP_ENDMNT'!B:B,'4.CAP_ENDMNT'!Y:Y,0,0,1)</f>
        <v>5281697233.709919</v>
      </c>
    </row>
    <row r="503" spans="1:36" ht="15" customHeight="1">
      <c r="A503" s="44">
        <v>617</v>
      </c>
      <c r="B503" s="37" t="s">
        <v>1505</v>
      </c>
      <c r="C503" s="118">
        <v>45798</v>
      </c>
      <c r="D503" s="46" t="s">
        <v>166</v>
      </c>
      <c r="E503" s="47" t="str">
        <f>+_xlfn.XLOOKUP(PROYECTOS[[#This Row],[MUNICIPIO]],MUNICIPIOS!A:A,MUNICIPIOS!E:E,0,0,1)</f>
        <v>Occidente</v>
      </c>
      <c r="F503" s="44">
        <f>+_xlfn.XLOOKUP(PROYECTOS[[#This Row],[MUNICIPIO]],MUNICIPIOS!A:A,MUNICIPIOS!F:F,0,0,1)</f>
        <v>-75.826648000000006</v>
      </c>
      <c r="G503" s="44" t="str">
        <f>+_xlfn.XLOOKUP(PROYECTOS[[#This Row],[MUNICIPIO]],MUNICIPIOS!A:A,MUNICIPIOS!G:G,0,0,1)</f>
        <v>6,556484</v>
      </c>
      <c r="H503" s="44">
        <f>+_xlfn.XLOOKUP(PROYECTOS[[#This Row],[MUNICIPIO]],MUNICIPIOS!A:A,MUNICIPIOS!B:B,0,0,1)</f>
        <v>0</v>
      </c>
      <c r="I503" s="44">
        <f>+_xlfn.XLOOKUP(PROYECTOS[[#This Row],[MUNICIPIO]],MUNICIPIOS!A:A,MUNICIPIOS!C:C,0,0,1)</f>
        <v>1</v>
      </c>
      <c r="J503" s="34" t="str" cm="1">
        <f t="array" ref="J503">_xlfn.TEXTJOIN(" ", TRUE, IF(radicados[ID PROYECTOS]=A503, radicados[RADICADO], ""))</f>
        <v/>
      </c>
      <c r="K503" s="45">
        <v>1</v>
      </c>
      <c r="L503" s="48"/>
      <c r="M503" s="34" t="s">
        <v>435</v>
      </c>
      <c r="N503" s="40" t="s">
        <v>398</v>
      </c>
      <c r="O503" s="40" t="s">
        <v>25</v>
      </c>
      <c r="P503" s="37" t="s">
        <v>1343</v>
      </c>
      <c r="Q503" s="45">
        <v>1</v>
      </c>
      <c r="R503" s="166" t="s">
        <v>190</v>
      </c>
      <c r="S503" s="166" t="s">
        <v>1260</v>
      </c>
      <c r="T503" s="44">
        <f>+_xlfn.XLOOKUP(PROYECTOS[[#This Row],[MUNICIPIO]],'4.CAP_ENDMNT'!B:B,'4.CAP_ENDMNT'!C:C,0,0,1)</f>
        <v>5</v>
      </c>
      <c r="U503" s="167">
        <f>+_xlfn.XLOOKUP(PROYECTOS[[#This Row],[MUNICIPIO]],'4.CAP_ENDMNT'!B:B,'4.CAP_ENDMNT'!D:D,0,0,1)</f>
        <v>40656193467.687004</v>
      </c>
      <c r="V503" s="44">
        <f>+_xlfn.XLOOKUP(PROYECTOS[[#This Row],[MUNICIPIO]],'4.CAP_ENDMNT'!B:B,'4.CAP_ENDMNT'!E:E,0,0,1)</f>
        <v>18778286398.540001</v>
      </c>
      <c r="W503" s="44">
        <f>+_xlfn.XLOOKUP(PROYECTOS[[#This Row],[MUNICIPIO]],'4.CAP_ENDMNT'!B:B,'4.CAP_ENDMNT'!F:F,0,0,1)</f>
        <v>21877907069.147003</v>
      </c>
      <c r="X503" s="44">
        <f>+_xlfn.XLOOKUP(PROYECTOS[[#This Row],[MUNICIPIO]],'4.CAP_ENDMNT'!B:B,'4.CAP_ENDMNT'!G:G,0,0,1)</f>
        <v>5492975516</v>
      </c>
      <c r="Y503" s="44">
        <f>+_xlfn.XLOOKUP(PROYECTOS[[#This Row],[MUNICIPIO]],'4.CAP_ENDMNT'!B:B,'4.CAP_ENDMNT'!H:H,0,0,1)</f>
        <v>2014055909</v>
      </c>
      <c r="Z503" s="44">
        <f>+_xlfn.XLOOKUP(PROYECTOS[[#This Row],[MUNICIPIO]],'4.CAP_ENDMNT'!B:B,'4.CAP_ENDMNT'!I:I,0,0,1)</f>
        <v>7507031425</v>
      </c>
      <c r="AA503" s="134">
        <f>+_xlfn.XLOOKUP(PROYECTOS[[#This Row],[MUNICIPIO]],'4.CAP_ENDMNT'!B:B,'4.CAP_ENDMNT'!J:J,0,0,1)</f>
        <v>0.18464668688096655</v>
      </c>
      <c r="AB503" s="44">
        <f>+_xlfn.XLOOKUP(PROYECTOS[[#This Row],[MUNICIPIO]],'4.CAP_ENDMNT'!B:B,'4.CAP_ENDMNT'!K:K,0,0,1)</f>
        <v>33149162042.687004</v>
      </c>
      <c r="AC503" s="44">
        <f>+_xlfn.XLOOKUP(PROYECTOS[[#This Row],[MUNICIPIO]],'4.CAP_ENDMNT'!B:B,'4.CAP_ENDMNT'!L:L,0,0,1)</f>
        <v>26519329634.149605</v>
      </c>
      <c r="AD503" s="44">
        <f>+_xlfn.XLOOKUP(PROYECTOS[[#This Row],[MUNICIPIO]],'4.CAP_ENDMNT'!B:B,'4.CAP_ENDMNT'!M:M,0,0,1)</f>
        <v>19889497225.612202</v>
      </c>
      <c r="AE503" s="134">
        <f>+_xlfn.XLOOKUP(PROYECTOS[[#This Row],[MUNICIPIO]],'4.CAP_ENDMNT'!B:B,'4.CAP_ENDMNT'!N:N,0,0,1)</f>
        <v>0.73171073957506449</v>
      </c>
      <c r="AF503" s="134">
        <f>+_xlfn.XLOOKUP(PROYECTOS[[#This Row],[MUNICIPIO]],'4.CAP_ENDMNT'!B:B,'4.CAP_ENDMNT'!O:O,0,0,1)</f>
        <v>0.53391906125286837</v>
      </c>
      <c r="AG503" s="134">
        <f>+_xlfn.XLOOKUP(PROYECTOS[[#This Row],[MUNICIPIO]],'4.CAP_ENDMNT'!B:B,'4.CAP_ENDMNT'!P:P,0,0,1)</f>
        <v>0.8</v>
      </c>
      <c r="AH503" s="44" t="str">
        <f>+_xlfn.XLOOKUP(PROYECTOS[[#This Row],[MUNICIPIO]],'4.CAP_ENDMNT'!B:B,'4.CAP_ENDMNT'!Q:Q,0,0,1)</f>
        <v>Cumple</v>
      </c>
      <c r="AI503" s="139">
        <f>+_xlfn.XLOOKUP(PROYECTOS[[#This Row],[MUNICIPIO]],'4.CAP_ENDMNT'!B:B,'4.CAP_ENDMNT'!V:V,0,0,1)</f>
        <v>3977899445.1224403</v>
      </c>
      <c r="AJ503" s="139">
        <f>+_xlfn.XLOOKUP(PROYECTOS[[#This Row],[MUNICIPIO]],'4.CAP_ENDMNT'!B:B,'4.CAP_ENDMNT'!Y:Y,0,0,1)</f>
        <v>-34393689178.265358</v>
      </c>
    </row>
    <row r="504" spans="1:36" ht="15" customHeight="1">
      <c r="A504" s="44">
        <v>618</v>
      </c>
      <c r="B504" s="37" t="s">
        <v>1312</v>
      </c>
      <c r="C504" s="118">
        <v>45798</v>
      </c>
      <c r="D504" s="46" t="s">
        <v>84</v>
      </c>
      <c r="E504" s="47" t="str">
        <f>+_xlfn.XLOOKUP(PROYECTOS[[#This Row],[MUNICIPIO]],MUNICIPIOS!A:A,MUNICIPIOS!E:E,0,0,1)</f>
        <v>Oriente</v>
      </c>
      <c r="F504" s="44">
        <f>+_xlfn.XLOOKUP(PROYECTOS[[#This Row],[MUNICIPIO]],MUNICIPIOS!A:A,MUNICIPIOS!F:F,0,0,1)</f>
        <v>-75.309595999999999</v>
      </c>
      <c r="G504" s="44" t="str">
        <f>+_xlfn.XLOOKUP(PROYECTOS[[#This Row],[MUNICIPIO]],MUNICIPIOS!A:A,MUNICIPIOS!G:G,0,0,1)</f>
        <v>5,714851</v>
      </c>
      <c r="H504" s="44">
        <f>+_xlfn.XLOOKUP(PROYECTOS[[#This Row],[MUNICIPIO]],MUNICIPIOS!A:A,MUNICIPIOS!B:B,0,0,1)</f>
        <v>0</v>
      </c>
      <c r="I504" s="44">
        <f>+_xlfn.XLOOKUP(PROYECTOS[[#This Row],[MUNICIPIO]],MUNICIPIOS!A:A,MUNICIPIOS!C:C,0,0,1)</f>
        <v>1</v>
      </c>
      <c r="J504" s="34" t="str" cm="1">
        <f t="array" ref="J504">_xlfn.TEXTJOIN(" ", TRUE, IF(radicados[ID PROYECTOS]=A504, radicados[RADICADO], ""))</f>
        <v>2025010152656</v>
      </c>
      <c r="K504" s="45">
        <v>3</v>
      </c>
      <c r="L504" s="48">
        <v>1190884976</v>
      </c>
      <c r="M504" s="34" t="s">
        <v>435</v>
      </c>
      <c r="N504" s="40" t="s">
        <v>398</v>
      </c>
      <c r="O504" s="40" t="s">
        <v>25</v>
      </c>
      <c r="P504" s="37"/>
      <c r="Q504" s="45">
        <v>1</v>
      </c>
      <c r="R504" s="43" t="s">
        <v>922</v>
      </c>
      <c r="S504" s="43" t="s">
        <v>1643</v>
      </c>
      <c r="T504" s="44">
        <f>+_xlfn.XLOOKUP(PROYECTOS[[#This Row],[MUNICIPIO]],'4.CAP_ENDMNT'!B:B,'4.CAP_ENDMNT'!C:C,0,0,1)</f>
        <v>5</v>
      </c>
      <c r="U504" s="167">
        <f>+_xlfn.XLOOKUP(PROYECTOS[[#This Row],[MUNICIPIO]],'4.CAP_ENDMNT'!B:B,'4.CAP_ENDMNT'!D:D,0,0,1)</f>
        <v>35695767669.016502</v>
      </c>
      <c r="V504" s="44">
        <f>+_xlfn.XLOOKUP(PROYECTOS[[#This Row],[MUNICIPIO]],'4.CAP_ENDMNT'!B:B,'4.CAP_ENDMNT'!E:E,0,0,1)</f>
        <v>13532488388.23</v>
      </c>
      <c r="W504" s="44">
        <f>+_xlfn.XLOOKUP(PROYECTOS[[#This Row],[MUNICIPIO]],'4.CAP_ENDMNT'!B:B,'4.CAP_ENDMNT'!F:F,0,0,1)</f>
        <v>22163279280.786503</v>
      </c>
      <c r="X504" s="44">
        <f>+_xlfn.XLOOKUP(PROYECTOS[[#This Row],[MUNICIPIO]],'4.CAP_ENDMNT'!B:B,'4.CAP_ENDMNT'!G:G,0,0,1)</f>
        <v>1067761948</v>
      </c>
      <c r="Y504" s="44">
        <f>+_xlfn.XLOOKUP(PROYECTOS[[#This Row],[MUNICIPIO]],'4.CAP_ENDMNT'!B:B,'4.CAP_ENDMNT'!H:H,0,0,1)</f>
        <v>4932032890</v>
      </c>
      <c r="Z504" s="44">
        <f>+_xlfn.XLOOKUP(PROYECTOS[[#This Row],[MUNICIPIO]],'4.CAP_ENDMNT'!B:B,'4.CAP_ENDMNT'!I:I,0,0,1)</f>
        <v>5999794838</v>
      </c>
      <c r="AA504" s="134">
        <f>+_xlfn.XLOOKUP(PROYECTOS[[#This Row],[MUNICIPIO]],'4.CAP_ENDMNT'!B:B,'4.CAP_ENDMNT'!J:J,0,0,1)</f>
        <v>0.16808140655867587</v>
      </c>
      <c r="AB504" s="44">
        <f>+_xlfn.XLOOKUP(PROYECTOS[[#This Row],[MUNICIPIO]],'4.CAP_ENDMNT'!B:B,'4.CAP_ENDMNT'!K:K,0,0,1)</f>
        <v>29695972831.016502</v>
      </c>
      <c r="AC504" s="44">
        <f>+_xlfn.XLOOKUP(PROYECTOS[[#This Row],[MUNICIPIO]],'4.CAP_ENDMNT'!B:B,'4.CAP_ENDMNT'!L:L,0,0,1)</f>
        <v>23756778264.813202</v>
      </c>
      <c r="AD504" s="44">
        <f>+_xlfn.XLOOKUP(PROYECTOS[[#This Row],[MUNICIPIO]],'4.CAP_ENDMNT'!B:B,'4.CAP_ENDMNT'!M:M,0,0,1)</f>
        <v>17817583698.609901</v>
      </c>
      <c r="AE504" s="134">
        <f>+_xlfn.XLOOKUP(PROYECTOS[[#This Row],[MUNICIPIO]],'4.CAP_ENDMNT'!B:B,'4.CAP_ENDMNT'!N:N,0,0,1)</f>
        <v>0.17796640999076777</v>
      </c>
      <c r="AF504" s="134">
        <f>+_xlfn.XLOOKUP(PROYECTOS[[#This Row],[MUNICIPIO]],'4.CAP_ENDMNT'!B:B,'4.CAP_ENDMNT'!O:O,0,0,1)</f>
        <v>0.4016729815979605</v>
      </c>
      <c r="AG504" s="134">
        <f>+_xlfn.XLOOKUP(PROYECTOS[[#This Row],[MUNICIPIO]],'4.CAP_ENDMNT'!B:B,'4.CAP_ENDMNT'!P:P,0,0,1)</f>
        <v>0.8</v>
      </c>
      <c r="AH504" s="44" t="str">
        <f>+_xlfn.XLOOKUP(PROYECTOS[[#This Row],[MUNICIPIO]],'4.CAP_ENDMNT'!B:B,'4.CAP_ENDMNT'!Q:Q,0,0,1)</f>
        <v>Cumple</v>
      </c>
      <c r="AI504" s="139">
        <f>+_xlfn.XLOOKUP(PROYECTOS[[#This Row],[MUNICIPIO]],'4.CAP_ENDMNT'!B:B,'4.CAP_ENDMNT'!V:V,0,0,1)</f>
        <v>3563516739.7219806</v>
      </c>
      <c r="AJ504" s="139">
        <f>+_xlfn.XLOOKUP(PROYECTOS[[#This Row],[MUNICIPIO]],'4.CAP_ENDMNT'!B:B,'4.CAP_ENDMNT'!Y:Y,0,0,1)</f>
        <v>-46557238264.668121</v>
      </c>
    </row>
    <row r="505" spans="1:36" ht="15" customHeight="1">
      <c r="A505" s="44">
        <v>619</v>
      </c>
      <c r="B505" s="37" t="s">
        <v>1313</v>
      </c>
      <c r="C505" s="118">
        <v>45798</v>
      </c>
      <c r="D505" s="46" t="s">
        <v>52</v>
      </c>
      <c r="E505" s="47" t="str">
        <f>+_xlfn.XLOOKUP(PROYECTOS[[#This Row],[MUNICIPIO]],MUNICIPIOS!A:A,MUNICIPIOS!E:E,0,0,1)</f>
        <v>Suroeste</v>
      </c>
      <c r="F505" s="44">
        <f>+_xlfn.XLOOKUP(PROYECTOS[[#This Row],[MUNICIPIO]],MUNICIPIOS!A:A,MUNICIPIOS!F:F,0,0,1)</f>
        <v>-75.714428999999996</v>
      </c>
      <c r="G505" s="44">
        <f>+_xlfn.XLOOKUP(PROYECTOS[[#This Row],[MUNICIPIO]],MUNICIPIOS!A:A,MUNICIPIOS!G:G,0,0,1)</f>
        <v>5.6646450000000002</v>
      </c>
      <c r="H505" s="44">
        <f>+_xlfn.XLOOKUP(PROYECTOS[[#This Row],[MUNICIPIO]],MUNICIPIOS!A:A,MUNICIPIOS!B:B,0,0,1)</f>
        <v>0</v>
      </c>
      <c r="I505" s="44">
        <f>+_xlfn.XLOOKUP(PROYECTOS[[#This Row],[MUNICIPIO]],MUNICIPIOS!A:A,MUNICIPIOS!C:C,0,0,1)</f>
        <v>0</v>
      </c>
      <c r="J505" s="34" t="str" cm="1">
        <f t="array" ref="J505">_xlfn.TEXTJOIN(" ", TRUE, IF(radicados[ID PROYECTOS]=A505, radicados[RADICADO], ""))</f>
        <v/>
      </c>
      <c r="K505" s="45">
        <v>2</v>
      </c>
      <c r="L505" s="48"/>
      <c r="M505" s="34" t="s">
        <v>761</v>
      </c>
      <c r="N505" s="34" t="s">
        <v>397</v>
      </c>
      <c r="O505" s="34" t="s">
        <v>56</v>
      </c>
      <c r="P505" s="37" t="s">
        <v>1506</v>
      </c>
      <c r="Q505" s="45"/>
      <c r="R505" s="166"/>
      <c r="S505" s="166"/>
      <c r="T505" s="44">
        <f>+_xlfn.XLOOKUP(PROYECTOS[[#This Row],[MUNICIPIO]],'4.CAP_ENDMNT'!B:B,'4.CAP_ENDMNT'!C:C,0,0,1)</f>
        <v>6</v>
      </c>
      <c r="U505" s="167">
        <f>+_xlfn.XLOOKUP(PROYECTOS[[#This Row],[MUNICIPIO]],'4.CAP_ENDMNT'!B:B,'4.CAP_ENDMNT'!D:D,0,0,1)</f>
        <v>13939577899.640499</v>
      </c>
      <c r="V505" s="44">
        <f>+_xlfn.XLOOKUP(PROYECTOS[[#This Row],[MUNICIPIO]],'4.CAP_ENDMNT'!B:B,'4.CAP_ENDMNT'!E:E,0,0,1)</f>
        <v>5408645166.3600006</v>
      </c>
      <c r="W505" s="44">
        <f>+_xlfn.XLOOKUP(PROYECTOS[[#This Row],[MUNICIPIO]],'4.CAP_ENDMNT'!B:B,'4.CAP_ENDMNT'!F:F,0,0,1)</f>
        <v>8530932733.2804985</v>
      </c>
      <c r="X505" s="44">
        <f>+_xlfn.XLOOKUP(PROYECTOS[[#This Row],[MUNICIPIO]],'4.CAP_ENDMNT'!B:B,'4.CAP_ENDMNT'!G:G,0,0,1)</f>
        <v>2408239973</v>
      </c>
      <c r="Y505" s="44">
        <f>+_xlfn.XLOOKUP(PROYECTOS[[#This Row],[MUNICIPIO]],'4.CAP_ENDMNT'!B:B,'4.CAP_ENDMNT'!H:H,0,0,1)</f>
        <v>812109375</v>
      </c>
      <c r="Z505" s="44">
        <f>+_xlfn.XLOOKUP(PROYECTOS[[#This Row],[MUNICIPIO]],'4.CAP_ENDMNT'!B:B,'4.CAP_ENDMNT'!I:I,0,0,1)</f>
        <v>3220349348</v>
      </c>
      <c r="AA505" s="134">
        <f>+_xlfn.XLOOKUP(PROYECTOS[[#This Row],[MUNICIPIO]],'4.CAP_ENDMNT'!B:B,'4.CAP_ENDMNT'!J:J,0,0,1)</f>
        <v>0.23102201309001277</v>
      </c>
      <c r="AB505" s="44">
        <f>+_xlfn.XLOOKUP(PROYECTOS[[#This Row],[MUNICIPIO]],'4.CAP_ENDMNT'!B:B,'4.CAP_ENDMNT'!K:K,0,0,1)</f>
        <v>10719228551.640499</v>
      </c>
      <c r="AC505" s="44">
        <f>+_xlfn.XLOOKUP(PROYECTOS[[#This Row],[MUNICIPIO]],'4.CAP_ENDMNT'!B:B,'4.CAP_ENDMNT'!L:L,0,0,1)</f>
        <v>8575382841.3123999</v>
      </c>
      <c r="AD505" s="44">
        <f>+_xlfn.XLOOKUP(PROYECTOS[[#This Row],[MUNICIPIO]],'4.CAP_ENDMNT'!B:B,'4.CAP_ENDMNT'!M:M,0,0,1)</f>
        <v>6431537130.9842997</v>
      </c>
      <c r="AE505" s="134">
        <f>+_xlfn.XLOOKUP(PROYECTOS[[#This Row],[MUNICIPIO]],'4.CAP_ENDMNT'!B:B,'4.CAP_ENDMNT'!N:N,0,0,1)</f>
        <v>0.74781947942872684</v>
      </c>
      <c r="AF505" s="134">
        <f>+_xlfn.XLOOKUP(PROYECTOS[[#This Row],[MUNICIPIO]],'4.CAP_ENDMNT'!B:B,'4.CAP_ENDMNT'!O:O,0,0,1)</f>
        <v>0.48148969869574604</v>
      </c>
      <c r="AG505" s="134">
        <f>+_xlfn.XLOOKUP(PROYECTOS[[#This Row],[MUNICIPIO]],'4.CAP_ENDMNT'!B:B,'4.CAP_ENDMNT'!P:P,0,0,1)</f>
        <v>0.8</v>
      </c>
      <c r="AH505" s="44" t="str">
        <f>+_xlfn.XLOOKUP(PROYECTOS[[#This Row],[MUNICIPIO]],'4.CAP_ENDMNT'!B:B,'4.CAP_ENDMNT'!Q:Q,0,0,1)</f>
        <v>Cumple</v>
      </c>
      <c r="AI505" s="139">
        <f>+_xlfn.XLOOKUP(PROYECTOS[[#This Row],[MUNICIPIO]],'4.CAP_ENDMNT'!B:B,'4.CAP_ENDMNT'!V:V,0,0,1)</f>
        <v>1286307426.1968601</v>
      </c>
      <c r="AJ505" s="139">
        <f>+_xlfn.XLOOKUP(PROYECTOS[[#This Row],[MUNICIPIO]],'4.CAP_ENDMNT'!B:B,'4.CAP_ENDMNT'!Y:Y,0,0,1)</f>
        <v>-10772171787.81884</v>
      </c>
    </row>
    <row r="506" spans="1:36" ht="15" customHeight="1">
      <c r="A506" s="44">
        <v>620</v>
      </c>
      <c r="B506" s="37" t="s">
        <v>1314</v>
      </c>
      <c r="C506" s="118">
        <v>45798</v>
      </c>
      <c r="D506" s="46" t="s">
        <v>884</v>
      </c>
      <c r="E506" s="47" t="str">
        <f>+_xlfn.XLOOKUP(PROYECTOS[[#This Row],[MUNICIPIO]],MUNICIPIOS!A:A,MUNICIPIOS!E:E,0,0,1)</f>
        <v>Norte</v>
      </c>
      <c r="F506" s="44">
        <f>+_xlfn.XLOOKUP(PROYECTOS[[#This Row],[MUNICIPIO]],MUNICIPIOS!A:A,MUNICIPIOS!F:F,0,0,1)</f>
        <v>-75.692280999999994</v>
      </c>
      <c r="G506" s="44">
        <f>+_xlfn.XLOOKUP(PROYECTOS[[#This Row],[MUNICIPIO]],MUNICIPIOS!A:A,MUNICIPIOS!G:G,0,0,1)</f>
        <v>7.0103280000000003</v>
      </c>
      <c r="H506" s="44">
        <f>+_xlfn.XLOOKUP(PROYECTOS[[#This Row],[MUNICIPIO]],MUNICIPIOS!A:A,MUNICIPIOS!B:B,0,0,1)</f>
        <v>0</v>
      </c>
      <c r="I506" s="44">
        <f>+_xlfn.XLOOKUP(PROYECTOS[[#This Row],[MUNICIPIO]],MUNICIPIOS!A:A,MUNICIPIOS!C:C,0,0,1)</f>
        <v>1</v>
      </c>
      <c r="J506" s="34" t="str" cm="1">
        <f t="array" ref="J506">_xlfn.TEXTJOIN(" ", TRUE, IF(radicados[ID PROYECTOS]=A506, radicados[RADICADO], ""))</f>
        <v/>
      </c>
      <c r="K506" s="45">
        <v>1</v>
      </c>
      <c r="L506" s="48"/>
      <c r="M506" s="34" t="s">
        <v>761</v>
      </c>
      <c r="N506" s="40" t="s">
        <v>398</v>
      </c>
      <c r="O506" s="40" t="s">
        <v>72</v>
      </c>
      <c r="P506" s="37" t="s">
        <v>1344</v>
      </c>
      <c r="Q506" s="45"/>
      <c r="R506" s="166"/>
      <c r="S506" s="166"/>
      <c r="T506" s="44">
        <f>+_xlfn.XLOOKUP(PROYECTOS[[#This Row],[MUNICIPIO]],'4.CAP_ENDMNT'!B:B,'4.CAP_ENDMNT'!C:C,0,0,1)</f>
        <v>6</v>
      </c>
      <c r="U506" s="167">
        <f>+_xlfn.XLOOKUP(PROYECTOS[[#This Row],[MUNICIPIO]],'4.CAP_ENDMNT'!B:B,'4.CAP_ENDMNT'!D:D,0,0,1)</f>
        <v>11658945302.2845</v>
      </c>
      <c r="V506" s="44">
        <f>+_xlfn.XLOOKUP(PROYECTOS[[#This Row],[MUNICIPIO]],'4.CAP_ENDMNT'!B:B,'4.CAP_ENDMNT'!E:E,0,0,1)</f>
        <v>3873327651.4900002</v>
      </c>
      <c r="W506" s="44">
        <f>+_xlfn.XLOOKUP(PROYECTOS[[#This Row],[MUNICIPIO]],'4.CAP_ENDMNT'!B:B,'4.CAP_ENDMNT'!F:F,0,0,1)</f>
        <v>7785617650.7945004</v>
      </c>
      <c r="X506" s="44">
        <f>+_xlfn.XLOOKUP(PROYECTOS[[#This Row],[MUNICIPIO]],'4.CAP_ENDMNT'!B:B,'4.CAP_ENDMNT'!G:G,0,0,1)</f>
        <v>358053435</v>
      </c>
      <c r="Y506" s="44">
        <f>+_xlfn.XLOOKUP(PROYECTOS[[#This Row],[MUNICIPIO]],'4.CAP_ENDMNT'!B:B,'4.CAP_ENDMNT'!H:H,0,0,1)</f>
        <v>0</v>
      </c>
      <c r="Z506" s="44">
        <f>+_xlfn.XLOOKUP(PROYECTOS[[#This Row],[MUNICIPIO]],'4.CAP_ENDMNT'!B:B,'4.CAP_ENDMNT'!I:I,0,0,1)</f>
        <v>358053435</v>
      </c>
      <c r="AA506" s="134">
        <f>+_xlfn.XLOOKUP(PROYECTOS[[#This Row],[MUNICIPIO]],'4.CAP_ENDMNT'!B:B,'4.CAP_ENDMNT'!J:J,0,0,1)</f>
        <v>3.0710619675850231E-2</v>
      </c>
      <c r="AB506" s="44">
        <f>+_xlfn.XLOOKUP(PROYECTOS[[#This Row],[MUNICIPIO]],'4.CAP_ENDMNT'!B:B,'4.CAP_ENDMNT'!K:K,0,0,1)</f>
        <v>11300891867.2845</v>
      </c>
      <c r="AC506" s="44">
        <f>+_xlfn.XLOOKUP(PROYECTOS[[#This Row],[MUNICIPIO]],'4.CAP_ENDMNT'!B:B,'4.CAP_ENDMNT'!L:L,0,0,1)</f>
        <v>9040713493.8276005</v>
      </c>
      <c r="AD506" s="44">
        <f>+_xlfn.XLOOKUP(PROYECTOS[[#This Row],[MUNICIPIO]],'4.CAP_ENDMNT'!B:B,'4.CAP_ENDMNT'!M:M,0,0,1)</f>
        <v>6780535120.3706999</v>
      </c>
      <c r="AE506" s="134">
        <f>+_xlfn.XLOOKUP(PROYECTOS[[#This Row],[MUNICIPIO]],'4.CAP_ENDMNT'!B:B,'4.CAP_ENDMNT'!N:N,0,0,1)</f>
        <v>1</v>
      </c>
      <c r="AF506" s="134">
        <f>+_xlfn.XLOOKUP(PROYECTOS[[#This Row],[MUNICIPIO]],'4.CAP_ENDMNT'!B:B,'4.CAP_ENDMNT'!O:O,0,0,1)</f>
        <v>0.73337464913949513</v>
      </c>
      <c r="AG506" s="134">
        <f>+_xlfn.XLOOKUP(PROYECTOS[[#This Row],[MUNICIPIO]],'4.CAP_ENDMNT'!B:B,'4.CAP_ENDMNT'!P:P,0,0,1)</f>
        <v>0.8</v>
      </c>
      <c r="AH506" s="44" t="str">
        <f>+_xlfn.XLOOKUP(PROYECTOS[[#This Row],[MUNICIPIO]],'4.CAP_ENDMNT'!B:B,'4.CAP_ENDMNT'!Q:Q,0,0,1)</f>
        <v>Cumple</v>
      </c>
      <c r="AI506" s="139">
        <f>+_xlfn.XLOOKUP(PROYECTOS[[#This Row],[MUNICIPIO]],'4.CAP_ENDMNT'!B:B,'4.CAP_ENDMNT'!V:V,0,0,1)</f>
        <v>1356107024.0741401</v>
      </c>
      <c r="AJ506" s="139">
        <f>+_xlfn.XLOOKUP(PROYECTOS[[#This Row],[MUNICIPIO]],'4.CAP_ENDMNT'!B:B,'4.CAP_ENDMNT'!Y:Y,0,0,1)</f>
        <v>177652909.44483948</v>
      </c>
    </row>
    <row r="507" spans="1:36" ht="15" customHeight="1">
      <c r="A507" s="44">
        <v>621</v>
      </c>
      <c r="B507" s="37" t="s">
        <v>1315</v>
      </c>
      <c r="C507" s="118">
        <v>45798</v>
      </c>
      <c r="D507" s="46" t="s">
        <v>884</v>
      </c>
      <c r="E507" s="47" t="str">
        <f>+_xlfn.XLOOKUP(PROYECTOS[[#This Row],[MUNICIPIO]],MUNICIPIOS!A:A,MUNICIPIOS!E:E,0,0,1)</f>
        <v>Norte</v>
      </c>
      <c r="F507" s="44">
        <f>+_xlfn.XLOOKUP(PROYECTOS[[#This Row],[MUNICIPIO]],MUNICIPIOS!A:A,MUNICIPIOS!F:F,0,0,1)</f>
        <v>-75.692280999999994</v>
      </c>
      <c r="G507" s="44">
        <f>+_xlfn.XLOOKUP(PROYECTOS[[#This Row],[MUNICIPIO]],MUNICIPIOS!A:A,MUNICIPIOS!G:G,0,0,1)</f>
        <v>7.0103280000000003</v>
      </c>
      <c r="H507" s="44">
        <f>+_xlfn.XLOOKUP(PROYECTOS[[#This Row],[MUNICIPIO]],MUNICIPIOS!A:A,MUNICIPIOS!B:B,0,0,1)</f>
        <v>0</v>
      </c>
      <c r="I507" s="44">
        <f>+_xlfn.XLOOKUP(PROYECTOS[[#This Row],[MUNICIPIO]],MUNICIPIOS!A:A,MUNICIPIOS!C:C,0,0,1)</f>
        <v>1</v>
      </c>
      <c r="J507" s="34" t="str" cm="1">
        <f t="array" ref="J507">_xlfn.TEXTJOIN(" ", TRUE, IF(radicados[ID PROYECTOS]=A507, radicados[RADICADO], ""))</f>
        <v/>
      </c>
      <c r="K507" s="45">
        <v>1</v>
      </c>
      <c r="L507" s="48"/>
      <c r="M507" s="34" t="s">
        <v>761</v>
      </c>
      <c r="N507" s="40" t="s">
        <v>398</v>
      </c>
      <c r="O507" s="40" t="s">
        <v>72</v>
      </c>
      <c r="P507" s="37" t="s">
        <v>1344</v>
      </c>
      <c r="Q507" s="45"/>
      <c r="R507" s="166"/>
      <c r="S507" s="166"/>
      <c r="T507" s="44">
        <f>+_xlfn.XLOOKUP(PROYECTOS[[#This Row],[MUNICIPIO]],'4.CAP_ENDMNT'!B:B,'4.CAP_ENDMNT'!C:C,0,0,1)</f>
        <v>6</v>
      </c>
      <c r="U507" s="167">
        <f>+_xlfn.XLOOKUP(PROYECTOS[[#This Row],[MUNICIPIO]],'4.CAP_ENDMNT'!B:B,'4.CAP_ENDMNT'!D:D,0,0,1)</f>
        <v>11658945302.2845</v>
      </c>
      <c r="V507" s="44">
        <f>+_xlfn.XLOOKUP(PROYECTOS[[#This Row],[MUNICIPIO]],'4.CAP_ENDMNT'!B:B,'4.CAP_ENDMNT'!E:E,0,0,1)</f>
        <v>3873327651.4900002</v>
      </c>
      <c r="W507" s="44">
        <f>+_xlfn.XLOOKUP(PROYECTOS[[#This Row],[MUNICIPIO]],'4.CAP_ENDMNT'!B:B,'4.CAP_ENDMNT'!F:F,0,0,1)</f>
        <v>7785617650.7945004</v>
      </c>
      <c r="X507" s="44">
        <f>+_xlfn.XLOOKUP(PROYECTOS[[#This Row],[MUNICIPIO]],'4.CAP_ENDMNT'!B:B,'4.CAP_ENDMNT'!G:G,0,0,1)</f>
        <v>358053435</v>
      </c>
      <c r="Y507" s="44">
        <f>+_xlfn.XLOOKUP(PROYECTOS[[#This Row],[MUNICIPIO]],'4.CAP_ENDMNT'!B:B,'4.CAP_ENDMNT'!H:H,0,0,1)</f>
        <v>0</v>
      </c>
      <c r="Z507" s="44">
        <f>+_xlfn.XLOOKUP(PROYECTOS[[#This Row],[MUNICIPIO]],'4.CAP_ENDMNT'!B:B,'4.CAP_ENDMNT'!I:I,0,0,1)</f>
        <v>358053435</v>
      </c>
      <c r="AA507" s="134">
        <f>+_xlfn.XLOOKUP(PROYECTOS[[#This Row],[MUNICIPIO]],'4.CAP_ENDMNT'!B:B,'4.CAP_ENDMNT'!J:J,0,0,1)</f>
        <v>3.0710619675850231E-2</v>
      </c>
      <c r="AB507" s="44">
        <f>+_xlfn.XLOOKUP(PROYECTOS[[#This Row],[MUNICIPIO]],'4.CAP_ENDMNT'!B:B,'4.CAP_ENDMNT'!K:K,0,0,1)</f>
        <v>11300891867.2845</v>
      </c>
      <c r="AC507" s="44">
        <f>+_xlfn.XLOOKUP(PROYECTOS[[#This Row],[MUNICIPIO]],'4.CAP_ENDMNT'!B:B,'4.CAP_ENDMNT'!L:L,0,0,1)</f>
        <v>9040713493.8276005</v>
      </c>
      <c r="AD507" s="44">
        <f>+_xlfn.XLOOKUP(PROYECTOS[[#This Row],[MUNICIPIO]],'4.CAP_ENDMNT'!B:B,'4.CAP_ENDMNT'!M:M,0,0,1)</f>
        <v>6780535120.3706999</v>
      </c>
      <c r="AE507" s="134">
        <f>+_xlfn.XLOOKUP(PROYECTOS[[#This Row],[MUNICIPIO]],'4.CAP_ENDMNT'!B:B,'4.CAP_ENDMNT'!N:N,0,0,1)</f>
        <v>1</v>
      </c>
      <c r="AF507" s="134">
        <f>+_xlfn.XLOOKUP(PROYECTOS[[#This Row],[MUNICIPIO]],'4.CAP_ENDMNT'!B:B,'4.CAP_ENDMNT'!O:O,0,0,1)</f>
        <v>0.73337464913949513</v>
      </c>
      <c r="AG507" s="134">
        <f>+_xlfn.XLOOKUP(PROYECTOS[[#This Row],[MUNICIPIO]],'4.CAP_ENDMNT'!B:B,'4.CAP_ENDMNT'!P:P,0,0,1)</f>
        <v>0.8</v>
      </c>
      <c r="AH507" s="44" t="str">
        <f>+_xlfn.XLOOKUP(PROYECTOS[[#This Row],[MUNICIPIO]],'4.CAP_ENDMNT'!B:B,'4.CAP_ENDMNT'!Q:Q,0,0,1)</f>
        <v>Cumple</v>
      </c>
      <c r="AI507" s="139">
        <f>+_xlfn.XLOOKUP(PROYECTOS[[#This Row],[MUNICIPIO]],'4.CAP_ENDMNT'!B:B,'4.CAP_ENDMNT'!V:V,0,0,1)</f>
        <v>1356107024.0741401</v>
      </c>
      <c r="AJ507" s="139">
        <f>+_xlfn.XLOOKUP(PROYECTOS[[#This Row],[MUNICIPIO]],'4.CAP_ENDMNT'!B:B,'4.CAP_ENDMNT'!Y:Y,0,0,1)</f>
        <v>177652909.44483948</v>
      </c>
    </row>
    <row r="508" spans="1:36" ht="15" customHeight="1">
      <c r="A508" s="44">
        <v>622</v>
      </c>
      <c r="B508" s="192" t="s">
        <v>1507</v>
      </c>
      <c r="C508" s="118">
        <v>45798</v>
      </c>
      <c r="D508" s="46" t="s">
        <v>74</v>
      </c>
      <c r="E508" s="47" t="str">
        <f>+_xlfn.XLOOKUP(PROYECTOS[[#This Row],[MUNICIPIO]],MUNICIPIOS!A:A,MUNICIPIOS!E:E,0,0,1)</f>
        <v>Urabá</v>
      </c>
      <c r="F508" s="44">
        <f>+_xlfn.XLOOKUP(PROYECTOS[[#This Row],[MUNICIPIO]],MUNICIPIOS!A:A,MUNICIPIOS!F:F,0,0,1)</f>
        <v>-76.728858000000002</v>
      </c>
      <c r="G508" s="44">
        <f>+_xlfn.XLOOKUP(PROYECTOS[[#This Row],[MUNICIPIO]],MUNICIPIOS!A:A,MUNICIPIOS!G:G,0,0,1)</f>
        <v>8.0899289999999997</v>
      </c>
      <c r="H508" s="44">
        <f>+_xlfn.XLOOKUP(PROYECTOS[[#This Row],[MUNICIPIO]],MUNICIPIOS!A:A,MUNICIPIOS!B:B,0,0,1)</f>
        <v>1</v>
      </c>
      <c r="I508" s="44">
        <f>+_xlfn.XLOOKUP(PROYECTOS[[#This Row],[MUNICIPIO]],MUNICIPIOS!A:A,MUNICIPIOS!C:C,0,0,1)</f>
        <v>1</v>
      </c>
      <c r="J508" s="34" t="str" cm="1">
        <f t="array" ref="J508">_xlfn.TEXTJOIN(" ", TRUE, IF(radicados[ID PROYECTOS]=A508, radicados[RADICADO], ""))</f>
        <v/>
      </c>
      <c r="K508" s="45">
        <v>1</v>
      </c>
      <c r="L508" s="48"/>
      <c r="M508" s="34" t="s">
        <v>435</v>
      </c>
      <c r="N508" s="40" t="s">
        <v>398</v>
      </c>
      <c r="O508" s="40" t="s">
        <v>25</v>
      </c>
      <c r="P508" s="213" t="s">
        <v>1685</v>
      </c>
      <c r="Q508" s="45"/>
      <c r="R508" s="166"/>
      <c r="S508" s="166"/>
      <c r="T508" s="44">
        <f>+_xlfn.XLOOKUP(PROYECTOS[[#This Row],[MUNICIPIO]],'4.CAP_ENDMNT'!B:B,'4.CAP_ENDMNT'!C:C,0,0,1)</f>
        <v>5</v>
      </c>
      <c r="U508" s="167">
        <f>+_xlfn.XLOOKUP(PROYECTOS[[#This Row],[MUNICIPIO]],'4.CAP_ENDMNT'!B:B,'4.CAP_ENDMNT'!D:D,0,0,1)</f>
        <v>57277943756.629501</v>
      </c>
      <c r="V508" s="44">
        <f>+_xlfn.XLOOKUP(PROYECTOS[[#This Row],[MUNICIPIO]],'4.CAP_ENDMNT'!B:B,'4.CAP_ENDMNT'!E:E,0,0,1)</f>
        <v>34159399600.959999</v>
      </c>
      <c r="W508" s="44">
        <f>+_xlfn.XLOOKUP(PROYECTOS[[#This Row],[MUNICIPIO]],'4.CAP_ENDMNT'!B:B,'4.CAP_ENDMNT'!F:F,0,0,1)</f>
        <v>23118544155.669502</v>
      </c>
      <c r="X508" s="44">
        <f>+_xlfn.XLOOKUP(PROYECTOS[[#This Row],[MUNICIPIO]],'4.CAP_ENDMNT'!B:B,'4.CAP_ENDMNT'!G:G,0,0,1)</f>
        <v>3450000000</v>
      </c>
      <c r="Y508" s="44">
        <f>+_xlfn.XLOOKUP(PROYECTOS[[#This Row],[MUNICIPIO]],'4.CAP_ENDMNT'!B:B,'4.CAP_ENDMNT'!H:H,0,0,1)</f>
        <v>21452083665</v>
      </c>
      <c r="Z508" s="44">
        <f>+_xlfn.XLOOKUP(PROYECTOS[[#This Row],[MUNICIPIO]],'4.CAP_ENDMNT'!B:B,'4.CAP_ENDMNT'!I:I,0,0,1)</f>
        <v>24902083665</v>
      </c>
      <c r="AA508" s="134">
        <f>+_xlfn.XLOOKUP(PROYECTOS[[#This Row],[MUNICIPIO]],'4.CAP_ENDMNT'!B:B,'4.CAP_ENDMNT'!J:J,0,0,1)</f>
        <v>0.43475868775610099</v>
      </c>
      <c r="AB508" s="44">
        <f>+_xlfn.XLOOKUP(PROYECTOS[[#This Row],[MUNICIPIO]],'4.CAP_ENDMNT'!B:B,'4.CAP_ENDMNT'!K:K,0,0,1)</f>
        <v>32375860091.629501</v>
      </c>
      <c r="AC508" s="44">
        <f>+_xlfn.XLOOKUP(PROYECTOS[[#This Row],[MUNICIPIO]],'4.CAP_ENDMNT'!B:B,'4.CAP_ENDMNT'!L:L,0,0,1)</f>
        <v>25900688073.303604</v>
      </c>
      <c r="AD508" s="44">
        <f>+_xlfn.XLOOKUP(PROYECTOS[[#This Row],[MUNICIPIO]],'4.CAP_ENDMNT'!B:B,'4.CAP_ENDMNT'!M:M,0,0,1)</f>
        <v>19425516054.977699</v>
      </c>
      <c r="AE508" s="134">
        <f>+_xlfn.XLOOKUP(PROYECTOS[[#This Row],[MUNICIPIO]],'4.CAP_ENDMNT'!B:B,'4.CAP_ENDMNT'!N:N,0,0,1)</f>
        <v>0.13854262343712995</v>
      </c>
      <c r="AF508" s="134">
        <f>+_xlfn.XLOOKUP(PROYECTOS[[#This Row],[MUNICIPIO]],'4.CAP_ENDMNT'!B:B,'4.CAP_ENDMNT'!O:O,0,0,1)</f>
        <v>0.87015152665365447</v>
      </c>
      <c r="AG508" s="134">
        <f>+_xlfn.XLOOKUP(PROYECTOS[[#This Row],[MUNICIPIO]],'4.CAP_ENDMNT'!B:B,'4.CAP_ENDMNT'!P:P,0,0,1)</f>
        <v>0.8</v>
      </c>
      <c r="AH508" s="44" t="str">
        <f>+_xlfn.XLOOKUP(PROYECTOS[[#This Row],[MUNICIPIO]],'4.CAP_ENDMNT'!B:B,'4.CAP_ENDMNT'!Q:Q,0,0,1)</f>
        <v>Incumple</v>
      </c>
      <c r="AI508" s="139">
        <f>+_xlfn.XLOOKUP(PROYECTOS[[#This Row],[MUNICIPIO]],'4.CAP_ENDMNT'!B:B,'4.CAP_ENDMNT'!V:V,0,0,1)</f>
        <v>3885103210.9955401</v>
      </c>
      <c r="AJ508" s="139">
        <f>+_xlfn.XLOOKUP(PROYECTOS[[#This Row],[MUNICIPIO]],'4.CAP_ENDMNT'!B:B,'4.CAP_ENDMNT'!Y:Y,0,0,1)</f>
        <v>-114052861009.72676</v>
      </c>
    </row>
    <row r="509" spans="1:36" ht="15" customHeight="1">
      <c r="A509" s="44">
        <v>623</v>
      </c>
      <c r="B509" s="37" t="s">
        <v>1316</v>
      </c>
      <c r="C509" s="118">
        <v>45798</v>
      </c>
      <c r="D509" s="46" t="s">
        <v>209</v>
      </c>
      <c r="E509" s="47" t="str">
        <f>+_xlfn.XLOOKUP(PROYECTOS[[#This Row],[MUNICIPIO]],MUNICIPIOS!A:A,MUNICIPIOS!E:E,0,0,1)</f>
        <v>Norte</v>
      </c>
      <c r="F509" s="44">
        <f>+_xlfn.XLOOKUP(PROYECTOS[[#This Row],[MUNICIPIO]],MUNICIPIOS!A:A,MUNICIPIOS!F:F,0,0,1)</f>
        <v>-75.439273999999997</v>
      </c>
      <c r="G509" s="44">
        <f>+_xlfn.XLOOKUP(PROYECTOS[[#This Row],[MUNICIPIO]],MUNICIPIOS!A:A,MUNICIPIOS!G:G,0,0,1)</f>
        <v>7.1651999999999996</v>
      </c>
      <c r="H509" s="44">
        <f>+_xlfn.XLOOKUP(PROYECTOS[[#This Row],[MUNICIPIO]],MUNICIPIOS!A:A,MUNICIPIOS!B:B,0,0,1)</f>
        <v>1</v>
      </c>
      <c r="I509" s="44">
        <f>+_xlfn.XLOOKUP(PROYECTOS[[#This Row],[MUNICIPIO]],MUNICIPIOS!A:A,MUNICIPIOS!C:C,0,0,1)</f>
        <v>1</v>
      </c>
      <c r="J509" s="34" t="str" cm="1">
        <f t="array" ref="J509">_xlfn.TEXTJOIN(" ", TRUE, IF(radicados[ID PROYECTOS]=A509, radicados[RADICADO], ""))</f>
        <v>2025010330363 2025010345528 2025010246689</v>
      </c>
      <c r="K509" s="45">
        <v>2</v>
      </c>
      <c r="L509" s="212">
        <f>+_xlfn.XLOOKUP(PROYECTOS[[#This Row],[ID_NECESIDAD]],'1.RADICADOS'!G:G,'1.RADICADOS'!J:J,0,0,1)</f>
        <v>417004011</v>
      </c>
      <c r="M509" s="34" t="s">
        <v>435</v>
      </c>
      <c r="N509" s="40" t="s">
        <v>398</v>
      </c>
      <c r="O509" s="40" t="s">
        <v>25</v>
      </c>
      <c r="P509" s="37" t="s">
        <v>1600</v>
      </c>
      <c r="Q509" s="45"/>
      <c r="R509" s="166"/>
      <c r="S509" s="166"/>
      <c r="T509" s="44">
        <f>+_xlfn.XLOOKUP(PROYECTOS[[#This Row],[MUNICIPIO]],'4.CAP_ENDMNT'!B:B,'4.CAP_ENDMNT'!C:C,0,0,1)</f>
        <v>6</v>
      </c>
      <c r="U509" s="167">
        <f>+_xlfn.XLOOKUP(PROYECTOS[[#This Row],[MUNICIPIO]],'4.CAP_ENDMNT'!B:B,'4.CAP_ENDMNT'!D:D,0,0,1)</f>
        <v>13037566833.207003</v>
      </c>
      <c r="V509" s="44">
        <f>+_xlfn.XLOOKUP(PROYECTOS[[#This Row],[MUNICIPIO]],'4.CAP_ENDMNT'!B:B,'4.CAP_ENDMNT'!E:E,0,0,1)</f>
        <v>3869989518.3099999</v>
      </c>
      <c r="W509" s="44">
        <f>+_xlfn.XLOOKUP(PROYECTOS[[#This Row],[MUNICIPIO]],'4.CAP_ENDMNT'!B:B,'4.CAP_ENDMNT'!F:F,0,0,1)</f>
        <v>9167577314.8970032</v>
      </c>
      <c r="X509" s="44">
        <f>+_xlfn.XLOOKUP(PROYECTOS[[#This Row],[MUNICIPIO]],'4.CAP_ENDMNT'!B:B,'4.CAP_ENDMNT'!G:G,0,0,1)</f>
        <v>3761583922</v>
      </c>
      <c r="Y509" s="44">
        <f>+_xlfn.XLOOKUP(PROYECTOS[[#This Row],[MUNICIPIO]],'4.CAP_ENDMNT'!B:B,'4.CAP_ENDMNT'!H:H,0,0,1)</f>
        <v>0</v>
      </c>
      <c r="Z509" s="44">
        <f>+_xlfn.XLOOKUP(PROYECTOS[[#This Row],[MUNICIPIO]],'4.CAP_ENDMNT'!B:B,'4.CAP_ENDMNT'!I:I,0,0,1)</f>
        <v>3761583922</v>
      </c>
      <c r="AA509" s="134">
        <f>+_xlfn.XLOOKUP(PROYECTOS[[#This Row],[MUNICIPIO]],'4.CAP_ENDMNT'!B:B,'4.CAP_ENDMNT'!J:J,0,0,1)</f>
        <v>0.28851886016178674</v>
      </c>
      <c r="AB509" s="44">
        <f>+_xlfn.XLOOKUP(PROYECTOS[[#This Row],[MUNICIPIO]],'4.CAP_ENDMNT'!B:B,'4.CAP_ENDMNT'!K:K,0,0,1)</f>
        <v>9275982911.2070026</v>
      </c>
      <c r="AC509" s="44">
        <f>+_xlfn.XLOOKUP(PROYECTOS[[#This Row],[MUNICIPIO]],'4.CAP_ENDMNT'!B:B,'4.CAP_ENDMNT'!L:L,0,0,1)</f>
        <v>7420786328.9656029</v>
      </c>
      <c r="AD509" s="44">
        <f>+_xlfn.XLOOKUP(PROYECTOS[[#This Row],[MUNICIPIO]],'4.CAP_ENDMNT'!B:B,'4.CAP_ENDMNT'!M:M,0,0,1)</f>
        <v>5565589746.7242012</v>
      </c>
      <c r="AE509" s="134">
        <f>+_xlfn.XLOOKUP(PROYECTOS[[#This Row],[MUNICIPIO]],'4.CAP_ENDMNT'!B:B,'4.CAP_ENDMNT'!N:N,0,0,1)</f>
        <v>1</v>
      </c>
      <c r="AF509" s="134">
        <f>+_xlfn.XLOOKUP(PROYECTOS[[#This Row],[MUNICIPIO]],'4.CAP_ENDMNT'!B:B,'4.CAP_ENDMNT'!O:O,0,0,1)</f>
        <v>0.55776534569064784</v>
      </c>
      <c r="AG509" s="134">
        <f>+_xlfn.XLOOKUP(PROYECTOS[[#This Row],[MUNICIPIO]],'4.CAP_ENDMNT'!B:B,'4.CAP_ENDMNT'!P:P,0,0,1)</f>
        <v>0.8</v>
      </c>
      <c r="AH509" s="44" t="str">
        <f>+_xlfn.XLOOKUP(PROYECTOS[[#This Row],[MUNICIPIO]],'4.CAP_ENDMNT'!B:B,'4.CAP_ENDMNT'!Q:Q,0,0,1)</f>
        <v>Cumple</v>
      </c>
      <c r="AI509" s="139">
        <f>+_xlfn.XLOOKUP(PROYECTOS[[#This Row],[MUNICIPIO]],'4.CAP_ENDMNT'!B:B,'4.CAP_ENDMNT'!V:V,0,0,1)</f>
        <v>1113117949.3448403</v>
      </c>
      <c r="AJ509" s="139">
        <f>+_xlfn.XLOOKUP(PROYECTOS[[#This Row],[MUNICIPIO]],'4.CAP_ENDMNT'!B:B,'4.CAP_ENDMNT'!Y:Y,0,0,1)</f>
        <v>-623173287.21095943</v>
      </c>
    </row>
    <row r="510" spans="1:36" ht="15" customHeight="1">
      <c r="A510" s="44">
        <v>624</v>
      </c>
      <c r="B510" s="37" t="s">
        <v>1317</v>
      </c>
      <c r="C510" s="118">
        <v>45798</v>
      </c>
      <c r="D510" s="46" t="s">
        <v>90</v>
      </c>
      <c r="E510" s="47" t="str">
        <f>+_xlfn.XLOOKUP(PROYECTOS[[#This Row],[MUNICIPIO]],MUNICIPIOS!A:A,MUNICIPIOS!E:E,0,0,1)</f>
        <v>Suroeste</v>
      </c>
      <c r="F510" s="44">
        <f>+_xlfn.XLOOKUP(PROYECTOS[[#This Row],[MUNICIPIO]],MUNICIPIOS!A:A,MUNICIPIOS!F:F,0,0,1)</f>
        <v>-75.624452000000005</v>
      </c>
      <c r="G510" s="44">
        <f>+_xlfn.XLOOKUP(PROYECTOS[[#This Row],[MUNICIPIO]],MUNICIPIOS!A:A,MUNICIPIOS!G:G,0,0,1)</f>
        <v>5.6145550000000002</v>
      </c>
      <c r="H510" s="44">
        <f>+_xlfn.XLOOKUP(PROYECTOS[[#This Row],[MUNICIPIO]],MUNICIPIOS!A:A,MUNICIPIOS!B:B,0,0,1)</f>
        <v>0</v>
      </c>
      <c r="I510" s="44">
        <f>+_xlfn.XLOOKUP(PROYECTOS[[#This Row],[MUNICIPIO]],MUNICIPIOS!A:A,MUNICIPIOS!C:C,0,0,1)</f>
        <v>0</v>
      </c>
      <c r="J510" s="34" t="str" cm="1">
        <f t="array" ref="J510">_xlfn.TEXTJOIN(" ", TRUE, IF(radicados[ID PROYECTOS]=A510, radicados[RADICADO], ""))</f>
        <v/>
      </c>
      <c r="K510" s="45">
        <v>1</v>
      </c>
      <c r="L510" s="48">
        <v>2673683589</v>
      </c>
      <c r="M510" s="34" t="s">
        <v>761</v>
      </c>
      <c r="N510" s="40" t="s">
        <v>397</v>
      </c>
      <c r="O510" s="40" t="s">
        <v>56</v>
      </c>
      <c r="P510" s="37"/>
      <c r="Q510" s="45"/>
      <c r="R510" s="166"/>
      <c r="S510" s="166"/>
      <c r="T510" s="44">
        <f>+_xlfn.XLOOKUP(PROYECTOS[[#This Row],[MUNICIPIO]],'4.CAP_ENDMNT'!B:B,'4.CAP_ENDMNT'!C:C,0,0,1)</f>
        <v>6</v>
      </c>
      <c r="U510" s="167">
        <f>+_xlfn.XLOOKUP(PROYECTOS[[#This Row],[MUNICIPIO]],'4.CAP_ENDMNT'!B:B,'4.CAP_ENDMNT'!D:D,0,0,1)</f>
        <v>6485715716.868001</v>
      </c>
      <c r="V510" s="44">
        <f>+_xlfn.XLOOKUP(PROYECTOS[[#This Row],[MUNICIPIO]],'4.CAP_ENDMNT'!B:B,'4.CAP_ENDMNT'!E:E,0,0,1)</f>
        <v>3717110032.7600002</v>
      </c>
      <c r="W510" s="44">
        <f>+_xlfn.XLOOKUP(PROYECTOS[[#This Row],[MUNICIPIO]],'4.CAP_ENDMNT'!B:B,'4.CAP_ENDMNT'!F:F,0,0,1)</f>
        <v>2768605684.1080008</v>
      </c>
      <c r="X510" s="44">
        <f>+_xlfn.XLOOKUP(PROYECTOS[[#This Row],[MUNICIPIO]],'4.CAP_ENDMNT'!B:B,'4.CAP_ENDMNT'!G:G,0,0,1)</f>
        <v>598561755.20000005</v>
      </c>
      <c r="Y510" s="44">
        <f>+_xlfn.XLOOKUP(PROYECTOS[[#This Row],[MUNICIPIO]],'4.CAP_ENDMNT'!B:B,'4.CAP_ENDMNT'!H:H,0,0,1)</f>
        <v>823222224</v>
      </c>
      <c r="Z510" s="44">
        <f>+_xlfn.XLOOKUP(PROYECTOS[[#This Row],[MUNICIPIO]],'4.CAP_ENDMNT'!B:B,'4.CAP_ENDMNT'!I:I,0,0,1)</f>
        <v>1421783979.2</v>
      </c>
      <c r="AA510" s="134">
        <f>+_xlfn.XLOOKUP(PROYECTOS[[#This Row],[MUNICIPIO]],'4.CAP_ENDMNT'!B:B,'4.CAP_ENDMNT'!J:J,0,0,1)</f>
        <v>0.21921774577665112</v>
      </c>
      <c r="AB510" s="44">
        <f>+_xlfn.XLOOKUP(PROYECTOS[[#This Row],[MUNICIPIO]],'4.CAP_ENDMNT'!B:B,'4.CAP_ENDMNT'!K:K,0,0,1)</f>
        <v>5063931737.6680012</v>
      </c>
      <c r="AC510" s="44">
        <f>+_xlfn.XLOOKUP(PROYECTOS[[#This Row],[MUNICIPIO]],'4.CAP_ENDMNT'!B:B,'4.CAP_ENDMNT'!L:L,0,0,1)</f>
        <v>4051145390.1344013</v>
      </c>
      <c r="AD510" s="44">
        <f>+_xlfn.XLOOKUP(PROYECTOS[[#This Row],[MUNICIPIO]],'4.CAP_ENDMNT'!B:B,'4.CAP_ENDMNT'!M:M,0,0,1)</f>
        <v>3038359042.6008005</v>
      </c>
      <c r="AE510" s="134">
        <f>+_xlfn.XLOOKUP(PROYECTOS[[#This Row],[MUNICIPIO]],'4.CAP_ENDMNT'!B:B,'4.CAP_ENDMNT'!N:N,0,0,1)</f>
        <v>0.42099345889155032</v>
      </c>
      <c r="AF510" s="134">
        <f>+_xlfn.XLOOKUP(PROYECTOS[[#This Row],[MUNICIPIO]],'4.CAP_ENDMNT'!B:B,'4.CAP_ENDMNT'!O:O,0,0,1)</f>
        <v>0.68598337343648785</v>
      </c>
      <c r="AG510" s="134">
        <f>+_xlfn.XLOOKUP(PROYECTOS[[#This Row],[MUNICIPIO]],'4.CAP_ENDMNT'!B:B,'4.CAP_ENDMNT'!P:P,0,0,1)</f>
        <v>0.8</v>
      </c>
      <c r="AH510" s="44" t="str">
        <f>+_xlfn.XLOOKUP(PROYECTOS[[#This Row],[MUNICIPIO]],'4.CAP_ENDMNT'!B:B,'4.CAP_ENDMNT'!Q:Q,0,0,1)</f>
        <v>Cumple</v>
      </c>
      <c r="AI510" s="139">
        <f>+_xlfn.XLOOKUP(PROYECTOS[[#This Row],[MUNICIPIO]],'4.CAP_ENDMNT'!B:B,'4.CAP_ENDMNT'!V:V,0,0,1)</f>
        <v>607671808.52016008</v>
      </c>
      <c r="AJ510" s="139">
        <f>+_xlfn.XLOOKUP(PROYECTOS[[#This Row],[MUNICIPIO]],'4.CAP_ENDMNT'!B:B,'4.CAP_ENDMNT'!Y:Y,0,0,1)</f>
        <v>-1701336321.8790393</v>
      </c>
    </row>
    <row r="511" spans="1:36" ht="15" customHeight="1">
      <c r="A511" s="44">
        <v>625</v>
      </c>
      <c r="B511" s="37" t="s">
        <v>1318</v>
      </c>
      <c r="C511" s="118">
        <v>45798</v>
      </c>
      <c r="D511" s="46" t="s">
        <v>90</v>
      </c>
      <c r="E511" s="47" t="str">
        <f>+_xlfn.XLOOKUP(PROYECTOS[[#This Row],[MUNICIPIO]],MUNICIPIOS!A:A,MUNICIPIOS!E:E,0,0,1)</f>
        <v>Suroeste</v>
      </c>
      <c r="F511" s="44">
        <f>+_xlfn.XLOOKUP(PROYECTOS[[#This Row],[MUNICIPIO]],MUNICIPIOS!A:A,MUNICIPIOS!F:F,0,0,1)</f>
        <v>-75.624452000000005</v>
      </c>
      <c r="G511" s="44">
        <f>+_xlfn.XLOOKUP(PROYECTOS[[#This Row],[MUNICIPIO]],MUNICIPIOS!A:A,MUNICIPIOS!G:G,0,0,1)</f>
        <v>5.6145550000000002</v>
      </c>
      <c r="H511" s="44">
        <f>+_xlfn.XLOOKUP(PROYECTOS[[#This Row],[MUNICIPIO]],MUNICIPIOS!A:A,MUNICIPIOS!B:B,0,0,1)</f>
        <v>0</v>
      </c>
      <c r="I511" s="44">
        <f>+_xlfn.XLOOKUP(PROYECTOS[[#This Row],[MUNICIPIO]],MUNICIPIOS!A:A,MUNICIPIOS!C:C,0,0,1)</f>
        <v>0</v>
      </c>
      <c r="J511" s="34" t="str" cm="1">
        <f t="array" ref="J511">_xlfn.TEXTJOIN(" ", TRUE, IF(radicados[ID PROYECTOS]=A511, radicados[RADICADO], ""))</f>
        <v/>
      </c>
      <c r="K511" s="45">
        <v>1</v>
      </c>
      <c r="L511" s="48"/>
      <c r="M511" s="34" t="s">
        <v>761</v>
      </c>
      <c r="N511" s="40" t="s">
        <v>397</v>
      </c>
      <c r="O511" s="40" t="s">
        <v>56</v>
      </c>
      <c r="P511" s="37" t="s">
        <v>1343</v>
      </c>
      <c r="Q511" s="45"/>
      <c r="R511" s="166"/>
      <c r="S511" s="166"/>
      <c r="T511" s="44">
        <f>+_xlfn.XLOOKUP(PROYECTOS[[#This Row],[MUNICIPIO]],'4.CAP_ENDMNT'!B:B,'4.CAP_ENDMNT'!C:C,0,0,1)</f>
        <v>6</v>
      </c>
      <c r="U511" s="167">
        <f>+_xlfn.XLOOKUP(PROYECTOS[[#This Row],[MUNICIPIO]],'4.CAP_ENDMNT'!B:B,'4.CAP_ENDMNT'!D:D,0,0,1)</f>
        <v>6485715716.868001</v>
      </c>
      <c r="V511" s="44">
        <f>+_xlfn.XLOOKUP(PROYECTOS[[#This Row],[MUNICIPIO]],'4.CAP_ENDMNT'!B:B,'4.CAP_ENDMNT'!E:E,0,0,1)</f>
        <v>3717110032.7600002</v>
      </c>
      <c r="W511" s="44">
        <f>+_xlfn.XLOOKUP(PROYECTOS[[#This Row],[MUNICIPIO]],'4.CAP_ENDMNT'!B:B,'4.CAP_ENDMNT'!F:F,0,0,1)</f>
        <v>2768605684.1080008</v>
      </c>
      <c r="X511" s="44">
        <f>+_xlfn.XLOOKUP(PROYECTOS[[#This Row],[MUNICIPIO]],'4.CAP_ENDMNT'!B:B,'4.CAP_ENDMNT'!G:G,0,0,1)</f>
        <v>598561755.20000005</v>
      </c>
      <c r="Y511" s="44">
        <f>+_xlfn.XLOOKUP(PROYECTOS[[#This Row],[MUNICIPIO]],'4.CAP_ENDMNT'!B:B,'4.CAP_ENDMNT'!H:H,0,0,1)</f>
        <v>823222224</v>
      </c>
      <c r="Z511" s="44">
        <f>+_xlfn.XLOOKUP(PROYECTOS[[#This Row],[MUNICIPIO]],'4.CAP_ENDMNT'!B:B,'4.CAP_ENDMNT'!I:I,0,0,1)</f>
        <v>1421783979.2</v>
      </c>
      <c r="AA511" s="134">
        <f>+_xlfn.XLOOKUP(PROYECTOS[[#This Row],[MUNICIPIO]],'4.CAP_ENDMNT'!B:B,'4.CAP_ENDMNT'!J:J,0,0,1)</f>
        <v>0.21921774577665112</v>
      </c>
      <c r="AB511" s="44">
        <f>+_xlfn.XLOOKUP(PROYECTOS[[#This Row],[MUNICIPIO]],'4.CAP_ENDMNT'!B:B,'4.CAP_ENDMNT'!K:K,0,0,1)</f>
        <v>5063931737.6680012</v>
      </c>
      <c r="AC511" s="44">
        <f>+_xlfn.XLOOKUP(PROYECTOS[[#This Row],[MUNICIPIO]],'4.CAP_ENDMNT'!B:B,'4.CAP_ENDMNT'!L:L,0,0,1)</f>
        <v>4051145390.1344013</v>
      </c>
      <c r="AD511" s="44">
        <f>+_xlfn.XLOOKUP(PROYECTOS[[#This Row],[MUNICIPIO]],'4.CAP_ENDMNT'!B:B,'4.CAP_ENDMNT'!M:M,0,0,1)</f>
        <v>3038359042.6008005</v>
      </c>
      <c r="AE511" s="134">
        <f>+_xlfn.XLOOKUP(PROYECTOS[[#This Row],[MUNICIPIO]],'4.CAP_ENDMNT'!B:B,'4.CAP_ENDMNT'!N:N,0,0,1)</f>
        <v>0.42099345889155032</v>
      </c>
      <c r="AF511" s="134">
        <f>+_xlfn.XLOOKUP(PROYECTOS[[#This Row],[MUNICIPIO]],'4.CAP_ENDMNT'!B:B,'4.CAP_ENDMNT'!O:O,0,0,1)</f>
        <v>0.68598337343648785</v>
      </c>
      <c r="AG511" s="134">
        <f>+_xlfn.XLOOKUP(PROYECTOS[[#This Row],[MUNICIPIO]],'4.CAP_ENDMNT'!B:B,'4.CAP_ENDMNT'!P:P,0,0,1)</f>
        <v>0.8</v>
      </c>
      <c r="AH511" s="44" t="str">
        <f>+_xlfn.XLOOKUP(PROYECTOS[[#This Row],[MUNICIPIO]],'4.CAP_ENDMNT'!B:B,'4.CAP_ENDMNT'!Q:Q,0,0,1)</f>
        <v>Cumple</v>
      </c>
      <c r="AI511" s="139">
        <f>+_xlfn.XLOOKUP(PROYECTOS[[#This Row],[MUNICIPIO]],'4.CAP_ENDMNT'!B:B,'4.CAP_ENDMNT'!V:V,0,0,1)</f>
        <v>607671808.52016008</v>
      </c>
      <c r="AJ511" s="139">
        <f>+_xlfn.XLOOKUP(PROYECTOS[[#This Row],[MUNICIPIO]],'4.CAP_ENDMNT'!B:B,'4.CAP_ENDMNT'!Y:Y,0,0,1)</f>
        <v>-1701336321.8790393</v>
      </c>
    </row>
    <row r="512" spans="1:36" ht="15" customHeight="1">
      <c r="A512" s="44">
        <v>626</v>
      </c>
      <c r="B512" s="37" t="s">
        <v>1319</v>
      </c>
      <c r="C512" s="118">
        <v>45798</v>
      </c>
      <c r="D512" s="46" t="s">
        <v>90</v>
      </c>
      <c r="E512" s="47" t="str">
        <f>+_xlfn.XLOOKUP(PROYECTOS[[#This Row],[MUNICIPIO]],MUNICIPIOS!A:A,MUNICIPIOS!E:E,0,0,1)</f>
        <v>Suroeste</v>
      </c>
      <c r="F512" s="44">
        <f>+_xlfn.XLOOKUP(PROYECTOS[[#This Row],[MUNICIPIO]],MUNICIPIOS!A:A,MUNICIPIOS!F:F,0,0,1)</f>
        <v>-75.624452000000005</v>
      </c>
      <c r="G512" s="44">
        <f>+_xlfn.XLOOKUP(PROYECTOS[[#This Row],[MUNICIPIO]],MUNICIPIOS!A:A,MUNICIPIOS!G:G,0,0,1)</f>
        <v>5.6145550000000002</v>
      </c>
      <c r="H512" s="44">
        <f>+_xlfn.XLOOKUP(PROYECTOS[[#This Row],[MUNICIPIO]],MUNICIPIOS!A:A,MUNICIPIOS!B:B,0,0,1)</f>
        <v>0</v>
      </c>
      <c r="I512" s="44">
        <f>+_xlfn.XLOOKUP(PROYECTOS[[#This Row],[MUNICIPIO]],MUNICIPIOS!A:A,MUNICIPIOS!C:C,0,0,1)</f>
        <v>0</v>
      </c>
      <c r="J512" s="34" t="str" cm="1">
        <f t="array" ref="J512">_xlfn.TEXTJOIN(" ", TRUE, IF(radicados[ID PROYECTOS]=A512, radicados[RADICADO], ""))</f>
        <v/>
      </c>
      <c r="K512" s="45">
        <v>1</v>
      </c>
      <c r="L512" s="48"/>
      <c r="M512" s="34" t="s">
        <v>435</v>
      </c>
      <c r="N512" s="40" t="s">
        <v>397</v>
      </c>
      <c r="O512" s="40" t="s">
        <v>56</v>
      </c>
      <c r="P512" s="37"/>
      <c r="Q512" s="45"/>
      <c r="R512" s="166"/>
      <c r="S512" s="166"/>
      <c r="T512" s="44">
        <f>+_xlfn.XLOOKUP(PROYECTOS[[#This Row],[MUNICIPIO]],'4.CAP_ENDMNT'!B:B,'4.CAP_ENDMNT'!C:C,0,0,1)</f>
        <v>6</v>
      </c>
      <c r="U512" s="167">
        <f>+_xlfn.XLOOKUP(PROYECTOS[[#This Row],[MUNICIPIO]],'4.CAP_ENDMNT'!B:B,'4.CAP_ENDMNT'!D:D,0,0,1)</f>
        <v>6485715716.868001</v>
      </c>
      <c r="V512" s="44">
        <f>+_xlfn.XLOOKUP(PROYECTOS[[#This Row],[MUNICIPIO]],'4.CAP_ENDMNT'!B:B,'4.CAP_ENDMNT'!E:E,0,0,1)</f>
        <v>3717110032.7600002</v>
      </c>
      <c r="W512" s="44">
        <f>+_xlfn.XLOOKUP(PROYECTOS[[#This Row],[MUNICIPIO]],'4.CAP_ENDMNT'!B:B,'4.CAP_ENDMNT'!F:F,0,0,1)</f>
        <v>2768605684.1080008</v>
      </c>
      <c r="X512" s="44">
        <f>+_xlfn.XLOOKUP(PROYECTOS[[#This Row],[MUNICIPIO]],'4.CAP_ENDMNT'!B:B,'4.CAP_ENDMNT'!G:G,0,0,1)</f>
        <v>598561755.20000005</v>
      </c>
      <c r="Y512" s="44">
        <f>+_xlfn.XLOOKUP(PROYECTOS[[#This Row],[MUNICIPIO]],'4.CAP_ENDMNT'!B:B,'4.CAP_ENDMNT'!H:H,0,0,1)</f>
        <v>823222224</v>
      </c>
      <c r="Z512" s="44">
        <f>+_xlfn.XLOOKUP(PROYECTOS[[#This Row],[MUNICIPIO]],'4.CAP_ENDMNT'!B:B,'4.CAP_ENDMNT'!I:I,0,0,1)</f>
        <v>1421783979.2</v>
      </c>
      <c r="AA512" s="134">
        <f>+_xlfn.XLOOKUP(PROYECTOS[[#This Row],[MUNICIPIO]],'4.CAP_ENDMNT'!B:B,'4.CAP_ENDMNT'!J:J,0,0,1)</f>
        <v>0.21921774577665112</v>
      </c>
      <c r="AB512" s="44">
        <f>+_xlfn.XLOOKUP(PROYECTOS[[#This Row],[MUNICIPIO]],'4.CAP_ENDMNT'!B:B,'4.CAP_ENDMNT'!K:K,0,0,1)</f>
        <v>5063931737.6680012</v>
      </c>
      <c r="AC512" s="44">
        <f>+_xlfn.XLOOKUP(PROYECTOS[[#This Row],[MUNICIPIO]],'4.CAP_ENDMNT'!B:B,'4.CAP_ENDMNT'!L:L,0,0,1)</f>
        <v>4051145390.1344013</v>
      </c>
      <c r="AD512" s="44">
        <f>+_xlfn.XLOOKUP(PROYECTOS[[#This Row],[MUNICIPIO]],'4.CAP_ENDMNT'!B:B,'4.CAP_ENDMNT'!M:M,0,0,1)</f>
        <v>3038359042.6008005</v>
      </c>
      <c r="AE512" s="134">
        <f>+_xlfn.XLOOKUP(PROYECTOS[[#This Row],[MUNICIPIO]],'4.CAP_ENDMNT'!B:B,'4.CAP_ENDMNT'!N:N,0,0,1)</f>
        <v>0.42099345889155032</v>
      </c>
      <c r="AF512" s="134">
        <f>+_xlfn.XLOOKUP(PROYECTOS[[#This Row],[MUNICIPIO]],'4.CAP_ENDMNT'!B:B,'4.CAP_ENDMNT'!O:O,0,0,1)</f>
        <v>0.68598337343648785</v>
      </c>
      <c r="AG512" s="134">
        <f>+_xlfn.XLOOKUP(PROYECTOS[[#This Row],[MUNICIPIO]],'4.CAP_ENDMNT'!B:B,'4.CAP_ENDMNT'!P:P,0,0,1)</f>
        <v>0.8</v>
      </c>
      <c r="AH512" s="44" t="str">
        <f>+_xlfn.XLOOKUP(PROYECTOS[[#This Row],[MUNICIPIO]],'4.CAP_ENDMNT'!B:B,'4.CAP_ENDMNT'!Q:Q,0,0,1)</f>
        <v>Cumple</v>
      </c>
      <c r="AI512" s="139">
        <f>+_xlfn.XLOOKUP(PROYECTOS[[#This Row],[MUNICIPIO]],'4.CAP_ENDMNT'!B:B,'4.CAP_ENDMNT'!V:V,0,0,1)</f>
        <v>607671808.52016008</v>
      </c>
      <c r="AJ512" s="139">
        <f>+_xlfn.XLOOKUP(PROYECTOS[[#This Row],[MUNICIPIO]],'4.CAP_ENDMNT'!B:B,'4.CAP_ENDMNT'!Y:Y,0,0,1)</f>
        <v>-1701336321.8790393</v>
      </c>
    </row>
    <row r="513" spans="1:36" ht="15" customHeight="1">
      <c r="A513" s="44">
        <v>627</v>
      </c>
      <c r="B513" s="37" t="s">
        <v>1345</v>
      </c>
      <c r="C513" s="118">
        <v>45798</v>
      </c>
      <c r="D513" s="46" t="s">
        <v>281</v>
      </c>
      <c r="E513" s="47" t="str">
        <f>+_xlfn.XLOOKUP(PROYECTOS[[#This Row],[MUNICIPIO]],MUNICIPIOS!A:A,MUNICIPIOS!E:E,0,0,1)</f>
        <v>Suroeste</v>
      </c>
      <c r="F513" s="44">
        <f>+_xlfn.XLOOKUP(PROYECTOS[[#This Row],[MUNICIPIO]],MUNICIPIOS!A:A,MUNICIPIOS!F:F,0,0,1)</f>
        <v>-75.735544000000004</v>
      </c>
      <c r="G513" s="44">
        <f>+_xlfn.XLOOKUP(PROYECTOS[[#This Row],[MUNICIPIO]],MUNICIPIOS!A:A,MUNICIPIOS!G:G,0,0,1)</f>
        <v>5.9646929999999996</v>
      </c>
      <c r="H513" s="44">
        <f>+_xlfn.XLOOKUP(PROYECTOS[[#This Row],[MUNICIPIO]],MUNICIPIOS!A:A,MUNICIPIOS!B:B,0,0,1)</f>
        <v>0</v>
      </c>
      <c r="I513" s="44">
        <f>+_xlfn.XLOOKUP(PROYECTOS[[#This Row],[MUNICIPIO]],MUNICIPIOS!A:A,MUNICIPIOS!C:C,0,0,1)</f>
        <v>0</v>
      </c>
      <c r="J513" s="34" t="str" cm="1">
        <f t="array" ref="J513">_xlfn.TEXTJOIN(" ", TRUE, IF(radicados[ID PROYECTOS]=A513, radicados[RADICADO], ""))</f>
        <v/>
      </c>
      <c r="K513" s="45">
        <v>2</v>
      </c>
      <c r="L513" s="48">
        <v>1200000000</v>
      </c>
      <c r="M513" s="34" t="s">
        <v>435</v>
      </c>
      <c r="N513" s="40" t="s">
        <v>398</v>
      </c>
      <c r="O513" s="40" t="s">
        <v>25</v>
      </c>
      <c r="P513" s="37" t="s">
        <v>1726</v>
      </c>
      <c r="Q513" s="45"/>
      <c r="R513" s="166"/>
      <c r="S513" s="166"/>
      <c r="T513" s="44">
        <f>+_xlfn.XLOOKUP(PROYECTOS[[#This Row],[MUNICIPIO]],'4.CAP_ENDMNT'!B:B,'4.CAP_ENDMNT'!C:C,0,0,1)</f>
        <v>6</v>
      </c>
      <c r="U513" s="167">
        <f>+_xlfn.XLOOKUP(PROYECTOS[[#This Row],[MUNICIPIO]],'4.CAP_ENDMNT'!B:B,'4.CAP_ENDMNT'!D:D,0,0,1)</f>
        <v>12522207884.799</v>
      </c>
      <c r="V513" s="44">
        <f>+_xlfn.XLOOKUP(PROYECTOS[[#This Row],[MUNICIPIO]],'4.CAP_ENDMNT'!B:B,'4.CAP_ENDMNT'!E:E,0,0,1)</f>
        <v>6810462569.46</v>
      </c>
      <c r="W513" s="44">
        <f>+_xlfn.XLOOKUP(PROYECTOS[[#This Row],[MUNICIPIO]],'4.CAP_ENDMNT'!B:B,'4.CAP_ENDMNT'!F:F,0,0,1)</f>
        <v>5711745315.3389997</v>
      </c>
      <c r="X513" s="44">
        <f>+_xlfn.XLOOKUP(PROYECTOS[[#This Row],[MUNICIPIO]],'4.CAP_ENDMNT'!B:B,'4.CAP_ENDMNT'!G:G,0,0,1)</f>
        <v>0</v>
      </c>
      <c r="Y513" s="44">
        <f>+_xlfn.XLOOKUP(PROYECTOS[[#This Row],[MUNICIPIO]],'4.CAP_ENDMNT'!B:B,'4.CAP_ENDMNT'!H:H,0,0,1)</f>
        <v>0</v>
      </c>
      <c r="Z513" s="44">
        <f>+_xlfn.XLOOKUP(PROYECTOS[[#This Row],[MUNICIPIO]],'4.CAP_ENDMNT'!B:B,'4.CAP_ENDMNT'!I:I,0,0,1)</f>
        <v>0</v>
      </c>
      <c r="AA513" s="134">
        <f>+_xlfn.XLOOKUP(PROYECTOS[[#This Row],[MUNICIPIO]],'4.CAP_ENDMNT'!B:B,'4.CAP_ENDMNT'!J:J,0,0,1)</f>
        <v>0</v>
      </c>
      <c r="AB513" s="44">
        <f>+_xlfn.XLOOKUP(PROYECTOS[[#This Row],[MUNICIPIO]],'4.CAP_ENDMNT'!B:B,'4.CAP_ENDMNT'!K:K,0,0,1)</f>
        <v>12522207884.799</v>
      </c>
      <c r="AC513" s="44">
        <f>+_xlfn.XLOOKUP(PROYECTOS[[#This Row],[MUNICIPIO]],'4.CAP_ENDMNT'!B:B,'4.CAP_ENDMNT'!L:L,0,0,1)</f>
        <v>10017766307.839201</v>
      </c>
      <c r="AD513" s="44">
        <f>+_xlfn.XLOOKUP(PROYECTOS[[#This Row],[MUNICIPIO]],'4.CAP_ENDMNT'!B:B,'4.CAP_ENDMNT'!M:M,0,0,1)</f>
        <v>7513324730.8793993</v>
      </c>
      <c r="AE513" s="134">
        <f>+_xlfn.XLOOKUP(PROYECTOS[[#This Row],[MUNICIPIO]],'4.CAP_ENDMNT'!B:B,'4.CAP_ENDMNT'!N:N,0,0,1)</f>
        <v>0</v>
      </c>
      <c r="AF513" s="134">
        <f>+_xlfn.XLOOKUP(PROYECTOS[[#This Row],[MUNICIPIO]],'4.CAP_ENDMNT'!B:B,'4.CAP_ENDMNT'!O:O,0,0,1)</f>
        <v>0.68767493145996073</v>
      </c>
      <c r="AG513" s="134">
        <f>+_xlfn.XLOOKUP(PROYECTOS[[#This Row],[MUNICIPIO]],'4.CAP_ENDMNT'!B:B,'4.CAP_ENDMNT'!P:P,0,0,1)</f>
        <v>0.8</v>
      </c>
      <c r="AH513" s="44" t="str">
        <f>+_xlfn.XLOOKUP(PROYECTOS[[#This Row],[MUNICIPIO]],'4.CAP_ENDMNT'!B:B,'4.CAP_ENDMNT'!Q:Q,0,0,1)</f>
        <v>Cumple</v>
      </c>
      <c r="AI513" s="139">
        <f>+_xlfn.XLOOKUP(PROYECTOS[[#This Row],[MUNICIPIO]],'4.CAP_ENDMNT'!B:B,'4.CAP_ENDMNT'!V:V,0,0,1)</f>
        <v>1502664946.17588</v>
      </c>
      <c r="AJ513" s="139">
        <f>+_xlfn.XLOOKUP(PROYECTOS[[#This Row],[MUNICIPIO]],'4.CAP_ENDMNT'!B:B,'4.CAP_ENDMNT'!Y:Y,0,0,1)</f>
        <v>-30486452994.944721</v>
      </c>
    </row>
    <row r="514" spans="1:36" ht="15" customHeight="1">
      <c r="A514" s="44">
        <v>628</v>
      </c>
      <c r="B514" s="37" t="s">
        <v>1508</v>
      </c>
      <c r="C514" s="118">
        <v>45798</v>
      </c>
      <c r="D514" s="46" t="s">
        <v>281</v>
      </c>
      <c r="E514" s="47" t="str">
        <f>+_xlfn.XLOOKUP(PROYECTOS[[#This Row],[MUNICIPIO]],MUNICIPIOS!A:A,MUNICIPIOS!E:E,0,0,1)</f>
        <v>Suroeste</v>
      </c>
      <c r="F514" s="44">
        <f>+_xlfn.XLOOKUP(PROYECTOS[[#This Row],[MUNICIPIO]],MUNICIPIOS!A:A,MUNICIPIOS!F:F,0,0,1)</f>
        <v>-75.735544000000004</v>
      </c>
      <c r="G514" s="44">
        <f>+_xlfn.XLOOKUP(PROYECTOS[[#This Row],[MUNICIPIO]],MUNICIPIOS!A:A,MUNICIPIOS!G:G,0,0,1)</f>
        <v>5.9646929999999996</v>
      </c>
      <c r="H514" s="44">
        <f>+_xlfn.XLOOKUP(PROYECTOS[[#This Row],[MUNICIPIO]],MUNICIPIOS!A:A,MUNICIPIOS!B:B,0,0,1)</f>
        <v>0</v>
      </c>
      <c r="I514" s="44">
        <f>+_xlfn.XLOOKUP(PROYECTOS[[#This Row],[MUNICIPIO]],MUNICIPIOS!A:A,MUNICIPIOS!C:C,0,0,1)</f>
        <v>0</v>
      </c>
      <c r="J514" s="34" t="str" cm="1">
        <f t="array" ref="J514">_xlfn.TEXTJOIN(" ", TRUE, IF(radicados[ID PROYECTOS]=A514, radicados[RADICADO], ""))</f>
        <v/>
      </c>
      <c r="K514" s="45">
        <v>1</v>
      </c>
      <c r="L514" s="48"/>
      <c r="M514" s="34" t="s">
        <v>435</v>
      </c>
      <c r="N514" s="40" t="s">
        <v>398</v>
      </c>
      <c r="O514" s="40" t="s">
        <v>25</v>
      </c>
      <c r="P514" s="37"/>
      <c r="Q514" s="45"/>
      <c r="R514" s="166"/>
      <c r="S514" s="166"/>
      <c r="T514" s="44">
        <f>+_xlfn.XLOOKUP(PROYECTOS[[#This Row],[MUNICIPIO]],'4.CAP_ENDMNT'!B:B,'4.CAP_ENDMNT'!C:C,0,0,1)</f>
        <v>6</v>
      </c>
      <c r="U514" s="167">
        <f>+_xlfn.XLOOKUP(PROYECTOS[[#This Row],[MUNICIPIO]],'4.CAP_ENDMNT'!B:B,'4.CAP_ENDMNT'!D:D,0,0,1)</f>
        <v>12522207884.799</v>
      </c>
      <c r="V514" s="44">
        <f>+_xlfn.XLOOKUP(PROYECTOS[[#This Row],[MUNICIPIO]],'4.CAP_ENDMNT'!B:B,'4.CAP_ENDMNT'!E:E,0,0,1)</f>
        <v>6810462569.46</v>
      </c>
      <c r="W514" s="44">
        <f>+_xlfn.XLOOKUP(PROYECTOS[[#This Row],[MUNICIPIO]],'4.CAP_ENDMNT'!B:B,'4.CAP_ENDMNT'!F:F,0,0,1)</f>
        <v>5711745315.3389997</v>
      </c>
      <c r="X514" s="44">
        <f>+_xlfn.XLOOKUP(PROYECTOS[[#This Row],[MUNICIPIO]],'4.CAP_ENDMNT'!B:B,'4.CAP_ENDMNT'!G:G,0,0,1)</f>
        <v>0</v>
      </c>
      <c r="Y514" s="44">
        <f>+_xlfn.XLOOKUP(PROYECTOS[[#This Row],[MUNICIPIO]],'4.CAP_ENDMNT'!B:B,'4.CAP_ENDMNT'!H:H,0,0,1)</f>
        <v>0</v>
      </c>
      <c r="Z514" s="44">
        <f>+_xlfn.XLOOKUP(PROYECTOS[[#This Row],[MUNICIPIO]],'4.CAP_ENDMNT'!B:B,'4.CAP_ENDMNT'!I:I,0,0,1)</f>
        <v>0</v>
      </c>
      <c r="AA514" s="134">
        <f>+_xlfn.XLOOKUP(PROYECTOS[[#This Row],[MUNICIPIO]],'4.CAP_ENDMNT'!B:B,'4.CAP_ENDMNT'!J:J,0,0,1)</f>
        <v>0</v>
      </c>
      <c r="AB514" s="44">
        <f>+_xlfn.XLOOKUP(PROYECTOS[[#This Row],[MUNICIPIO]],'4.CAP_ENDMNT'!B:B,'4.CAP_ENDMNT'!K:K,0,0,1)</f>
        <v>12522207884.799</v>
      </c>
      <c r="AC514" s="44">
        <f>+_xlfn.XLOOKUP(PROYECTOS[[#This Row],[MUNICIPIO]],'4.CAP_ENDMNT'!B:B,'4.CAP_ENDMNT'!L:L,0,0,1)</f>
        <v>10017766307.839201</v>
      </c>
      <c r="AD514" s="44">
        <f>+_xlfn.XLOOKUP(PROYECTOS[[#This Row],[MUNICIPIO]],'4.CAP_ENDMNT'!B:B,'4.CAP_ENDMNT'!M:M,0,0,1)</f>
        <v>7513324730.8793993</v>
      </c>
      <c r="AE514" s="134">
        <f>+_xlfn.XLOOKUP(PROYECTOS[[#This Row],[MUNICIPIO]],'4.CAP_ENDMNT'!B:B,'4.CAP_ENDMNT'!N:N,0,0,1)</f>
        <v>0</v>
      </c>
      <c r="AF514" s="134">
        <f>+_xlfn.XLOOKUP(PROYECTOS[[#This Row],[MUNICIPIO]],'4.CAP_ENDMNT'!B:B,'4.CAP_ENDMNT'!O:O,0,0,1)</f>
        <v>0.68767493145996073</v>
      </c>
      <c r="AG514" s="134">
        <f>+_xlfn.XLOOKUP(PROYECTOS[[#This Row],[MUNICIPIO]],'4.CAP_ENDMNT'!B:B,'4.CAP_ENDMNT'!P:P,0,0,1)</f>
        <v>0.8</v>
      </c>
      <c r="AH514" s="44" t="str">
        <f>+_xlfn.XLOOKUP(PROYECTOS[[#This Row],[MUNICIPIO]],'4.CAP_ENDMNT'!B:B,'4.CAP_ENDMNT'!Q:Q,0,0,1)</f>
        <v>Cumple</v>
      </c>
      <c r="AI514" s="139">
        <f>+_xlfn.XLOOKUP(PROYECTOS[[#This Row],[MUNICIPIO]],'4.CAP_ENDMNT'!B:B,'4.CAP_ENDMNT'!V:V,0,0,1)</f>
        <v>1502664946.17588</v>
      </c>
      <c r="AJ514" s="139">
        <f>+_xlfn.XLOOKUP(PROYECTOS[[#This Row],[MUNICIPIO]],'4.CAP_ENDMNT'!B:B,'4.CAP_ENDMNT'!Y:Y,0,0,1)</f>
        <v>-30486452994.944721</v>
      </c>
    </row>
    <row r="515" spans="1:36" ht="15" customHeight="1">
      <c r="A515" s="44">
        <v>629</v>
      </c>
      <c r="B515" s="37" t="s">
        <v>1321</v>
      </c>
      <c r="C515" s="118">
        <v>45798</v>
      </c>
      <c r="D515" s="46" t="s">
        <v>281</v>
      </c>
      <c r="E515" s="47" t="str">
        <f>+_xlfn.XLOOKUP(PROYECTOS[[#This Row],[MUNICIPIO]],MUNICIPIOS!A:A,MUNICIPIOS!E:E,0,0,1)</f>
        <v>Suroeste</v>
      </c>
      <c r="F515" s="44">
        <f>+_xlfn.XLOOKUP(PROYECTOS[[#This Row],[MUNICIPIO]],MUNICIPIOS!A:A,MUNICIPIOS!F:F,0,0,1)</f>
        <v>-75.735544000000004</v>
      </c>
      <c r="G515" s="44">
        <f>+_xlfn.XLOOKUP(PROYECTOS[[#This Row],[MUNICIPIO]],MUNICIPIOS!A:A,MUNICIPIOS!G:G,0,0,1)</f>
        <v>5.9646929999999996</v>
      </c>
      <c r="H515" s="44">
        <f>+_xlfn.XLOOKUP(PROYECTOS[[#This Row],[MUNICIPIO]],MUNICIPIOS!A:A,MUNICIPIOS!B:B,0,0,1)</f>
        <v>0</v>
      </c>
      <c r="I515" s="44">
        <f>+_xlfn.XLOOKUP(PROYECTOS[[#This Row],[MUNICIPIO]],MUNICIPIOS!A:A,MUNICIPIOS!C:C,0,0,1)</f>
        <v>0</v>
      </c>
      <c r="J515" s="34" t="str" cm="1">
        <f t="array" ref="J515">_xlfn.TEXTJOIN(" ", TRUE, IF(radicados[ID PROYECTOS]=A515, radicados[RADICADO], ""))</f>
        <v/>
      </c>
      <c r="K515" s="45">
        <v>1</v>
      </c>
      <c r="L515" s="48"/>
      <c r="M515" s="34" t="s">
        <v>435</v>
      </c>
      <c r="N515" s="40" t="s">
        <v>398</v>
      </c>
      <c r="O515" s="40" t="s">
        <v>25</v>
      </c>
      <c r="P515" s="37" t="s">
        <v>1725</v>
      </c>
      <c r="Q515" s="45"/>
      <c r="R515" s="166"/>
      <c r="S515" s="166"/>
      <c r="T515" s="44">
        <f>+_xlfn.XLOOKUP(PROYECTOS[[#This Row],[MUNICIPIO]],'4.CAP_ENDMNT'!B:B,'4.CAP_ENDMNT'!C:C,0,0,1)</f>
        <v>6</v>
      </c>
      <c r="U515" s="167">
        <f>+_xlfn.XLOOKUP(PROYECTOS[[#This Row],[MUNICIPIO]],'4.CAP_ENDMNT'!B:B,'4.CAP_ENDMNT'!D:D,0,0,1)</f>
        <v>12522207884.799</v>
      </c>
      <c r="V515" s="44">
        <f>+_xlfn.XLOOKUP(PROYECTOS[[#This Row],[MUNICIPIO]],'4.CAP_ENDMNT'!B:B,'4.CAP_ENDMNT'!E:E,0,0,1)</f>
        <v>6810462569.46</v>
      </c>
      <c r="W515" s="44">
        <f>+_xlfn.XLOOKUP(PROYECTOS[[#This Row],[MUNICIPIO]],'4.CAP_ENDMNT'!B:B,'4.CAP_ENDMNT'!F:F,0,0,1)</f>
        <v>5711745315.3389997</v>
      </c>
      <c r="X515" s="44">
        <f>+_xlfn.XLOOKUP(PROYECTOS[[#This Row],[MUNICIPIO]],'4.CAP_ENDMNT'!B:B,'4.CAP_ENDMNT'!G:G,0,0,1)</f>
        <v>0</v>
      </c>
      <c r="Y515" s="44">
        <f>+_xlfn.XLOOKUP(PROYECTOS[[#This Row],[MUNICIPIO]],'4.CAP_ENDMNT'!B:B,'4.CAP_ENDMNT'!H:H,0,0,1)</f>
        <v>0</v>
      </c>
      <c r="Z515" s="44">
        <f>+_xlfn.XLOOKUP(PROYECTOS[[#This Row],[MUNICIPIO]],'4.CAP_ENDMNT'!B:B,'4.CAP_ENDMNT'!I:I,0,0,1)</f>
        <v>0</v>
      </c>
      <c r="AA515" s="134">
        <f>+_xlfn.XLOOKUP(PROYECTOS[[#This Row],[MUNICIPIO]],'4.CAP_ENDMNT'!B:B,'4.CAP_ENDMNT'!J:J,0,0,1)</f>
        <v>0</v>
      </c>
      <c r="AB515" s="44">
        <f>+_xlfn.XLOOKUP(PROYECTOS[[#This Row],[MUNICIPIO]],'4.CAP_ENDMNT'!B:B,'4.CAP_ENDMNT'!K:K,0,0,1)</f>
        <v>12522207884.799</v>
      </c>
      <c r="AC515" s="44">
        <f>+_xlfn.XLOOKUP(PROYECTOS[[#This Row],[MUNICIPIO]],'4.CAP_ENDMNT'!B:B,'4.CAP_ENDMNT'!L:L,0,0,1)</f>
        <v>10017766307.839201</v>
      </c>
      <c r="AD515" s="44">
        <f>+_xlfn.XLOOKUP(PROYECTOS[[#This Row],[MUNICIPIO]],'4.CAP_ENDMNT'!B:B,'4.CAP_ENDMNT'!M:M,0,0,1)</f>
        <v>7513324730.8793993</v>
      </c>
      <c r="AE515" s="134">
        <f>+_xlfn.XLOOKUP(PROYECTOS[[#This Row],[MUNICIPIO]],'4.CAP_ENDMNT'!B:B,'4.CAP_ENDMNT'!N:N,0,0,1)</f>
        <v>0</v>
      </c>
      <c r="AF515" s="134">
        <f>+_xlfn.XLOOKUP(PROYECTOS[[#This Row],[MUNICIPIO]],'4.CAP_ENDMNT'!B:B,'4.CAP_ENDMNT'!O:O,0,0,1)</f>
        <v>0.68767493145996073</v>
      </c>
      <c r="AG515" s="134">
        <f>+_xlfn.XLOOKUP(PROYECTOS[[#This Row],[MUNICIPIO]],'4.CAP_ENDMNT'!B:B,'4.CAP_ENDMNT'!P:P,0,0,1)</f>
        <v>0.8</v>
      </c>
      <c r="AH515" s="44" t="str">
        <f>+_xlfn.XLOOKUP(PROYECTOS[[#This Row],[MUNICIPIO]],'4.CAP_ENDMNT'!B:B,'4.CAP_ENDMNT'!Q:Q,0,0,1)</f>
        <v>Cumple</v>
      </c>
      <c r="AI515" s="139">
        <f>+_xlfn.XLOOKUP(PROYECTOS[[#This Row],[MUNICIPIO]],'4.CAP_ENDMNT'!B:B,'4.CAP_ENDMNT'!V:V,0,0,1)</f>
        <v>1502664946.17588</v>
      </c>
      <c r="AJ515" s="139">
        <f>+_xlfn.XLOOKUP(PROYECTOS[[#This Row],[MUNICIPIO]],'4.CAP_ENDMNT'!B:B,'4.CAP_ENDMNT'!Y:Y,0,0,1)</f>
        <v>-30486452994.944721</v>
      </c>
    </row>
    <row r="516" spans="1:36" ht="15" customHeight="1">
      <c r="A516" s="44">
        <v>630</v>
      </c>
      <c r="B516" s="37" t="s">
        <v>1346</v>
      </c>
      <c r="C516" s="118">
        <v>45798</v>
      </c>
      <c r="D516" s="46" t="s">
        <v>27</v>
      </c>
      <c r="E516" s="47" t="str">
        <f>+_xlfn.XLOOKUP(PROYECTOS[[#This Row],[MUNICIPIO]],MUNICIPIOS!A:A,MUNICIPIOS!E:E,0,0,1)</f>
        <v>Oriente</v>
      </c>
      <c r="F516" s="44">
        <f>+_xlfn.XLOOKUP(PROYECTOS[[#This Row],[MUNICIPIO]],MUNICIPIOS!A:A,MUNICIPIOS!F:F,0,0,1)</f>
        <v>-75.377315999999993</v>
      </c>
      <c r="G516" s="44" t="str">
        <f>+_xlfn.XLOOKUP(PROYECTOS[[#This Row],[MUNICIPIO]],MUNICIPIOS!A:A,MUNICIPIOS!G:G,0,0,1)</f>
        <v>6,147148</v>
      </c>
      <c r="H516" s="44">
        <f>+_xlfn.XLOOKUP(PROYECTOS[[#This Row],[MUNICIPIO]],MUNICIPIOS!A:A,MUNICIPIOS!B:B,0,0,1)</f>
        <v>0</v>
      </c>
      <c r="I516" s="44">
        <f>+_xlfn.XLOOKUP(PROYECTOS[[#This Row],[MUNICIPIO]],MUNICIPIOS!A:A,MUNICIPIOS!C:C,0,0,1)</f>
        <v>0</v>
      </c>
      <c r="J516" s="34" t="str" cm="1">
        <f t="array" ref="J516">_xlfn.TEXTJOIN(" ", TRUE, IF(radicados[ID PROYECTOS]=A516, radicados[RADICADO], ""))</f>
        <v>2025010134075</v>
      </c>
      <c r="K516" s="45">
        <v>3</v>
      </c>
      <c r="L516" s="48">
        <v>5545017268</v>
      </c>
      <c r="M516" s="34" t="s">
        <v>435</v>
      </c>
      <c r="N516" s="40" t="s">
        <v>394</v>
      </c>
      <c r="O516" s="40" t="s">
        <v>18</v>
      </c>
      <c r="P516" s="37"/>
      <c r="Q516" s="45">
        <v>1</v>
      </c>
      <c r="R516" s="43" t="s">
        <v>922</v>
      </c>
      <c r="S516" s="43" t="s">
        <v>1643</v>
      </c>
      <c r="T516" s="44">
        <f>+_xlfn.XLOOKUP(PROYECTOS[[#This Row],[MUNICIPIO]],'4.CAP_ENDMNT'!B:B,'4.CAP_ENDMNT'!C:C,0,0,1)</f>
        <v>1</v>
      </c>
      <c r="U516" s="167">
        <f>+_xlfn.XLOOKUP(PROYECTOS[[#This Row],[MUNICIPIO]],'4.CAP_ENDMNT'!B:B,'4.CAP_ENDMNT'!D:D,0,0,1)</f>
        <v>501236439904.31354</v>
      </c>
      <c r="V516" s="44">
        <f>+_xlfn.XLOOKUP(PROYECTOS[[#This Row],[MUNICIPIO]],'4.CAP_ENDMNT'!B:B,'4.CAP_ENDMNT'!E:E,0,0,1)</f>
        <v>112502020079.39</v>
      </c>
      <c r="W516" s="44">
        <f>+_xlfn.XLOOKUP(PROYECTOS[[#This Row],[MUNICIPIO]],'4.CAP_ENDMNT'!B:B,'4.CAP_ENDMNT'!F:F,0,0,1)</f>
        <v>388734419824.92352</v>
      </c>
      <c r="X516" s="44">
        <f>+_xlfn.XLOOKUP(PROYECTOS[[#This Row],[MUNICIPIO]],'4.CAP_ENDMNT'!B:B,'4.CAP_ENDMNT'!G:G,0,0,1)</f>
        <v>85394840514</v>
      </c>
      <c r="Y516" s="44">
        <f>+_xlfn.XLOOKUP(PROYECTOS[[#This Row],[MUNICIPIO]],'4.CAP_ENDMNT'!B:B,'4.CAP_ENDMNT'!H:H,0,0,1)</f>
        <v>114109886446.23999</v>
      </c>
      <c r="Z516" s="44">
        <f>+_xlfn.XLOOKUP(PROYECTOS[[#This Row],[MUNICIPIO]],'4.CAP_ENDMNT'!B:B,'4.CAP_ENDMNT'!I:I,0,0,1)</f>
        <v>199504726960.23999</v>
      </c>
      <c r="AA516" s="134">
        <f>+_xlfn.XLOOKUP(PROYECTOS[[#This Row],[MUNICIPIO]],'4.CAP_ENDMNT'!B:B,'4.CAP_ENDMNT'!J:J,0,0,1)</f>
        <v>0.39802518547599136</v>
      </c>
      <c r="AB516" s="44">
        <f>+_xlfn.XLOOKUP(PROYECTOS[[#This Row],[MUNICIPIO]],'4.CAP_ENDMNT'!B:B,'4.CAP_ENDMNT'!K:K,0,0,1)</f>
        <v>301731712944.07355</v>
      </c>
      <c r="AC516" s="44">
        <f>+_xlfn.XLOOKUP(PROYECTOS[[#This Row],[MUNICIPIO]],'4.CAP_ENDMNT'!B:B,'4.CAP_ENDMNT'!L:L,0,0,1)</f>
        <v>241385370355.25885</v>
      </c>
      <c r="AD516" s="44">
        <f>+_xlfn.XLOOKUP(PROYECTOS[[#This Row],[MUNICIPIO]],'4.CAP_ENDMNT'!B:B,'4.CAP_ENDMNT'!M:M,0,0,1)</f>
        <v>181039027766.44412</v>
      </c>
      <c r="AE516" s="134">
        <f>+_xlfn.XLOOKUP(PROYECTOS[[#This Row],[MUNICIPIO]],'4.CAP_ENDMNT'!B:B,'4.CAP_ENDMNT'!N:N,0,0,1)</f>
        <v>0.42803417149619039</v>
      </c>
      <c r="AF516" s="134">
        <f>+_xlfn.XLOOKUP(PROYECTOS[[#This Row],[MUNICIPIO]],'4.CAP_ENDMNT'!B:B,'4.CAP_ENDMNT'!O:O,0,0,1)</f>
        <v>0.23207277402530038</v>
      </c>
      <c r="AG516" s="134">
        <f>+_xlfn.XLOOKUP(PROYECTOS[[#This Row],[MUNICIPIO]],'4.CAP_ENDMNT'!B:B,'4.CAP_ENDMNT'!P:P,0,0,1)</f>
        <v>0.65</v>
      </c>
      <c r="AH516" s="44" t="str">
        <f>+_xlfn.XLOOKUP(PROYECTOS[[#This Row],[MUNICIPIO]],'4.CAP_ENDMNT'!B:B,'4.CAP_ENDMNT'!Q:Q,0,0,1)</f>
        <v>Cumple</v>
      </c>
      <c r="AI516" s="139">
        <f>+_xlfn.XLOOKUP(PROYECTOS[[#This Row],[MUNICIPIO]],'4.CAP_ENDMNT'!B:B,'4.CAP_ENDMNT'!V:V,0,0,1)</f>
        <v>36207805553.288826</v>
      </c>
      <c r="AJ516" s="139">
        <f>+_xlfn.XLOOKUP(PROYECTOS[[#This Row],[MUNICIPIO]],'4.CAP_ENDMNT'!B:B,'4.CAP_ENDMNT'!Y:Y,0,0,1)</f>
        <v>199470854625.73294</v>
      </c>
    </row>
    <row r="517" spans="1:36" ht="15" customHeight="1">
      <c r="A517" s="44">
        <v>631</v>
      </c>
      <c r="B517" s="37" t="s">
        <v>1347</v>
      </c>
      <c r="C517" s="118">
        <v>45798</v>
      </c>
      <c r="D517" s="46" t="s">
        <v>884</v>
      </c>
      <c r="E517" s="47" t="str">
        <f>+_xlfn.XLOOKUP(PROYECTOS[[#This Row],[MUNICIPIO]],MUNICIPIOS!A:A,MUNICIPIOS!E:E,0,0,1)</f>
        <v>Norte</v>
      </c>
      <c r="F517" s="44">
        <f>+_xlfn.XLOOKUP(PROYECTOS[[#This Row],[MUNICIPIO]],MUNICIPIOS!A:A,MUNICIPIOS!F:F,0,0,1)</f>
        <v>-75.692280999999994</v>
      </c>
      <c r="G517" s="44">
        <f>+_xlfn.XLOOKUP(PROYECTOS[[#This Row],[MUNICIPIO]],MUNICIPIOS!A:A,MUNICIPIOS!G:G,0,0,1)</f>
        <v>7.0103280000000003</v>
      </c>
      <c r="H517" s="44">
        <f>+_xlfn.XLOOKUP(PROYECTOS[[#This Row],[MUNICIPIO]],MUNICIPIOS!A:A,MUNICIPIOS!B:B,0,0,1)</f>
        <v>0</v>
      </c>
      <c r="I517" s="44">
        <f>+_xlfn.XLOOKUP(PROYECTOS[[#This Row],[MUNICIPIO]],MUNICIPIOS!A:A,MUNICIPIOS!C:C,0,0,1)</f>
        <v>1</v>
      </c>
      <c r="J517" s="34" t="str" cm="1">
        <f t="array" ref="J517">_xlfn.TEXTJOIN(" ", TRUE, IF(radicados[ID PROYECTOS]=A517, radicados[RADICADO], ""))</f>
        <v/>
      </c>
      <c r="K517" s="45">
        <v>3</v>
      </c>
      <c r="L517" s="48">
        <v>4936040789</v>
      </c>
      <c r="M517" s="34" t="s">
        <v>435</v>
      </c>
      <c r="N517" s="40" t="s">
        <v>398</v>
      </c>
      <c r="O517" s="40" t="s">
        <v>25</v>
      </c>
      <c r="P517" s="37"/>
      <c r="Q517" s="45">
        <v>1</v>
      </c>
      <c r="R517" s="43" t="s">
        <v>922</v>
      </c>
      <c r="S517" s="43" t="s">
        <v>1643</v>
      </c>
      <c r="T517" s="44">
        <f>+_xlfn.XLOOKUP(PROYECTOS[[#This Row],[MUNICIPIO]],'4.CAP_ENDMNT'!B:B,'4.CAP_ENDMNT'!C:C,0,0,1)</f>
        <v>6</v>
      </c>
      <c r="U517" s="167">
        <f>+_xlfn.XLOOKUP(PROYECTOS[[#This Row],[MUNICIPIO]],'4.CAP_ENDMNT'!B:B,'4.CAP_ENDMNT'!D:D,0,0,1)</f>
        <v>11658945302.2845</v>
      </c>
      <c r="V517" s="44">
        <f>+_xlfn.XLOOKUP(PROYECTOS[[#This Row],[MUNICIPIO]],'4.CAP_ENDMNT'!B:B,'4.CAP_ENDMNT'!E:E,0,0,1)</f>
        <v>3873327651.4900002</v>
      </c>
      <c r="W517" s="44">
        <f>+_xlfn.XLOOKUP(PROYECTOS[[#This Row],[MUNICIPIO]],'4.CAP_ENDMNT'!B:B,'4.CAP_ENDMNT'!F:F,0,0,1)</f>
        <v>7785617650.7945004</v>
      </c>
      <c r="X517" s="44">
        <f>+_xlfn.XLOOKUP(PROYECTOS[[#This Row],[MUNICIPIO]],'4.CAP_ENDMNT'!B:B,'4.CAP_ENDMNT'!G:G,0,0,1)</f>
        <v>358053435</v>
      </c>
      <c r="Y517" s="44">
        <f>+_xlfn.XLOOKUP(PROYECTOS[[#This Row],[MUNICIPIO]],'4.CAP_ENDMNT'!B:B,'4.CAP_ENDMNT'!H:H,0,0,1)</f>
        <v>0</v>
      </c>
      <c r="Z517" s="44">
        <f>+_xlfn.XLOOKUP(PROYECTOS[[#This Row],[MUNICIPIO]],'4.CAP_ENDMNT'!B:B,'4.CAP_ENDMNT'!I:I,0,0,1)</f>
        <v>358053435</v>
      </c>
      <c r="AA517" s="134">
        <f>+_xlfn.XLOOKUP(PROYECTOS[[#This Row],[MUNICIPIO]],'4.CAP_ENDMNT'!B:B,'4.CAP_ENDMNT'!J:J,0,0,1)</f>
        <v>3.0710619675850231E-2</v>
      </c>
      <c r="AB517" s="44">
        <f>+_xlfn.XLOOKUP(PROYECTOS[[#This Row],[MUNICIPIO]],'4.CAP_ENDMNT'!B:B,'4.CAP_ENDMNT'!K:K,0,0,1)</f>
        <v>11300891867.2845</v>
      </c>
      <c r="AC517" s="44">
        <f>+_xlfn.XLOOKUP(PROYECTOS[[#This Row],[MUNICIPIO]],'4.CAP_ENDMNT'!B:B,'4.CAP_ENDMNT'!L:L,0,0,1)</f>
        <v>9040713493.8276005</v>
      </c>
      <c r="AD517" s="44">
        <f>+_xlfn.XLOOKUP(PROYECTOS[[#This Row],[MUNICIPIO]],'4.CAP_ENDMNT'!B:B,'4.CAP_ENDMNT'!M:M,0,0,1)</f>
        <v>6780535120.3706999</v>
      </c>
      <c r="AE517" s="134">
        <f>+_xlfn.XLOOKUP(PROYECTOS[[#This Row],[MUNICIPIO]],'4.CAP_ENDMNT'!B:B,'4.CAP_ENDMNT'!N:N,0,0,1)</f>
        <v>1</v>
      </c>
      <c r="AF517" s="134">
        <f>+_xlfn.XLOOKUP(PROYECTOS[[#This Row],[MUNICIPIO]],'4.CAP_ENDMNT'!B:B,'4.CAP_ENDMNT'!O:O,0,0,1)</f>
        <v>0.73337464913949513</v>
      </c>
      <c r="AG517" s="134">
        <f>+_xlfn.XLOOKUP(PROYECTOS[[#This Row],[MUNICIPIO]],'4.CAP_ENDMNT'!B:B,'4.CAP_ENDMNT'!P:P,0,0,1)</f>
        <v>0.8</v>
      </c>
      <c r="AH517" s="44" t="str">
        <f>+_xlfn.XLOOKUP(PROYECTOS[[#This Row],[MUNICIPIO]],'4.CAP_ENDMNT'!B:B,'4.CAP_ENDMNT'!Q:Q,0,0,1)</f>
        <v>Cumple</v>
      </c>
      <c r="AI517" s="139">
        <f>+_xlfn.XLOOKUP(PROYECTOS[[#This Row],[MUNICIPIO]],'4.CAP_ENDMNT'!B:B,'4.CAP_ENDMNT'!V:V,0,0,1)</f>
        <v>1356107024.0741401</v>
      </c>
      <c r="AJ517" s="139">
        <f>+_xlfn.XLOOKUP(PROYECTOS[[#This Row],[MUNICIPIO]],'4.CAP_ENDMNT'!B:B,'4.CAP_ENDMNT'!Y:Y,0,0,1)</f>
        <v>177652909.44483948</v>
      </c>
    </row>
    <row r="518" spans="1:36" ht="15" customHeight="1">
      <c r="A518" s="44">
        <v>632</v>
      </c>
      <c r="B518" s="37" t="s">
        <v>1348</v>
      </c>
      <c r="C518" s="118">
        <v>45798</v>
      </c>
      <c r="D518" s="46" t="s">
        <v>57</v>
      </c>
      <c r="E518" s="47" t="str">
        <f>+_xlfn.XLOOKUP(PROYECTOS[[#This Row],[MUNICIPIO]],MUNICIPIOS!A:A,MUNICIPIOS!E:E,0,0,1)</f>
        <v>Norte</v>
      </c>
      <c r="F518" s="44">
        <f>+_xlfn.XLOOKUP(PROYECTOS[[#This Row],[MUNICIPIO]],MUNICIPIOS!A:A,MUNICIPIOS!F:F,0,0,1)</f>
        <v>-75.683351999999999</v>
      </c>
      <c r="G518" s="44" t="str">
        <f>+_xlfn.XLOOKUP(PROYECTOS[[#This Row],[MUNICIPIO]],MUNICIPIOS!A:A,MUNICIPIOS!G:G,0,0,1)</f>
        <v>6,85009</v>
      </c>
      <c r="H518" s="44">
        <f>+_xlfn.XLOOKUP(PROYECTOS[[#This Row],[MUNICIPIO]],MUNICIPIOS!A:A,MUNICIPIOS!B:B,0,0,1)</f>
        <v>0</v>
      </c>
      <c r="I518" s="44">
        <f>+_xlfn.XLOOKUP(PROYECTOS[[#This Row],[MUNICIPIO]],MUNICIPIOS!A:A,MUNICIPIOS!C:C,0,0,1)</f>
        <v>0</v>
      </c>
      <c r="J518" s="34" t="str" cm="1">
        <f t="array" ref="J518">_xlfn.TEXTJOIN(" ", TRUE, IF(radicados[ID PROYECTOS]=A518, radicados[RADICADO], ""))</f>
        <v/>
      </c>
      <c r="K518" s="45">
        <v>3</v>
      </c>
      <c r="L518" s="48">
        <v>2104630655</v>
      </c>
      <c r="M518" s="34" t="s">
        <v>435</v>
      </c>
      <c r="N518" s="40" t="s">
        <v>394</v>
      </c>
      <c r="O518" s="40" t="s">
        <v>18</v>
      </c>
      <c r="P518" s="37"/>
      <c r="Q518" s="45">
        <v>1</v>
      </c>
      <c r="R518" s="43" t="s">
        <v>922</v>
      </c>
      <c r="S518" s="43" t="s">
        <v>1643</v>
      </c>
      <c r="T518" s="44">
        <f>+_xlfn.XLOOKUP(PROYECTOS[[#This Row],[MUNICIPIO]],'4.CAP_ENDMNT'!B:B,'4.CAP_ENDMNT'!C:C,0,0,1)</f>
        <v>6</v>
      </c>
      <c r="U518" s="167">
        <f>+_xlfn.XLOOKUP(PROYECTOS[[#This Row],[MUNICIPIO]],'4.CAP_ENDMNT'!B:B,'4.CAP_ENDMNT'!D:D,0,0,1)</f>
        <v>5437802568.3275003</v>
      </c>
      <c r="V518" s="44">
        <f>+_xlfn.XLOOKUP(PROYECTOS[[#This Row],[MUNICIPIO]],'4.CAP_ENDMNT'!B:B,'4.CAP_ENDMNT'!E:E,0,0,1)</f>
        <v>2195257843.8499999</v>
      </c>
      <c r="W518" s="44">
        <f>+_xlfn.XLOOKUP(PROYECTOS[[#This Row],[MUNICIPIO]],'4.CAP_ENDMNT'!B:B,'4.CAP_ENDMNT'!F:F,0,0,1)</f>
        <v>3242544724.4775004</v>
      </c>
      <c r="X518" s="44">
        <f>+_xlfn.XLOOKUP(PROYECTOS[[#This Row],[MUNICIPIO]],'4.CAP_ENDMNT'!B:B,'4.CAP_ENDMNT'!G:G,0,0,1)</f>
        <v>1389038990</v>
      </c>
      <c r="Y518" s="44">
        <f>+_xlfn.XLOOKUP(PROYECTOS[[#This Row],[MUNICIPIO]],'4.CAP_ENDMNT'!B:B,'4.CAP_ENDMNT'!H:H,0,0,1)</f>
        <v>0</v>
      </c>
      <c r="Z518" s="44">
        <f>+_xlfn.XLOOKUP(PROYECTOS[[#This Row],[MUNICIPIO]],'4.CAP_ENDMNT'!B:B,'4.CAP_ENDMNT'!I:I,0,0,1)</f>
        <v>1389038990</v>
      </c>
      <c r="AA518" s="134">
        <f>+_xlfn.XLOOKUP(PROYECTOS[[#This Row],[MUNICIPIO]],'4.CAP_ENDMNT'!B:B,'4.CAP_ENDMNT'!J:J,0,0,1)</f>
        <v>0.25544123247329026</v>
      </c>
      <c r="AB518" s="44">
        <f>+_xlfn.XLOOKUP(PROYECTOS[[#This Row],[MUNICIPIO]],'4.CAP_ENDMNT'!B:B,'4.CAP_ENDMNT'!K:K,0,0,1)</f>
        <v>4048763578.3275003</v>
      </c>
      <c r="AC518" s="44">
        <f>+_xlfn.XLOOKUP(PROYECTOS[[#This Row],[MUNICIPIO]],'4.CAP_ENDMNT'!B:B,'4.CAP_ENDMNT'!L:L,0,0,1)</f>
        <v>3239010862.6620007</v>
      </c>
      <c r="AD518" s="44">
        <f>+_xlfn.XLOOKUP(PROYECTOS[[#This Row],[MUNICIPIO]],'4.CAP_ENDMNT'!B:B,'4.CAP_ENDMNT'!M:M,0,0,1)</f>
        <v>2429258146.9965</v>
      </c>
      <c r="AE518" s="134">
        <f>+_xlfn.XLOOKUP(PROYECTOS[[#This Row],[MUNICIPIO]],'4.CAP_ENDMNT'!B:B,'4.CAP_ENDMNT'!N:N,0,0,1)</f>
        <v>1</v>
      </c>
      <c r="AF518" s="134">
        <f>+_xlfn.XLOOKUP(PROYECTOS[[#This Row],[MUNICIPIO]],'4.CAP_ENDMNT'!B:B,'4.CAP_ENDMNT'!O:O,0,0,1)</f>
        <v>0.74230580339650343</v>
      </c>
      <c r="AG518" s="134">
        <f>+_xlfn.XLOOKUP(PROYECTOS[[#This Row],[MUNICIPIO]],'4.CAP_ENDMNT'!B:B,'4.CAP_ENDMNT'!P:P,0,0,1)</f>
        <v>0.8</v>
      </c>
      <c r="AH518" s="44" t="str">
        <f>+_xlfn.XLOOKUP(PROYECTOS[[#This Row],[MUNICIPIO]],'4.CAP_ENDMNT'!B:B,'4.CAP_ENDMNT'!Q:Q,0,0,1)</f>
        <v>Cumple</v>
      </c>
      <c r="AI518" s="139">
        <f>+_xlfn.XLOOKUP(PROYECTOS[[#This Row],[MUNICIPIO]],'4.CAP_ENDMNT'!B:B,'4.CAP_ENDMNT'!V:V,0,0,1)</f>
        <v>485851629.39930004</v>
      </c>
      <c r="AJ518" s="139">
        <f>+_xlfn.XLOOKUP(PROYECTOS[[#This Row],[MUNICIPIO]],'4.CAP_ENDMNT'!B:B,'4.CAP_ENDMNT'!Y:Y,0,0,1)</f>
        <v>-14155936706.6042</v>
      </c>
    </row>
    <row r="519" spans="1:36" ht="15" customHeight="1">
      <c r="A519" s="44">
        <v>633</v>
      </c>
      <c r="B519" s="37" t="s">
        <v>1349</v>
      </c>
      <c r="C519" s="118">
        <v>45798</v>
      </c>
      <c r="D519" s="46" t="s">
        <v>369</v>
      </c>
      <c r="E519" s="47" t="str">
        <f>+_xlfn.XLOOKUP(PROYECTOS[[#This Row],[MUNICIPIO]],MUNICIPIOS!A:A,MUNICIPIOS!E:E,0,0,1)</f>
        <v>Nordeste</v>
      </c>
      <c r="F519" s="44">
        <f>+_xlfn.XLOOKUP(PROYECTOS[[#This Row],[MUNICIPIO]],MUNICIPIOS!A:A,MUNICIPIOS!F:F,0,0,1)</f>
        <v>-75.164902999999995</v>
      </c>
      <c r="G519" s="44" t="str">
        <f>+_xlfn.XLOOKUP(PROYECTOS[[#This Row],[MUNICIPIO]],MUNICIPIOS!A:A,MUNICIPIOS!G:G,0,0,1)</f>
        <v>6,473032</v>
      </c>
      <c r="H519" s="44">
        <f>+_xlfn.XLOOKUP(PROYECTOS[[#This Row],[MUNICIPIO]],MUNICIPIOS!A:A,MUNICIPIOS!B:B,0,0,1)</f>
        <v>0</v>
      </c>
      <c r="I519" s="44">
        <f>+_xlfn.XLOOKUP(PROYECTOS[[#This Row],[MUNICIPIO]],MUNICIPIOS!A:A,MUNICIPIOS!C:C,0,0,1)</f>
        <v>1</v>
      </c>
      <c r="J519" s="34" t="str" cm="1">
        <f t="array" ref="J519">_xlfn.TEXTJOIN(" ", TRUE, IF(radicados[ID PROYECTOS]=A519, radicados[RADICADO], ""))</f>
        <v/>
      </c>
      <c r="K519" s="45">
        <v>3</v>
      </c>
      <c r="L519" s="48">
        <v>489948882</v>
      </c>
      <c r="M519" s="34" t="s">
        <v>435</v>
      </c>
      <c r="N519" s="40" t="s">
        <v>398</v>
      </c>
      <c r="O519" s="40" t="s">
        <v>25</v>
      </c>
      <c r="P519" s="37"/>
      <c r="Q519" s="45">
        <v>1</v>
      </c>
      <c r="R519" s="43" t="s">
        <v>922</v>
      </c>
      <c r="S519" s="43" t="s">
        <v>1643</v>
      </c>
      <c r="T519" s="44">
        <f>+_xlfn.XLOOKUP(PROYECTOS[[#This Row],[MUNICIPIO]],'4.CAP_ENDMNT'!B:B,'4.CAP_ENDMNT'!C:C,0,0,1)</f>
        <v>6</v>
      </c>
      <c r="U519" s="167">
        <f>+_xlfn.XLOOKUP(PROYECTOS[[#This Row],[MUNICIPIO]],'4.CAP_ENDMNT'!B:B,'4.CAP_ENDMNT'!D:D,0,0,1)</f>
        <v>13758623676.126001</v>
      </c>
      <c r="V519" s="44">
        <f>+_xlfn.XLOOKUP(PROYECTOS[[#This Row],[MUNICIPIO]],'4.CAP_ENDMNT'!B:B,'4.CAP_ENDMNT'!E:E,0,0,1)</f>
        <v>4170961872.3800001</v>
      </c>
      <c r="W519" s="44">
        <f>+_xlfn.XLOOKUP(PROYECTOS[[#This Row],[MUNICIPIO]],'4.CAP_ENDMNT'!B:B,'4.CAP_ENDMNT'!F:F,0,0,1)</f>
        <v>9587661803.7460022</v>
      </c>
      <c r="X519" s="44">
        <f>+_xlfn.XLOOKUP(PROYECTOS[[#This Row],[MUNICIPIO]],'4.CAP_ENDMNT'!B:B,'4.CAP_ENDMNT'!G:G,0,0,1)</f>
        <v>5765015946</v>
      </c>
      <c r="Y519" s="44">
        <f>+_xlfn.XLOOKUP(PROYECTOS[[#This Row],[MUNICIPIO]],'4.CAP_ENDMNT'!B:B,'4.CAP_ENDMNT'!H:H,0,0,1)</f>
        <v>0</v>
      </c>
      <c r="Z519" s="44">
        <f>+_xlfn.XLOOKUP(PROYECTOS[[#This Row],[MUNICIPIO]],'4.CAP_ENDMNT'!B:B,'4.CAP_ENDMNT'!I:I,0,0,1)</f>
        <v>5765015946</v>
      </c>
      <c r="AA519" s="134">
        <f>+_xlfn.XLOOKUP(PROYECTOS[[#This Row],[MUNICIPIO]],'4.CAP_ENDMNT'!B:B,'4.CAP_ENDMNT'!J:J,0,0,1)</f>
        <v>0.41901109309381507</v>
      </c>
      <c r="AB519" s="44">
        <f>+_xlfn.XLOOKUP(PROYECTOS[[#This Row],[MUNICIPIO]],'4.CAP_ENDMNT'!B:B,'4.CAP_ENDMNT'!K:K,0,0,1)</f>
        <v>7993607730.1260014</v>
      </c>
      <c r="AC519" s="44">
        <f>+_xlfn.XLOOKUP(PROYECTOS[[#This Row],[MUNICIPIO]],'4.CAP_ENDMNT'!B:B,'4.CAP_ENDMNT'!L:L,0,0,1)</f>
        <v>6394886184.1008015</v>
      </c>
      <c r="AD519" s="44">
        <f>+_xlfn.XLOOKUP(PROYECTOS[[#This Row],[MUNICIPIO]],'4.CAP_ENDMNT'!B:B,'4.CAP_ENDMNT'!M:M,0,0,1)</f>
        <v>4796164638.0756006</v>
      </c>
      <c r="AE519" s="134">
        <f>+_xlfn.XLOOKUP(PROYECTOS[[#This Row],[MUNICIPIO]],'4.CAP_ENDMNT'!B:B,'4.CAP_ENDMNT'!N:N,0,0,1)</f>
        <v>1</v>
      </c>
      <c r="AF519" s="134">
        <f>+_xlfn.XLOOKUP(PROYECTOS[[#This Row],[MUNICIPIO]],'4.CAP_ENDMNT'!B:B,'4.CAP_ENDMNT'!O:O,0,0,1)</f>
        <v>0.61660684639206742</v>
      </c>
      <c r="AG519" s="134">
        <f>+_xlfn.XLOOKUP(PROYECTOS[[#This Row],[MUNICIPIO]],'4.CAP_ENDMNT'!B:B,'4.CAP_ENDMNT'!P:P,0,0,1)</f>
        <v>0.8</v>
      </c>
      <c r="AH519" s="44" t="str">
        <f>+_xlfn.XLOOKUP(PROYECTOS[[#This Row],[MUNICIPIO]],'4.CAP_ENDMNT'!B:B,'4.CAP_ENDMNT'!Q:Q,0,0,1)</f>
        <v>Cumple</v>
      </c>
      <c r="AI519" s="139">
        <f>+_xlfn.XLOOKUP(PROYECTOS[[#This Row],[MUNICIPIO]],'4.CAP_ENDMNT'!B:B,'4.CAP_ENDMNT'!V:V,0,0,1)</f>
        <v>959232927.61512017</v>
      </c>
      <c r="AJ519" s="139">
        <f>+_xlfn.XLOOKUP(PROYECTOS[[#This Row],[MUNICIPIO]],'4.CAP_ENDMNT'!B:B,'4.CAP_ENDMNT'!Y:Y,0,0,1)</f>
        <v>-12238697187.30928</v>
      </c>
    </row>
    <row r="520" spans="1:36" ht="15" customHeight="1">
      <c r="A520" s="44">
        <v>636</v>
      </c>
      <c r="B520" s="37" t="s">
        <v>1514</v>
      </c>
      <c r="C520" s="118">
        <f>+_xlfn.XLOOKUP(PROYECTOS[[#This Row],[ID_NECESIDAD]],'1.RADICADOS'!G:G,'1.RADICADOS'!C:C,0,0,1)*1</f>
        <v>45799</v>
      </c>
      <c r="D520" s="46" t="s">
        <v>177</v>
      </c>
      <c r="E520" s="47" t="str">
        <f>+_xlfn.XLOOKUP(PROYECTOS[[#This Row],[MUNICIPIO]],MUNICIPIOS!A:A,MUNICIPIOS!E:E,0,0,1)</f>
        <v>Oriente</v>
      </c>
      <c r="F520" s="44">
        <f>+_xlfn.XLOOKUP(PROYECTOS[[#This Row],[MUNICIPIO]],MUNICIPIOS!A:A,MUNICIPIOS!F:F,0,0,1)</f>
        <v>-75.339344999999994</v>
      </c>
      <c r="G520" s="44" t="str">
        <f>+_xlfn.XLOOKUP(PROYECTOS[[#This Row],[MUNICIPIO]],MUNICIPIOS!A:A,MUNICIPIOS!G:G,0,0,1)</f>
        <v>6,173995</v>
      </c>
      <c r="H520" s="44">
        <f>+_xlfn.XLOOKUP(PROYECTOS[[#This Row],[MUNICIPIO]],MUNICIPIOS!A:A,MUNICIPIOS!B:B,0,0,1)</f>
        <v>0</v>
      </c>
      <c r="I520" s="44">
        <f>+_xlfn.XLOOKUP(PROYECTOS[[#This Row],[MUNICIPIO]],MUNICIPIOS!A:A,MUNICIPIOS!C:C,0,0,1)</f>
        <v>0</v>
      </c>
      <c r="J520" s="34" t="str" cm="1">
        <f t="array" ref="J520">_xlfn.TEXTJOIN(", ", TRUE, IF(radicados[ID PROYECTOS]=A520, radicados[RADICADO], ""))</f>
        <v>2025010254427, 2025010142672</v>
      </c>
      <c r="K520" s="45">
        <v>3</v>
      </c>
      <c r="L520" s="48">
        <v>2104233259</v>
      </c>
      <c r="M520" s="34" t="s">
        <v>396</v>
      </c>
      <c r="N520" s="40" t="s">
        <v>394</v>
      </c>
      <c r="O520" s="40" t="s">
        <v>18</v>
      </c>
      <c r="P520" s="37" t="s">
        <v>1556</v>
      </c>
      <c r="Q520" s="45"/>
      <c r="R520" s="166"/>
      <c r="S520" s="166"/>
      <c r="T520" s="44">
        <f>+_xlfn.XLOOKUP(PROYECTOS[[#This Row],[MUNICIPIO]],'4.CAP_ENDMNT'!B:B,'4.CAP_ENDMNT'!C:C,0,0,1)</f>
        <v>4</v>
      </c>
      <c r="U520" s="167">
        <f>+_xlfn.XLOOKUP(PROYECTOS[[#This Row],[MUNICIPIO]],'4.CAP_ENDMNT'!B:B,'4.CAP_ENDMNT'!D:D,0,0,1)</f>
        <v>62016835956.019493</v>
      </c>
      <c r="V520" s="44">
        <f>+_xlfn.XLOOKUP(PROYECTOS[[#This Row],[MUNICIPIO]],'4.CAP_ENDMNT'!B:B,'4.CAP_ENDMNT'!E:E,0,0,1)</f>
        <v>25368005936.310001</v>
      </c>
      <c r="W520" s="44">
        <f>+_xlfn.XLOOKUP(PROYECTOS[[#This Row],[MUNICIPIO]],'4.CAP_ENDMNT'!B:B,'4.CAP_ENDMNT'!F:F,0,0,1)</f>
        <v>36648830019.709488</v>
      </c>
      <c r="X520" s="44">
        <f>+_xlfn.XLOOKUP(PROYECTOS[[#This Row],[MUNICIPIO]],'4.CAP_ENDMNT'!B:B,'4.CAP_ENDMNT'!G:G,0,0,1)</f>
        <v>25635932166</v>
      </c>
      <c r="Y520" s="44">
        <f>+_xlfn.XLOOKUP(PROYECTOS[[#This Row],[MUNICIPIO]],'4.CAP_ENDMNT'!B:B,'4.CAP_ENDMNT'!H:H,0,0,1)</f>
        <v>7522176280</v>
      </c>
      <c r="Z520" s="44">
        <f>+_xlfn.XLOOKUP(PROYECTOS[[#This Row],[MUNICIPIO]],'4.CAP_ENDMNT'!B:B,'4.CAP_ENDMNT'!I:I,0,0,1)</f>
        <v>33158108446</v>
      </c>
      <c r="AA520" s="134">
        <f>+_xlfn.XLOOKUP(PROYECTOS[[#This Row],[MUNICIPIO]],'4.CAP_ENDMNT'!B:B,'4.CAP_ENDMNT'!J:J,0,0,1)</f>
        <v>0.53466301424204787</v>
      </c>
      <c r="AB520" s="44">
        <f>+_xlfn.XLOOKUP(PROYECTOS[[#This Row],[MUNICIPIO]],'4.CAP_ENDMNT'!B:B,'4.CAP_ENDMNT'!K:K,0,0,1)</f>
        <v>28858727510.019493</v>
      </c>
      <c r="AC520" s="44">
        <f>+_xlfn.XLOOKUP(PROYECTOS[[#This Row],[MUNICIPIO]],'4.CAP_ENDMNT'!B:B,'4.CAP_ENDMNT'!L:L,0,0,1)</f>
        <v>23086982008.015594</v>
      </c>
      <c r="AD520" s="44">
        <f>+_xlfn.XLOOKUP(PROYECTOS[[#This Row],[MUNICIPIO]],'4.CAP_ENDMNT'!B:B,'4.CAP_ENDMNT'!M:M,0,0,1)</f>
        <v>17315236506.011696</v>
      </c>
      <c r="AE520" s="134">
        <f>+_xlfn.XLOOKUP(PROYECTOS[[#This Row],[MUNICIPIO]],'4.CAP_ENDMNT'!B:B,'4.CAP_ENDMNT'!N:N,0,0,1)</f>
        <v>0.77314217750839676</v>
      </c>
      <c r="AF520" s="134">
        <f>+_xlfn.XLOOKUP(PROYECTOS[[#This Row],[MUNICIPIO]],'4.CAP_ENDMNT'!B:B,'4.CAP_ENDMNT'!O:O,0,0,1)</f>
        <v>0.52777286703387605</v>
      </c>
      <c r="AG520" s="134">
        <f>+_xlfn.XLOOKUP(PROYECTOS[[#This Row],[MUNICIPIO]],'4.CAP_ENDMNT'!B:B,'4.CAP_ENDMNT'!P:P,0,0,1)</f>
        <v>0.8</v>
      </c>
      <c r="AH520" s="44" t="str">
        <f>+_xlfn.XLOOKUP(PROYECTOS[[#This Row],[MUNICIPIO]],'4.CAP_ENDMNT'!B:B,'4.CAP_ENDMNT'!Q:Q,0,0,1)</f>
        <v>Cumple</v>
      </c>
      <c r="AI520" s="139">
        <f>+_xlfn.XLOOKUP(PROYECTOS[[#This Row],[MUNICIPIO]],'4.CAP_ENDMNT'!B:B,'4.CAP_ENDMNT'!V:V,0,0,1)</f>
        <v>3463047301.2023392</v>
      </c>
      <c r="AJ520" s="139">
        <f>+_xlfn.XLOOKUP(PROYECTOS[[#This Row],[MUNICIPIO]],'4.CAP_ENDMNT'!B:B,'4.CAP_ENDMNT'!Y:Y,0,0,1)</f>
        <v>-1514260574754.7859</v>
      </c>
    </row>
    <row r="521" spans="1:36" ht="15" customHeight="1">
      <c r="A521" s="44">
        <v>637</v>
      </c>
      <c r="B521" s="37" t="s">
        <v>1515</v>
      </c>
      <c r="C521" s="118">
        <f>+_xlfn.XLOOKUP(PROYECTOS[[#This Row],[ID_NECESIDAD]],'1.RADICADOS'!G:G,'1.RADICADOS'!C:C,0,0,1)*1</f>
        <v>45785</v>
      </c>
      <c r="D521" s="46" t="s">
        <v>281</v>
      </c>
      <c r="E521" s="47" t="str">
        <f>+_xlfn.XLOOKUP(PROYECTOS[[#This Row],[MUNICIPIO]],MUNICIPIOS!A:A,MUNICIPIOS!E:E,0,0,1)</f>
        <v>Suroeste</v>
      </c>
      <c r="F521" s="44">
        <f>+_xlfn.XLOOKUP(PROYECTOS[[#This Row],[MUNICIPIO]],MUNICIPIOS!A:A,MUNICIPIOS!F:F,0,0,1)</f>
        <v>-75.735544000000004</v>
      </c>
      <c r="G521" s="44">
        <f>+_xlfn.XLOOKUP(PROYECTOS[[#This Row],[MUNICIPIO]],MUNICIPIOS!A:A,MUNICIPIOS!G:G,0,0,1)</f>
        <v>5.9646929999999996</v>
      </c>
      <c r="H521" s="44">
        <f>+_xlfn.XLOOKUP(PROYECTOS[[#This Row],[MUNICIPIO]],MUNICIPIOS!A:A,MUNICIPIOS!B:B,0,0,1)</f>
        <v>0</v>
      </c>
      <c r="I521" s="44">
        <f>+_xlfn.XLOOKUP(PROYECTOS[[#This Row],[MUNICIPIO]],MUNICIPIOS!A:A,MUNICIPIOS!C:C,0,0,1)</f>
        <v>0</v>
      </c>
      <c r="J521" s="34" t="str" cm="1">
        <f t="array" ref="J521">_xlfn.TEXTJOIN(", ", TRUE, IF(radicados[ID PROYECTOS]=A521, radicados[RADICADO], ""))</f>
        <v>2025010227231</v>
      </c>
      <c r="K521" s="45">
        <v>1</v>
      </c>
      <c r="L521" s="185"/>
      <c r="M521" s="34" t="s">
        <v>288</v>
      </c>
      <c r="N521" s="40" t="s">
        <v>398</v>
      </c>
      <c r="O521" s="40" t="s">
        <v>25</v>
      </c>
      <c r="P521" s="33" t="s">
        <v>1737</v>
      </c>
      <c r="Q521" s="45"/>
      <c r="R521" s="166"/>
      <c r="S521" s="166"/>
      <c r="T521" s="44">
        <f>+_xlfn.XLOOKUP(PROYECTOS[[#This Row],[MUNICIPIO]],'4.CAP_ENDMNT'!B:B,'4.CAP_ENDMNT'!C:C,0,0,1)</f>
        <v>6</v>
      </c>
      <c r="U521" s="167">
        <f>+_xlfn.XLOOKUP(PROYECTOS[[#This Row],[MUNICIPIO]],'4.CAP_ENDMNT'!B:B,'4.CAP_ENDMNT'!D:D,0,0,1)</f>
        <v>12522207884.799</v>
      </c>
      <c r="V521" s="44">
        <f>+_xlfn.XLOOKUP(PROYECTOS[[#This Row],[MUNICIPIO]],'4.CAP_ENDMNT'!B:B,'4.CAP_ENDMNT'!E:E,0,0,1)</f>
        <v>6810462569.46</v>
      </c>
      <c r="W521" s="44">
        <f>+_xlfn.XLOOKUP(PROYECTOS[[#This Row],[MUNICIPIO]],'4.CAP_ENDMNT'!B:B,'4.CAP_ENDMNT'!F:F,0,0,1)</f>
        <v>5711745315.3389997</v>
      </c>
      <c r="X521" s="44">
        <f>+_xlfn.XLOOKUP(PROYECTOS[[#This Row],[MUNICIPIO]],'4.CAP_ENDMNT'!B:B,'4.CAP_ENDMNT'!G:G,0,0,1)</f>
        <v>0</v>
      </c>
      <c r="Y521" s="44">
        <f>+_xlfn.XLOOKUP(PROYECTOS[[#This Row],[MUNICIPIO]],'4.CAP_ENDMNT'!B:B,'4.CAP_ENDMNT'!H:H,0,0,1)</f>
        <v>0</v>
      </c>
      <c r="Z521" s="44">
        <f>+_xlfn.XLOOKUP(PROYECTOS[[#This Row],[MUNICIPIO]],'4.CAP_ENDMNT'!B:B,'4.CAP_ENDMNT'!I:I,0,0,1)</f>
        <v>0</v>
      </c>
      <c r="AA521" s="134">
        <f>+_xlfn.XLOOKUP(PROYECTOS[[#This Row],[MUNICIPIO]],'4.CAP_ENDMNT'!B:B,'4.CAP_ENDMNT'!J:J,0,0,1)</f>
        <v>0</v>
      </c>
      <c r="AB521" s="44">
        <f>+_xlfn.XLOOKUP(PROYECTOS[[#This Row],[MUNICIPIO]],'4.CAP_ENDMNT'!B:B,'4.CAP_ENDMNT'!K:K,0,0,1)</f>
        <v>12522207884.799</v>
      </c>
      <c r="AC521" s="44">
        <f>+_xlfn.XLOOKUP(PROYECTOS[[#This Row],[MUNICIPIO]],'4.CAP_ENDMNT'!B:B,'4.CAP_ENDMNT'!L:L,0,0,1)</f>
        <v>10017766307.839201</v>
      </c>
      <c r="AD521" s="44">
        <f>+_xlfn.XLOOKUP(PROYECTOS[[#This Row],[MUNICIPIO]],'4.CAP_ENDMNT'!B:B,'4.CAP_ENDMNT'!M:M,0,0,1)</f>
        <v>7513324730.8793993</v>
      </c>
      <c r="AE521" s="134">
        <f>+_xlfn.XLOOKUP(PROYECTOS[[#This Row],[MUNICIPIO]],'4.CAP_ENDMNT'!B:B,'4.CAP_ENDMNT'!N:N,0,0,1)</f>
        <v>0</v>
      </c>
      <c r="AF521" s="134">
        <f>+_xlfn.XLOOKUP(PROYECTOS[[#This Row],[MUNICIPIO]],'4.CAP_ENDMNT'!B:B,'4.CAP_ENDMNT'!O:O,0,0,1)</f>
        <v>0.68767493145996073</v>
      </c>
      <c r="AG521" s="134">
        <f>+_xlfn.XLOOKUP(PROYECTOS[[#This Row],[MUNICIPIO]],'4.CAP_ENDMNT'!B:B,'4.CAP_ENDMNT'!P:P,0,0,1)</f>
        <v>0.8</v>
      </c>
      <c r="AH521" s="44" t="str">
        <f>+_xlfn.XLOOKUP(PROYECTOS[[#This Row],[MUNICIPIO]],'4.CAP_ENDMNT'!B:B,'4.CAP_ENDMNT'!Q:Q,0,0,1)</f>
        <v>Cumple</v>
      </c>
      <c r="AI521" s="139">
        <f>+_xlfn.XLOOKUP(PROYECTOS[[#This Row],[MUNICIPIO]],'4.CAP_ENDMNT'!B:B,'4.CAP_ENDMNT'!V:V,0,0,1)</f>
        <v>1502664946.17588</v>
      </c>
      <c r="AJ521" s="139">
        <f>+_xlfn.XLOOKUP(PROYECTOS[[#This Row],[MUNICIPIO]],'4.CAP_ENDMNT'!B:B,'4.CAP_ENDMNT'!Y:Y,0,0,1)</f>
        <v>-30486452994.944721</v>
      </c>
    </row>
    <row r="522" spans="1:36" ht="15" customHeight="1">
      <c r="A522" s="44">
        <v>638</v>
      </c>
      <c r="B522" t="s">
        <v>1517</v>
      </c>
      <c r="C522" s="118">
        <f>+_xlfn.XLOOKUP(PROYECTOS[[#This Row],[ID_NECESIDAD]],'1.RADICADOS'!G:G,'1.RADICADOS'!C:C,0,0,1)*1</f>
        <v>45798</v>
      </c>
      <c r="D522" s="46" t="s">
        <v>196</v>
      </c>
      <c r="E522" s="47" t="str">
        <f>+_xlfn.XLOOKUP(PROYECTOS[[#This Row],[MUNICIPIO]],MUNICIPIOS!A:A,MUNICIPIOS!E:E,0,0,1)</f>
        <v>Valle de Aburrá</v>
      </c>
      <c r="F522" s="44">
        <f>+_xlfn.XLOOKUP(PROYECTOS[[#This Row],[MUNICIPIO]],MUNICIPIOS!A:A,MUNICIPIOS!F:F,0,0,1)</f>
        <v>-75.444237999999999</v>
      </c>
      <c r="G522" s="44" t="str">
        <f>+_xlfn.XLOOKUP(PROYECTOS[[#This Row],[MUNICIPIO]],MUNICIPIOS!A:A,MUNICIPIOS!G:G,0,0,1)</f>
        <v>6,379472</v>
      </c>
      <c r="H522" s="44">
        <f>+_xlfn.XLOOKUP(PROYECTOS[[#This Row],[MUNICIPIO]],MUNICIPIOS!A:A,MUNICIPIOS!B:B,0,0,1)</f>
        <v>0</v>
      </c>
      <c r="I522" s="44">
        <f>+_xlfn.XLOOKUP(PROYECTOS[[#This Row],[MUNICIPIO]],MUNICIPIOS!A:A,MUNICIPIOS!C:C,0,0,1)</f>
        <v>0</v>
      </c>
      <c r="J522" s="34" t="str" cm="1">
        <f t="array" ref="J522">_xlfn.TEXTJOIN(", ", TRUE, IF(radicados[ID PROYECTOS]=A522, radicados[RADICADO], ""))</f>
        <v>2025010253548</v>
      </c>
      <c r="K522" s="45">
        <v>3</v>
      </c>
      <c r="L522" s="185">
        <v>7581205868</v>
      </c>
      <c r="M522" s="34" t="s">
        <v>396</v>
      </c>
      <c r="N522" s="40" t="s">
        <v>398</v>
      </c>
      <c r="O522" s="40" t="s">
        <v>25</v>
      </c>
      <c r="P522" s="37" t="s">
        <v>1518</v>
      </c>
      <c r="Q522" s="45"/>
      <c r="R522" s="166"/>
      <c r="S522" s="166"/>
      <c r="T522" s="44">
        <f>+_xlfn.XLOOKUP(PROYECTOS[[#This Row],[MUNICIPIO]],'4.CAP_ENDMNT'!B:B,'4.CAP_ENDMNT'!C:C,0,0,1)</f>
        <v>2</v>
      </c>
      <c r="U522" s="167">
        <f>+_xlfn.XLOOKUP(PROYECTOS[[#This Row],[MUNICIPIO]],'4.CAP_ENDMNT'!B:B,'4.CAP_ENDMNT'!D:D,0,0,1)</f>
        <v>101079829717.10699</v>
      </c>
      <c r="V522" s="44">
        <f>+_xlfn.XLOOKUP(PROYECTOS[[#This Row],[MUNICIPIO]],'4.CAP_ENDMNT'!B:B,'4.CAP_ENDMNT'!E:E,0,0,1)</f>
        <v>35923834396.690002</v>
      </c>
      <c r="W522" s="44">
        <f>+_xlfn.XLOOKUP(PROYECTOS[[#This Row],[MUNICIPIO]],'4.CAP_ENDMNT'!B:B,'4.CAP_ENDMNT'!F:F,0,0,1)</f>
        <v>65155995320.416992</v>
      </c>
      <c r="X522" s="44">
        <f>+_xlfn.XLOOKUP(PROYECTOS[[#This Row],[MUNICIPIO]],'4.CAP_ENDMNT'!B:B,'4.CAP_ENDMNT'!G:G,0,0,1)</f>
        <v>0</v>
      </c>
      <c r="Y522" s="44">
        <f>+_xlfn.XLOOKUP(PROYECTOS[[#This Row],[MUNICIPIO]],'4.CAP_ENDMNT'!B:B,'4.CAP_ENDMNT'!H:H,0,0,1)</f>
        <v>33364035579</v>
      </c>
      <c r="Z522" s="44">
        <f>+_xlfn.XLOOKUP(PROYECTOS[[#This Row],[MUNICIPIO]],'4.CAP_ENDMNT'!B:B,'4.CAP_ENDMNT'!I:I,0,0,1)</f>
        <v>33364035579</v>
      </c>
      <c r="AA522" s="134">
        <f>+_xlfn.XLOOKUP(PROYECTOS[[#This Row],[MUNICIPIO]],'4.CAP_ENDMNT'!B:B,'4.CAP_ENDMNT'!J:J,0,0,1)</f>
        <v>0.33007609601615101</v>
      </c>
      <c r="AB522" s="44">
        <f>+_xlfn.XLOOKUP(PROYECTOS[[#This Row],[MUNICIPIO]],'4.CAP_ENDMNT'!B:B,'4.CAP_ENDMNT'!K:K,0,0,1)</f>
        <v>67715794138.106995</v>
      </c>
      <c r="AC522" s="44">
        <f>+_xlfn.XLOOKUP(PROYECTOS[[#This Row],[MUNICIPIO]],'4.CAP_ENDMNT'!B:B,'4.CAP_ENDMNT'!L:L,0,0,1)</f>
        <v>54172635310.485596</v>
      </c>
      <c r="AD522" s="44">
        <f>+_xlfn.XLOOKUP(PROYECTOS[[#This Row],[MUNICIPIO]],'4.CAP_ENDMNT'!B:B,'4.CAP_ENDMNT'!M:M,0,0,1)</f>
        <v>40629476482.864197</v>
      </c>
      <c r="AE522" s="134">
        <f>+_xlfn.XLOOKUP(PROYECTOS[[#This Row],[MUNICIPIO]],'4.CAP_ENDMNT'!B:B,'4.CAP_ENDMNT'!N:N,0,0,1)</f>
        <v>0</v>
      </c>
      <c r="AF522" s="134">
        <f>+_xlfn.XLOOKUP(PROYECTOS[[#This Row],[MUNICIPIO]],'4.CAP_ENDMNT'!B:B,'4.CAP_ENDMNT'!O:O,0,0,1)</f>
        <v>0.39321465077323631</v>
      </c>
      <c r="AG522" s="134">
        <f>+_xlfn.XLOOKUP(PROYECTOS[[#This Row],[MUNICIPIO]],'4.CAP_ENDMNT'!B:B,'4.CAP_ENDMNT'!P:P,0,0,1)</f>
        <v>0.7</v>
      </c>
      <c r="AH522" s="44" t="str">
        <f>+_xlfn.XLOOKUP(PROYECTOS[[#This Row],[MUNICIPIO]],'4.CAP_ENDMNT'!B:B,'4.CAP_ENDMNT'!Q:Q,0,0,1)</f>
        <v>Cumple</v>
      </c>
      <c r="AI522" s="139">
        <f>+_xlfn.XLOOKUP(PROYECTOS[[#This Row],[MUNICIPIO]],'4.CAP_ENDMNT'!B:B,'4.CAP_ENDMNT'!V:V,0,0,1)</f>
        <v>8125895296.5728397</v>
      </c>
      <c r="AJ522" s="139">
        <f>+_xlfn.XLOOKUP(PROYECTOS[[#This Row],[MUNICIPIO]],'4.CAP_ENDMNT'!B:B,'4.CAP_ENDMNT'!Y:Y,0,0,1)</f>
        <v>-38204944046.562965</v>
      </c>
    </row>
    <row r="523" spans="1:36" ht="15" customHeight="1">
      <c r="A523" s="44">
        <v>639</v>
      </c>
      <c r="B523" s="37" t="s">
        <v>1522</v>
      </c>
      <c r="C523" s="118">
        <f>+_xlfn.XLOOKUP(PROYECTOS[[#This Row],[ID_NECESIDAD]],'1.RADICADOS'!G:G,'1.RADICADOS'!C:C,0,0,1)*1</f>
        <v>45798</v>
      </c>
      <c r="D523" s="46" t="s">
        <v>286</v>
      </c>
      <c r="E523" s="47" t="str">
        <f>+_xlfn.XLOOKUP(PROYECTOS[[#This Row],[MUNICIPIO]],MUNICIPIOS!A:A,MUNICIPIOS!E:E,0,0,1)</f>
        <v>Norte</v>
      </c>
      <c r="F523" s="44">
        <f>+_xlfn.XLOOKUP(PROYECTOS[[#This Row],[MUNICIPIO]],MUNICIPIOS!A:A,MUNICIPIOS!F:F,0,0,1)</f>
        <v>-75.298090999999999</v>
      </c>
      <c r="G523" s="44" t="str">
        <f>+_xlfn.XLOOKUP(PROYECTOS[[#This Row],[MUNICIPIO]],MUNICIPIOS!A:A,MUNICIPIOS!G:G,0,0,1)</f>
        <v>6,979771</v>
      </c>
      <c r="H523" s="44">
        <f>+_xlfn.XLOOKUP(PROYECTOS[[#This Row],[MUNICIPIO]],MUNICIPIOS!A:A,MUNICIPIOS!B:B,0,0,1)</f>
        <v>0</v>
      </c>
      <c r="I523" s="44">
        <f>+_xlfn.XLOOKUP(PROYECTOS[[#This Row],[MUNICIPIO]],MUNICIPIOS!A:A,MUNICIPIOS!C:C,0,0,1)</f>
        <v>1</v>
      </c>
      <c r="J523" s="34" t="str" cm="1">
        <f t="array" ref="J523">_xlfn.TEXTJOIN(", ", TRUE, IF(radicados[ID PROYECTOS]=A523, radicados[RADICADO], ""))</f>
        <v>2025010252863</v>
      </c>
      <c r="K523" s="45">
        <v>1</v>
      </c>
      <c r="L523" s="190"/>
      <c r="M523" s="34" t="s">
        <v>288</v>
      </c>
      <c r="N523" s="40" t="s">
        <v>398</v>
      </c>
      <c r="O523" s="40" t="s">
        <v>25</v>
      </c>
      <c r="P523" s="37" t="s">
        <v>1524</v>
      </c>
      <c r="Q523" s="45"/>
      <c r="R523" s="166"/>
      <c r="S523" s="166"/>
      <c r="T523" s="44">
        <f>+_xlfn.XLOOKUP(PROYECTOS[[#This Row],[MUNICIPIO]],'4.CAP_ENDMNT'!B:B,'4.CAP_ENDMNT'!C:C,0,0,1)</f>
        <v>6</v>
      </c>
      <c r="U523" s="167">
        <f>+_xlfn.XLOOKUP(PROYECTOS[[#This Row],[MUNICIPIO]],'4.CAP_ENDMNT'!B:B,'4.CAP_ENDMNT'!D:D,0,0,1)</f>
        <v>8809287720.75</v>
      </c>
      <c r="V523" s="44">
        <f>+_xlfn.XLOOKUP(PROYECTOS[[#This Row],[MUNICIPIO]],'4.CAP_ENDMNT'!B:B,'4.CAP_ENDMNT'!E:E,0,0,1)</f>
        <v>2669441983.3800001</v>
      </c>
      <c r="W523" s="44">
        <f>+_xlfn.XLOOKUP(PROYECTOS[[#This Row],[MUNICIPIO]],'4.CAP_ENDMNT'!B:B,'4.CAP_ENDMNT'!F:F,0,0,1)</f>
        <v>6139845737.3699999</v>
      </c>
      <c r="X523" s="44">
        <f>+_xlfn.XLOOKUP(PROYECTOS[[#This Row],[MUNICIPIO]],'4.CAP_ENDMNT'!B:B,'4.CAP_ENDMNT'!G:G,0,0,1)</f>
        <v>3083047525</v>
      </c>
      <c r="Y523" s="44">
        <f>+_xlfn.XLOOKUP(PROYECTOS[[#This Row],[MUNICIPIO]],'4.CAP_ENDMNT'!B:B,'4.CAP_ENDMNT'!H:H,0,0,1)</f>
        <v>0</v>
      </c>
      <c r="Z523" s="44">
        <f>+_xlfn.XLOOKUP(PROYECTOS[[#This Row],[MUNICIPIO]],'4.CAP_ENDMNT'!B:B,'4.CAP_ENDMNT'!I:I,0,0,1)</f>
        <v>3083047525</v>
      </c>
      <c r="AA523" s="134">
        <f>+_xlfn.XLOOKUP(PROYECTOS[[#This Row],[MUNICIPIO]],'4.CAP_ENDMNT'!B:B,'4.CAP_ENDMNT'!J:J,0,0,1)</f>
        <v>0.34997693601696972</v>
      </c>
      <c r="AB523" s="44">
        <f>+_xlfn.XLOOKUP(PROYECTOS[[#This Row],[MUNICIPIO]],'4.CAP_ENDMNT'!B:B,'4.CAP_ENDMNT'!K:K,0,0,1)</f>
        <v>5726240195.75</v>
      </c>
      <c r="AC523" s="44">
        <f>+_xlfn.XLOOKUP(PROYECTOS[[#This Row],[MUNICIPIO]],'4.CAP_ENDMNT'!B:B,'4.CAP_ENDMNT'!L:L,0,0,1)</f>
        <v>4580992156.6000004</v>
      </c>
      <c r="AD523" s="44">
        <f>+_xlfn.XLOOKUP(PROYECTOS[[#This Row],[MUNICIPIO]],'4.CAP_ENDMNT'!B:B,'4.CAP_ENDMNT'!M:M,0,0,1)</f>
        <v>3435744117.4499998</v>
      </c>
      <c r="AE523" s="134">
        <f>+_xlfn.XLOOKUP(PROYECTOS[[#This Row],[MUNICIPIO]],'4.CAP_ENDMNT'!B:B,'4.CAP_ENDMNT'!N:N,0,0,1)</f>
        <v>1</v>
      </c>
      <c r="AF523" s="134">
        <f>+_xlfn.XLOOKUP(PROYECTOS[[#This Row],[MUNICIPIO]],'4.CAP_ENDMNT'!B:B,'4.CAP_ENDMNT'!O:O,0,0,1)</f>
        <v>0.72230003829506451</v>
      </c>
      <c r="AG523" s="134">
        <f>+_xlfn.XLOOKUP(PROYECTOS[[#This Row],[MUNICIPIO]],'4.CAP_ENDMNT'!B:B,'4.CAP_ENDMNT'!P:P,0,0,1)</f>
        <v>0.8</v>
      </c>
      <c r="AH523" s="44" t="str">
        <f>+_xlfn.XLOOKUP(PROYECTOS[[#This Row],[MUNICIPIO]],'4.CAP_ENDMNT'!B:B,'4.CAP_ENDMNT'!Q:Q,0,0,1)</f>
        <v>Cumple</v>
      </c>
      <c r="AI523" s="139">
        <f>+_xlfn.XLOOKUP(PROYECTOS[[#This Row],[MUNICIPIO]],'4.CAP_ENDMNT'!B:B,'4.CAP_ENDMNT'!V:V,0,0,1)</f>
        <v>687148823.49000001</v>
      </c>
      <c r="AJ523" s="139">
        <f>+_xlfn.XLOOKUP(PROYECTOS[[#This Row],[MUNICIPIO]],'4.CAP_ENDMNT'!B:B,'4.CAP_ENDMNT'!Y:Y,0,0,1)</f>
        <v>-2079909113.0600004</v>
      </c>
    </row>
    <row r="524" spans="1:36" ht="15" customHeight="1">
      <c r="A524" s="44">
        <v>640</v>
      </c>
      <c r="B524" t="s">
        <v>1529</v>
      </c>
      <c r="C524" s="118">
        <f>+_xlfn.XLOOKUP(PROYECTOS[[#This Row],[ID_NECESIDAD]],'1.RADICADOS'!G:G,'1.RADICADOS'!C:C,0,0,1)*1</f>
        <v>45735</v>
      </c>
      <c r="D524" s="46" t="s">
        <v>196</v>
      </c>
      <c r="E524" s="47" t="str">
        <f>+_xlfn.XLOOKUP(PROYECTOS[[#This Row],[MUNICIPIO]],MUNICIPIOS!A:A,MUNICIPIOS!E:E,0,0,1)</f>
        <v>Valle de Aburrá</v>
      </c>
      <c r="F524" s="44">
        <f>+_xlfn.XLOOKUP(PROYECTOS[[#This Row],[MUNICIPIO]],MUNICIPIOS!A:A,MUNICIPIOS!F:F,0,0,1)</f>
        <v>-75.444237999999999</v>
      </c>
      <c r="G524" s="44" t="str">
        <f>+_xlfn.XLOOKUP(PROYECTOS[[#This Row],[MUNICIPIO]],MUNICIPIOS!A:A,MUNICIPIOS!G:G,0,0,1)</f>
        <v>6,379472</v>
      </c>
      <c r="H524" s="44">
        <f>+_xlfn.XLOOKUP(PROYECTOS[[#This Row],[MUNICIPIO]],MUNICIPIOS!A:A,MUNICIPIOS!B:B,0,0,1)</f>
        <v>0</v>
      </c>
      <c r="I524" s="44">
        <f>+_xlfn.XLOOKUP(PROYECTOS[[#This Row],[MUNICIPIO]],MUNICIPIOS!A:A,MUNICIPIOS!C:C,0,0,1)</f>
        <v>0</v>
      </c>
      <c r="J524" s="34" t="str" cm="1">
        <f t="array" ref="J524">_xlfn.TEXTJOIN(", ", TRUE, IF(radicados[ID PROYECTOS]=A524, radicados[RADICADO], ""))</f>
        <v>2025010134457, 2025010235401</v>
      </c>
      <c r="K524" s="45">
        <v>3</v>
      </c>
      <c r="L524" s="197">
        <v>12339606796</v>
      </c>
      <c r="M524" s="34" t="s">
        <v>396</v>
      </c>
      <c r="N524" s="40" t="s">
        <v>398</v>
      </c>
      <c r="O524" s="40" t="s">
        <v>25</v>
      </c>
      <c r="P524" s="37" t="s">
        <v>1531</v>
      </c>
      <c r="Q524" s="45"/>
      <c r="R524" s="166"/>
      <c r="S524" s="166"/>
      <c r="T524" s="44">
        <f>+_xlfn.XLOOKUP(PROYECTOS[[#This Row],[MUNICIPIO]],'4.CAP_ENDMNT'!B:B,'4.CAP_ENDMNT'!C:C,0,0,1)</f>
        <v>2</v>
      </c>
      <c r="U524" s="167">
        <f>+_xlfn.XLOOKUP(PROYECTOS[[#This Row],[MUNICIPIO]],'4.CAP_ENDMNT'!B:B,'4.CAP_ENDMNT'!D:D,0,0,1)</f>
        <v>101079829717.10699</v>
      </c>
      <c r="V524" s="44">
        <f>+_xlfn.XLOOKUP(PROYECTOS[[#This Row],[MUNICIPIO]],'4.CAP_ENDMNT'!B:B,'4.CAP_ENDMNT'!E:E,0,0,1)</f>
        <v>35923834396.690002</v>
      </c>
      <c r="W524" s="44">
        <f>+_xlfn.XLOOKUP(PROYECTOS[[#This Row],[MUNICIPIO]],'4.CAP_ENDMNT'!B:B,'4.CAP_ENDMNT'!F:F,0,0,1)</f>
        <v>65155995320.416992</v>
      </c>
      <c r="X524" s="44">
        <f>+_xlfn.XLOOKUP(PROYECTOS[[#This Row],[MUNICIPIO]],'4.CAP_ENDMNT'!B:B,'4.CAP_ENDMNT'!G:G,0,0,1)</f>
        <v>0</v>
      </c>
      <c r="Y524" s="44">
        <f>+_xlfn.XLOOKUP(PROYECTOS[[#This Row],[MUNICIPIO]],'4.CAP_ENDMNT'!B:B,'4.CAP_ENDMNT'!H:H,0,0,1)</f>
        <v>33364035579</v>
      </c>
      <c r="Z524" s="44">
        <f>+_xlfn.XLOOKUP(PROYECTOS[[#This Row],[MUNICIPIO]],'4.CAP_ENDMNT'!B:B,'4.CAP_ENDMNT'!I:I,0,0,1)</f>
        <v>33364035579</v>
      </c>
      <c r="AA524" s="134">
        <f>+_xlfn.XLOOKUP(PROYECTOS[[#This Row],[MUNICIPIO]],'4.CAP_ENDMNT'!B:B,'4.CAP_ENDMNT'!J:J,0,0,1)</f>
        <v>0.33007609601615101</v>
      </c>
      <c r="AB524" s="44">
        <f>+_xlfn.XLOOKUP(PROYECTOS[[#This Row],[MUNICIPIO]],'4.CAP_ENDMNT'!B:B,'4.CAP_ENDMNT'!K:K,0,0,1)</f>
        <v>67715794138.106995</v>
      </c>
      <c r="AC524" s="44">
        <f>+_xlfn.XLOOKUP(PROYECTOS[[#This Row],[MUNICIPIO]],'4.CAP_ENDMNT'!B:B,'4.CAP_ENDMNT'!L:L,0,0,1)</f>
        <v>54172635310.485596</v>
      </c>
      <c r="AD524" s="44">
        <f>+_xlfn.XLOOKUP(PROYECTOS[[#This Row],[MUNICIPIO]],'4.CAP_ENDMNT'!B:B,'4.CAP_ENDMNT'!M:M,0,0,1)</f>
        <v>40629476482.864197</v>
      </c>
      <c r="AE524" s="134">
        <f>+_xlfn.XLOOKUP(PROYECTOS[[#This Row],[MUNICIPIO]],'4.CAP_ENDMNT'!B:B,'4.CAP_ENDMNT'!N:N,0,0,1)</f>
        <v>0</v>
      </c>
      <c r="AF524" s="134">
        <f>+_xlfn.XLOOKUP(PROYECTOS[[#This Row],[MUNICIPIO]],'4.CAP_ENDMNT'!B:B,'4.CAP_ENDMNT'!O:O,0,0,1)</f>
        <v>0.39321465077323631</v>
      </c>
      <c r="AG524" s="134">
        <f>+_xlfn.XLOOKUP(PROYECTOS[[#This Row],[MUNICIPIO]],'4.CAP_ENDMNT'!B:B,'4.CAP_ENDMNT'!P:P,0,0,1)</f>
        <v>0.7</v>
      </c>
      <c r="AH524" s="44" t="str">
        <f>+_xlfn.XLOOKUP(PROYECTOS[[#This Row],[MUNICIPIO]],'4.CAP_ENDMNT'!B:B,'4.CAP_ENDMNT'!Q:Q,0,0,1)</f>
        <v>Cumple</v>
      </c>
      <c r="AI524" s="139">
        <f>+_xlfn.XLOOKUP(PROYECTOS[[#This Row],[MUNICIPIO]],'4.CAP_ENDMNT'!B:B,'4.CAP_ENDMNT'!V:V,0,0,1)</f>
        <v>8125895296.5728397</v>
      </c>
      <c r="AJ524" s="139">
        <f>+_xlfn.XLOOKUP(PROYECTOS[[#This Row],[MUNICIPIO]],'4.CAP_ENDMNT'!B:B,'4.CAP_ENDMNT'!Y:Y,0,0,1)</f>
        <v>-38204944046.562965</v>
      </c>
    </row>
    <row r="525" spans="1:36" ht="15" customHeight="1">
      <c r="A525" s="44">
        <v>641</v>
      </c>
      <c r="B525" t="s">
        <v>1532</v>
      </c>
      <c r="C525" s="118">
        <f>+_xlfn.XLOOKUP(PROYECTOS[[#This Row],[ID_NECESIDAD]],'1.RADICADOS'!G:G,'1.RADICADOS'!C:C,0,0,1)*1</f>
        <v>45736</v>
      </c>
      <c r="D525" s="46" t="s">
        <v>191</v>
      </c>
      <c r="E525" s="47" t="str">
        <f>+_xlfn.XLOOKUP(PROYECTOS[[#This Row],[MUNICIPIO]],MUNICIPIOS!A:A,MUNICIPIOS!E:E,0,0,1)</f>
        <v>Bajo Cauca</v>
      </c>
      <c r="F525" s="44">
        <f>+_xlfn.XLOOKUP(PROYECTOS[[#This Row],[MUNICIPIO]],MUNICIPIOS!A:A,MUNICIPIOS!F:F,0,0,1)</f>
        <v>-75.352050000000006</v>
      </c>
      <c r="G525" s="44" t="str">
        <f>+_xlfn.XLOOKUP(PROYECTOS[[#This Row],[MUNICIPIO]],MUNICIPIOS!A:A,MUNICIPIOS!G:G,0,0,1)</f>
        <v>7,578366</v>
      </c>
      <c r="H525" s="44">
        <f>+_xlfn.XLOOKUP(PROYECTOS[[#This Row],[MUNICIPIO]],MUNICIPIOS!A:A,MUNICIPIOS!B:B,0,0,1)</f>
        <v>1</v>
      </c>
      <c r="I525" s="44">
        <f>+_xlfn.XLOOKUP(PROYECTOS[[#This Row],[MUNICIPIO]],MUNICIPIOS!A:A,MUNICIPIOS!C:C,0,0,1)</f>
        <v>1</v>
      </c>
      <c r="J525" s="34" t="str" cm="1">
        <f t="array" ref="J525">_xlfn.TEXTJOIN(", ", TRUE, IF(radicados[ID PROYECTOS]=A525, radicados[RADICADO], ""))</f>
        <v>2025010137905</v>
      </c>
      <c r="K525" s="45">
        <v>2</v>
      </c>
      <c r="L525" s="189">
        <v>1408836804</v>
      </c>
      <c r="M525" s="34" t="s">
        <v>401</v>
      </c>
      <c r="N525" s="40" t="s">
        <v>398</v>
      </c>
      <c r="O525" s="40" t="s">
        <v>25</v>
      </c>
      <c r="P525" s="37" t="s">
        <v>1531</v>
      </c>
      <c r="Q525" s="45"/>
      <c r="R525" s="166"/>
      <c r="S525" s="166"/>
      <c r="T525" s="44">
        <f>+_xlfn.XLOOKUP(PROYECTOS[[#This Row],[MUNICIPIO]],'4.CAP_ENDMNT'!B:B,'4.CAP_ENDMNT'!C:C,0,0,1)</f>
        <v>6</v>
      </c>
      <c r="U525" s="167">
        <f>+_xlfn.XLOOKUP(PROYECTOS[[#This Row],[MUNICIPIO]],'4.CAP_ENDMNT'!B:B,'4.CAP_ENDMNT'!D:D,0,0,1)</f>
        <v>16341381522.362501</v>
      </c>
      <c r="V525" s="44">
        <f>+_xlfn.XLOOKUP(PROYECTOS[[#This Row],[MUNICIPIO]],'4.CAP_ENDMNT'!B:B,'4.CAP_ENDMNT'!E:E,0,0,1)</f>
        <v>6183321664.5100002</v>
      </c>
      <c r="W525" s="44">
        <f>+_xlfn.XLOOKUP(PROYECTOS[[#This Row],[MUNICIPIO]],'4.CAP_ENDMNT'!B:B,'4.CAP_ENDMNT'!F:F,0,0,1)</f>
        <v>10158059857.852501</v>
      </c>
      <c r="X525" s="44">
        <f>+_xlfn.XLOOKUP(PROYECTOS[[#This Row],[MUNICIPIO]],'4.CAP_ENDMNT'!B:B,'4.CAP_ENDMNT'!G:G,0,0,1)</f>
        <v>3504148016</v>
      </c>
      <c r="Y525" s="44">
        <f>+_xlfn.XLOOKUP(PROYECTOS[[#This Row],[MUNICIPIO]],'4.CAP_ENDMNT'!B:B,'4.CAP_ENDMNT'!H:H,0,0,1)</f>
        <v>5476192157</v>
      </c>
      <c r="Z525" s="44">
        <f>+_xlfn.XLOOKUP(PROYECTOS[[#This Row],[MUNICIPIO]],'4.CAP_ENDMNT'!B:B,'4.CAP_ENDMNT'!I:I,0,0,1)</f>
        <v>8980340173</v>
      </c>
      <c r="AA525" s="134">
        <f>+_xlfn.XLOOKUP(PROYECTOS[[#This Row],[MUNICIPIO]],'4.CAP_ENDMNT'!B:B,'4.CAP_ENDMNT'!J:J,0,0,1)</f>
        <v>0.54954595856603539</v>
      </c>
      <c r="AB525" s="44">
        <f>+_xlfn.XLOOKUP(PROYECTOS[[#This Row],[MUNICIPIO]],'4.CAP_ENDMNT'!B:B,'4.CAP_ENDMNT'!K:K,0,0,1)</f>
        <v>7361041349.3625011</v>
      </c>
      <c r="AC525" s="44">
        <f>+_xlfn.XLOOKUP(PROYECTOS[[#This Row],[MUNICIPIO]],'4.CAP_ENDMNT'!B:B,'4.CAP_ENDMNT'!L:L,0,0,1)</f>
        <v>5888833079.4900017</v>
      </c>
      <c r="AD525" s="44">
        <f>+_xlfn.XLOOKUP(PROYECTOS[[#This Row],[MUNICIPIO]],'4.CAP_ENDMNT'!B:B,'4.CAP_ENDMNT'!M:M,0,0,1)</f>
        <v>4416624809.6175003</v>
      </c>
      <c r="AE525" s="134">
        <f>+_xlfn.XLOOKUP(PROYECTOS[[#This Row],[MUNICIPIO]],'4.CAP_ENDMNT'!B:B,'4.CAP_ENDMNT'!N:N,0,0,1)</f>
        <v>0.39020214696715588</v>
      </c>
      <c r="AF525" s="134">
        <f>+_xlfn.XLOOKUP(PROYECTOS[[#This Row],[MUNICIPIO]],'4.CAP_ENDMNT'!B:B,'4.CAP_ENDMNT'!O:O,0,0,1)</f>
        <v>0.6661172152696142</v>
      </c>
      <c r="AG525" s="134">
        <f>+_xlfn.XLOOKUP(PROYECTOS[[#This Row],[MUNICIPIO]],'4.CAP_ENDMNT'!B:B,'4.CAP_ENDMNT'!P:P,0,0,1)</f>
        <v>0.8</v>
      </c>
      <c r="AH525" s="44" t="str">
        <f>+_xlfn.XLOOKUP(PROYECTOS[[#This Row],[MUNICIPIO]],'4.CAP_ENDMNT'!B:B,'4.CAP_ENDMNT'!Q:Q,0,0,1)</f>
        <v>Cumple</v>
      </c>
      <c r="AI525" s="139">
        <f>+_xlfn.XLOOKUP(PROYECTOS[[#This Row],[MUNICIPIO]],'4.CAP_ENDMNT'!B:B,'4.CAP_ENDMNT'!V:V,0,0,1)</f>
        <v>883324961.92350006</v>
      </c>
      <c r="AJ525" s="139">
        <f>+_xlfn.XLOOKUP(PROYECTOS[[#This Row],[MUNICIPIO]],'4.CAP_ENDMNT'!B:B,'4.CAP_ENDMNT'!Y:Y,0,0,1)</f>
        <v>-321308282411.45898</v>
      </c>
    </row>
    <row r="526" spans="1:36" ht="15" customHeight="1">
      <c r="A526" s="44">
        <v>642</v>
      </c>
      <c r="B526" s="192" t="s">
        <v>1534</v>
      </c>
      <c r="C526" s="118">
        <v>45747</v>
      </c>
      <c r="D526" s="46" t="s">
        <v>120</v>
      </c>
      <c r="E526" s="47" t="str">
        <f>+_xlfn.XLOOKUP(PROYECTOS[[#This Row],[MUNICIPIO]],MUNICIPIOS!A:A,MUNICIPIOS!E:E,0,0,1)</f>
        <v>Norte</v>
      </c>
      <c r="F526" s="44">
        <f>+_xlfn.XLOOKUP(PROYECTOS[[#This Row],[MUNICIPIO]],MUNICIPIOS!A:A,MUNICIPIOS!F:F,0,0,1)</f>
        <v>-75.418828000000005</v>
      </c>
      <c r="G526" s="44">
        <f>+_xlfn.XLOOKUP(PROYECTOS[[#This Row],[MUNICIPIO]],MUNICIPIOS!A:A,MUNICIPIOS!G:G,0,0,1)</f>
        <v>6.963832</v>
      </c>
      <c r="H526" s="44">
        <f>+_xlfn.XLOOKUP(PROYECTOS[[#This Row],[MUNICIPIO]],MUNICIPIOS!A:A,MUNICIPIOS!B:B,0,0,1)</f>
        <v>0</v>
      </c>
      <c r="I526" s="44">
        <f>+_xlfn.XLOOKUP(PROYECTOS[[#This Row],[MUNICIPIO]],MUNICIPIOS!A:A,MUNICIPIOS!C:C,0,0,1)</f>
        <v>1</v>
      </c>
      <c r="J526" s="34" t="str" cm="1">
        <f t="array" ref="J526">_xlfn.TEXTJOIN(", ", TRUE, IF(radicados[ID PROYECTOS]=A526, radicados[RADICADO], ""))</f>
        <v>2025010147961</v>
      </c>
      <c r="K526" s="45">
        <v>3</v>
      </c>
      <c r="L526" s="189">
        <v>1075866409</v>
      </c>
      <c r="M526" s="34" t="s">
        <v>435</v>
      </c>
      <c r="N526" s="40" t="s">
        <v>398</v>
      </c>
      <c r="O526" s="40" t="s">
        <v>25</v>
      </c>
      <c r="P526" s="37" t="s">
        <v>1531</v>
      </c>
      <c r="Q526" s="45">
        <v>1</v>
      </c>
      <c r="R526" s="43" t="s">
        <v>922</v>
      </c>
      <c r="S526" s="43" t="s">
        <v>1643</v>
      </c>
      <c r="T526" s="44">
        <f>+_xlfn.XLOOKUP(PROYECTOS[[#This Row],[MUNICIPIO]],'4.CAP_ENDMNT'!B:B,'4.CAP_ENDMNT'!C:C,0,0,1)</f>
        <v>5</v>
      </c>
      <c r="U526" s="167">
        <f>+_xlfn.XLOOKUP(PROYECTOS[[#This Row],[MUNICIPIO]],'4.CAP_ENDMNT'!B:B,'4.CAP_ENDMNT'!D:D,0,0,1)</f>
        <v>36204719778.619003</v>
      </c>
      <c r="V526" s="44">
        <f>+_xlfn.XLOOKUP(PROYECTOS[[#This Row],[MUNICIPIO]],'4.CAP_ENDMNT'!B:B,'4.CAP_ENDMNT'!E:E,0,0,1)</f>
        <v>11082623753.610001</v>
      </c>
      <c r="W526" s="44">
        <f>+_xlfn.XLOOKUP(PROYECTOS[[#This Row],[MUNICIPIO]],'4.CAP_ENDMNT'!B:B,'4.CAP_ENDMNT'!F:F,0,0,1)</f>
        <v>25122096025.009003</v>
      </c>
      <c r="X526" s="44">
        <f>+_xlfn.XLOOKUP(PROYECTOS[[#This Row],[MUNICIPIO]],'4.CAP_ENDMNT'!B:B,'4.CAP_ENDMNT'!G:G,0,0,1)</f>
        <v>1291156679</v>
      </c>
      <c r="Y526" s="44">
        <f>+_xlfn.XLOOKUP(PROYECTOS[[#This Row],[MUNICIPIO]],'4.CAP_ENDMNT'!B:B,'4.CAP_ENDMNT'!H:H,0,0,1)</f>
        <v>12320355879.07</v>
      </c>
      <c r="Z526" s="44">
        <f>+_xlfn.XLOOKUP(PROYECTOS[[#This Row],[MUNICIPIO]],'4.CAP_ENDMNT'!B:B,'4.CAP_ENDMNT'!I:I,0,0,1)</f>
        <v>13611512558.07</v>
      </c>
      <c r="AA526" s="134">
        <f>+_xlfn.XLOOKUP(PROYECTOS[[#This Row],[MUNICIPIO]],'4.CAP_ENDMNT'!B:B,'4.CAP_ENDMNT'!J:J,0,0,1)</f>
        <v>0.37595961635113639</v>
      </c>
      <c r="AB526" s="44">
        <f>+_xlfn.XLOOKUP(PROYECTOS[[#This Row],[MUNICIPIO]],'4.CAP_ENDMNT'!B:B,'4.CAP_ENDMNT'!K:K,0,0,1)</f>
        <v>22593207220.549004</v>
      </c>
      <c r="AC526" s="44">
        <f>+_xlfn.XLOOKUP(PROYECTOS[[#This Row],[MUNICIPIO]],'4.CAP_ENDMNT'!B:B,'4.CAP_ENDMNT'!L:L,0,0,1)</f>
        <v>18074565776.439205</v>
      </c>
      <c r="AD526" s="44">
        <f>+_xlfn.XLOOKUP(PROYECTOS[[#This Row],[MUNICIPIO]],'4.CAP_ENDMNT'!B:B,'4.CAP_ENDMNT'!M:M,0,0,1)</f>
        <v>13555924332.329401</v>
      </c>
      <c r="AE526" s="134">
        <f>+_xlfn.XLOOKUP(PROYECTOS[[#This Row],[MUNICIPIO]],'4.CAP_ENDMNT'!B:B,'4.CAP_ENDMNT'!N:N,0,0,1)</f>
        <v>9.4857692963336279E-2</v>
      </c>
      <c r="AF526" s="134">
        <f>+_xlfn.XLOOKUP(PROYECTOS[[#This Row],[MUNICIPIO]],'4.CAP_ENDMNT'!B:B,'4.CAP_ENDMNT'!O:O,0,0,1)</f>
        <v>0.39053077044629697</v>
      </c>
      <c r="AG526" s="134">
        <f>+_xlfn.XLOOKUP(PROYECTOS[[#This Row],[MUNICIPIO]],'4.CAP_ENDMNT'!B:B,'4.CAP_ENDMNT'!P:P,0,0,1)</f>
        <v>0.8</v>
      </c>
      <c r="AH526" s="44" t="str">
        <f>+_xlfn.XLOOKUP(PROYECTOS[[#This Row],[MUNICIPIO]],'4.CAP_ENDMNT'!B:B,'4.CAP_ENDMNT'!Q:Q,0,0,1)</f>
        <v>Cumple</v>
      </c>
      <c r="AI526" s="139">
        <f>+_xlfn.XLOOKUP(PROYECTOS[[#This Row],[MUNICIPIO]],'4.CAP_ENDMNT'!B:B,'4.CAP_ENDMNT'!V:V,0,0,1)</f>
        <v>2711184866.4658804</v>
      </c>
      <c r="AJ526" s="139">
        <f>+_xlfn.XLOOKUP(PROYECTOS[[#This Row],[MUNICIPIO]],'4.CAP_ENDMNT'!B:B,'4.CAP_ENDMNT'!Y:Y,0,0,1)</f>
        <v>-192411827505.20471</v>
      </c>
    </row>
    <row r="527" spans="1:36" ht="15" customHeight="1">
      <c r="A527" s="44">
        <v>643</v>
      </c>
      <c r="B527" s="28" t="s">
        <v>1535</v>
      </c>
      <c r="C527" s="118">
        <f>+_xlfn.XLOOKUP(PROYECTOS[[#This Row],[ID_NECESIDAD]],'1.RADICADOS'!G:G,'1.RADICADOS'!C:C,0,0,1)*1</f>
        <v>45741</v>
      </c>
      <c r="D527" s="46" t="s">
        <v>120</v>
      </c>
      <c r="E527" s="47" t="str">
        <f>+_xlfn.XLOOKUP(PROYECTOS[[#This Row],[MUNICIPIO]],MUNICIPIOS!A:A,MUNICIPIOS!E:E,0,0,1)</f>
        <v>Norte</v>
      </c>
      <c r="F527" s="44">
        <f>+_xlfn.XLOOKUP(PROYECTOS[[#This Row],[MUNICIPIO]],MUNICIPIOS!A:A,MUNICIPIOS!F:F,0,0,1)</f>
        <v>-75.418828000000005</v>
      </c>
      <c r="G527" s="44">
        <f>+_xlfn.XLOOKUP(PROYECTOS[[#This Row],[MUNICIPIO]],MUNICIPIOS!A:A,MUNICIPIOS!G:G,0,0,1)</f>
        <v>6.963832</v>
      </c>
      <c r="H527" s="44">
        <f>+_xlfn.XLOOKUP(PROYECTOS[[#This Row],[MUNICIPIO]],MUNICIPIOS!A:A,MUNICIPIOS!B:B,0,0,1)</f>
        <v>0</v>
      </c>
      <c r="I527" s="44">
        <f>+_xlfn.XLOOKUP(PROYECTOS[[#This Row],[MUNICIPIO]],MUNICIPIOS!A:A,MUNICIPIOS!C:C,0,0,1)</f>
        <v>1</v>
      </c>
      <c r="J527" s="34" t="str" cm="1">
        <f t="array" ref="J527">_xlfn.TEXTJOIN(", ", TRUE, IF(radicados[ID PROYECTOS]=A527, radicados[RADICADO], ""))</f>
        <v>2025010142072</v>
      </c>
      <c r="K527" s="45">
        <v>3</v>
      </c>
      <c r="L527" s="189">
        <v>6014650718</v>
      </c>
      <c r="M527" s="34" t="s">
        <v>288</v>
      </c>
      <c r="N527" s="40" t="s">
        <v>398</v>
      </c>
      <c r="O527" s="40" t="s">
        <v>25</v>
      </c>
      <c r="P527" s="37" t="s">
        <v>1531</v>
      </c>
      <c r="Q527" s="45"/>
      <c r="R527" s="166"/>
      <c r="S527" s="166"/>
      <c r="T527" s="44">
        <f>+_xlfn.XLOOKUP(PROYECTOS[[#This Row],[MUNICIPIO]],'4.CAP_ENDMNT'!B:B,'4.CAP_ENDMNT'!C:C,0,0,1)</f>
        <v>5</v>
      </c>
      <c r="U527" s="167">
        <f>+_xlfn.XLOOKUP(PROYECTOS[[#This Row],[MUNICIPIO]],'4.CAP_ENDMNT'!B:B,'4.CAP_ENDMNT'!D:D,0,0,1)</f>
        <v>36204719778.619003</v>
      </c>
      <c r="V527" s="44">
        <f>+_xlfn.XLOOKUP(PROYECTOS[[#This Row],[MUNICIPIO]],'4.CAP_ENDMNT'!B:B,'4.CAP_ENDMNT'!E:E,0,0,1)</f>
        <v>11082623753.610001</v>
      </c>
      <c r="W527" s="44">
        <f>+_xlfn.XLOOKUP(PROYECTOS[[#This Row],[MUNICIPIO]],'4.CAP_ENDMNT'!B:B,'4.CAP_ENDMNT'!F:F,0,0,1)</f>
        <v>25122096025.009003</v>
      </c>
      <c r="X527" s="44">
        <f>+_xlfn.XLOOKUP(PROYECTOS[[#This Row],[MUNICIPIO]],'4.CAP_ENDMNT'!B:B,'4.CAP_ENDMNT'!G:G,0,0,1)</f>
        <v>1291156679</v>
      </c>
      <c r="Y527" s="44">
        <f>+_xlfn.XLOOKUP(PROYECTOS[[#This Row],[MUNICIPIO]],'4.CAP_ENDMNT'!B:B,'4.CAP_ENDMNT'!H:H,0,0,1)</f>
        <v>12320355879.07</v>
      </c>
      <c r="Z527" s="44">
        <f>+_xlfn.XLOOKUP(PROYECTOS[[#This Row],[MUNICIPIO]],'4.CAP_ENDMNT'!B:B,'4.CAP_ENDMNT'!I:I,0,0,1)</f>
        <v>13611512558.07</v>
      </c>
      <c r="AA527" s="134">
        <f>+_xlfn.XLOOKUP(PROYECTOS[[#This Row],[MUNICIPIO]],'4.CAP_ENDMNT'!B:B,'4.CAP_ENDMNT'!J:J,0,0,1)</f>
        <v>0.37595961635113639</v>
      </c>
      <c r="AB527" s="44">
        <f>+_xlfn.XLOOKUP(PROYECTOS[[#This Row],[MUNICIPIO]],'4.CAP_ENDMNT'!B:B,'4.CAP_ENDMNT'!K:K,0,0,1)</f>
        <v>22593207220.549004</v>
      </c>
      <c r="AC527" s="44">
        <f>+_xlfn.XLOOKUP(PROYECTOS[[#This Row],[MUNICIPIO]],'4.CAP_ENDMNT'!B:B,'4.CAP_ENDMNT'!L:L,0,0,1)</f>
        <v>18074565776.439205</v>
      </c>
      <c r="AD527" s="44">
        <f>+_xlfn.XLOOKUP(PROYECTOS[[#This Row],[MUNICIPIO]],'4.CAP_ENDMNT'!B:B,'4.CAP_ENDMNT'!M:M,0,0,1)</f>
        <v>13555924332.329401</v>
      </c>
      <c r="AE527" s="134">
        <f>+_xlfn.XLOOKUP(PROYECTOS[[#This Row],[MUNICIPIO]],'4.CAP_ENDMNT'!B:B,'4.CAP_ENDMNT'!N:N,0,0,1)</f>
        <v>9.4857692963336279E-2</v>
      </c>
      <c r="AF527" s="134">
        <f>+_xlfn.XLOOKUP(PROYECTOS[[#This Row],[MUNICIPIO]],'4.CAP_ENDMNT'!B:B,'4.CAP_ENDMNT'!O:O,0,0,1)</f>
        <v>0.39053077044629697</v>
      </c>
      <c r="AG527" s="134">
        <f>+_xlfn.XLOOKUP(PROYECTOS[[#This Row],[MUNICIPIO]],'4.CAP_ENDMNT'!B:B,'4.CAP_ENDMNT'!P:P,0,0,1)</f>
        <v>0.8</v>
      </c>
      <c r="AH527" s="44" t="str">
        <f>+_xlfn.XLOOKUP(PROYECTOS[[#This Row],[MUNICIPIO]],'4.CAP_ENDMNT'!B:B,'4.CAP_ENDMNT'!Q:Q,0,0,1)</f>
        <v>Cumple</v>
      </c>
      <c r="AI527" s="139">
        <f>+_xlfn.XLOOKUP(PROYECTOS[[#This Row],[MUNICIPIO]],'4.CAP_ENDMNT'!B:B,'4.CAP_ENDMNT'!V:V,0,0,1)</f>
        <v>2711184866.4658804</v>
      </c>
      <c r="AJ527" s="139">
        <f>+_xlfn.XLOOKUP(PROYECTOS[[#This Row],[MUNICIPIO]],'4.CAP_ENDMNT'!B:B,'4.CAP_ENDMNT'!Y:Y,0,0,1)</f>
        <v>-192411827505.20471</v>
      </c>
    </row>
    <row r="528" spans="1:36" ht="15" customHeight="1">
      <c r="A528" s="44">
        <v>644</v>
      </c>
      <c r="B528" t="s">
        <v>1538</v>
      </c>
      <c r="C528" s="118">
        <f>+_xlfn.XLOOKUP(PROYECTOS[[#This Row],[ID_NECESIDAD]],'1.RADICADOS'!G:G,'1.RADICADOS'!C:C,0,0,1)*1</f>
        <v>45747</v>
      </c>
      <c r="D528" s="46" t="s">
        <v>574</v>
      </c>
      <c r="E528" s="47" t="str">
        <f>+_xlfn.XLOOKUP(PROYECTOS[[#This Row],[MUNICIPIO]],MUNICIPIOS!A:A,MUNICIPIOS!E:E,0,0,1)</f>
        <v>Occidente</v>
      </c>
      <c r="F528" s="44">
        <f>+_xlfn.XLOOKUP(PROYECTOS[[#This Row],[MUNICIPIO]],MUNICIPIOS!A:A,MUNICIPIOS!F:F,0,0,1)</f>
        <v>-75.906999999999996</v>
      </c>
      <c r="G528" s="44" t="str">
        <f>+_xlfn.XLOOKUP(PROYECTOS[[#This Row],[MUNICIPIO]],MUNICIPIOS!A:A,MUNICIPIOS!G:G,0,0,1)</f>
        <v>6,720759</v>
      </c>
      <c r="H528" s="44">
        <f>+_xlfn.XLOOKUP(PROYECTOS[[#This Row],[MUNICIPIO]],MUNICIPIOS!A:A,MUNICIPIOS!B:B,0,0,1)</f>
        <v>0</v>
      </c>
      <c r="I528" s="44">
        <f>+_xlfn.XLOOKUP(PROYECTOS[[#This Row],[MUNICIPIO]],MUNICIPIOS!A:A,MUNICIPIOS!C:C,0,0,1)</f>
        <v>0</v>
      </c>
      <c r="J528" s="34" t="str" cm="1">
        <f t="array" ref="J528">_xlfn.TEXTJOIN(", ", TRUE, IF(radicados[ID PROYECTOS]=A528, radicados[RADICADO], ""))</f>
        <v>2025010155478, 2024010236928</v>
      </c>
      <c r="K528" s="45">
        <v>3</v>
      </c>
      <c r="L528" s="189"/>
      <c r="M528" s="34" t="s">
        <v>288</v>
      </c>
      <c r="N528" s="40" t="s">
        <v>398</v>
      </c>
      <c r="O528" s="40" t="s">
        <v>25</v>
      </c>
      <c r="P528" s="37" t="s">
        <v>1553</v>
      </c>
      <c r="Q528" s="45"/>
      <c r="R528" s="166"/>
      <c r="S528" s="166"/>
      <c r="T528" s="44">
        <f>+_xlfn.XLOOKUP(PROYECTOS[[#This Row],[MUNICIPIO]],'4.CAP_ENDMNT'!B:B,'4.CAP_ENDMNT'!C:C,0,0,1)</f>
        <v>6</v>
      </c>
      <c r="U528" s="167">
        <f>+_xlfn.XLOOKUP(PROYECTOS[[#This Row],[MUNICIPIO]],'4.CAP_ENDMNT'!B:B,'4.CAP_ENDMNT'!D:D,0,0,1)</f>
        <v>22970429632.738503</v>
      </c>
      <c r="V528" s="44">
        <f>+_xlfn.XLOOKUP(PROYECTOS[[#This Row],[MUNICIPIO]],'4.CAP_ENDMNT'!B:B,'4.CAP_ENDMNT'!E:E,0,0,1)</f>
        <v>4753029850.6400003</v>
      </c>
      <c r="W528" s="44">
        <f>+_xlfn.XLOOKUP(PROYECTOS[[#This Row],[MUNICIPIO]],'4.CAP_ENDMNT'!B:B,'4.CAP_ENDMNT'!F:F,0,0,1)</f>
        <v>18217399782.098503</v>
      </c>
      <c r="X528" s="44">
        <f>+_xlfn.XLOOKUP(PROYECTOS[[#This Row],[MUNICIPIO]],'4.CAP_ENDMNT'!B:B,'4.CAP_ENDMNT'!G:G,0,0,1)</f>
        <v>1226974981</v>
      </c>
      <c r="Y528" s="44">
        <f>+_xlfn.XLOOKUP(PROYECTOS[[#This Row],[MUNICIPIO]],'4.CAP_ENDMNT'!B:B,'4.CAP_ENDMNT'!H:H,0,0,1)</f>
        <v>868957450</v>
      </c>
      <c r="Z528" s="44">
        <f>+_xlfn.XLOOKUP(PROYECTOS[[#This Row],[MUNICIPIO]],'4.CAP_ENDMNT'!B:B,'4.CAP_ENDMNT'!I:I,0,0,1)</f>
        <v>2095932431</v>
      </c>
      <c r="AA528" s="134">
        <f>+_xlfn.XLOOKUP(PROYECTOS[[#This Row],[MUNICIPIO]],'4.CAP_ENDMNT'!B:B,'4.CAP_ENDMNT'!J:J,0,0,1)</f>
        <v>9.1244807542162021E-2</v>
      </c>
      <c r="AB528" s="44">
        <f>+_xlfn.XLOOKUP(PROYECTOS[[#This Row],[MUNICIPIO]],'4.CAP_ENDMNT'!B:B,'4.CAP_ENDMNT'!K:K,0,0,1)</f>
        <v>20874497201.738503</v>
      </c>
      <c r="AC528" s="44">
        <f>+_xlfn.XLOOKUP(PROYECTOS[[#This Row],[MUNICIPIO]],'4.CAP_ENDMNT'!B:B,'4.CAP_ENDMNT'!L:L,0,0,1)</f>
        <v>16699597761.390802</v>
      </c>
      <c r="AD528" s="44">
        <f>+_xlfn.XLOOKUP(PROYECTOS[[#This Row],[MUNICIPIO]],'4.CAP_ENDMNT'!B:B,'4.CAP_ENDMNT'!M:M,0,0,1)</f>
        <v>12524698321.0431</v>
      </c>
      <c r="AE528" s="134">
        <f>+_xlfn.XLOOKUP(PROYECTOS[[#This Row],[MUNICIPIO]],'4.CAP_ENDMNT'!B:B,'4.CAP_ENDMNT'!N:N,0,0,1)</f>
        <v>0.58540769867022491</v>
      </c>
      <c r="AF528" s="134">
        <f>+_xlfn.XLOOKUP(PROYECTOS[[#This Row],[MUNICIPIO]],'4.CAP_ENDMNT'!B:B,'4.CAP_ENDMNT'!O:O,0,0,1)</f>
        <v>0.40516346801716352</v>
      </c>
      <c r="AG528" s="134">
        <f>+_xlfn.XLOOKUP(PROYECTOS[[#This Row],[MUNICIPIO]],'4.CAP_ENDMNT'!B:B,'4.CAP_ENDMNT'!P:P,0,0,1)</f>
        <v>0.8</v>
      </c>
      <c r="AH528" s="44" t="str">
        <f>+_xlfn.XLOOKUP(PROYECTOS[[#This Row],[MUNICIPIO]],'4.CAP_ENDMNT'!B:B,'4.CAP_ENDMNT'!Q:Q,0,0,1)</f>
        <v>Cumple</v>
      </c>
      <c r="AI528" s="139">
        <f>+_xlfn.XLOOKUP(PROYECTOS[[#This Row],[MUNICIPIO]],'4.CAP_ENDMNT'!B:B,'4.CAP_ENDMNT'!V:V,0,0,1)</f>
        <v>2504939664.2086201</v>
      </c>
      <c r="AJ528" s="139">
        <f>+_xlfn.XLOOKUP(PROYECTOS[[#This Row],[MUNICIPIO]],'4.CAP_ENDMNT'!B:B,'4.CAP_ENDMNT'!Y:Y,0,0,1)</f>
        <v>13376602640.25172</v>
      </c>
    </row>
    <row r="529" spans="1:39" ht="15" customHeight="1">
      <c r="A529" s="44">
        <v>645</v>
      </c>
      <c r="B529" t="s">
        <v>1541</v>
      </c>
      <c r="C529" s="118">
        <f>+_xlfn.XLOOKUP(PROYECTOS[[#This Row],[ID_NECESIDAD]],'1.RADICADOS'!G:G,'1.RADICADOS'!C:C,0,0,1)*1</f>
        <v>45439</v>
      </c>
      <c r="D529" s="46" t="s">
        <v>574</v>
      </c>
      <c r="E529" s="47" t="str">
        <f>+_xlfn.XLOOKUP(PROYECTOS[[#This Row],[MUNICIPIO]],MUNICIPIOS!A:A,MUNICIPIOS!E:E,0,0,1)</f>
        <v>Occidente</v>
      </c>
      <c r="F529" s="44">
        <f>+_xlfn.XLOOKUP(PROYECTOS[[#This Row],[MUNICIPIO]],MUNICIPIOS!A:A,MUNICIPIOS!F:F,0,0,1)</f>
        <v>-75.906999999999996</v>
      </c>
      <c r="G529" s="44" t="str">
        <f>+_xlfn.XLOOKUP(PROYECTOS[[#This Row],[MUNICIPIO]],MUNICIPIOS!A:A,MUNICIPIOS!G:G,0,0,1)</f>
        <v>6,720759</v>
      </c>
      <c r="H529" s="44">
        <f>+_xlfn.XLOOKUP(PROYECTOS[[#This Row],[MUNICIPIO]],MUNICIPIOS!A:A,MUNICIPIOS!B:B,0,0,1)</f>
        <v>0</v>
      </c>
      <c r="I529" s="44">
        <f>+_xlfn.XLOOKUP(PROYECTOS[[#This Row],[MUNICIPIO]],MUNICIPIOS!A:A,MUNICIPIOS!C:C,0,0,1)</f>
        <v>0</v>
      </c>
      <c r="J529" s="34" t="str" cm="1">
        <f t="array" ref="J529">_xlfn.TEXTJOIN(", ", TRUE, IF(radicados[ID PROYECTOS]=A529, radicados[RADICADO], ""))</f>
        <v>2024101236926</v>
      </c>
      <c r="K529" s="45">
        <v>3</v>
      </c>
      <c r="L529" s="189"/>
      <c r="M529" s="34" t="s">
        <v>288</v>
      </c>
      <c r="N529" s="40" t="s">
        <v>398</v>
      </c>
      <c r="O529" s="40" t="s">
        <v>25</v>
      </c>
      <c r="P529" s="37" t="s">
        <v>1553</v>
      </c>
      <c r="Q529" s="45"/>
      <c r="R529" s="166"/>
      <c r="S529" s="166"/>
      <c r="T529" s="44">
        <f>+_xlfn.XLOOKUP(PROYECTOS[[#This Row],[MUNICIPIO]],'4.CAP_ENDMNT'!B:B,'4.CAP_ENDMNT'!C:C,0,0,1)</f>
        <v>6</v>
      </c>
      <c r="U529" s="167">
        <f>+_xlfn.XLOOKUP(PROYECTOS[[#This Row],[MUNICIPIO]],'4.CAP_ENDMNT'!B:B,'4.CAP_ENDMNT'!D:D,0,0,1)</f>
        <v>22970429632.738503</v>
      </c>
      <c r="V529" s="44">
        <f>+_xlfn.XLOOKUP(PROYECTOS[[#This Row],[MUNICIPIO]],'4.CAP_ENDMNT'!B:B,'4.CAP_ENDMNT'!E:E,0,0,1)</f>
        <v>4753029850.6400003</v>
      </c>
      <c r="W529" s="44">
        <f>+_xlfn.XLOOKUP(PROYECTOS[[#This Row],[MUNICIPIO]],'4.CAP_ENDMNT'!B:B,'4.CAP_ENDMNT'!F:F,0,0,1)</f>
        <v>18217399782.098503</v>
      </c>
      <c r="X529" s="44">
        <f>+_xlfn.XLOOKUP(PROYECTOS[[#This Row],[MUNICIPIO]],'4.CAP_ENDMNT'!B:B,'4.CAP_ENDMNT'!G:G,0,0,1)</f>
        <v>1226974981</v>
      </c>
      <c r="Y529" s="44">
        <f>+_xlfn.XLOOKUP(PROYECTOS[[#This Row],[MUNICIPIO]],'4.CAP_ENDMNT'!B:B,'4.CAP_ENDMNT'!H:H,0,0,1)</f>
        <v>868957450</v>
      </c>
      <c r="Z529" s="44">
        <f>+_xlfn.XLOOKUP(PROYECTOS[[#This Row],[MUNICIPIO]],'4.CAP_ENDMNT'!B:B,'4.CAP_ENDMNT'!I:I,0,0,1)</f>
        <v>2095932431</v>
      </c>
      <c r="AA529" s="134">
        <f>+_xlfn.XLOOKUP(PROYECTOS[[#This Row],[MUNICIPIO]],'4.CAP_ENDMNT'!B:B,'4.CAP_ENDMNT'!J:J,0,0,1)</f>
        <v>9.1244807542162021E-2</v>
      </c>
      <c r="AB529" s="44">
        <f>+_xlfn.XLOOKUP(PROYECTOS[[#This Row],[MUNICIPIO]],'4.CAP_ENDMNT'!B:B,'4.CAP_ENDMNT'!K:K,0,0,1)</f>
        <v>20874497201.738503</v>
      </c>
      <c r="AC529" s="44">
        <f>+_xlfn.XLOOKUP(PROYECTOS[[#This Row],[MUNICIPIO]],'4.CAP_ENDMNT'!B:B,'4.CAP_ENDMNT'!L:L,0,0,1)</f>
        <v>16699597761.390802</v>
      </c>
      <c r="AD529" s="44">
        <f>+_xlfn.XLOOKUP(PROYECTOS[[#This Row],[MUNICIPIO]],'4.CAP_ENDMNT'!B:B,'4.CAP_ENDMNT'!M:M,0,0,1)</f>
        <v>12524698321.0431</v>
      </c>
      <c r="AE529" s="134">
        <f>+_xlfn.XLOOKUP(PROYECTOS[[#This Row],[MUNICIPIO]],'4.CAP_ENDMNT'!B:B,'4.CAP_ENDMNT'!N:N,0,0,1)</f>
        <v>0.58540769867022491</v>
      </c>
      <c r="AF529" s="134">
        <f>+_xlfn.XLOOKUP(PROYECTOS[[#This Row],[MUNICIPIO]],'4.CAP_ENDMNT'!B:B,'4.CAP_ENDMNT'!O:O,0,0,1)</f>
        <v>0.40516346801716352</v>
      </c>
      <c r="AG529" s="134">
        <f>+_xlfn.XLOOKUP(PROYECTOS[[#This Row],[MUNICIPIO]],'4.CAP_ENDMNT'!B:B,'4.CAP_ENDMNT'!P:P,0,0,1)</f>
        <v>0.8</v>
      </c>
      <c r="AH529" s="44" t="str">
        <f>+_xlfn.XLOOKUP(PROYECTOS[[#This Row],[MUNICIPIO]],'4.CAP_ENDMNT'!B:B,'4.CAP_ENDMNT'!Q:Q,0,0,1)</f>
        <v>Cumple</v>
      </c>
      <c r="AI529" s="139">
        <f>+_xlfn.XLOOKUP(PROYECTOS[[#This Row],[MUNICIPIO]],'4.CAP_ENDMNT'!B:B,'4.CAP_ENDMNT'!V:V,0,0,1)</f>
        <v>2504939664.2086201</v>
      </c>
      <c r="AJ529" s="139">
        <f>+_xlfn.XLOOKUP(PROYECTOS[[#This Row],[MUNICIPIO]],'4.CAP_ENDMNT'!B:B,'4.CAP_ENDMNT'!Y:Y,0,0,1)</f>
        <v>13376602640.25172</v>
      </c>
    </row>
    <row r="530" spans="1:39" ht="15" customHeight="1">
      <c r="A530" s="44">
        <v>646</v>
      </c>
      <c r="B530" t="s">
        <v>1542</v>
      </c>
      <c r="C530" s="118">
        <f>+_xlfn.XLOOKUP(PROYECTOS[[#This Row],[ID_NECESIDAD]],'1.RADICADOS'!G:G,'1.RADICADOS'!C:C,0,0,1)*1</f>
        <v>45472</v>
      </c>
      <c r="D530" s="46" t="s">
        <v>574</v>
      </c>
      <c r="E530" s="47" t="str">
        <f>+_xlfn.XLOOKUP(PROYECTOS[[#This Row],[MUNICIPIO]],MUNICIPIOS!A:A,MUNICIPIOS!E:E,0,0,1)</f>
        <v>Occidente</v>
      </c>
      <c r="F530" s="44">
        <f>+_xlfn.XLOOKUP(PROYECTOS[[#This Row],[MUNICIPIO]],MUNICIPIOS!A:A,MUNICIPIOS!F:F,0,0,1)</f>
        <v>-75.906999999999996</v>
      </c>
      <c r="G530" s="44" t="str">
        <f>+_xlfn.XLOOKUP(PROYECTOS[[#This Row],[MUNICIPIO]],MUNICIPIOS!A:A,MUNICIPIOS!G:G,0,0,1)</f>
        <v>6,720759</v>
      </c>
      <c r="H530" s="44">
        <f>+_xlfn.XLOOKUP(PROYECTOS[[#This Row],[MUNICIPIO]],MUNICIPIOS!A:A,MUNICIPIOS!B:B,0,0,1)</f>
        <v>0</v>
      </c>
      <c r="I530" s="44">
        <f>+_xlfn.XLOOKUP(PROYECTOS[[#This Row],[MUNICIPIO]],MUNICIPIOS!A:A,MUNICIPIOS!C:C,0,0,1)</f>
        <v>0</v>
      </c>
      <c r="J530" s="34" t="str" cm="1">
        <f t="array" ref="J530">_xlfn.TEXTJOIN(", ", TRUE, IF(radicados[ID PROYECTOS]=A530, radicados[RADICADO], ""))</f>
        <v>2024010240715</v>
      </c>
      <c r="K530" s="45">
        <v>3</v>
      </c>
      <c r="L530" s="189"/>
      <c r="M530" s="34" t="s">
        <v>288</v>
      </c>
      <c r="N530" s="40" t="s">
        <v>398</v>
      </c>
      <c r="O530" s="40" t="s">
        <v>25</v>
      </c>
      <c r="P530" s="37" t="s">
        <v>1553</v>
      </c>
      <c r="Q530" s="45"/>
      <c r="R530" s="166"/>
      <c r="S530" s="166"/>
      <c r="T530" s="44">
        <f>+_xlfn.XLOOKUP(PROYECTOS[[#This Row],[MUNICIPIO]],'4.CAP_ENDMNT'!B:B,'4.CAP_ENDMNT'!C:C,0,0,1)</f>
        <v>6</v>
      </c>
      <c r="U530" s="167">
        <f>+_xlfn.XLOOKUP(PROYECTOS[[#This Row],[MUNICIPIO]],'4.CAP_ENDMNT'!B:B,'4.CAP_ENDMNT'!D:D,0,0,1)</f>
        <v>22970429632.738503</v>
      </c>
      <c r="V530" s="44">
        <f>+_xlfn.XLOOKUP(PROYECTOS[[#This Row],[MUNICIPIO]],'4.CAP_ENDMNT'!B:B,'4.CAP_ENDMNT'!E:E,0,0,1)</f>
        <v>4753029850.6400003</v>
      </c>
      <c r="W530" s="44">
        <f>+_xlfn.XLOOKUP(PROYECTOS[[#This Row],[MUNICIPIO]],'4.CAP_ENDMNT'!B:B,'4.CAP_ENDMNT'!F:F,0,0,1)</f>
        <v>18217399782.098503</v>
      </c>
      <c r="X530" s="44">
        <f>+_xlfn.XLOOKUP(PROYECTOS[[#This Row],[MUNICIPIO]],'4.CAP_ENDMNT'!B:B,'4.CAP_ENDMNT'!G:G,0,0,1)</f>
        <v>1226974981</v>
      </c>
      <c r="Y530" s="44">
        <f>+_xlfn.XLOOKUP(PROYECTOS[[#This Row],[MUNICIPIO]],'4.CAP_ENDMNT'!B:B,'4.CAP_ENDMNT'!H:H,0,0,1)</f>
        <v>868957450</v>
      </c>
      <c r="Z530" s="44">
        <f>+_xlfn.XLOOKUP(PROYECTOS[[#This Row],[MUNICIPIO]],'4.CAP_ENDMNT'!B:B,'4.CAP_ENDMNT'!I:I,0,0,1)</f>
        <v>2095932431</v>
      </c>
      <c r="AA530" s="134">
        <f>+_xlfn.XLOOKUP(PROYECTOS[[#This Row],[MUNICIPIO]],'4.CAP_ENDMNT'!B:B,'4.CAP_ENDMNT'!J:J,0,0,1)</f>
        <v>9.1244807542162021E-2</v>
      </c>
      <c r="AB530" s="44">
        <f>+_xlfn.XLOOKUP(PROYECTOS[[#This Row],[MUNICIPIO]],'4.CAP_ENDMNT'!B:B,'4.CAP_ENDMNT'!K:K,0,0,1)</f>
        <v>20874497201.738503</v>
      </c>
      <c r="AC530" s="44">
        <f>+_xlfn.XLOOKUP(PROYECTOS[[#This Row],[MUNICIPIO]],'4.CAP_ENDMNT'!B:B,'4.CAP_ENDMNT'!L:L,0,0,1)</f>
        <v>16699597761.390802</v>
      </c>
      <c r="AD530" s="44">
        <f>+_xlfn.XLOOKUP(PROYECTOS[[#This Row],[MUNICIPIO]],'4.CAP_ENDMNT'!B:B,'4.CAP_ENDMNT'!M:M,0,0,1)</f>
        <v>12524698321.0431</v>
      </c>
      <c r="AE530" s="134">
        <f>+_xlfn.XLOOKUP(PROYECTOS[[#This Row],[MUNICIPIO]],'4.CAP_ENDMNT'!B:B,'4.CAP_ENDMNT'!N:N,0,0,1)</f>
        <v>0.58540769867022491</v>
      </c>
      <c r="AF530" s="134">
        <f>+_xlfn.XLOOKUP(PROYECTOS[[#This Row],[MUNICIPIO]],'4.CAP_ENDMNT'!B:B,'4.CAP_ENDMNT'!O:O,0,0,1)</f>
        <v>0.40516346801716352</v>
      </c>
      <c r="AG530" s="134">
        <f>+_xlfn.XLOOKUP(PROYECTOS[[#This Row],[MUNICIPIO]],'4.CAP_ENDMNT'!B:B,'4.CAP_ENDMNT'!P:P,0,0,1)</f>
        <v>0.8</v>
      </c>
      <c r="AH530" s="44" t="str">
        <f>+_xlfn.XLOOKUP(PROYECTOS[[#This Row],[MUNICIPIO]],'4.CAP_ENDMNT'!B:B,'4.CAP_ENDMNT'!Q:Q,0,0,1)</f>
        <v>Cumple</v>
      </c>
      <c r="AI530" s="139">
        <f>+_xlfn.XLOOKUP(PROYECTOS[[#This Row],[MUNICIPIO]],'4.CAP_ENDMNT'!B:B,'4.CAP_ENDMNT'!V:V,0,0,1)</f>
        <v>2504939664.2086201</v>
      </c>
      <c r="AJ530" s="139">
        <f>+_xlfn.XLOOKUP(PROYECTOS[[#This Row],[MUNICIPIO]],'4.CAP_ENDMNT'!B:B,'4.CAP_ENDMNT'!Y:Y,0,0,1)</f>
        <v>13376602640.25172</v>
      </c>
    </row>
    <row r="531" spans="1:39" ht="15" customHeight="1">
      <c r="A531" s="44">
        <v>647</v>
      </c>
      <c r="B531" t="s">
        <v>1560</v>
      </c>
      <c r="C531" s="118">
        <f>+_xlfn.XLOOKUP(PROYECTOS[[#This Row],[ID_NECESIDAD]],'1.RADICADOS'!G:G,'1.RADICADOS'!C:C,0,0,1)*1</f>
        <v>45758</v>
      </c>
      <c r="D531" s="67" t="s">
        <v>214</v>
      </c>
      <c r="E531" s="47" t="str">
        <f>+_xlfn.XLOOKUP(PROYECTOS[[#This Row],[MUNICIPIO]],MUNICIPIOS!A:A,MUNICIPIOS!E:E,0,0,1)</f>
        <v>Occidente</v>
      </c>
      <c r="F531" s="44">
        <f>+_xlfn.XLOOKUP(PROYECTOS[[#This Row],[MUNICIPIO]],MUNICIPIOS!A:A,MUNICIPIOS!F:F,0,0,1)</f>
        <v>-75.812837999999999</v>
      </c>
      <c r="G531" s="44" t="str">
        <f>+_xlfn.XLOOKUP(PROYECTOS[[#This Row],[MUNICIPIO]],MUNICIPIOS!A:A,MUNICIPIOS!G:G,0,0,1)</f>
        <v>6,677316</v>
      </c>
      <c r="H531" s="44">
        <f>+_xlfn.XLOOKUP(PROYECTOS[[#This Row],[MUNICIPIO]],MUNICIPIOS!A:A,MUNICIPIOS!B:B,0,0,1)</f>
        <v>0</v>
      </c>
      <c r="I531" s="44">
        <f>+_xlfn.XLOOKUP(PROYECTOS[[#This Row],[MUNICIPIO]],MUNICIPIOS!A:A,MUNICIPIOS!C:C,0,0,1)</f>
        <v>0</v>
      </c>
      <c r="J531" s="34" t="str" cm="1">
        <f t="array" ref="J531">_xlfn.TEXTJOIN(", ", TRUE, IF(radicados[ID PROYECTOS]=A531, radicados[RADICADO], ""))</f>
        <v>2025010182288</v>
      </c>
      <c r="K531" s="45">
        <v>1</v>
      </c>
      <c r="L531" s="189"/>
      <c r="M531" s="34" t="s">
        <v>435</v>
      </c>
      <c r="N531" s="40" t="s">
        <v>398</v>
      </c>
      <c r="O531" s="40" t="s">
        <v>25</v>
      </c>
      <c r="P531" s="33" t="s">
        <v>1550</v>
      </c>
      <c r="Q531" s="45"/>
      <c r="R531" s="166"/>
      <c r="S531" s="166"/>
      <c r="T531" s="44">
        <f>+_xlfn.XLOOKUP(PROYECTOS[[#This Row],[MUNICIPIO]],'4.CAP_ENDMNT'!B:B,'4.CAP_ENDMNT'!C:C,0,0,1)</f>
        <v>6</v>
      </c>
      <c r="U531" s="167">
        <f>+_xlfn.XLOOKUP(PROYECTOS[[#This Row],[MUNICIPIO]],'4.CAP_ENDMNT'!B:B,'4.CAP_ENDMNT'!D:D,0,0,1)</f>
        <v>8030428413.9210014</v>
      </c>
      <c r="V531" s="44">
        <f>+_xlfn.XLOOKUP(PROYECTOS[[#This Row],[MUNICIPIO]],'4.CAP_ENDMNT'!B:B,'4.CAP_ENDMNT'!E:E,0,0,1)</f>
        <v>3080588699.4500003</v>
      </c>
      <c r="W531" s="44">
        <f>+_xlfn.XLOOKUP(PROYECTOS[[#This Row],[MUNICIPIO]],'4.CAP_ENDMNT'!B:B,'4.CAP_ENDMNT'!F:F,0,0,1)</f>
        <v>4949839714.4710007</v>
      </c>
      <c r="X531" s="44">
        <f>+_xlfn.XLOOKUP(PROYECTOS[[#This Row],[MUNICIPIO]],'4.CAP_ENDMNT'!B:B,'4.CAP_ENDMNT'!G:G,0,0,1)</f>
        <v>1577607418.01</v>
      </c>
      <c r="Y531" s="44">
        <f>+_xlfn.XLOOKUP(PROYECTOS[[#This Row],[MUNICIPIO]],'4.CAP_ENDMNT'!B:B,'4.CAP_ENDMNT'!H:H,0,0,1)</f>
        <v>1800000000</v>
      </c>
      <c r="Z531" s="44">
        <f>+_xlfn.XLOOKUP(PROYECTOS[[#This Row],[MUNICIPIO]],'4.CAP_ENDMNT'!B:B,'4.CAP_ENDMNT'!I:I,0,0,1)</f>
        <v>3377607418.0100002</v>
      </c>
      <c r="AA531" s="134">
        <f>+_xlfn.XLOOKUP(PROYECTOS[[#This Row],[MUNICIPIO]],'4.CAP_ENDMNT'!B:B,'4.CAP_ENDMNT'!J:J,0,0,1)</f>
        <v>0.42060114901900014</v>
      </c>
      <c r="AB531" s="44">
        <f>+_xlfn.XLOOKUP(PROYECTOS[[#This Row],[MUNICIPIO]],'4.CAP_ENDMNT'!B:B,'4.CAP_ENDMNT'!K:K,0,0,1)</f>
        <v>4652820995.9110012</v>
      </c>
      <c r="AC531" s="44">
        <f>+_xlfn.XLOOKUP(PROYECTOS[[#This Row],[MUNICIPIO]],'4.CAP_ENDMNT'!B:B,'4.CAP_ENDMNT'!L:L,0,0,1)</f>
        <v>3722256796.7288013</v>
      </c>
      <c r="AD531" s="44">
        <f>+_xlfn.XLOOKUP(PROYECTOS[[#This Row],[MUNICIPIO]],'4.CAP_ENDMNT'!B:B,'4.CAP_ENDMNT'!M:M,0,0,1)</f>
        <v>2791692597.5466008</v>
      </c>
      <c r="AE531" s="134">
        <f>+_xlfn.XLOOKUP(PROYECTOS[[#This Row],[MUNICIPIO]],'4.CAP_ENDMNT'!B:B,'4.CAP_ENDMNT'!N:N,0,0,1)</f>
        <v>0.46707838501239612</v>
      </c>
      <c r="AF531" s="134">
        <f>+_xlfn.XLOOKUP(PROYECTOS[[#This Row],[MUNICIPIO]],'4.CAP_ENDMNT'!B:B,'4.CAP_ENDMNT'!O:O,0,0,1)</f>
        <v>0.73590701114566914</v>
      </c>
      <c r="AG531" s="134">
        <f>+_xlfn.XLOOKUP(PROYECTOS[[#This Row],[MUNICIPIO]],'4.CAP_ENDMNT'!B:B,'4.CAP_ENDMNT'!P:P,0,0,1)</f>
        <v>0.8</v>
      </c>
      <c r="AH531" s="44" t="str">
        <f>+_xlfn.XLOOKUP(PROYECTOS[[#This Row],[MUNICIPIO]],'4.CAP_ENDMNT'!B:B,'4.CAP_ENDMNT'!Q:Q,0,0,1)</f>
        <v>Cumple</v>
      </c>
      <c r="AI531" s="139">
        <f>+_xlfn.XLOOKUP(PROYECTOS[[#This Row],[MUNICIPIO]],'4.CAP_ENDMNT'!B:B,'4.CAP_ENDMNT'!V:V,0,0,1)</f>
        <v>558338519.50932014</v>
      </c>
      <c r="AJ531" s="139">
        <f>+_xlfn.XLOOKUP(PROYECTOS[[#This Row],[MUNICIPIO]],'4.CAP_ENDMNT'!B:B,'4.CAP_ENDMNT'!Y:Y,0,0,1)</f>
        <v>-4580433251.9440784</v>
      </c>
    </row>
    <row r="532" spans="1:39" ht="15" customHeight="1">
      <c r="A532" s="44">
        <v>648</v>
      </c>
      <c r="B532" t="s">
        <v>1561</v>
      </c>
      <c r="C532" s="118">
        <f>+_xlfn.XLOOKUP(PROYECTOS[[#This Row],[ID_NECESIDAD]],'1.RADICADOS'!G:G,'1.RADICADOS'!C:C,0,0,1)*1</f>
        <v>45798</v>
      </c>
      <c r="D532" s="67" t="s">
        <v>574</v>
      </c>
      <c r="E532" s="47" t="str">
        <f>+_xlfn.XLOOKUP(PROYECTOS[[#This Row],[MUNICIPIO]],MUNICIPIOS!A:A,MUNICIPIOS!E:E,0,0,1)</f>
        <v>Occidente</v>
      </c>
      <c r="F532" s="44">
        <f>+_xlfn.XLOOKUP(PROYECTOS[[#This Row],[MUNICIPIO]],MUNICIPIOS!A:A,MUNICIPIOS!F:F,0,0,1)</f>
        <v>-75.906999999999996</v>
      </c>
      <c r="G532" s="44" t="str">
        <f>+_xlfn.XLOOKUP(PROYECTOS[[#This Row],[MUNICIPIO]],MUNICIPIOS!A:A,MUNICIPIOS!G:G,0,0,1)</f>
        <v>6,720759</v>
      </c>
      <c r="H532" s="44">
        <f>+_xlfn.XLOOKUP(PROYECTOS[[#This Row],[MUNICIPIO]],MUNICIPIOS!A:A,MUNICIPIOS!B:B,0,0,1)</f>
        <v>0</v>
      </c>
      <c r="I532" s="44">
        <f>+_xlfn.XLOOKUP(PROYECTOS[[#This Row],[MUNICIPIO]],MUNICIPIOS!A:A,MUNICIPIOS!C:C,0,0,1)</f>
        <v>0</v>
      </c>
      <c r="J532" s="34" t="str" cm="1">
        <f t="array" ref="J532">_xlfn.TEXTJOIN(", ", TRUE, IF(radicados[ID PROYECTOS]=A532, radicados[RADICADO], ""))</f>
        <v>2025010253164</v>
      </c>
      <c r="K532" s="45">
        <v>3</v>
      </c>
      <c r="L532" s="189">
        <v>794572080</v>
      </c>
      <c r="M532" s="34" t="s">
        <v>435</v>
      </c>
      <c r="N532" s="40" t="s">
        <v>398</v>
      </c>
      <c r="O532" s="40" t="s">
        <v>25</v>
      </c>
      <c r="P532" s="33" t="s">
        <v>1551</v>
      </c>
      <c r="Q532" s="45">
        <v>1</v>
      </c>
      <c r="R532" s="43" t="s">
        <v>922</v>
      </c>
      <c r="S532" s="43" t="s">
        <v>1643</v>
      </c>
      <c r="T532" s="44">
        <f>+_xlfn.XLOOKUP(PROYECTOS[[#This Row],[MUNICIPIO]],'4.CAP_ENDMNT'!B:B,'4.CAP_ENDMNT'!C:C,0,0,1)</f>
        <v>6</v>
      </c>
      <c r="U532" s="167">
        <f>+_xlfn.XLOOKUP(PROYECTOS[[#This Row],[MUNICIPIO]],'4.CAP_ENDMNT'!B:B,'4.CAP_ENDMNT'!D:D,0,0,1)</f>
        <v>22970429632.738503</v>
      </c>
      <c r="V532" s="44">
        <f>+_xlfn.XLOOKUP(PROYECTOS[[#This Row],[MUNICIPIO]],'4.CAP_ENDMNT'!B:B,'4.CAP_ENDMNT'!E:E,0,0,1)</f>
        <v>4753029850.6400003</v>
      </c>
      <c r="W532" s="44">
        <f>+_xlfn.XLOOKUP(PROYECTOS[[#This Row],[MUNICIPIO]],'4.CAP_ENDMNT'!B:B,'4.CAP_ENDMNT'!F:F,0,0,1)</f>
        <v>18217399782.098503</v>
      </c>
      <c r="X532" s="44">
        <f>+_xlfn.XLOOKUP(PROYECTOS[[#This Row],[MUNICIPIO]],'4.CAP_ENDMNT'!B:B,'4.CAP_ENDMNT'!G:G,0,0,1)</f>
        <v>1226974981</v>
      </c>
      <c r="Y532" s="44">
        <f>+_xlfn.XLOOKUP(PROYECTOS[[#This Row],[MUNICIPIO]],'4.CAP_ENDMNT'!B:B,'4.CAP_ENDMNT'!H:H,0,0,1)</f>
        <v>868957450</v>
      </c>
      <c r="Z532" s="44">
        <f>+_xlfn.XLOOKUP(PROYECTOS[[#This Row],[MUNICIPIO]],'4.CAP_ENDMNT'!B:B,'4.CAP_ENDMNT'!I:I,0,0,1)</f>
        <v>2095932431</v>
      </c>
      <c r="AA532" s="134">
        <f>+_xlfn.XLOOKUP(PROYECTOS[[#This Row],[MUNICIPIO]],'4.CAP_ENDMNT'!B:B,'4.CAP_ENDMNT'!J:J,0,0,1)</f>
        <v>9.1244807542162021E-2</v>
      </c>
      <c r="AB532" s="44">
        <f>+_xlfn.XLOOKUP(PROYECTOS[[#This Row],[MUNICIPIO]],'4.CAP_ENDMNT'!B:B,'4.CAP_ENDMNT'!K:K,0,0,1)</f>
        <v>20874497201.738503</v>
      </c>
      <c r="AC532" s="44">
        <f>+_xlfn.XLOOKUP(PROYECTOS[[#This Row],[MUNICIPIO]],'4.CAP_ENDMNT'!B:B,'4.CAP_ENDMNT'!L:L,0,0,1)</f>
        <v>16699597761.390802</v>
      </c>
      <c r="AD532" s="44">
        <f>+_xlfn.XLOOKUP(PROYECTOS[[#This Row],[MUNICIPIO]],'4.CAP_ENDMNT'!B:B,'4.CAP_ENDMNT'!M:M,0,0,1)</f>
        <v>12524698321.0431</v>
      </c>
      <c r="AE532" s="134">
        <f>+_xlfn.XLOOKUP(PROYECTOS[[#This Row],[MUNICIPIO]],'4.CAP_ENDMNT'!B:B,'4.CAP_ENDMNT'!N:N,0,0,1)</f>
        <v>0.58540769867022491</v>
      </c>
      <c r="AF532" s="134">
        <f>+_xlfn.XLOOKUP(PROYECTOS[[#This Row],[MUNICIPIO]],'4.CAP_ENDMNT'!B:B,'4.CAP_ENDMNT'!O:O,0,0,1)</f>
        <v>0.40516346801716352</v>
      </c>
      <c r="AG532" s="134">
        <f>+_xlfn.XLOOKUP(PROYECTOS[[#This Row],[MUNICIPIO]],'4.CAP_ENDMNT'!B:B,'4.CAP_ENDMNT'!P:P,0,0,1)</f>
        <v>0.8</v>
      </c>
      <c r="AH532" s="44" t="str">
        <f>+_xlfn.XLOOKUP(PROYECTOS[[#This Row],[MUNICIPIO]],'4.CAP_ENDMNT'!B:B,'4.CAP_ENDMNT'!Q:Q,0,0,1)</f>
        <v>Cumple</v>
      </c>
      <c r="AI532" s="139">
        <f>+_xlfn.XLOOKUP(PROYECTOS[[#This Row],[MUNICIPIO]],'4.CAP_ENDMNT'!B:B,'4.CAP_ENDMNT'!V:V,0,0,1)</f>
        <v>2504939664.2086201</v>
      </c>
      <c r="AJ532" s="139">
        <f>+_xlfn.XLOOKUP(PROYECTOS[[#This Row],[MUNICIPIO]],'4.CAP_ENDMNT'!B:B,'4.CAP_ENDMNT'!Y:Y,0,0,1)</f>
        <v>13376602640.25172</v>
      </c>
    </row>
    <row r="533" spans="1:39" ht="15" customHeight="1">
      <c r="A533" s="44">
        <v>649</v>
      </c>
      <c r="B533" t="s">
        <v>1562</v>
      </c>
      <c r="C533" s="118">
        <f>+_xlfn.XLOOKUP(PROYECTOS[[#This Row],[ID_NECESIDAD]],'1.RADICADOS'!G:G,'1.RADICADOS'!C:C,0,0,1)*1</f>
        <v>45798</v>
      </c>
      <c r="D533" s="67" t="s">
        <v>574</v>
      </c>
      <c r="E533" s="47" t="str">
        <f>+_xlfn.XLOOKUP(PROYECTOS[[#This Row],[MUNICIPIO]],MUNICIPIOS!A:A,MUNICIPIOS!E:E,0,0,1)</f>
        <v>Occidente</v>
      </c>
      <c r="F533" s="44">
        <f>+_xlfn.XLOOKUP(PROYECTOS[[#This Row],[MUNICIPIO]],MUNICIPIOS!A:A,MUNICIPIOS!F:F,0,0,1)</f>
        <v>-75.906999999999996</v>
      </c>
      <c r="G533" s="44" t="str">
        <f>+_xlfn.XLOOKUP(PROYECTOS[[#This Row],[MUNICIPIO]],MUNICIPIOS!A:A,MUNICIPIOS!G:G,0,0,1)</f>
        <v>6,720759</v>
      </c>
      <c r="H533" s="44">
        <f>+_xlfn.XLOOKUP(PROYECTOS[[#This Row],[MUNICIPIO]],MUNICIPIOS!A:A,MUNICIPIOS!B:B,0,0,1)</f>
        <v>0</v>
      </c>
      <c r="I533" s="44">
        <f>+_xlfn.XLOOKUP(PROYECTOS[[#This Row],[MUNICIPIO]],MUNICIPIOS!A:A,MUNICIPIOS!C:C,0,0,1)</f>
        <v>0</v>
      </c>
      <c r="J533" s="34" t="str" cm="1">
        <f t="array" ref="J533">_xlfn.TEXTJOIN(", ", TRUE, IF(radicados[ID PROYECTOS]=A533, radicados[RADICADO], ""))</f>
        <v>2025010253172</v>
      </c>
      <c r="K533" s="45">
        <v>3</v>
      </c>
      <c r="L533" s="189">
        <v>858463265</v>
      </c>
      <c r="M533" s="34" t="s">
        <v>435</v>
      </c>
      <c r="N533" s="40" t="s">
        <v>398</v>
      </c>
      <c r="O533" s="40" t="s">
        <v>25</v>
      </c>
      <c r="P533" s="33" t="s">
        <v>1551</v>
      </c>
      <c r="Q533" s="45"/>
      <c r="R533" s="166"/>
      <c r="S533" s="166"/>
      <c r="T533" s="44">
        <f>+_xlfn.XLOOKUP(PROYECTOS[[#This Row],[MUNICIPIO]],'4.CAP_ENDMNT'!B:B,'4.CAP_ENDMNT'!C:C,0,0,1)</f>
        <v>6</v>
      </c>
      <c r="U533" s="167">
        <f>+_xlfn.XLOOKUP(PROYECTOS[[#This Row],[MUNICIPIO]],'4.CAP_ENDMNT'!B:B,'4.CAP_ENDMNT'!D:D,0,0,1)</f>
        <v>22970429632.738503</v>
      </c>
      <c r="V533" s="44">
        <f>+_xlfn.XLOOKUP(PROYECTOS[[#This Row],[MUNICIPIO]],'4.CAP_ENDMNT'!B:B,'4.CAP_ENDMNT'!E:E,0,0,1)</f>
        <v>4753029850.6400003</v>
      </c>
      <c r="W533" s="44">
        <f>+_xlfn.XLOOKUP(PROYECTOS[[#This Row],[MUNICIPIO]],'4.CAP_ENDMNT'!B:B,'4.CAP_ENDMNT'!F:F,0,0,1)</f>
        <v>18217399782.098503</v>
      </c>
      <c r="X533" s="44">
        <f>+_xlfn.XLOOKUP(PROYECTOS[[#This Row],[MUNICIPIO]],'4.CAP_ENDMNT'!B:B,'4.CAP_ENDMNT'!G:G,0,0,1)</f>
        <v>1226974981</v>
      </c>
      <c r="Y533" s="44">
        <f>+_xlfn.XLOOKUP(PROYECTOS[[#This Row],[MUNICIPIO]],'4.CAP_ENDMNT'!B:B,'4.CAP_ENDMNT'!H:H,0,0,1)</f>
        <v>868957450</v>
      </c>
      <c r="Z533" s="44">
        <f>+_xlfn.XLOOKUP(PROYECTOS[[#This Row],[MUNICIPIO]],'4.CAP_ENDMNT'!B:B,'4.CAP_ENDMNT'!I:I,0,0,1)</f>
        <v>2095932431</v>
      </c>
      <c r="AA533" s="134">
        <f>+_xlfn.XLOOKUP(PROYECTOS[[#This Row],[MUNICIPIO]],'4.CAP_ENDMNT'!B:B,'4.CAP_ENDMNT'!J:J,0,0,1)</f>
        <v>9.1244807542162021E-2</v>
      </c>
      <c r="AB533" s="44">
        <f>+_xlfn.XLOOKUP(PROYECTOS[[#This Row],[MUNICIPIO]],'4.CAP_ENDMNT'!B:B,'4.CAP_ENDMNT'!K:K,0,0,1)</f>
        <v>20874497201.738503</v>
      </c>
      <c r="AC533" s="44">
        <f>+_xlfn.XLOOKUP(PROYECTOS[[#This Row],[MUNICIPIO]],'4.CAP_ENDMNT'!B:B,'4.CAP_ENDMNT'!L:L,0,0,1)</f>
        <v>16699597761.390802</v>
      </c>
      <c r="AD533" s="44">
        <f>+_xlfn.XLOOKUP(PROYECTOS[[#This Row],[MUNICIPIO]],'4.CAP_ENDMNT'!B:B,'4.CAP_ENDMNT'!M:M,0,0,1)</f>
        <v>12524698321.0431</v>
      </c>
      <c r="AE533" s="134">
        <f>+_xlfn.XLOOKUP(PROYECTOS[[#This Row],[MUNICIPIO]],'4.CAP_ENDMNT'!B:B,'4.CAP_ENDMNT'!N:N,0,0,1)</f>
        <v>0.58540769867022491</v>
      </c>
      <c r="AF533" s="134">
        <f>+_xlfn.XLOOKUP(PROYECTOS[[#This Row],[MUNICIPIO]],'4.CAP_ENDMNT'!B:B,'4.CAP_ENDMNT'!O:O,0,0,1)</f>
        <v>0.40516346801716352</v>
      </c>
      <c r="AG533" s="134">
        <f>+_xlfn.XLOOKUP(PROYECTOS[[#This Row],[MUNICIPIO]],'4.CAP_ENDMNT'!B:B,'4.CAP_ENDMNT'!P:P,0,0,1)</f>
        <v>0.8</v>
      </c>
      <c r="AH533" s="44" t="str">
        <f>+_xlfn.XLOOKUP(PROYECTOS[[#This Row],[MUNICIPIO]],'4.CAP_ENDMNT'!B:B,'4.CAP_ENDMNT'!Q:Q,0,0,1)</f>
        <v>Cumple</v>
      </c>
      <c r="AI533" s="139">
        <f>+_xlfn.XLOOKUP(PROYECTOS[[#This Row],[MUNICIPIO]],'4.CAP_ENDMNT'!B:B,'4.CAP_ENDMNT'!V:V,0,0,1)</f>
        <v>2504939664.2086201</v>
      </c>
      <c r="AJ533" s="139">
        <f>+_xlfn.XLOOKUP(PROYECTOS[[#This Row],[MUNICIPIO]],'4.CAP_ENDMNT'!B:B,'4.CAP_ENDMNT'!Y:Y,0,0,1)</f>
        <v>13376602640.25172</v>
      </c>
    </row>
    <row r="534" spans="1:39" ht="15" customHeight="1">
      <c r="A534" s="44">
        <v>650</v>
      </c>
      <c r="B534" t="s">
        <v>1563</v>
      </c>
      <c r="C534" s="118">
        <f>+_xlfn.XLOOKUP(PROYECTOS[[#This Row],[ID_NECESIDAD]],'1.RADICADOS'!G:G,'1.RADICADOS'!C:C,0,0,1)*1</f>
        <v>45800</v>
      </c>
      <c r="D534" s="67" t="s">
        <v>118</v>
      </c>
      <c r="E534" s="47" t="str">
        <f>+_xlfn.XLOOKUP(PROYECTOS[[#This Row],[MUNICIPIO]],MUNICIPIOS!A:A,MUNICIPIOS!E:E,0,0,1)</f>
        <v>Urabá</v>
      </c>
      <c r="F534" s="44">
        <f>+_xlfn.XLOOKUP(PROYECTOS[[#This Row],[MUNICIPIO]],MUNICIPIOS!A:A,MUNICIPIOS!F:F,0,0,1)</f>
        <v>-76.681531000000007</v>
      </c>
      <c r="G534" s="44" t="str">
        <f>+_xlfn.XLOOKUP(PROYECTOS[[#This Row],[MUNICIPIO]],MUNICIPIOS!A:A,MUNICIPIOS!G:G,0,0,1)</f>
        <v>7,666147</v>
      </c>
      <c r="H534" s="44">
        <f>+_xlfn.XLOOKUP(PROYECTOS[[#This Row],[MUNICIPIO]],MUNICIPIOS!A:A,MUNICIPIOS!B:B,0,0,1)</f>
        <v>1</v>
      </c>
      <c r="I534" s="44">
        <f>+_xlfn.XLOOKUP(PROYECTOS[[#This Row],[MUNICIPIO]],MUNICIPIOS!A:A,MUNICIPIOS!C:C,0,0,1)</f>
        <v>1</v>
      </c>
      <c r="J534" s="34" t="str" cm="1">
        <f t="array" ref="J534">_xlfn.TEXTJOIN(", ", TRUE, IF(radicados[ID PROYECTOS]=A534, radicados[RADICADO], ""))</f>
        <v>2025010257039</v>
      </c>
      <c r="K534" s="45">
        <v>3</v>
      </c>
      <c r="L534" s="189">
        <v>2121014300</v>
      </c>
      <c r="M534" s="34" t="s">
        <v>435</v>
      </c>
      <c r="N534" s="40" t="s">
        <v>398</v>
      </c>
      <c r="O534" s="40" t="s">
        <v>25</v>
      </c>
      <c r="P534" s="33" t="s">
        <v>1552</v>
      </c>
      <c r="Q534" s="45"/>
      <c r="R534" s="166"/>
      <c r="S534" s="166"/>
      <c r="T534" s="44">
        <f>+_xlfn.XLOOKUP(PROYECTOS[[#This Row],[MUNICIPIO]],'4.CAP_ENDMNT'!B:B,'4.CAP_ENDMNT'!C:C,0,0,1)</f>
        <v>6</v>
      </c>
      <c r="U534" s="167">
        <f>+_xlfn.XLOOKUP(PROYECTOS[[#This Row],[MUNICIPIO]],'4.CAP_ENDMNT'!B:B,'4.CAP_ENDMNT'!D:D,0,0,1)</f>
        <v>31480625713.601501</v>
      </c>
      <c r="V534" s="44">
        <f>+_xlfn.XLOOKUP(PROYECTOS[[#This Row],[MUNICIPIO]],'4.CAP_ENDMNT'!B:B,'4.CAP_ENDMNT'!E:E,0,0,1)</f>
        <v>12012746210.970001</v>
      </c>
      <c r="W534" s="44">
        <f>+_xlfn.XLOOKUP(PROYECTOS[[#This Row],[MUNICIPIO]],'4.CAP_ENDMNT'!B:B,'4.CAP_ENDMNT'!F:F,0,0,1)</f>
        <v>19467879502.6315</v>
      </c>
      <c r="X534" s="44">
        <f>+_xlfn.XLOOKUP(PROYECTOS[[#This Row],[MUNICIPIO]],'4.CAP_ENDMNT'!B:B,'4.CAP_ENDMNT'!G:G,0,0,1)</f>
        <v>990257688</v>
      </c>
      <c r="Y534" s="44">
        <f>+_xlfn.XLOOKUP(PROYECTOS[[#This Row],[MUNICIPIO]],'4.CAP_ENDMNT'!B:B,'4.CAP_ENDMNT'!H:H,0,0,1)</f>
        <v>4241046406.5999999</v>
      </c>
      <c r="Z534" s="44">
        <f>+_xlfn.XLOOKUP(PROYECTOS[[#This Row],[MUNICIPIO]],'4.CAP_ENDMNT'!B:B,'4.CAP_ENDMNT'!I:I,0,0,1)</f>
        <v>5231304094.6000004</v>
      </c>
      <c r="AA534" s="134">
        <f>+_xlfn.XLOOKUP(PROYECTOS[[#This Row],[MUNICIPIO]],'4.CAP_ENDMNT'!B:B,'4.CAP_ENDMNT'!J:J,0,0,1)</f>
        <v>0.16617535312647125</v>
      </c>
      <c r="AB534" s="44">
        <f>+_xlfn.XLOOKUP(PROYECTOS[[#This Row],[MUNICIPIO]],'4.CAP_ENDMNT'!B:B,'4.CAP_ENDMNT'!K:K,0,0,1)</f>
        <v>26249321619.001503</v>
      </c>
      <c r="AC534" s="44">
        <f>+_xlfn.XLOOKUP(PROYECTOS[[#This Row],[MUNICIPIO]],'4.CAP_ENDMNT'!B:B,'4.CAP_ENDMNT'!L:L,0,0,1)</f>
        <v>20999457295.201202</v>
      </c>
      <c r="AD534" s="44">
        <f>+_xlfn.XLOOKUP(PROYECTOS[[#This Row],[MUNICIPIO]],'4.CAP_ENDMNT'!B:B,'4.CAP_ENDMNT'!M:M,0,0,1)</f>
        <v>15749592971.400902</v>
      </c>
      <c r="AE534" s="134">
        <f>+_xlfn.XLOOKUP(PROYECTOS[[#This Row],[MUNICIPIO]],'4.CAP_ENDMNT'!B:B,'4.CAP_ENDMNT'!N:N,0,0,1)</f>
        <v>0.18929461375074541</v>
      </c>
      <c r="AF534" s="134">
        <f>+_xlfn.XLOOKUP(PROYECTOS[[#This Row],[MUNICIPIO]],'4.CAP_ENDMNT'!B:B,'4.CAP_ENDMNT'!O:O,0,0,1)</f>
        <v>0.57128723877428544</v>
      </c>
      <c r="AG534" s="134">
        <f>+_xlfn.XLOOKUP(PROYECTOS[[#This Row],[MUNICIPIO]],'4.CAP_ENDMNT'!B:B,'4.CAP_ENDMNT'!P:P,0,0,1)</f>
        <v>0.8</v>
      </c>
      <c r="AH534" s="44" t="str">
        <f>+_xlfn.XLOOKUP(PROYECTOS[[#This Row],[MUNICIPIO]],'4.CAP_ENDMNT'!B:B,'4.CAP_ENDMNT'!Q:Q,0,0,1)</f>
        <v>Cumple</v>
      </c>
      <c r="AI534" s="139">
        <f>+_xlfn.XLOOKUP(PROYECTOS[[#This Row],[MUNICIPIO]],'4.CAP_ENDMNT'!B:B,'4.CAP_ENDMNT'!V:V,0,0,1)</f>
        <v>3149918594.2801805</v>
      </c>
      <c r="AJ534" s="139">
        <f>+_xlfn.XLOOKUP(PROYECTOS[[#This Row],[MUNICIPIO]],'4.CAP_ENDMNT'!B:B,'4.CAP_ENDMNT'!Y:Y,0,0,1)</f>
        <v>-159577103574.2489</v>
      </c>
    </row>
    <row r="535" spans="1:39" ht="15" customHeight="1">
      <c r="A535" s="44">
        <v>651</v>
      </c>
      <c r="B535" t="s">
        <v>1557</v>
      </c>
      <c r="C535" s="118">
        <f>+_xlfn.XLOOKUP(PROYECTOS[[#This Row],[ID_NECESIDAD]],'1.RADICADOS'!G:G,'1.RADICADOS'!C:C,0,0,1)*1</f>
        <v>45799</v>
      </c>
      <c r="D535" s="46" t="s">
        <v>131</v>
      </c>
      <c r="E535" s="47" t="str">
        <f>+_xlfn.XLOOKUP(PROYECTOS[[#This Row],[MUNICIPIO]],MUNICIPIOS!A:A,MUNICIPIOS!E:E,0,0,1)</f>
        <v>Valle de Aburrá</v>
      </c>
      <c r="F535" s="44">
        <f>+_xlfn.XLOOKUP(PROYECTOS[[#This Row],[MUNICIPIO]],MUNICIPIOS!A:A,MUNICIPIOS!F:F,0,0,1)</f>
        <v>-75.509383999999997</v>
      </c>
      <c r="G535" s="44" t="str">
        <f>+_xlfn.XLOOKUP(PROYECTOS[[#This Row],[MUNICIPIO]],MUNICIPIOS!A:A,MUNICIPIOS!G:G,0,0,1)</f>
        <v>6,348557</v>
      </c>
      <c r="H535" s="44">
        <f>+_xlfn.XLOOKUP(PROYECTOS[[#This Row],[MUNICIPIO]],MUNICIPIOS!A:A,MUNICIPIOS!B:B,0,0,1)</f>
        <v>0</v>
      </c>
      <c r="I535" s="44">
        <f>+_xlfn.XLOOKUP(PROYECTOS[[#This Row],[MUNICIPIO]],MUNICIPIOS!A:A,MUNICIPIOS!C:C,0,0,1)</f>
        <v>0</v>
      </c>
      <c r="J535" s="34" t="str" cm="1">
        <f t="array" ref="J535">_xlfn.TEXTJOIN(", ", TRUE, IF(radicados[ID PROYECTOS]=A535, radicados[RADICADO], ""))</f>
        <v>2025010256343</v>
      </c>
      <c r="K535" s="45">
        <v>1</v>
      </c>
      <c r="L535" s="189">
        <v>1957555874</v>
      </c>
      <c r="M535" s="34" t="s">
        <v>396</v>
      </c>
      <c r="N535" s="40" t="s">
        <v>398</v>
      </c>
      <c r="O535" s="40" t="s">
        <v>25</v>
      </c>
      <c r="P535" s="36" t="s">
        <v>1558</v>
      </c>
      <c r="Q535" s="45"/>
      <c r="R535" s="166"/>
      <c r="S535" s="166"/>
      <c r="T535" s="44">
        <f>+_xlfn.XLOOKUP(PROYECTOS[[#This Row],[MUNICIPIO]],'4.CAP_ENDMNT'!B:B,'4.CAP_ENDMNT'!C:C,0,0,1)</f>
        <v>3</v>
      </c>
      <c r="U535" s="167">
        <f>+_xlfn.XLOOKUP(PROYECTOS[[#This Row],[MUNICIPIO]],'4.CAP_ENDMNT'!B:B,'4.CAP_ENDMNT'!D:D,0,0,1)</f>
        <v>71418896570.32901</v>
      </c>
      <c r="V535" s="44">
        <f>+_xlfn.XLOOKUP(PROYECTOS[[#This Row],[MUNICIPIO]],'4.CAP_ENDMNT'!B:B,'4.CAP_ENDMNT'!E:E,0,0,1)</f>
        <v>21915816653.91</v>
      </c>
      <c r="W535" s="44">
        <f>+_xlfn.XLOOKUP(PROYECTOS[[#This Row],[MUNICIPIO]],'4.CAP_ENDMNT'!B:B,'4.CAP_ENDMNT'!F:F,0,0,1)</f>
        <v>49503079916.419006</v>
      </c>
      <c r="X535" s="44">
        <f>+_xlfn.XLOOKUP(PROYECTOS[[#This Row],[MUNICIPIO]],'4.CAP_ENDMNT'!B:B,'4.CAP_ENDMNT'!G:G,0,0,1)</f>
        <v>5163365590</v>
      </c>
      <c r="Y535" s="44">
        <f>+_xlfn.XLOOKUP(PROYECTOS[[#This Row],[MUNICIPIO]],'4.CAP_ENDMNT'!B:B,'4.CAP_ENDMNT'!H:H,0,0,1)</f>
        <v>10000000000</v>
      </c>
      <c r="Z535" s="44">
        <f>+_xlfn.XLOOKUP(PROYECTOS[[#This Row],[MUNICIPIO]],'4.CAP_ENDMNT'!B:B,'4.CAP_ENDMNT'!I:I,0,0,1)</f>
        <v>15163365590</v>
      </c>
      <c r="AA535" s="134">
        <f>+_xlfn.XLOOKUP(PROYECTOS[[#This Row],[MUNICIPIO]],'4.CAP_ENDMNT'!B:B,'4.CAP_ENDMNT'!J:J,0,0,1)</f>
        <v>0.21231587602404406</v>
      </c>
      <c r="AB535" s="44">
        <f>+_xlfn.XLOOKUP(PROYECTOS[[#This Row],[MUNICIPIO]],'4.CAP_ENDMNT'!B:B,'4.CAP_ENDMNT'!K:K,0,0,1)</f>
        <v>56255530980.32901</v>
      </c>
      <c r="AC535" s="44">
        <f>+_xlfn.XLOOKUP(PROYECTOS[[#This Row],[MUNICIPIO]],'4.CAP_ENDMNT'!B:B,'4.CAP_ENDMNT'!L:L,0,0,1)</f>
        <v>45004424784.263214</v>
      </c>
      <c r="AD535" s="44">
        <f>+_xlfn.XLOOKUP(PROYECTOS[[#This Row],[MUNICIPIO]],'4.CAP_ENDMNT'!B:B,'4.CAP_ENDMNT'!M:M,0,0,1)</f>
        <v>33753318588.197403</v>
      </c>
      <c r="AE535" s="134">
        <f>+_xlfn.XLOOKUP(PROYECTOS[[#This Row],[MUNICIPIO]],'4.CAP_ENDMNT'!B:B,'4.CAP_ENDMNT'!N:N,0,0,1)</f>
        <v>0.34051580167698114</v>
      </c>
      <c r="AF535" s="134">
        <f>+_xlfn.XLOOKUP(PROYECTOS[[#This Row],[MUNICIPIO]],'4.CAP_ENDMNT'!B:B,'4.CAP_ENDMNT'!O:O,0,0,1)</f>
        <v>0.39338076792135007</v>
      </c>
      <c r="AG535" s="134">
        <f>+_xlfn.XLOOKUP(PROYECTOS[[#This Row],[MUNICIPIO]],'4.CAP_ENDMNT'!B:B,'4.CAP_ENDMNT'!P:P,0,0,1)</f>
        <v>0.7</v>
      </c>
      <c r="AH535" s="44" t="str">
        <f>+_xlfn.XLOOKUP(PROYECTOS[[#This Row],[MUNICIPIO]],'4.CAP_ENDMNT'!B:B,'4.CAP_ENDMNT'!Q:Q,0,0,1)</f>
        <v>Cumple</v>
      </c>
      <c r="AI535" s="139">
        <f>+_xlfn.XLOOKUP(PROYECTOS[[#This Row],[MUNICIPIO]],'4.CAP_ENDMNT'!B:B,'4.CAP_ENDMNT'!V:V,0,0,1)</f>
        <v>6750663717.6394806</v>
      </c>
      <c r="AJ535" s="139">
        <f>+_xlfn.XLOOKUP(PROYECTOS[[#This Row],[MUNICIPIO]],'4.CAP_ENDMNT'!B:B,'4.CAP_ENDMNT'!Y:Y,0,0,1)</f>
        <v>38546426431.836884</v>
      </c>
    </row>
    <row r="536" spans="1:39" ht="15" customHeight="1">
      <c r="A536" s="44">
        <v>653</v>
      </c>
      <c r="B536" s="28" t="s">
        <v>1644</v>
      </c>
      <c r="C536" s="118">
        <f>+_xlfn.XLOOKUP(PROYECTOS[[#This Row],[ID_NECESIDAD]],'1.RADICADOS'!G:G,'1.RADICADOS'!C:C,0,0,1)*1</f>
        <v>45793</v>
      </c>
      <c r="D536" s="67" t="s">
        <v>448</v>
      </c>
      <c r="E536" s="47" t="str">
        <f>+_xlfn.XLOOKUP(PROYECTOS[[#This Row],[MUNICIPIO]],MUNICIPIOS!A:A,MUNICIPIOS!E:E,0,0,1)</f>
        <v>Occidente</v>
      </c>
      <c r="F536" s="44">
        <f>+_xlfn.XLOOKUP(PROYECTOS[[#This Row],[MUNICIPIO]],MUNICIPIOS!A:A,MUNICIPIOS!F:F,0,0,1)</f>
        <v>-75.982929999999996</v>
      </c>
      <c r="G536" s="44" t="str">
        <f>+_xlfn.XLOOKUP(PROYECTOS[[#This Row],[MUNICIPIO]],MUNICIPIOS!A:A,MUNICIPIOS!G:G,0,0,1)</f>
        <v>6,405607</v>
      </c>
      <c r="H536" s="44">
        <f>+_xlfn.XLOOKUP(PROYECTOS[[#This Row],[MUNICIPIO]],MUNICIPIOS!A:A,MUNICIPIOS!B:B,0,0,1)</f>
        <v>0</v>
      </c>
      <c r="I536" s="44">
        <f>+_xlfn.XLOOKUP(PROYECTOS[[#This Row],[MUNICIPIO]],MUNICIPIOS!A:A,MUNICIPIOS!C:C,0,0,1)</f>
        <v>1</v>
      </c>
      <c r="J536" s="34" t="str" cm="1">
        <f t="array" ref="J536">_xlfn.TEXTJOIN(", ", TRUE, IF(radicados[ID PROYECTOS]=A536, radicados[RADICADO], ""))</f>
        <v>2025010242808</v>
      </c>
      <c r="K536" s="45">
        <v>2</v>
      </c>
      <c r="L536" s="189">
        <v>209395615</v>
      </c>
      <c r="M536" s="34" t="s">
        <v>761</v>
      </c>
      <c r="N536" s="40" t="s">
        <v>398</v>
      </c>
      <c r="O536" s="40" t="s">
        <v>25</v>
      </c>
      <c r="P536" s="37" t="s">
        <v>1580</v>
      </c>
      <c r="Q536" s="45"/>
      <c r="R536" s="166"/>
      <c r="S536" s="166"/>
      <c r="T536" s="44">
        <f>+_xlfn.XLOOKUP(PROYECTOS[[#This Row],[MUNICIPIO]],'4.CAP_ENDMNT'!B:B,'4.CAP_ENDMNT'!C:C,0,0,1)</f>
        <v>6</v>
      </c>
      <c r="U536" s="167">
        <f>+_xlfn.XLOOKUP(PROYECTOS[[#This Row],[MUNICIPIO]],'4.CAP_ENDMNT'!B:B,'4.CAP_ENDMNT'!D:D,0,0,1)</f>
        <v>8536446221.1044998</v>
      </c>
      <c r="V536" s="44">
        <f>+_xlfn.XLOOKUP(PROYECTOS[[#This Row],[MUNICIPIO]],'4.CAP_ENDMNT'!B:B,'4.CAP_ENDMNT'!E:E,0,0,1)</f>
        <v>2840287960.8099999</v>
      </c>
      <c r="W536" s="44">
        <f>+_xlfn.XLOOKUP(PROYECTOS[[#This Row],[MUNICIPIO]],'4.CAP_ENDMNT'!B:B,'4.CAP_ENDMNT'!F:F,0,0,1)</f>
        <v>5696158260.2945004</v>
      </c>
      <c r="X536" s="44">
        <f>+_xlfn.XLOOKUP(PROYECTOS[[#This Row],[MUNICIPIO]],'4.CAP_ENDMNT'!B:B,'4.CAP_ENDMNT'!G:G,0,0,1)</f>
        <v>1059912604</v>
      </c>
      <c r="Y536" s="44">
        <f>+_xlfn.XLOOKUP(PROYECTOS[[#This Row],[MUNICIPIO]],'4.CAP_ENDMNT'!B:B,'4.CAP_ENDMNT'!H:H,0,0,1)</f>
        <v>559890374</v>
      </c>
      <c r="Z536" s="44">
        <f>+_xlfn.XLOOKUP(PROYECTOS[[#This Row],[MUNICIPIO]],'4.CAP_ENDMNT'!B:B,'4.CAP_ENDMNT'!I:I,0,0,1)</f>
        <v>1619802978</v>
      </c>
      <c r="AA536" s="134">
        <f>+_xlfn.XLOOKUP(PROYECTOS[[#This Row],[MUNICIPIO]],'4.CAP_ENDMNT'!B:B,'4.CAP_ENDMNT'!J:J,0,0,1)</f>
        <v>0.18975144176453554</v>
      </c>
      <c r="AB536" s="44">
        <f>+_xlfn.XLOOKUP(PROYECTOS[[#This Row],[MUNICIPIO]],'4.CAP_ENDMNT'!B:B,'4.CAP_ENDMNT'!K:K,0,0,1)</f>
        <v>6916643243.1044998</v>
      </c>
      <c r="AC536" s="44">
        <f>+_xlfn.XLOOKUP(PROYECTOS[[#This Row],[MUNICIPIO]],'4.CAP_ENDMNT'!B:B,'4.CAP_ENDMNT'!L:L,0,0,1)</f>
        <v>5533314594.4836006</v>
      </c>
      <c r="AD536" s="44">
        <f>+_xlfn.XLOOKUP(PROYECTOS[[#This Row],[MUNICIPIO]],'4.CAP_ENDMNT'!B:B,'4.CAP_ENDMNT'!M:M,0,0,1)</f>
        <v>4149985945.8626995</v>
      </c>
      <c r="AE536" s="134">
        <f>+_xlfn.XLOOKUP(PROYECTOS[[#This Row],[MUNICIPIO]],'4.CAP_ENDMNT'!B:B,'4.CAP_ENDMNT'!N:N,0,0,1)</f>
        <v>0.65434662017271583</v>
      </c>
      <c r="AF536" s="134">
        <f>+_xlfn.XLOOKUP(PROYECTOS[[#This Row],[MUNICIPIO]],'4.CAP_ENDMNT'!B:B,'4.CAP_ENDMNT'!O:O,0,0,1)</f>
        <v>0.62730744736284794</v>
      </c>
      <c r="AG536" s="134">
        <f>+_xlfn.XLOOKUP(PROYECTOS[[#This Row],[MUNICIPIO]],'4.CAP_ENDMNT'!B:B,'4.CAP_ENDMNT'!P:P,0,0,1)</f>
        <v>0.8</v>
      </c>
      <c r="AH536" s="44" t="str">
        <f>+_xlfn.XLOOKUP(PROYECTOS[[#This Row],[MUNICIPIO]],'4.CAP_ENDMNT'!B:B,'4.CAP_ENDMNT'!Q:Q,0,0,1)</f>
        <v>Cumple</v>
      </c>
      <c r="AI536" s="139">
        <f>+_xlfn.XLOOKUP(PROYECTOS[[#This Row],[MUNICIPIO]],'4.CAP_ENDMNT'!B:B,'4.CAP_ENDMNT'!V:V,0,0,1)</f>
        <v>829997189.17253995</v>
      </c>
      <c r="AJ536" s="139">
        <f>+_xlfn.XLOOKUP(PROYECTOS[[#This Row],[MUNICIPIO]],'4.CAP_ENDMNT'!B:B,'4.CAP_ENDMNT'!Y:Y,0,0,1)</f>
        <v>-7956520095.9647608</v>
      </c>
    </row>
    <row r="537" spans="1:39" ht="15" customHeight="1">
      <c r="A537" s="44">
        <v>654</v>
      </c>
      <c r="B537" t="s">
        <v>1578</v>
      </c>
      <c r="C537" s="118">
        <f>+_xlfn.XLOOKUP(PROYECTOS[[#This Row],[ID_NECESIDAD]],'1.RADICADOS'!G:G,'1.RADICADOS'!C:C,0,0,1)*1</f>
        <v>45799</v>
      </c>
      <c r="D537" s="67" t="s">
        <v>596</v>
      </c>
      <c r="E537" s="47" t="str">
        <f>+_xlfn.XLOOKUP(PROYECTOS[[#This Row],[MUNICIPIO]],MUNICIPIOS!A:A,MUNICIPIOS!E:E,0,0,1)</f>
        <v>Oriente</v>
      </c>
      <c r="F537" s="44">
        <f>+_xlfn.XLOOKUP(PROYECTOS[[#This Row],[MUNICIPIO]],MUNICIPIOS!A:A,MUNICIPIOS!F:F,0,0,1)</f>
        <v>-75.332616000000002</v>
      </c>
      <c r="G537" s="44" t="str">
        <f>+_xlfn.XLOOKUP(PROYECTOS[[#This Row],[MUNICIPIO]],MUNICIPIOS!A:A,MUNICIPIOS!G:G,0,0,1)</f>
        <v>6,282164</v>
      </c>
      <c r="H537" s="44">
        <f>+_xlfn.XLOOKUP(PROYECTOS[[#This Row],[MUNICIPIO]],MUNICIPIOS!A:A,MUNICIPIOS!B:B,0,0,1)</f>
        <v>0</v>
      </c>
      <c r="I537" s="44">
        <f>+_xlfn.XLOOKUP(PROYECTOS[[#This Row],[MUNICIPIO]],MUNICIPIOS!A:A,MUNICIPIOS!C:C,0,0,1)</f>
        <v>0</v>
      </c>
      <c r="J537" s="34" t="str" cm="1">
        <f t="array" ref="J537">_xlfn.TEXTJOIN(", ", TRUE, IF(radicados[ID PROYECTOS]=A537, radicados[RADICADO], ""))</f>
        <v>2025010255172</v>
      </c>
      <c r="K537" s="45">
        <v>3</v>
      </c>
      <c r="L537" s="189">
        <v>7716862669</v>
      </c>
      <c r="M537" s="34" t="s">
        <v>288</v>
      </c>
      <c r="N537" s="40" t="s">
        <v>398</v>
      </c>
      <c r="O537" s="40" t="s">
        <v>25</v>
      </c>
      <c r="P537" s="37"/>
      <c r="Q537" s="45"/>
      <c r="R537" s="166"/>
      <c r="S537" s="166"/>
      <c r="T537" s="44">
        <f>+_xlfn.XLOOKUP(PROYECTOS[[#This Row],[MUNICIPIO]],'4.CAP_ENDMNT'!B:B,'4.CAP_ENDMNT'!C:C,0,0,1)</f>
        <v>6</v>
      </c>
      <c r="U537" s="167">
        <f>+_xlfn.XLOOKUP(PROYECTOS[[#This Row],[MUNICIPIO]],'4.CAP_ENDMNT'!B:B,'4.CAP_ENDMNT'!D:D,0,0,1)</f>
        <v>18910688140.249004</v>
      </c>
      <c r="V537" s="44">
        <f>+_xlfn.XLOOKUP(PROYECTOS[[#This Row],[MUNICIPIO]],'4.CAP_ENDMNT'!B:B,'4.CAP_ENDMNT'!E:E,0,0,1)</f>
        <v>5456011434.4000006</v>
      </c>
      <c r="W537" s="44">
        <f>+_xlfn.XLOOKUP(PROYECTOS[[#This Row],[MUNICIPIO]],'4.CAP_ENDMNT'!B:B,'4.CAP_ENDMNT'!F:F,0,0,1)</f>
        <v>13454676705.849003</v>
      </c>
      <c r="X537" s="44">
        <f>+_xlfn.XLOOKUP(PROYECTOS[[#This Row],[MUNICIPIO]],'4.CAP_ENDMNT'!B:B,'4.CAP_ENDMNT'!G:G,0,0,1)</f>
        <v>5580933878</v>
      </c>
      <c r="Y537" s="44">
        <f>+_xlfn.XLOOKUP(PROYECTOS[[#This Row],[MUNICIPIO]],'4.CAP_ENDMNT'!B:B,'4.CAP_ENDMNT'!H:H,0,0,1)</f>
        <v>4737487939</v>
      </c>
      <c r="Z537" s="44">
        <f>+_xlfn.XLOOKUP(PROYECTOS[[#This Row],[MUNICIPIO]],'4.CAP_ENDMNT'!B:B,'4.CAP_ENDMNT'!I:I,0,0,1)</f>
        <v>10318421817</v>
      </c>
      <c r="AA537" s="134">
        <f>+_xlfn.XLOOKUP(PROYECTOS[[#This Row],[MUNICIPIO]],'4.CAP_ENDMNT'!B:B,'4.CAP_ENDMNT'!J:J,0,0,1)</f>
        <v>0.5456396795544709</v>
      </c>
      <c r="AB537" s="44">
        <f>+_xlfn.XLOOKUP(PROYECTOS[[#This Row],[MUNICIPIO]],'4.CAP_ENDMNT'!B:B,'4.CAP_ENDMNT'!K:K,0,0,1)</f>
        <v>8592266323.2490044</v>
      </c>
      <c r="AC537" s="44">
        <f>+_xlfn.XLOOKUP(PROYECTOS[[#This Row],[MUNICIPIO]],'4.CAP_ENDMNT'!B:B,'4.CAP_ENDMNT'!L:L,0,0,1)</f>
        <v>6873813058.5992041</v>
      </c>
      <c r="AD537" s="44">
        <f>+_xlfn.XLOOKUP(PROYECTOS[[#This Row],[MUNICIPIO]],'4.CAP_ENDMNT'!B:B,'4.CAP_ENDMNT'!M:M,0,0,1)</f>
        <v>5155359793.9494028</v>
      </c>
      <c r="AE537" s="134">
        <f>+_xlfn.XLOOKUP(PROYECTOS[[#This Row],[MUNICIPIO]],'4.CAP_ENDMNT'!B:B,'4.CAP_ENDMNT'!N:N,0,0,1)</f>
        <v>0.54087087899480857</v>
      </c>
      <c r="AF537" s="134">
        <f>+_xlfn.XLOOKUP(PROYECTOS[[#This Row],[MUNICIPIO]],'4.CAP_ENDMNT'!B:B,'4.CAP_ENDMNT'!O:O,0,0,1)</f>
        <v>0.45745893515208286</v>
      </c>
      <c r="AG537" s="134">
        <f>+_xlfn.XLOOKUP(PROYECTOS[[#This Row],[MUNICIPIO]],'4.CAP_ENDMNT'!B:B,'4.CAP_ENDMNT'!P:P,0,0,1)</f>
        <v>0.8</v>
      </c>
      <c r="AH537" s="44" t="str">
        <f>+_xlfn.XLOOKUP(PROYECTOS[[#This Row],[MUNICIPIO]],'4.CAP_ENDMNT'!B:B,'4.CAP_ENDMNT'!Q:Q,0,0,1)</f>
        <v>Cumple</v>
      </c>
      <c r="AI537" s="139">
        <f>+_xlfn.XLOOKUP(PROYECTOS[[#This Row],[MUNICIPIO]],'4.CAP_ENDMNT'!B:B,'4.CAP_ENDMNT'!V:V,0,0,1)</f>
        <v>1031071958.7898806</v>
      </c>
      <c r="AJ537" s="139">
        <f>+_xlfn.XLOOKUP(PROYECTOS[[#This Row],[MUNICIPIO]],'4.CAP_ENDMNT'!B:B,'4.CAP_ENDMNT'!Y:Y,0,0,1)</f>
        <v>-1865703790.2607164</v>
      </c>
    </row>
    <row r="538" spans="1:39" ht="15" customHeight="1">
      <c r="A538" s="44">
        <v>655</v>
      </c>
      <c r="B538" t="s">
        <v>1582</v>
      </c>
      <c r="C538" s="118">
        <f>+_xlfn.XLOOKUP(PROYECTOS[[#This Row],[ID_NECESIDAD]],'1.RADICADOS'!G:G,'1.RADICADOS'!C:C,0,0,1)*1</f>
        <v>45803</v>
      </c>
      <c r="D538" s="67" t="s">
        <v>211</v>
      </c>
      <c r="E538" s="47" t="str">
        <f>+_xlfn.XLOOKUP(PROYECTOS[[#This Row],[MUNICIPIO]],MUNICIPIOS!A:A,MUNICIPIOS!E:E,0,0,1)</f>
        <v>Oriente</v>
      </c>
      <c r="F538" s="44">
        <f>+_xlfn.XLOOKUP(PROYECTOS[[#This Row],[MUNICIPIO]],MUNICIPIOS!A:A,MUNICIPIOS!F:F,0,0,1)</f>
        <v>-75.333900999999997</v>
      </c>
      <c r="G538" s="44" t="str">
        <f>+_xlfn.XLOOKUP(PROYECTOS[[#This Row],[MUNICIPIO]],MUNICIPIOS!A:A,MUNICIPIOS!G:G,0,0,1)</f>
        <v>6,082885</v>
      </c>
      <c r="H538" s="44">
        <f>+_xlfn.XLOOKUP(PROYECTOS[[#This Row],[MUNICIPIO]],MUNICIPIOS!A:A,MUNICIPIOS!B:B,0,0,1)</f>
        <v>0</v>
      </c>
      <c r="I538" s="44">
        <f>+_xlfn.XLOOKUP(PROYECTOS[[#This Row],[MUNICIPIO]],MUNICIPIOS!A:A,MUNICIPIOS!C:C,0,0,1)</f>
        <v>0</v>
      </c>
      <c r="J538" s="34" t="str" cm="1">
        <f t="array" ref="J538">_xlfn.TEXTJOIN(", ", TRUE, IF(radicados[ID PROYECTOS]=A538, radicados[RADICADO], ""))</f>
        <v>2025010259919</v>
      </c>
      <c r="K538" s="45">
        <v>1</v>
      </c>
      <c r="L538" s="189"/>
      <c r="M538" s="34" t="s">
        <v>396</v>
      </c>
      <c r="N538" s="40" t="s">
        <v>398</v>
      </c>
      <c r="O538" s="40" t="s">
        <v>25</v>
      </c>
      <c r="P538" s="37" t="s">
        <v>1581</v>
      </c>
      <c r="Q538" s="45"/>
      <c r="R538" s="166"/>
      <c r="S538" s="166"/>
      <c r="T538" s="44">
        <f>+_xlfn.XLOOKUP(PROYECTOS[[#This Row],[MUNICIPIO]],'4.CAP_ENDMNT'!B:B,'4.CAP_ENDMNT'!C:C,0,0,1)</f>
        <v>3</v>
      </c>
      <c r="U538" s="167">
        <f>+_xlfn.XLOOKUP(PROYECTOS[[#This Row],[MUNICIPIO]],'4.CAP_ENDMNT'!B:B,'4.CAP_ENDMNT'!D:D,0,0,1)</f>
        <v>70430942311.208496</v>
      </c>
      <c r="V538" s="44">
        <f>+_xlfn.XLOOKUP(PROYECTOS[[#This Row],[MUNICIPIO]],'4.CAP_ENDMNT'!B:B,'4.CAP_ENDMNT'!E:E,0,0,1)</f>
        <v>29041990033.869999</v>
      </c>
      <c r="W538" s="44">
        <f>+_xlfn.XLOOKUP(PROYECTOS[[#This Row],[MUNICIPIO]],'4.CAP_ENDMNT'!B:B,'4.CAP_ENDMNT'!F:F,0,0,1)</f>
        <v>41388952277.338501</v>
      </c>
      <c r="X538" s="44">
        <f>+_xlfn.XLOOKUP(PROYECTOS[[#This Row],[MUNICIPIO]],'4.CAP_ENDMNT'!B:B,'4.CAP_ENDMNT'!G:G,0,0,1)</f>
        <v>14609948257</v>
      </c>
      <c r="Y538" s="44">
        <f>+_xlfn.XLOOKUP(PROYECTOS[[#This Row],[MUNICIPIO]],'4.CAP_ENDMNT'!B:B,'4.CAP_ENDMNT'!H:H,0,0,1)</f>
        <v>2802411494.09375</v>
      </c>
      <c r="Z538" s="44">
        <f>+_xlfn.XLOOKUP(PROYECTOS[[#This Row],[MUNICIPIO]],'4.CAP_ENDMNT'!B:B,'4.CAP_ENDMNT'!I:I,0,0,1)</f>
        <v>17412359751.09375</v>
      </c>
      <c r="AA538" s="134">
        <f>+_xlfn.XLOOKUP(PROYECTOS[[#This Row],[MUNICIPIO]],'4.CAP_ENDMNT'!B:B,'4.CAP_ENDMNT'!J:J,0,0,1)</f>
        <v>0.24722599442379914</v>
      </c>
      <c r="AB538" s="44">
        <f>+_xlfn.XLOOKUP(PROYECTOS[[#This Row],[MUNICIPIO]],'4.CAP_ENDMNT'!B:B,'4.CAP_ENDMNT'!K:K,0,0,1)</f>
        <v>53018582560.114746</v>
      </c>
      <c r="AC538" s="44">
        <f>+_xlfn.XLOOKUP(PROYECTOS[[#This Row],[MUNICIPIO]],'4.CAP_ENDMNT'!B:B,'4.CAP_ENDMNT'!L:L,0,0,1)</f>
        <v>42414866048.091797</v>
      </c>
      <c r="AD538" s="44">
        <f>+_xlfn.XLOOKUP(PROYECTOS[[#This Row],[MUNICIPIO]],'4.CAP_ENDMNT'!B:B,'4.CAP_ENDMNT'!M:M,0,0,1)</f>
        <v>31811149536.068848</v>
      </c>
      <c r="AE538" s="134">
        <f>+_xlfn.XLOOKUP(PROYECTOS[[#This Row],[MUNICIPIO]],'4.CAP_ENDMNT'!B:B,'4.CAP_ENDMNT'!N:N,0,0,1)</f>
        <v>0.83905619145516919</v>
      </c>
      <c r="AF538" s="134">
        <f>+_xlfn.XLOOKUP(PROYECTOS[[#This Row],[MUNICIPIO]],'4.CAP_ENDMNT'!B:B,'4.CAP_ENDMNT'!O:O,0,0,1)</f>
        <v>0.45782837875910809</v>
      </c>
      <c r="AG538" s="134">
        <f>+_xlfn.XLOOKUP(PROYECTOS[[#This Row],[MUNICIPIO]],'4.CAP_ENDMNT'!B:B,'4.CAP_ENDMNT'!P:P,0,0,1)</f>
        <v>0.7</v>
      </c>
      <c r="AH538" s="44" t="str">
        <f>+_xlfn.XLOOKUP(PROYECTOS[[#This Row],[MUNICIPIO]],'4.CAP_ENDMNT'!B:B,'4.CAP_ENDMNT'!Q:Q,0,0,1)</f>
        <v>Cumple</v>
      </c>
      <c r="AI538" s="139">
        <f>+_xlfn.XLOOKUP(PROYECTOS[[#This Row],[MUNICIPIO]],'4.CAP_ENDMNT'!B:B,'4.CAP_ENDMNT'!V:V,0,0,1)</f>
        <v>6362229907.2137699</v>
      </c>
      <c r="AJ538" s="139">
        <f>+_xlfn.XLOOKUP(PROYECTOS[[#This Row],[MUNICIPIO]],'4.CAP_ENDMNT'!B:B,'4.CAP_ENDMNT'!Y:Y,0,0,1)</f>
        <v>28993841225.282616</v>
      </c>
    </row>
    <row r="539" spans="1:39" ht="15" customHeight="1">
      <c r="A539" s="44">
        <v>656</v>
      </c>
      <c r="B539" t="s">
        <v>1595</v>
      </c>
      <c r="C539" s="118">
        <f>+_xlfn.XLOOKUP(PROYECTOS[[#This Row],[ID_NECESIDAD]],'1.RADICADOS'!G:G,'1.RADICADOS'!C:C,0,0,1)*1</f>
        <v>45804</v>
      </c>
      <c r="D539" s="198" t="s">
        <v>452</v>
      </c>
      <c r="E539" s="47" t="str">
        <f>+_xlfn.XLOOKUP(PROYECTOS[[#This Row],[MUNICIPIO]],MUNICIPIOS!A:A,MUNICIPIOS!E:E,0,0,1)</f>
        <v>Occidente</v>
      </c>
      <c r="F539" s="44">
        <f>+_xlfn.XLOOKUP(PROYECTOS[[#This Row],[MUNICIPIO]],MUNICIPIOS!A:A,MUNICIPIOS!F:F,0,0,1)</f>
        <v>-75.910357000000005</v>
      </c>
      <c r="G539" s="44" t="str">
        <f>+_xlfn.XLOOKUP(PROYECTOS[[#This Row],[MUNICIPIO]],MUNICIPIOS!A:A,MUNICIPIOS!G:G,0,0,1)</f>
        <v>7,021029</v>
      </c>
      <c r="H539" s="44">
        <f>+_xlfn.XLOOKUP(PROYECTOS[[#This Row],[MUNICIPIO]],MUNICIPIOS!A:A,MUNICIPIOS!B:B,0,0,1)</f>
        <v>0</v>
      </c>
      <c r="I539" s="44">
        <f>+_xlfn.XLOOKUP(PROYECTOS[[#This Row],[MUNICIPIO]],MUNICIPIOS!A:A,MUNICIPIOS!C:C,0,0,1)</f>
        <v>0</v>
      </c>
      <c r="J539" s="34" t="str" cm="1">
        <f t="array" ref="J539">_xlfn.TEXTJOIN(", ", TRUE, IF(radicados[ID PROYECTOS]=A539, radicados[RADICADO], ""))</f>
        <v>2025010264999</v>
      </c>
      <c r="K539" s="45">
        <v>1</v>
      </c>
      <c r="L539" s="199"/>
      <c r="M539" s="34" t="s">
        <v>1598</v>
      </c>
      <c r="N539" s="40" t="s">
        <v>398</v>
      </c>
      <c r="O539" s="40" t="s">
        <v>25</v>
      </c>
      <c r="P539" s="33" t="s">
        <v>1594</v>
      </c>
      <c r="Q539" s="45"/>
      <c r="R539" s="166"/>
      <c r="S539" s="166"/>
      <c r="T539" s="44">
        <f>+_xlfn.XLOOKUP(PROYECTOS[[#This Row],[MUNICIPIO]],'4.CAP_ENDMNT'!B:B,'4.CAP_ENDMNT'!C:C,0,0,1)</f>
        <v>6</v>
      </c>
      <c r="U539" s="167">
        <f>+_xlfn.XLOOKUP(PROYECTOS[[#This Row],[MUNICIPIO]],'4.CAP_ENDMNT'!B:B,'4.CAP_ENDMNT'!D:D,0,0,1)</f>
        <v>13002660545.618999</v>
      </c>
      <c r="V539" s="44">
        <f>+_xlfn.XLOOKUP(PROYECTOS[[#This Row],[MUNICIPIO]],'4.CAP_ENDMNT'!B:B,'4.CAP_ENDMNT'!E:E,0,0,1)</f>
        <v>2851909764.96</v>
      </c>
      <c r="W539" s="44">
        <f>+_xlfn.XLOOKUP(PROYECTOS[[#This Row],[MUNICIPIO]],'4.CAP_ENDMNT'!B:B,'4.CAP_ENDMNT'!F:F,0,0,1)</f>
        <v>10150750780.659</v>
      </c>
      <c r="X539" s="44">
        <f>+_xlfn.XLOOKUP(PROYECTOS[[#This Row],[MUNICIPIO]],'4.CAP_ENDMNT'!B:B,'4.CAP_ENDMNT'!G:G,0,0,1)</f>
        <v>3580400217</v>
      </c>
      <c r="Y539" s="44">
        <f>+_xlfn.XLOOKUP(PROYECTOS[[#This Row],[MUNICIPIO]],'4.CAP_ENDMNT'!B:B,'4.CAP_ENDMNT'!H:H,0,0,1)</f>
        <v>0</v>
      </c>
      <c r="Z539" s="44">
        <f>+_xlfn.XLOOKUP(PROYECTOS[[#This Row],[MUNICIPIO]],'4.CAP_ENDMNT'!B:B,'4.CAP_ENDMNT'!I:I,0,0,1)</f>
        <v>3580400217</v>
      </c>
      <c r="AA539" s="134">
        <f>+_xlfn.XLOOKUP(PROYECTOS[[#This Row],[MUNICIPIO]],'4.CAP_ENDMNT'!B:B,'4.CAP_ENDMNT'!J:J,0,0,1)</f>
        <v>0.27535904705336234</v>
      </c>
      <c r="AB539" s="44">
        <f>+_xlfn.XLOOKUP(PROYECTOS[[#This Row],[MUNICIPIO]],'4.CAP_ENDMNT'!B:B,'4.CAP_ENDMNT'!K:K,0,0,1)</f>
        <v>9422260328.6189995</v>
      </c>
      <c r="AC539" s="44">
        <f>+_xlfn.XLOOKUP(PROYECTOS[[#This Row],[MUNICIPIO]],'4.CAP_ENDMNT'!B:B,'4.CAP_ENDMNT'!L:L,0,0,1)</f>
        <v>7537808262.8951998</v>
      </c>
      <c r="AD539" s="44">
        <f>+_xlfn.XLOOKUP(PROYECTOS[[#This Row],[MUNICIPIO]],'4.CAP_ENDMNT'!B:B,'4.CAP_ENDMNT'!M:M,0,0,1)</f>
        <v>5653356197.1713991</v>
      </c>
      <c r="AE539" s="134">
        <f>+_xlfn.XLOOKUP(PROYECTOS[[#This Row],[MUNICIPIO]],'4.CAP_ENDMNT'!B:B,'4.CAP_ENDMNT'!N:N,0,0,1)</f>
        <v>1</v>
      </c>
      <c r="AF539" s="134">
        <f>+_xlfn.XLOOKUP(PROYECTOS[[#This Row],[MUNICIPIO]],'4.CAP_ENDMNT'!B:B,'4.CAP_ENDMNT'!O:O,0,0,1)</f>
        <v>0.60546314083774588</v>
      </c>
      <c r="AG539" s="134">
        <f>+_xlfn.XLOOKUP(PROYECTOS[[#This Row],[MUNICIPIO]],'4.CAP_ENDMNT'!B:B,'4.CAP_ENDMNT'!P:P,0,0,1)</f>
        <v>0.8</v>
      </c>
      <c r="AH539" s="44" t="str">
        <f>+_xlfn.XLOOKUP(PROYECTOS[[#This Row],[MUNICIPIO]],'4.CAP_ENDMNT'!B:B,'4.CAP_ENDMNT'!Q:Q,0,0,1)</f>
        <v>Cumple</v>
      </c>
      <c r="AI539" s="139">
        <f>+_xlfn.XLOOKUP(PROYECTOS[[#This Row],[MUNICIPIO]],'4.CAP_ENDMNT'!B:B,'4.CAP_ENDMNT'!V:V,0,0,1)</f>
        <v>1130671239.4342799</v>
      </c>
      <c r="AJ539" s="139">
        <f>+_xlfn.XLOOKUP(PROYECTOS[[#This Row],[MUNICIPIO]],'4.CAP_ENDMNT'!B:B,'4.CAP_ENDMNT'!Y:Y,0,0,1)</f>
        <v>-65295013.394321442</v>
      </c>
    </row>
    <row r="540" spans="1:39" ht="15" customHeight="1">
      <c r="A540" s="44">
        <v>657</v>
      </c>
      <c r="B540" t="s">
        <v>1602</v>
      </c>
      <c r="C540" s="118">
        <f>+_xlfn.XLOOKUP(PROYECTOS[[#This Row],[ID_NECESIDAD]],'1.RADICADOS'!G:G,'1.RADICADOS'!C:C,0,0,1)*1</f>
        <v>45805</v>
      </c>
      <c r="D540" s="198" t="s">
        <v>846</v>
      </c>
      <c r="E540" s="47" t="str">
        <f>+_xlfn.XLOOKUP(PROYECTOS[[#This Row],[MUNICIPIO]],MUNICIPIOS!A:A,MUNICIPIOS!E:E,0,0,1)</f>
        <v>Urabá</v>
      </c>
      <c r="F540" s="44">
        <f>+_xlfn.XLOOKUP(PROYECTOS[[#This Row],[MUNICIPIO]],MUNICIPIOS!A:A,MUNICIPIOS!F:F,0,0,1)</f>
        <v>-76.435874999999996</v>
      </c>
      <c r="G540" s="44" t="str">
        <f>+_xlfn.XLOOKUP(PROYECTOS[[#This Row],[MUNICIPIO]],MUNICIPIOS!A:A,MUNICIPIOS!G:G,0,0,1)</f>
        <v>7,242875</v>
      </c>
      <c r="H540" s="44">
        <f>+_xlfn.XLOOKUP(PROYECTOS[[#This Row],[MUNICIPIO]],MUNICIPIOS!A:A,MUNICIPIOS!B:B,0,0,1)</f>
        <v>1</v>
      </c>
      <c r="I540" s="44">
        <f>+_xlfn.XLOOKUP(PROYECTOS[[#This Row],[MUNICIPIO]],MUNICIPIOS!A:A,MUNICIPIOS!C:C,0,0,1)</f>
        <v>1</v>
      </c>
      <c r="J540" s="34" t="str" cm="1">
        <f t="array" ref="J540">_xlfn.TEXTJOIN(", ", TRUE, IF(radicados[ID PROYECTOS]=A540, radicados[RADICADO], ""))</f>
        <v>2025101240759</v>
      </c>
      <c r="K540" s="45">
        <v>2</v>
      </c>
      <c r="L540" s="189">
        <v>2563705075</v>
      </c>
      <c r="M540" s="34" t="s">
        <v>435</v>
      </c>
      <c r="N540" s="40" t="s">
        <v>398</v>
      </c>
      <c r="O540" s="40" t="s">
        <v>25</v>
      </c>
      <c r="P540" s="33" t="s">
        <v>1593</v>
      </c>
      <c r="Q540" s="45"/>
      <c r="R540" s="166"/>
      <c r="S540" s="166"/>
      <c r="T540" s="44">
        <f>+_xlfn.XLOOKUP(PROYECTOS[[#This Row],[MUNICIPIO]],'4.CAP_ENDMNT'!B:B,'4.CAP_ENDMNT'!C:C,0,0,1)</f>
        <v>6</v>
      </c>
      <c r="U540" s="167">
        <f>+_xlfn.XLOOKUP(PROYECTOS[[#This Row],[MUNICIPIO]],'4.CAP_ENDMNT'!B:B,'4.CAP_ENDMNT'!D:D,0,0,1)</f>
        <v>16247454785.101002</v>
      </c>
      <c r="V540" s="44">
        <f>+_xlfn.XLOOKUP(PROYECTOS[[#This Row],[MUNICIPIO]],'4.CAP_ENDMNT'!B:B,'4.CAP_ENDMNT'!E:E,0,0,1)</f>
        <v>6889489895.2300005</v>
      </c>
      <c r="W540" s="44">
        <f>+_xlfn.XLOOKUP(PROYECTOS[[#This Row],[MUNICIPIO]],'4.CAP_ENDMNT'!B:B,'4.CAP_ENDMNT'!F:F,0,0,1)</f>
        <v>9357964889.8710022</v>
      </c>
      <c r="X540" s="44">
        <f>+_xlfn.XLOOKUP(PROYECTOS[[#This Row],[MUNICIPIO]],'4.CAP_ENDMNT'!B:B,'4.CAP_ENDMNT'!G:G,0,0,1)</f>
        <v>3366685790</v>
      </c>
      <c r="Y540" s="44">
        <f>+_xlfn.XLOOKUP(PROYECTOS[[#This Row],[MUNICIPIO]],'4.CAP_ENDMNT'!B:B,'4.CAP_ENDMNT'!H:H,0,0,1)</f>
        <v>1396955129.74</v>
      </c>
      <c r="Z540" s="44">
        <f>+_xlfn.XLOOKUP(PROYECTOS[[#This Row],[MUNICIPIO]],'4.CAP_ENDMNT'!B:B,'4.CAP_ENDMNT'!I:I,0,0,1)</f>
        <v>4763640919.7399998</v>
      </c>
      <c r="AA540" s="134">
        <f>+_xlfn.XLOOKUP(PROYECTOS[[#This Row],[MUNICIPIO]],'4.CAP_ENDMNT'!B:B,'4.CAP_ENDMNT'!J:J,0,0,1)</f>
        <v>0.29319305594303191</v>
      </c>
      <c r="AB540" s="44">
        <f>+_xlfn.XLOOKUP(PROYECTOS[[#This Row],[MUNICIPIO]],'4.CAP_ENDMNT'!B:B,'4.CAP_ENDMNT'!K:K,0,0,1)</f>
        <v>11483813865.361002</v>
      </c>
      <c r="AC540" s="44">
        <f>+_xlfn.XLOOKUP(PROYECTOS[[#This Row],[MUNICIPIO]],'4.CAP_ENDMNT'!B:B,'4.CAP_ENDMNT'!L:L,0,0,1)</f>
        <v>9187051092.2888012</v>
      </c>
      <c r="AD540" s="44">
        <f>+_xlfn.XLOOKUP(PROYECTOS[[#This Row],[MUNICIPIO]],'4.CAP_ENDMNT'!B:B,'4.CAP_ENDMNT'!M:M,0,0,1)</f>
        <v>6890288319.2166014</v>
      </c>
      <c r="AE540" s="134">
        <f>+_xlfn.XLOOKUP(PROYECTOS[[#This Row],[MUNICIPIO]],'4.CAP_ENDMNT'!B:B,'4.CAP_ENDMNT'!N:N,0,0,1)</f>
        <v>0.70674634102852452</v>
      </c>
      <c r="AF540" s="134">
        <f>+_xlfn.XLOOKUP(PROYECTOS[[#This Row],[MUNICIPIO]],'4.CAP_ENDMNT'!B:B,'4.CAP_ENDMNT'!O:O,0,0,1)</f>
        <v>0.70820805266444298</v>
      </c>
      <c r="AG540" s="134">
        <f>+_xlfn.XLOOKUP(PROYECTOS[[#This Row],[MUNICIPIO]],'4.CAP_ENDMNT'!B:B,'4.CAP_ENDMNT'!P:P,0,0,1)</f>
        <v>0.8</v>
      </c>
      <c r="AH540" s="44" t="str">
        <f>+_xlfn.XLOOKUP(PROYECTOS[[#This Row],[MUNICIPIO]],'4.CAP_ENDMNT'!B:B,'4.CAP_ENDMNT'!Q:Q,0,0,1)</f>
        <v>Cumple</v>
      </c>
      <c r="AI540" s="139">
        <f>+_xlfn.XLOOKUP(PROYECTOS[[#This Row],[MUNICIPIO]],'4.CAP_ENDMNT'!B:B,'4.CAP_ENDMNT'!V:V,0,0,1)</f>
        <v>1378057663.8433204</v>
      </c>
      <c r="AJ540" s="139">
        <f>+_xlfn.XLOOKUP(PROYECTOS[[#This Row],[MUNICIPIO]],'4.CAP_ENDMNT'!B:B,'4.CAP_ENDMNT'!Y:Y,0,0,1)</f>
        <v>3854847855.0599213</v>
      </c>
    </row>
    <row r="541" spans="1:39" ht="15" customHeight="1">
      <c r="A541" s="44">
        <v>658</v>
      </c>
      <c r="B541" t="s">
        <v>1599</v>
      </c>
      <c r="C541" s="118">
        <f>+_xlfn.XLOOKUP(PROYECTOS[[#This Row],[ID_NECESIDAD]],'1.RADICADOS'!G:G,'1.RADICADOS'!C:C,0,0,1)*1</f>
        <v>45807</v>
      </c>
      <c r="D541" s="46" t="s">
        <v>177</v>
      </c>
      <c r="E541" s="47" t="str">
        <f>+_xlfn.XLOOKUP(PROYECTOS[[#This Row],[MUNICIPIO]],MUNICIPIOS!A:A,MUNICIPIOS!E:E,0,0,1)</f>
        <v>Oriente</v>
      </c>
      <c r="F541" s="44">
        <f>+_xlfn.XLOOKUP(PROYECTOS[[#This Row],[MUNICIPIO]],MUNICIPIOS!A:A,MUNICIPIOS!F:F,0,0,1)</f>
        <v>-75.339344999999994</v>
      </c>
      <c r="G541" s="44" t="str">
        <f>+_xlfn.XLOOKUP(PROYECTOS[[#This Row],[MUNICIPIO]],MUNICIPIOS!A:A,MUNICIPIOS!G:G,0,0,1)</f>
        <v>6,173995</v>
      </c>
      <c r="H541" s="44">
        <f>+_xlfn.XLOOKUP(PROYECTOS[[#This Row],[MUNICIPIO]],MUNICIPIOS!A:A,MUNICIPIOS!B:B,0,0,1)</f>
        <v>0</v>
      </c>
      <c r="I541" s="44">
        <f>+_xlfn.XLOOKUP(PROYECTOS[[#This Row],[MUNICIPIO]],MUNICIPIOS!A:A,MUNICIPIOS!C:C,0,0,1)</f>
        <v>0</v>
      </c>
      <c r="J541" s="34" t="str" cm="1">
        <f t="array" ref="J541">_xlfn.TEXTJOIN(", ", TRUE, IF(radicados[ID PROYECTOS]=A541, radicados[RADICADO], ""))</f>
        <v>2025010272048</v>
      </c>
      <c r="K541" s="45">
        <v>2</v>
      </c>
      <c r="L541" s="189">
        <v>496073552</v>
      </c>
      <c r="M541" s="34" t="s">
        <v>435</v>
      </c>
      <c r="N541" s="40" t="s">
        <v>398</v>
      </c>
      <c r="O541" s="40" t="s">
        <v>25</v>
      </c>
      <c r="P541" s="37"/>
      <c r="Q541" s="45"/>
      <c r="R541" s="166"/>
      <c r="S541" s="166"/>
      <c r="T541" s="44">
        <f>+_xlfn.XLOOKUP(PROYECTOS[[#This Row],[MUNICIPIO]],'4.CAP_ENDMNT'!B:B,'4.CAP_ENDMNT'!C:C,0,0,1)</f>
        <v>4</v>
      </c>
      <c r="U541" s="167">
        <f>+_xlfn.XLOOKUP(PROYECTOS[[#This Row],[MUNICIPIO]],'4.CAP_ENDMNT'!B:B,'4.CAP_ENDMNT'!D:D,0,0,1)</f>
        <v>62016835956.019493</v>
      </c>
      <c r="V541" s="44">
        <f>+_xlfn.XLOOKUP(PROYECTOS[[#This Row],[MUNICIPIO]],'4.CAP_ENDMNT'!B:B,'4.CAP_ENDMNT'!E:E,0,0,1)</f>
        <v>25368005936.310001</v>
      </c>
      <c r="W541" s="44">
        <f>+_xlfn.XLOOKUP(PROYECTOS[[#This Row],[MUNICIPIO]],'4.CAP_ENDMNT'!B:B,'4.CAP_ENDMNT'!F:F,0,0,1)</f>
        <v>36648830019.709488</v>
      </c>
      <c r="X541" s="44">
        <f>+_xlfn.XLOOKUP(PROYECTOS[[#This Row],[MUNICIPIO]],'4.CAP_ENDMNT'!B:B,'4.CAP_ENDMNT'!G:G,0,0,1)</f>
        <v>25635932166</v>
      </c>
      <c r="Y541" s="44">
        <f>+_xlfn.XLOOKUP(PROYECTOS[[#This Row],[MUNICIPIO]],'4.CAP_ENDMNT'!B:B,'4.CAP_ENDMNT'!H:H,0,0,1)</f>
        <v>7522176280</v>
      </c>
      <c r="Z541" s="44">
        <f>+_xlfn.XLOOKUP(PROYECTOS[[#This Row],[MUNICIPIO]],'4.CAP_ENDMNT'!B:B,'4.CAP_ENDMNT'!I:I,0,0,1)</f>
        <v>33158108446</v>
      </c>
      <c r="AA541" s="134">
        <f>+_xlfn.XLOOKUP(PROYECTOS[[#This Row],[MUNICIPIO]],'4.CAP_ENDMNT'!B:B,'4.CAP_ENDMNT'!J:J,0,0,1)</f>
        <v>0.53466301424204787</v>
      </c>
      <c r="AB541" s="140">
        <f>+_xlfn.XLOOKUP(PROYECTOS[[#This Row],[MUNICIPIO]],'4.CAP_ENDMNT'!B:B,'4.CAP_ENDMNT'!K:K,0,0,1)</f>
        <v>28858727510.019493</v>
      </c>
      <c r="AC541" s="140">
        <f>+_xlfn.XLOOKUP(PROYECTOS[[#This Row],[MUNICIPIO]],'4.CAP_ENDMNT'!B:B,'4.CAP_ENDMNT'!L:L,0,0,1)</f>
        <v>23086982008.015594</v>
      </c>
      <c r="AD541" s="140">
        <f>+_xlfn.XLOOKUP(PROYECTOS[[#This Row],[MUNICIPIO]],'4.CAP_ENDMNT'!B:B,'4.CAP_ENDMNT'!M:M,0,0,1)</f>
        <v>17315236506.011696</v>
      </c>
      <c r="AE541" s="134">
        <f>+_xlfn.XLOOKUP(PROYECTOS[[#This Row],[MUNICIPIO]],'4.CAP_ENDMNT'!B:B,'4.CAP_ENDMNT'!N:N,0,0,1)</f>
        <v>0.77314217750839676</v>
      </c>
      <c r="AF541" s="134">
        <f>+_xlfn.XLOOKUP(PROYECTOS[[#This Row],[MUNICIPIO]],'4.CAP_ENDMNT'!B:B,'4.CAP_ENDMNT'!O:O,0,0,1)</f>
        <v>0.52777286703387605</v>
      </c>
      <c r="AG541" s="134">
        <f>+_xlfn.XLOOKUP(PROYECTOS[[#This Row],[MUNICIPIO]],'4.CAP_ENDMNT'!B:B,'4.CAP_ENDMNT'!P:P,0,0,1)</f>
        <v>0.8</v>
      </c>
      <c r="AH541" s="44" t="str">
        <f>+_xlfn.XLOOKUP(PROYECTOS[[#This Row],[MUNICIPIO]],'4.CAP_ENDMNT'!B:B,'4.CAP_ENDMNT'!Q:Q,0,0,1)</f>
        <v>Cumple</v>
      </c>
      <c r="AI541" s="139">
        <f>+_xlfn.XLOOKUP(PROYECTOS[[#This Row],[MUNICIPIO]],'4.CAP_ENDMNT'!B:B,'4.CAP_ENDMNT'!V:V,0,0,1)</f>
        <v>3463047301.2023392</v>
      </c>
      <c r="AJ541" s="139">
        <f>+_xlfn.XLOOKUP(PROYECTOS[[#This Row],[MUNICIPIO]],'4.CAP_ENDMNT'!B:B,'4.CAP_ENDMNT'!Y:Y,0,0,1)</f>
        <v>-1514260574754.7859</v>
      </c>
      <c r="AK541"/>
      <c r="AL541"/>
      <c r="AM541"/>
    </row>
    <row r="542" spans="1:39" ht="15" customHeight="1">
      <c r="A542" s="44">
        <v>659</v>
      </c>
      <c r="B542" t="s">
        <v>1603</v>
      </c>
      <c r="C542" s="118">
        <f>+_xlfn.XLOOKUP(PROYECTOS[[#This Row],[ID_NECESIDAD]],'1.RADICADOS'!G:G,'1.RADICADOS'!C:C,0,0,1)*1</f>
        <v>45804</v>
      </c>
      <c r="D542" s="67" t="s">
        <v>208</v>
      </c>
      <c r="E542" s="47" t="str">
        <f>+_xlfn.XLOOKUP(PROYECTOS[[#This Row],[MUNICIPIO]],MUNICIPIOS!A:A,MUNICIPIOS!E:E,0,0,1)</f>
        <v>Oriente</v>
      </c>
      <c r="F542" s="44">
        <f>+_xlfn.XLOOKUP(PROYECTOS[[#This Row],[MUNICIPIO]],MUNICIPIOS!A:A,MUNICIPIOS!F:F,0,0,1)</f>
        <v>-75.265465000000006</v>
      </c>
      <c r="G542" s="44" t="str">
        <f>+_xlfn.XLOOKUP(PROYECTOS[[#This Row],[MUNICIPIO]],MUNICIPIOS!A:A,MUNICIPIOS!G:G,0,0,1)</f>
        <v>6,136871</v>
      </c>
      <c r="H542" s="44">
        <f>+_xlfn.XLOOKUP(PROYECTOS[[#This Row],[MUNICIPIO]],MUNICIPIOS!A:A,MUNICIPIOS!B:B,0,0,1)</f>
        <v>0</v>
      </c>
      <c r="I542" s="44">
        <f>+_xlfn.XLOOKUP(PROYECTOS[[#This Row],[MUNICIPIO]],MUNICIPIOS!A:A,MUNICIPIOS!C:C,0,0,1)</f>
        <v>0</v>
      </c>
      <c r="J542" s="34" t="str" cm="1">
        <f t="array" ref="J542">_xlfn.TEXTJOIN(", ", TRUE, IF(radicados[ID PROYECTOS]=A542, radicados[RADICADO], ""))</f>
        <v>2025010268331</v>
      </c>
      <c r="K542" s="45">
        <v>1</v>
      </c>
      <c r="L542" s="199"/>
      <c r="M542" s="34" t="s">
        <v>288</v>
      </c>
      <c r="N542" s="40" t="s">
        <v>398</v>
      </c>
      <c r="O542" s="40" t="s">
        <v>25</v>
      </c>
      <c r="P542" s="37" t="s">
        <v>1605</v>
      </c>
      <c r="Q542" s="45">
        <v>1</v>
      </c>
      <c r="R542" s="43" t="s">
        <v>922</v>
      </c>
      <c r="S542" s="43" t="s">
        <v>1639</v>
      </c>
      <c r="T542" s="44">
        <f>+_xlfn.XLOOKUP(PROYECTOS[[#This Row],[MUNICIPIO]],'4.CAP_ENDMNT'!B:B,'4.CAP_ENDMNT'!C:C,0,0,1)</f>
        <v>6</v>
      </c>
      <c r="U542" s="167">
        <f>+_xlfn.XLOOKUP(PROYECTOS[[#This Row],[MUNICIPIO]],'4.CAP_ENDMNT'!B:B,'4.CAP_ENDMNT'!D:D,0,0,1)</f>
        <v>28148489568.315498</v>
      </c>
      <c r="V542" s="44">
        <f>+_xlfn.XLOOKUP(PROYECTOS[[#This Row],[MUNICIPIO]],'4.CAP_ENDMNT'!B:B,'4.CAP_ENDMNT'!E:E,0,0,1)</f>
        <v>9574117926.6900005</v>
      </c>
      <c r="W542" s="44">
        <f>+_xlfn.XLOOKUP(PROYECTOS[[#This Row],[MUNICIPIO]],'4.CAP_ENDMNT'!B:B,'4.CAP_ENDMNT'!F:F,0,0,1)</f>
        <v>18574371641.625496</v>
      </c>
      <c r="X542" s="44">
        <f>+_xlfn.XLOOKUP(PROYECTOS[[#This Row],[MUNICIPIO]],'4.CAP_ENDMNT'!B:B,'4.CAP_ENDMNT'!G:G,0,0,1)</f>
        <v>7165025466</v>
      </c>
      <c r="Y542" s="44">
        <f>+_xlfn.XLOOKUP(PROYECTOS[[#This Row],[MUNICIPIO]],'4.CAP_ENDMNT'!B:B,'4.CAP_ENDMNT'!H:H,0,0,1)</f>
        <v>0</v>
      </c>
      <c r="Z542" s="44">
        <f>+_xlfn.XLOOKUP(PROYECTOS[[#This Row],[MUNICIPIO]],'4.CAP_ENDMNT'!B:B,'4.CAP_ENDMNT'!I:I,0,0,1)</f>
        <v>7165025466</v>
      </c>
      <c r="AA542" s="134">
        <f>+_xlfn.XLOOKUP(PROYECTOS[[#This Row],[MUNICIPIO]],'4.CAP_ENDMNT'!B:B,'4.CAP_ENDMNT'!J:J,0,0,1)</f>
        <v>0.25454386988014788</v>
      </c>
      <c r="AB542" s="44">
        <f>+_xlfn.XLOOKUP(PROYECTOS[[#This Row],[MUNICIPIO]],'4.CAP_ENDMNT'!B:B,'4.CAP_ENDMNT'!K:K,0,0,1)</f>
        <v>20983464102.315498</v>
      </c>
      <c r="AC542" s="44">
        <f>+_xlfn.XLOOKUP(PROYECTOS[[#This Row],[MUNICIPIO]],'4.CAP_ENDMNT'!B:B,'4.CAP_ENDMNT'!L:L,0,0,1)</f>
        <v>16786771281.8524</v>
      </c>
      <c r="AD542" s="44">
        <f>+_xlfn.XLOOKUP(PROYECTOS[[#This Row],[MUNICIPIO]],'4.CAP_ENDMNT'!B:B,'4.CAP_ENDMNT'!M:M,0,0,1)</f>
        <v>12590078461.389299</v>
      </c>
      <c r="AE542" s="134">
        <f>+_xlfn.XLOOKUP(PROYECTOS[[#This Row],[MUNICIPIO]],'4.CAP_ENDMNT'!B:B,'4.CAP_ENDMNT'!N:N,0,0,1)</f>
        <v>1</v>
      </c>
      <c r="AF542" s="134">
        <f>+_xlfn.XLOOKUP(PROYECTOS[[#This Row],[MUNICIPIO]],'4.CAP_ENDMNT'!B:B,'4.CAP_ENDMNT'!O:O,0,0,1)</f>
        <v>0.38693852418292884</v>
      </c>
      <c r="AG542" s="134">
        <f>+_xlfn.XLOOKUP(PROYECTOS[[#This Row],[MUNICIPIO]],'4.CAP_ENDMNT'!B:B,'4.CAP_ENDMNT'!P:P,0,0,1)</f>
        <v>0.8</v>
      </c>
      <c r="AH542" s="44" t="str">
        <f>+_xlfn.XLOOKUP(PROYECTOS[[#This Row],[MUNICIPIO]],'4.CAP_ENDMNT'!B:B,'4.CAP_ENDMNT'!Q:Q,0,0,1)</f>
        <v>Cumple</v>
      </c>
      <c r="AI542" s="139">
        <f>+_xlfn.XLOOKUP(PROYECTOS[[#This Row],[MUNICIPIO]],'4.CAP_ENDMNT'!B:B,'4.CAP_ENDMNT'!V:V,0,0,1)</f>
        <v>2518015692.2778602</v>
      </c>
      <c r="AJ542" s="139">
        <f>+_xlfn.XLOOKUP(PROYECTOS[[#This Row],[MUNICIPIO]],'4.CAP_ENDMNT'!B:B,'4.CAP_ENDMNT'!Y:Y,0,0,1)</f>
        <v>-4116653327.33284</v>
      </c>
      <c r="AK542"/>
      <c r="AL542"/>
      <c r="AM542"/>
    </row>
    <row r="543" spans="1:39" ht="15" customHeight="1">
      <c r="A543" s="44">
        <v>660</v>
      </c>
      <c r="B543" t="s">
        <v>1608</v>
      </c>
      <c r="C543" s="118">
        <f>+_xlfn.XLOOKUP(PROYECTOS[[#This Row],[ID_NECESIDAD]],'1.RADICADOS'!G:G,'1.RADICADOS'!C:C,0,0,1)*1</f>
        <v>45807</v>
      </c>
      <c r="D543" s="67" t="s">
        <v>97</v>
      </c>
      <c r="E543" s="47" t="str">
        <f>+_xlfn.XLOOKUP(PROYECTOS[[#This Row],[MUNICIPIO]],MUNICIPIOS!A:A,MUNICIPIOS!E:E,0,0,1)</f>
        <v>Oriente</v>
      </c>
      <c r="F543" s="44">
        <f>+_xlfn.XLOOKUP(PROYECTOS[[#This Row],[MUNICIPIO]],MUNICIPIOS!A:A,MUNICIPIOS!F:F,0,0,1)</f>
        <v>-74.988096999999996</v>
      </c>
      <c r="G543" s="44" t="str">
        <f>+_xlfn.XLOOKUP(PROYECTOS[[#This Row],[MUNICIPIO]],MUNICIPIOS!A:A,MUNICIPIOS!G:G,0,0,1)</f>
        <v>6,187746</v>
      </c>
      <c r="H543" s="44">
        <f>+_xlfn.XLOOKUP(PROYECTOS[[#This Row],[MUNICIPIO]],MUNICIPIOS!A:A,MUNICIPIOS!B:B,0,0,1)</f>
        <v>0</v>
      </c>
      <c r="I543" s="44">
        <f>+_xlfn.XLOOKUP(PROYECTOS[[#This Row],[MUNICIPIO]],MUNICIPIOS!A:A,MUNICIPIOS!C:C,0,0,1)</f>
        <v>1</v>
      </c>
      <c r="J543" s="34" t="str" cm="1">
        <f t="array" ref="J543">_xlfn.TEXTJOIN(", ", TRUE, IF(radicados[ID PROYECTOS]=A543, radicados[RADICADO], ""))</f>
        <v>2025010270907, 2025010402748</v>
      </c>
      <c r="K543" s="45">
        <v>3</v>
      </c>
      <c r="L543" s="199">
        <v>735547679</v>
      </c>
      <c r="M543" s="34" t="s">
        <v>435</v>
      </c>
      <c r="N543" s="40" t="s">
        <v>398</v>
      </c>
      <c r="O543" s="40" t="s">
        <v>25</v>
      </c>
      <c r="P543" s="37"/>
      <c r="Q543" s="45"/>
      <c r="R543" s="166"/>
      <c r="S543" s="166"/>
      <c r="T543" s="44">
        <f>+_xlfn.XLOOKUP(PROYECTOS[[#This Row],[MUNICIPIO]],'4.CAP_ENDMNT'!B:B,'4.CAP_ENDMNT'!C:C,0,0,1)</f>
        <v>6</v>
      </c>
      <c r="U543" s="167">
        <f>+_xlfn.XLOOKUP(PROYECTOS[[#This Row],[MUNICIPIO]],'4.CAP_ENDMNT'!B:B,'4.CAP_ENDMNT'!D:D,0,0,1)</f>
        <v>29325876885.033001</v>
      </c>
      <c r="V543" s="44">
        <f>+_xlfn.XLOOKUP(PROYECTOS[[#This Row],[MUNICIPIO]],'4.CAP_ENDMNT'!B:B,'4.CAP_ENDMNT'!E:E,0,0,1)</f>
        <v>5835926728.4000006</v>
      </c>
      <c r="W543" s="44">
        <f>+_xlfn.XLOOKUP(PROYECTOS[[#This Row],[MUNICIPIO]],'4.CAP_ENDMNT'!B:B,'4.CAP_ENDMNT'!F:F,0,0,1)</f>
        <v>23489950156.632999</v>
      </c>
      <c r="X543" s="44">
        <f>+_xlfn.XLOOKUP(PROYECTOS[[#This Row],[MUNICIPIO]],'4.CAP_ENDMNT'!B:B,'4.CAP_ENDMNT'!G:G,0,0,1)</f>
        <v>5787068508</v>
      </c>
      <c r="Y543" s="44">
        <f>+_xlfn.XLOOKUP(PROYECTOS[[#This Row],[MUNICIPIO]],'4.CAP_ENDMNT'!B:B,'4.CAP_ENDMNT'!H:H,0,0,1)</f>
        <v>0</v>
      </c>
      <c r="Z543" s="44">
        <f>+_xlfn.XLOOKUP(PROYECTOS[[#This Row],[MUNICIPIO]],'4.CAP_ENDMNT'!B:B,'4.CAP_ENDMNT'!I:I,0,0,1)</f>
        <v>5787068508</v>
      </c>
      <c r="AA543" s="134">
        <f>+_xlfn.XLOOKUP(PROYECTOS[[#This Row],[MUNICIPIO]],'4.CAP_ENDMNT'!B:B,'4.CAP_ENDMNT'!J:J,0,0,1)</f>
        <v>0.19733658879791371</v>
      </c>
      <c r="AB543" s="44">
        <f>+_xlfn.XLOOKUP(PROYECTOS[[#This Row],[MUNICIPIO]],'4.CAP_ENDMNT'!B:B,'4.CAP_ENDMNT'!K:K,0,0,1)</f>
        <v>23538808377.033001</v>
      </c>
      <c r="AC543" s="44">
        <f>+_xlfn.XLOOKUP(PROYECTOS[[#This Row],[MUNICIPIO]],'4.CAP_ENDMNT'!B:B,'4.CAP_ENDMNT'!L:L,0,0,1)</f>
        <v>18831046701.6264</v>
      </c>
      <c r="AD543" s="44">
        <f>+_xlfn.XLOOKUP(PROYECTOS[[#This Row],[MUNICIPIO]],'4.CAP_ENDMNT'!B:B,'4.CAP_ENDMNT'!M:M,0,0,1)</f>
        <v>14123285026.219801</v>
      </c>
      <c r="AE543" s="134">
        <f>+_xlfn.XLOOKUP(PROYECTOS[[#This Row],[MUNICIPIO]],'4.CAP_ENDMNT'!B:B,'4.CAP_ENDMNT'!N:N,0,0,1)</f>
        <v>1</v>
      </c>
      <c r="AF543" s="134">
        <f>+_xlfn.XLOOKUP(PROYECTOS[[#This Row],[MUNICIPIO]],'4.CAP_ENDMNT'!B:B,'4.CAP_ENDMNT'!O:O,0,0,1)</f>
        <v>0.67595312063685153</v>
      </c>
      <c r="AG543" s="134">
        <f>+_xlfn.XLOOKUP(PROYECTOS[[#This Row],[MUNICIPIO]],'4.CAP_ENDMNT'!B:B,'4.CAP_ENDMNT'!P:P,0,0,1)</f>
        <v>0.8</v>
      </c>
      <c r="AH543" s="44" t="str">
        <f>+_xlfn.XLOOKUP(PROYECTOS[[#This Row],[MUNICIPIO]],'4.CAP_ENDMNT'!B:B,'4.CAP_ENDMNT'!Q:Q,0,0,1)</f>
        <v>Cumple</v>
      </c>
      <c r="AI543" s="139">
        <f>+_xlfn.XLOOKUP(PROYECTOS[[#This Row],[MUNICIPIO]],'4.CAP_ENDMNT'!B:B,'4.CAP_ENDMNT'!V:V,0,0,1)</f>
        <v>2824657005.2439604</v>
      </c>
      <c r="AJ543" s="139">
        <f>+_xlfn.XLOOKUP(PROYECTOS[[#This Row],[MUNICIPIO]],'4.CAP_ENDMNT'!B:B,'4.CAP_ENDMNT'!Y:Y,0,0,1)</f>
        <v>13840765080.46376</v>
      </c>
      <c r="AK543"/>
      <c r="AL543"/>
      <c r="AM543"/>
    </row>
    <row r="544" spans="1:39" ht="15" customHeight="1">
      <c r="A544" s="44">
        <v>661</v>
      </c>
      <c r="B544" t="s">
        <v>1609</v>
      </c>
      <c r="C544" s="118">
        <f>+_xlfn.XLOOKUP(PROYECTOS[[#This Row],[ID_NECESIDAD]],'1.RADICADOS'!G:G,'1.RADICADOS'!C:C,0,0,1)*1</f>
        <v>45804</v>
      </c>
      <c r="D544" s="67" t="s">
        <v>118</v>
      </c>
      <c r="E544" s="47" t="str">
        <f>+_xlfn.XLOOKUP(PROYECTOS[[#This Row],[MUNICIPIO]],MUNICIPIOS!A:A,MUNICIPIOS!E:E,0,0,1)</f>
        <v>Urabá</v>
      </c>
      <c r="F544" s="44">
        <f>+_xlfn.XLOOKUP(PROYECTOS[[#This Row],[MUNICIPIO]],MUNICIPIOS!A:A,MUNICIPIOS!F:F,0,0,1)</f>
        <v>-76.681531000000007</v>
      </c>
      <c r="G544" s="44" t="str">
        <f>+_xlfn.XLOOKUP(PROYECTOS[[#This Row],[MUNICIPIO]],MUNICIPIOS!A:A,MUNICIPIOS!G:G,0,0,1)</f>
        <v>7,666147</v>
      </c>
      <c r="H544" s="44">
        <f>+_xlfn.XLOOKUP(PROYECTOS[[#This Row],[MUNICIPIO]],MUNICIPIOS!A:A,MUNICIPIOS!B:B,0,0,1)</f>
        <v>1</v>
      </c>
      <c r="I544" s="44">
        <f>+_xlfn.XLOOKUP(PROYECTOS[[#This Row],[MUNICIPIO]],MUNICIPIOS!A:A,MUNICIPIOS!C:C,0,0,1)</f>
        <v>1</v>
      </c>
      <c r="J544" s="34" t="str" cm="1">
        <f t="array" ref="J544">_xlfn.TEXTJOIN(", ", TRUE, IF(radicados[ID PROYECTOS]=A544, radicados[RADICADO], ""))</f>
        <v>2025010264847</v>
      </c>
      <c r="K544" s="45">
        <v>3</v>
      </c>
      <c r="L544" s="199">
        <v>16247543314</v>
      </c>
      <c r="M544" s="34" t="s">
        <v>40</v>
      </c>
      <c r="N544" s="40" t="s">
        <v>394</v>
      </c>
      <c r="O544" s="40" t="s">
        <v>7</v>
      </c>
      <c r="P544" s="37"/>
      <c r="Q544" s="45"/>
      <c r="R544" s="166"/>
      <c r="S544" s="166"/>
      <c r="T544" s="44">
        <f>+_xlfn.XLOOKUP(PROYECTOS[[#This Row],[MUNICIPIO]],'4.CAP_ENDMNT'!B:B,'4.CAP_ENDMNT'!C:C,0,0,1)</f>
        <v>6</v>
      </c>
      <c r="U544" s="167">
        <f>+_xlfn.XLOOKUP(PROYECTOS[[#This Row],[MUNICIPIO]],'4.CAP_ENDMNT'!B:B,'4.CAP_ENDMNT'!D:D,0,0,1)</f>
        <v>31480625713.601501</v>
      </c>
      <c r="V544" s="44">
        <f>+_xlfn.XLOOKUP(PROYECTOS[[#This Row],[MUNICIPIO]],'4.CAP_ENDMNT'!B:B,'4.CAP_ENDMNT'!E:E,0,0,1)</f>
        <v>12012746210.970001</v>
      </c>
      <c r="W544" s="44">
        <f>+_xlfn.XLOOKUP(PROYECTOS[[#This Row],[MUNICIPIO]],'4.CAP_ENDMNT'!B:B,'4.CAP_ENDMNT'!F:F,0,0,1)</f>
        <v>19467879502.6315</v>
      </c>
      <c r="X544" s="44">
        <f>+_xlfn.XLOOKUP(PROYECTOS[[#This Row],[MUNICIPIO]],'4.CAP_ENDMNT'!B:B,'4.CAP_ENDMNT'!G:G,0,0,1)</f>
        <v>990257688</v>
      </c>
      <c r="Y544" s="44">
        <f>+_xlfn.XLOOKUP(PROYECTOS[[#This Row],[MUNICIPIO]],'4.CAP_ENDMNT'!B:B,'4.CAP_ENDMNT'!H:H,0,0,1)</f>
        <v>4241046406.5999999</v>
      </c>
      <c r="Z544" s="44">
        <f>+_xlfn.XLOOKUP(PROYECTOS[[#This Row],[MUNICIPIO]],'4.CAP_ENDMNT'!B:B,'4.CAP_ENDMNT'!I:I,0,0,1)</f>
        <v>5231304094.6000004</v>
      </c>
      <c r="AA544" s="134">
        <f>+_xlfn.XLOOKUP(PROYECTOS[[#This Row],[MUNICIPIO]],'4.CAP_ENDMNT'!B:B,'4.CAP_ENDMNT'!J:J,0,0,1)</f>
        <v>0.16617535312647125</v>
      </c>
      <c r="AB544" s="44">
        <f>+_xlfn.XLOOKUP(PROYECTOS[[#This Row],[MUNICIPIO]],'4.CAP_ENDMNT'!B:B,'4.CAP_ENDMNT'!K:K,0,0,1)</f>
        <v>26249321619.001503</v>
      </c>
      <c r="AC544" s="44">
        <f>+_xlfn.XLOOKUP(PROYECTOS[[#This Row],[MUNICIPIO]],'4.CAP_ENDMNT'!B:B,'4.CAP_ENDMNT'!L:L,0,0,1)</f>
        <v>20999457295.201202</v>
      </c>
      <c r="AD544" s="44">
        <f>+_xlfn.XLOOKUP(PROYECTOS[[#This Row],[MUNICIPIO]],'4.CAP_ENDMNT'!B:B,'4.CAP_ENDMNT'!M:M,0,0,1)</f>
        <v>15749592971.400902</v>
      </c>
      <c r="AE544" s="134">
        <f>+_xlfn.XLOOKUP(PROYECTOS[[#This Row],[MUNICIPIO]],'4.CAP_ENDMNT'!B:B,'4.CAP_ENDMNT'!N:N,0,0,1)</f>
        <v>0.18929461375074541</v>
      </c>
      <c r="AF544" s="134">
        <f>+_xlfn.XLOOKUP(PROYECTOS[[#This Row],[MUNICIPIO]],'4.CAP_ENDMNT'!B:B,'4.CAP_ENDMNT'!O:O,0,0,1)</f>
        <v>0.57128723877428544</v>
      </c>
      <c r="AG544" s="134">
        <f>+_xlfn.XLOOKUP(PROYECTOS[[#This Row],[MUNICIPIO]],'4.CAP_ENDMNT'!B:B,'4.CAP_ENDMNT'!P:P,0,0,1)</f>
        <v>0.8</v>
      </c>
      <c r="AH544" s="44" t="str">
        <f>+_xlfn.XLOOKUP(PROYECTOS[[#This Row],[MUNICIPIO]],'4.CAP_ENDMNT'!B:B,'4.CAP_ENDMNT'!Q:Q,0,0,1)</f>
        <v>Cumple</v>
      </c>
      <c r="AI544" s="139">
        <f>+_xlfn.XLOOKUP(PROYECTOS[[#This Row],[MUNICIPIO]],'4.CAP_ENDMNT'!B:B,'4.CAP_ENDMNT'!V:V,0,0,1)</f>
        <v>3149918594.2801805</v>
      </c>
      <c r="AJ544" s="139">
        <f>+_xlfn.XLOOKUP(PROYECTOS[[#This Row],[MUNICIPIO]],'4.CAP_ENDMNT'!B:B,'4.CAP_ENDMNT'!Y:Y,0,0,1)</f>
        <v>-159577103574.2489</v>
      </c>
      <c r="AK544"/>
      <c r="AL544"/>
      <c r="AM544"/>
    </row>
    <row r="545" spans="1:39" ht="15" customHeight="1">
      <c r="A545" s="44">
        <v>662</v>
      </c>
      <c r="B545" t="s">
        <v>1610</v>
      </c>
      <c r="C545" s="118">
        <f>+_xlfn.XLOOKUP(PROYECTOS[[#This Row],[ID_NECESIDAD]],'1.RADICADOS'!G:G,'1.RADICADOS'!C:C,0,0,1)*1</f>
        <v>45807</v>
      </c>
      <c r="D545" s="67" t="s">
        <v>144</v>
      </c>
      <c r="E545" s="47" t="str">
        <f>+_xlfn.XLOOKUP(PROYECTOS[[#This Row],[MUNICIPIO]],MUNICIPIOS!A:A,MUNICIPIOS!E:E,0,0,1)</f>
        <v>Suroeste</v>
      </c>
      <c r="F545" s="44">
        <f>+_xlfn.XLOOKUP(PROYECTOS[[#This Row],[MUNICIPIO]],MUNICIPIOS!A:A,MUNICIPIOS!F:F,0,0,1)</f>
        <v>-75.785499000000002</v>
      </c>
      <c r="G545" s="44" t="str">
        <f>+_xlfn.XLOOKUP(PROYECTOS[[#This Row],[MUNICIPIO]],MUNICIPIOS!A:A,MUNICIPIOS!G:G,0,0,1)</f>
        <v>5,789748</v>
      </c>
      <c r="H545" s="44">
        <f>+_xlfn.XLOOKUP(PROYECTOS[[#This Row],[MUNICIPIO]],MUNICIPIOS!A:A,MUNICIPIOS!B:B,0,0,1)</f>
        <v>0</v>
      </c>
      <c r="I545" s="44">
        <f>+_xlfn.XLOOKUP(PROYECTOS[[#This Row],[MUNICIPIO]],MUNICIPIOS!A:A,MUNICIPIOS!C:C,0,0,1)</f>
        <v>0</v>
      </c>
      <c r="J545" s="34" t="str" cm="1">
        <f t="array" ref="J545">_xlfn.TEXTJOIN(", ", TRUE, IF(radicados[ID PROYECTOS]=A545, radicados[RADICADO], ""))</f>
        <v>2025010270243</v>
      </c>
      <c r="K545" s="45">
        <v>3</v>
      </c>
      <c r="L545" s="199">
        <v>427803841</v>
      </c>
      <c r="M545" s="34" t="s">
        <v>396</v>
      </c>
      <c r="N545" s="40" t="s">
        <v>394</v>
      </c>
      <c r="O545" s="40" t="s">
        <v>18</v>
      </c>
      <c r="P545" s="37"/>
      <c r="Q545" s="45"/>
      <c r="R545" s="166"/>
      <c r="S545" s="166"/>
      <c r="T545" s="44">
        <f>+_xlfn.XLOOKUP(PROYECTOS[[#This Row],[MUNICIPIO]],'4.CAP_ENDMNT'!B:B,'4.CAP_ENDMNT'!C:C,0,0,1)</f>
        <v>6</v>
      </c>
      <c r="U545" s="167">
        <f>+_xlfn.XLOOKUP(PROYECTOS[[#This Row],[MUNICIPIO]],'4.CAP_ENDMNT'!B:B,'4.CAP_ENDMNT'!D:D,0,0,1)</f>
        <v>15694425323.1185</v>
      </c>
      <c r="V545" s="44">
        <f>+_xlfn.XLOOKUP(PROYECTOS[[#This Row],[MUNICIPIO]],'4.CAP_ENDMNT'!B:B,'4.CAP_ENDMNT'!E:E,0,0,1)</f>
        <v>6655963089.6100006</v>
      </c>
      <c r="W545" s="44">
        <f>+_xlfn.XLOOKUP(PROYECTOS[[#This Row],[MUNICIPIO]],'4.CAP_ENDMNT'!B:B,'4.CAP_ENDMNT'!F:F,0,0,1)</f>
        <v>9038462233.5084991</v>
      </c>
      <c r="X545" s="44">
        <f>+_xlfn.XLOOKUP(PROYECTOS[[#This Row],[MUNICIPIO]],'4.CAP_ENDMNT'!B:B,'4.CAP_ENDMNT'!G:G,0,0,1)</f>
        <v>1446596000</v>
      </c>
      <c r="Y545" s="44">
        <f>+_xlfn.XLOOKUP(PROYECTOS[[#This Row],[MUNICIPIO]],'4.CAP_ENDMNT'!B:B,'4.CAP_ENDMNT'!H:H,0,0,1)</f>
        <v>1500000000</v>
      </c>
      <c r="Z545" s="44">
        <f>+_xlfn.XLOOKUP(PROYECTOS[[#This Row],[MUNICIPIO]],'4.CAP_ENDMNT'!B:B,'4.CAP_ENDMNT'!I:I,0,0,1)</f>
        <v>2946596000</v>
      </c>
      <c r="AA545" s="134">
        <f>+_xlfn.XLOOKUP(PROYECTOS[[#This Row],[MUNICIPIO]],'4.CAP_ENDMNT'!B:B,'4.CAP_ENDMNT'!J:J,0,0,1)</f>
        <v>0.1877479384772088</v>
      </c>
      <c r="AB545" s="44">
        <f>+_xlfn.XLOOKUP(PROYECTOS[[#This Row],[MUNICIPIO]],'4.CAP_ENDMNT'!B:B,'4.CAP_ENDMNT'!K:K,0,0,1)</f>
        <v>12747829323.1185</v>
      </c>
      <c r="AC545" s="44">
        <f>+_xlfn.XLOOKUP(PROYECTOS[[#This Row],[MUNICIPIO]],'4.CAP_ENDMNT'!B:B,'4.CAP_ENDMNT'!L:L,0,0,1)</f>
        <v>10198263458.494801</v>
      </c>
      <c r="AD545" s="44">
        <f>+_xlfn.XLOOKUP(PROYECTOS[[#This Row],[MUNICIPIO]],'4.CAP_ENDMNT'!B:B,'4.CAP_ENDMNT'!M:M,0,0,1)</f>
        <v>7648697593.8710995</v>
      </c>
      <c r="AE545" s="134">
        <f>+_xlfn.XLOOKUP(PROYECTOS[[#This Row],[MUNICIPIO]],'4.CAP_ENDMNT'!B:B,'4.CAP_ENDMNT'!N:N,0,0,1)</f>
        <v>0.49093801797056674</v>
      </c>
      <c r="AF545" s="134">
        <f>+_xlfn.XLOOKUP(PROYECTOS[[#This Row],[MUNICIPIO]],'4.CAP_ENDMNT'!B:B,'4.CAP_ENDMNT'!O:O,0,0,1)</f>
        <v>0.65417145296340995</v>
      </c>
      <c r="AG545" s="134">
        <f>+_xlfn.XLOOKUP(PROYECTOS[[#This Row],[MUNICIPIO]],'4.CAP_ENDMNT'!B:B,'4.CAP_ENDMNT'!P:P,0,0,1)</f>
        <v>0.8</v>
      </c>
      <c r="AH545" s="44" t="str">
        <f>+_xlfn.XLOOKUP(PROYECTOS[[#This Row],[MUNICIPIO]],'4.CAP_ENDMNT'!B:B,'4.CAP_ENDMNT'!Q:Q,0,0,1)</f>
        <v>Cumple</v>
      </c>
      <c r="AI545" s="139">
        <f>+_xlfn.XLOOKUP(PROYECTOS[[#This Row],[MUNICIPIO]],'4.CAP_ENDMNT'!B:B,'4.CAP_ENDMNT'!V:V,0,0,1)</f>
        <v>1529739518.77422</v>
      </c>
      <c r="AJ545" s="139">
        <f>+_xlfn.XLOOKUP(PROYECTOS[[#This Row],[MUNICIPIO]],'4.CAP_ENDMNT'!B:B,'4.CAP_ENDMNT'!Y:Y,0,0,1)</f>
        <v>8750633271.645319</v>
      </c>
      <c r="AK545"/>
      <c r="AL545"/>
      <c r="AM545"/>
    </row>
    <row r="546" spans="1:39" ht="15" customHeight="1">
      <c r="A546" s="44">
        <v>663</v>
      </c>
      <c r="B546" t="s">
        <v>1611</v>
      </c>
      <c r="C546" s="118">
        <f>+_xlfn.XLOOKUP(PROYECTOS[[#This Row],[ID_NECESIDAD]],'1.RADICADOS'!G:G,'1.RADICADOS'!C:C,0,0,1)*1</f>
        <v>45798</v>
      </c>
      <c r="D546" s="67" t="s">
        <v>153</v>
      </c>
      <c r="E546" s="47" t="str">
        <f>+_xlfn.XLOOKUP(PROYECTOS[[#This Row],[MUNICIPIO]],MUNICIPIOS!A:A,MUNICIPIOS!E:E,0,0,1)</f>
        <v>Urabá</v>
      </c>
      <c r="F546" s="44">
        <f>+_xlfn.XLOOKUP(PROYECTOS[[#This Row],[MUNICIPIO]],MUNICIPIOS!A:A,MUNICIPIOS!F:F,0,0,1)</f>
        <v>-76.787271000000004</v>
      </c>
      <c r="G546" s="44" t="str">
        <f>+_xlfn.XLOOKUP(PROYECTOS[[#This Row],[MUNICIPIO]],MUNICIPIOS!A:A,MUNICIPIOS!G:G,0,0,1)</f>
        <v>8,434526</v>
      </c>
      <c r="H546" s="44">
        <f>+_xlfn.XLOOKUP(PROYECTOS[[#This Row],[MUNICIPIO]],MUNICIPIOS!A:A,MUNICIPIOS!B:B,0,0,1)</f>
        <v>1</v>
      </c>
      <c r="I546" s="44">
        <f>+_xlfn.XLOOKUP(PROYECTOS[[#This Row],[MUNICIPIO]],MUNICIPIOS!A:A,MUNICIPIOS!C:C,0,0,1)</f>
        <v>1</v>
      </c>
      <c r="J546" s="34" t="str" cm="1">
        <f t="array" ref="J546">_xlfn.TEXTJOIN(", ", TRUE, IF(radicados[ID PROYECTOS]=A546, radicados[RADICADO], ""))</f>
        <v>2025010251604</v>
      </c>
      <c r="K546" s="45">
        <v>3</v>
      </c>
      <c r="L546" s="199">
        <v>910189297</v>
      </c>
      <c r="M546" s="34" t="s">
        <v>402</v>
      </c>
      <c r="N546" s="40" t="s">
        <v>394</v>
      </c>
      <c r="O546" s="40" t="s">
        <v>29</v>
      </c>
      <c r="P546" s="37"/>
      <c r="Q546" s="45"/>
      <c r="R546" s="166"/>
      <c r="S546" s="166"/>
      <c r="T546" s="44">
        <f>+_xlfn.XLOOKUP(PROYECTOS[[#This Row],[MUNICIPIO]],'4.CAP_ENDMNT'!B:B,'4.CAP_ENDMNT'!C:C,0,0,1)</f>
        <v>6</v>
      </c>
      <c r="U546" s="167">
        <f>+_xlfn.XLOOKUP(PROYECTOS[[#This Row],[MUNICIPIO]],'4.CAP_ENDMNT'!B:B,'4.CAP_ENDMNT'!D:D,0,0,1)</f>
        <v>30137297790.127998</v>
      </c>
      <c r="V546" s="44">
        <f>+_xlfn.XLOOKUP(PROYECTOS[[#This Row],[MUNICIPIO]],'4.CAP_ENDMNT'!B:B,'4.CAP_ENDMNT'!E:E,0,0,1)</f>
        <v>12298726691.530001</v>
      </c>
      <c r="W546" s="44">
        <f>+_xlfn.XLOOKUP(PROYECTOS[[#This Row],[MUNICIPIO]],'4.CAP_ENDMNT'!B:B,'4.CAP_ENDMNT'!F:F,0,0,1)</f>
        <v>17838571098.598</v>
      </c>
      <c r="X546" s="44">
        <f>+_xlfn.XLOOKUP(PROYECTOS[[#This Row],[MUNICIPIO]],'4.CAP_ENDMNT'!B:B,'4.CAP_ENDMNT'!G:G,0,0,1)</f>
        <v>2369107602</v>
      </c>
      <c r="Y546" s="44">
        <f>+_xlfn.XLOOKUP(PROYECTOS[[#This Row],[MUNICIPIO]],'4.CAP_ENDMNT'!B:B,'4.CAP_ENDMNT'!H:H,0,0,1)</f>
        <v>13974896585</v>
      </c>
      <c r="Z546" s="44">
        <f>+_xlfn.XLOOKUP(PROYECTOS[[#This Row],[MUNICIPIO]],'4.CAP_ENDMNT'!B:B,'4.CAP_ENDMNT'!I:I,0,0,1)</f>
        <v>16344004187</v>
      </c>
      <c r="AA546" s="134">
        <f>+_xlfn.XLOOKUP(PROYECTOS[[#This Row],[MUNICIPIO]],'4.CAP_ENDMNT'!B:B,'4.CAP_ENDMNT'!J:J,0,0,1)</f>
        <v>0.54231817002364979</v>
      </c>
      <c r="AB546" s="44">
        <f>+_xlfn.XLOOKUP(PROYECTOS[[#This Row],[MUNICIPIO]],'4.CAP_ENDMNT'!B:B,'4.CAP_ENDMNT'!K:K,0,0,1)</f>
        <v>13793293603.127998</v>
      </c>
      <c r="AC546" s="44">
        <f>+_xlfn.XLOOKUP(PROYECTOS[[#This Row],[MUNICIPIO]],'4.CAP_ENDMNT'!B:B,'4.CAP_ENDMNT'!L:L,0,0,1)</f>
        <v>11034634882.502399</v>
      </c>
      <c r="AD546" s="44">
        <f>+_xlfn.XLOOKUP(PROYECTOS[[#This Row],[MUNICIPIO]],'4.CAP_ENDMNT'!B:B,'4.CAP_ENDMNT'!M:M,0,0,1)</f>
        <v>8275976161.8767986</v>
      </c>
      <c r="AE546" s="134">
        <f>+_xlfn.XLOOKUP(PROYECTOS[[#This Row],[MUNICIPIO]],'4.CAP_ENDMNT'!B:B,'4.CAP_ENDMNT'!N:N,0,0,1)</f>
        <v>0.1449527040554961</v>
      </c>
      <c r="AF546" s="134">
        <f>+_xlfn.XLOOKUP(PROYECTOS[[#This Row],[MUNICIPIO]],'4.CAP_ENDMNT'!B:B,'4.CAP_ENDMNT'!O:O,0,0,1)</f>
        <v>0.58055985759165929</v>
      </c>
      <c r="AG546" s="134">
        <f>+_xlfn.XLOOKUP(PROYECTOS[[#This Row],[MUNICIPIO]],'4.CAP_ENDMNT'!B:B,'4.CAP_ENDMNT'!P:P,0,0,1)</f>
        <v>0.8</v>
      </c>
      <c r="AH546" s="44" t="str">
        <f>+_xlfn.XLOOKUP(PROYECTOS[[#This Row],[MUNICIPIO]],'4.CAP_ENDMNT'!B:B,'4.CAP_ENDMNT'!Q:Q,0,0,1)</f>
        <v>Cumple</v>
      </c>
      <c r="AI546" s="139">
        <f>+_xlfn.XLOOKUP(PROYECTOS[[#This Row],[MUNICIPIO]],'4.CAP_ENDMNT'!B:B,'4.CAP_ENDMNT'!V:V,0,0,1)</f>
        <v>1655195232.3753598</v>
      </c>
      <c r="AJ546" s="139">
        <f>+_xlfn.XLOOKUP(PROYECTOS[[#This Row],[MUNICIPIO]],'4.CAP_ENDMNT'!B:B,'4.CAP_ENDMNT'!Y:Y,0,0,1)</f>
        <v>-48565434249.747841</v>
      </c>
      <c r="AK546"/>
      <c r="AL546"/>
      <c r="AM546"/>
    </row>
    <row r="547" spans="1:39" ht="15" customHeight="1">
      <c r="A547" s="44">
        <v>664</v>
      </c>
      <c r="B547" s="37" t="s">
        <v>1615</v>
      </c>
      <c r="C547" s="118">
        <f>+_xlfn.XLOOKUP(PROYECTOS[[#This Row],[ID_NECESIDAD]],'1.RADICADOS'!G:G,'1.RADICADOS'!C:C,0,0,1)*1</f>
        <v>45804</v>
      </c>
      <c r="D547" s="67" t="s">
        <v>865</v>
      </c>
      <c r="E547" s="47" t="str">
        <f>+_xlfn.XLOOKUP(PROYECTOS[[#This Row],[MUNICIPIO]],MUNICIPIOS!A:A,MUNICIPIOS!E:E,0,0,1)</f>
        <v>Norte</v>
      </c>
      <c r="F547" s="44">
        <f>+_xlfn.XLOOKUP(PROYECTOS[[#This Row],[MUNICIPIO]],MUNICIPIOS!A:A,MUNICIPIOS!F:F,0,0,1)</f>
        <v>-75.674564000000004</v>
      </c>
      <c r="G547" s="44" t="str">
        <f>+_xlfn.XLOOKUP(PROYECTOS[[#This Row],[MUNICIPIO]],MUNICIPIOS!A:A,MUNICIPIOS!G:G,0,0,1)</f>
        <v>6,916676</v>
      </c>
      <c r="H547" s="44">
        <f>+_xlfn.XLOOKUP(PROYECTOS[[#This Row],[MUNICIPIO]],MUNICIPIOS!A:A,MUNICIPIOS!B:B,0,0,1)</f>
        <v>0</v>
      </c>
      <c r="I547" s="44">
        <f>+_xlfn.XLOOKUP(PROYECTOS[[#This Row],[MUNICIPIO]],MUNICIPIOS!A:A,MUNICIPIOS!C:C,0,0,1)</f>
        <v>1</v>
      </c>
      <c r="J547" s="34" t="str" cm="1">
        <f t="array" ref="J547">_xlfn.TEXTJOIN(", ", TRUE, IF(radicados[ID PROYECTOS]=A547, radicados[RADICADO], ""))</f>
        <v>2025010265169</v>
      </c>
      <c r="K547" s="45">
        <v>3</v>
      </c>
      <c r="L547" s="199">
        <v>172414930</v>
      </c>
      <c r="M547" s="34" t="s">
        <v>288</v>
      </c>
      <c r="N547" s="40" t="s">
        <v>398</v>
      </c>
      <c r="O547" s="40" t="s">
        <v>25</v>
      </c>
      <c r="P547" s="37"/>
      <c r="Q547" s="45"/>
      <c r="R547" s="166"/>
      <c r="S547" s="166"/>
      <c r="T547" s="44">
        <f>+_xlfn.XLOOKUP(PROYECTOS[[#This Row],[MUNICIPIO]],'4.CAP_ENDMNT'!B:B,'4.CAP_ENDMNT'!C:C,0,0,1)</f>
        <v>6</v>
      </c>
      <c r="U547" s="167">
        <f>+_xlfn.XLOOKUP(PROYECTOS[[#This Row],[MUNICIPIO]],'4.CAP_ENDMNT'!B:B,'4.CAP_ENDMNT'!D:D,0,0,1)</f>
        <v>8997781405.9869995</v>
      </c>
      <c r="V547" s="44">
        <f>+_xlfn.XLOOKUP(PROYECTOS[[#This Row],[MUNICIPIO]],'4.CAP_ENDMNT'!B:B,'4.CAP_ENDMNT'!E:E,0,0,1)</f>
        <v>3426460056.4700003</v>
      </c>
      <c r="W547" s="44">
        <f>+_xlfn.XLOOKUP(PROYECTOS[[#This Row],[MUNICIPIO]],'4.CAP_ENDMNT'!B:B,'4.CAP_ENDMNT'!F:F,0,0,1)</f>
        <v>5571321349.5169992</v>
      </c>
      <c r="X547" s="44">
        <f>+_xlfn.XLOOKUP(PROYECTOS[[#This Row],[MUNICIPIO]],'4.CAP_ENDMNT'!B:B,'4.CAP_ENDMNT'!G:G,0,0,1)</f>
        <v>1950193992</v>
      </c>
      <c r="Y547" s="44">
        <f>+_xlfn.XLOOKUP(PROYECTOS[[#This Row],[MUNICIPIO]],'4.CAP_ENDMNT'!B:B,'4.CAP_ENDMNT'!H:H,0,0,1)</f>
        <v>0</v>
      </c>
      <c r="Z547" s="44">
        <f>+_xlfn.XLOOKUP(PROYECTOS[[#This Row],[MUNICIPIO]],'4.CAP_ENDMNT'!B:B,'4.CAP_ENDMNT'!I:I,0,0,1)</f>
        <v>1950193992</v>
      </c>
      <c r="AA547" s="134">
        <f>+_xlfn.XLOOKUP(PROYECTOS[[#This Row],[MUNICIPIO]],'4.CAP_ENDMNT'!B:B,'4.CAP_ENDMNT'!J:J,0,0,1)</f>
        <v>0.21674165041421964</v>
      </c>
      <c r="AB547" s="44">
        <f>+_xlfn.XLOOKUP(PROYECTOS[[#This Row],[MUNICIPIO]],'4.CAP_ENDMNT'!B:B,'4.CAP_ENDMNT'!K:K,0,0,1)</f>
        <v>7047587413.9869995</v>
      </c>
      <c r="AC547" s="44">
        <f>+_xlfn.XLOOKUP(PROYECTOS[[#This Row],[MUNICIPIO]],'4.CAP_ENDMNT'!B:B,'4.CAP_ENDMNT'!L:L,0,0,1)</f>
        <v>5638069931.1896</v>
      </c>
      <c r="AD547" s="44">
        <f>+_xlfn.XLOOKUP(PROYECTOS[[#This Row],[MUNICIPIO]],'4.CAP_ENDMNT'!B:B,'4.CAP_ENDMNT'!M:M,0,0,1)</f>
        <v>4228552448.3921995</v>
      </c>
      <c r="AE547" s="134">
        <f>+_xlfn.XLOOKUP(PROYECTOS[[#This Row],[MUNICIPIO]],'4.CAP_ENDMNT'!B:B,'4.CAP_ENDMNT'!N:N,0,0,1)</f>
        <v>1</v>
      </c>
      <c r="AF547" s="134">
        <f>+_xlfn.XLOOKUP(PROYECTOS[[#This Row],[MUNICIPIO]],'4.CAP_ENDMNT'!B:B,'4.CAP_ENDMNT'!O:O,0,0,1)</f>
        <v>0.74479628788817998</v>
      </c>
      <c r="AG547" s="134">
        <f>+_xlfn.XLOOKUP(PROYECTOS[[#This Row],[MUNICIPIO]],'4.CAP_ENDMNT'!B:B,'4.CAP_ENDMNT'!P:P,0,0,1)</f>
        <v>0.8</v>
      </c>
      <c r="AH547" s="44" t="str">
        <f>+_xlfn.XLOOKUP(PROYECTOS[[#This Row],[MUNICIPIO]],'4.CAP_ENDMNT'!B:B,'4.CAP_ENDMNT'!Q:Q,0,0,1)</f>
        <v>Cumple</v>
      </c>
      <c r="AI547" s="139">
        <f>+_xlfn.XLOOKUP(PROYECTOS[[#This Row],[MUNICIPIO]],'4.CAP_ENDMNT'!B:B,'4.CAP_ENDMNT'!V:V,0,0,1)</f>
        <v>845710489.67843997</v>
      </c>
      <c r="AJ547" s="139">
        <f>+_xlfn.XLOOKUP(PROYECTOS[[#This Row],[MUNICIPIO]],'4.CAP_ENDMNT'!B:B,'4.CAP_ENDMNT'!Y:Y,0,0,1)</f>
        <v>-130563065.92936039</v>
      </c>
      <c r="AK547"/>
      <c r="AL547"/>
      <c r="AM547"/>
    </row>
    <row r="548" spans="1:39" ht="15" customHeight="1">
      <c r="A548" s="44">
        <v>665</v>
      </c>
      <c r="B548" s="37" t="s">
        <v>1616</v>
      </c>
      <c r="C548" s="118">
        <v>45804</v>
      </c>
      <c r="D548" s="67" t="s">
        <v>865</v>
      </c>
      <c r="E548" s="47" t="str">
        <f>+_xlfn.XLOOKUP(PROYECTOS[[#This Row],[MUNICIPIO]],MUNICIPIOS!A:A,MUNICIPIOS!E:E,0,0,1)</f>
        <v>Norte</v>
      </c>
      <c r="F548" s="44">
        <f>+_xlfn.XLOOKUP(PROYECTOS[[#This Row],[MUNICIPIO]],MUNICIPIOS!A:A,MUNICIPIOS!F:F,0,0,1)</f>
        <v>-75.674564000000004</v>
      </c>
      <c r="G548" s="44" t="str">
        <f>+_xlfn.XLOOKUP(PROYECTOS[[#This Row],[MUNICIPIO]],MUNICIPIOS!A:A,MUNICIPIOS!G:G,0,0,1)</f>
        <v>6,916676</v>
      </c>
      <c r="H548" s="44">
        <f>+_xlfn.XLOOKUP(PROYECTOS[[#This Row],[MUNICIPIO]],MUNICIPIOS!A:A,MUNICIPIOS!B:B,0,0,1)</f>
        <v>0</v>
      </c>
      <c r="I548" s="44">
        <f>+_xlfn.XLOOKUP(PROYECTOS[[#This Row],[MUNICIPIO]],MUNICIPIOS!A:A,MUNICIPIOS!C:C,0,0,1)</f>
        <v>1</v>
      </c>
      <c r="J548" s="34" t="s">
        <v>1614</v>
      </c>
      <c r="K548" s="45">
        <v>2</v>
      </c>
      <c r="L548" s="199">
        <v>4330963851</v>
      </c>
      <c r="M548" s="34" t="s">
        <v>288</v>
      </c>
      <c r="N548" s="40" t="s">
        <v>398</v>
      </c>
      <c r="O548" s="40" t="s">
        <v>25</v>
      </c>
      <c r="P548" s="37"/>
      <c r="Q548" s="45">
        <v>1</v>
      </c>
      <c r="R548" s="43" t="s">
        <v>922</v>
      </c>
      <c r="S548" s="43" t="s">
        <v>1639</v>
      </c>
      <c r="T548" s="44">
        <f>+_xlfn.XLOOKUP(PROYECTOS[[#This Row],[MUNICIPIO]],'4.CAP_ENDMNT'!B:B,'4.CAP_ENDMNT'!C:C,0,0,1)</f>
        <v>6</v>
      </c>
      <c r="U548" s="167">
        <f>+_xlfn.XLOOKUP(PROYECTOS[[#This Row],[MUNICIPIO]],'4.CAP_ENDMNT'!B:B,'4.CAP_ENDMNT'!D:D,0,0,1)</f>
        <v>8997781405.9869995</v>
      </c>
      <c r="V548" s="44">
        <f>+_xlfn.XLOOKUP(PROYECTOS[[#This Row],[MUNICIPIO]],'4.CAP_ENDMNT'!B:B,'4.CAP_ENDMNT'!E:E,0,0,1)</f>
        <v>3426460056.4700003</v>
      </c>
      <c r="W548" s="44">
        <f>+_xlfn.XLOOKUP(PROYECTOS[[#This Row],[MUNICIPIO]],'4.CAP_ENDMNT'!B:B,'4.CAP_ENDMNT'!F:F,0,0,1)</f>
        <v>5571321349.5169992</v>
      </c>
      <c r="X548" s="44">
        <f>+_xlfn.XLOOKUP(PROYECTOS[[#This Row],[MUNICIPIO]],'4.CAP_ENDMNT'!B:B,'4.CAP_ENDMNT'!G:G,0,0,1)</f>
        <v>1950193992</v>
      </c>
      <c r="Y548" s="44">
        <f>+_xlfn.XLOOKUP(PROYECTOS[[#This Row],[MUNICIPIO]],'4.CAP_ENDMNT'!B:B,'4.CAP_ENDMNT'!H:H,0,0,1)</f>
        <v>0</v>
      </c>
      <c r="Z548" s="44">
        <f>+_xlfn.XLOOKUP(PROYECTOS[[#This Row],[MUNICIPIO]],'4.CAP_ENDMNT'!B:B,'4.CAP_ENDMNT'!I:I,0,0,1)</f>
        <v>1950193992</v>
      </c>
      <c r="AA548" s="134">
        <f>+_xlfn.XLOOKUP(PROYECTOS[[#This Row],[MUNICIPIO]],'4.CAP_ENDMNT'!B:B,'4.CAP_ENDMNT'!J:J,0,0,1)</f>
        <v>0.21674165041421964</v>
      </c>
      <c r="AB548" s="44">
        <f>+_xlfn.XLOOKUP(PROYECTOS[[#This Row],[MUNICIPIO]],'4.CAP_ENDMNT'!B:B,'4.CAP_ENDMNT'!K:K,0,0,1)</f>
        <v>7047587413.9869995</v>
      </c>
      <c r="AC548" s="44">
        <f>+_xlfn.XLOOKUP(PROYECTOS[[#This Row],[MUNICIPIO]],'4.CAP_ENDMNT'!B:B,'4.CAP_ENDMNT'!L:L,0,0,1)</f>
        <v>5638069931.1896</v>
      </c>
      <c r="AD548" s="44">
        <f>+_xlfn.XLOOKUP(PROYECTOS[[#This Row],[MUNICIPIO]],'4.CAP_ENDMNT'!B:B,'4.CAP_ENDMNT'!M:M,0,0,1)</f>
        <v>4228552448.3921995</v>
      </c>
      <c r="AE548" s="134">
        <f>+_xlfn.XLOOKUP(PROYECTOS[[#This Row],[MUNICIPIO]],'4.CAP_ENDMNT'!B:B,'4.CAP_ENDMNT'!N:N,0,0,1)</f>
        <v>1</v>
      </c>
      <c r="AF548" s="134">
        <f>+_xlfn.XLOOKUP(PROYECTOS[[#This Row],[MUNICIPIO]],'4.CAP_ENDMNT'!B:B,'4.CAP_ENDMNT'!O:O,0,0,1)</f>
        <v>0.74479628788817998</v>
      </c>
      <c r="AG548" s="134">
        <f>+_xlfn.XLOOKUP(PROYECTOS[[#This Row],[MUNICIPIO]],'4.CAP_ENDMNT'!B:B,'4.CAP_ENDMNT'!P:P,0,0,1)</f>
        <v>0.8</v>
      </c>
      <c r="AH548" s="44" t="str">
        <f>+_xlfn.XLOOKUP(PROYECTOS[[#This Row],[MUNICIPIO]],'4.CAP_ENDMNT'!B:B,'4.CAP_ENDMNT'!Q:Q,0,0,1)</f>
        <v>Cumple</v>
      </c>
      <c r="AI548" s="139">
        <f>+_xlfn.XLOOKUP(PROYECTOS[[#This Row],[MUNICIPIO]],'4.CAP_ENDMNT'!B:B,'4.CAP_ENDMNT'!V:V,0,0,1)</f>
        <v>845710489.67843997</v>
      </c>
      <c r="AJ548" s="139">
        <f>+_xlfn.XLOOKUP(PROYECTOS[[#This Row],[MUNICIPIO]],'4.CAP_ENDMNT'!B:B,'4.CAP_ENDMNT'!Y:Y,0,0,1)</f>
        <v>-130563065.92936039</v>
      </c>
      <c r="AK548"/>
      <c r="AL548"/>
      <c r="AM548"/>
    </row>
    <row r="549" spans="1:39" ht="15" customHeight="1">
      <c r="A549" s="44">
        <v>666</v>
      </c>
      <c r="B549" s="37" t="s">
        <v>1617</v>
      </c>
      <c r="C549" s="118">
        <v>45804</v>
      </c>
      <c r="D549" s="67" t="s">
        <v>865</v>
      </c>
      <c r="E549" s="47" t="str">
        <f>+_xlfn.XLOOKUP(PROYECTOS[[#This Row],[MUNICIPIO]],MUNICIPIOS!A:A,MUNICIPIOS!E:E,0,0,1)</f>
        <v>Norte</v>
      </c>
      <c r="F549" s="44">
        <f>+_xlfn.XLOOKUP(PROYECTOS[[#This Row],[MUNICIPIO]],MUNICIPIOS!A:A,MUNICIPIOS!F:F,0,0,1)</f>
        <v>-75.674564000000004</v>
      </c>
      <c r="G549" s="44" t="str">
        <f>+_xlfn.XLOOKUP(PROYECTOS[[#This Row],[MUNICIPIO]],MUNICIPIOS!A:A,MUNICIPIOS!G:G,0,0,1)</f>
        <v>6,916676</v>
      </c>
      <c r="H549" s="44">
        <f>+_xlfn.XLOOKUP(PROYECTOS[[#This Row],[MUNICIPIO]],MUNICIPIOS!A:A,MUNICIPIOS!B:B,0,0,1)</f>
        <v>0</v>
      </c>
      <c r="I549" s="44">
        <f>+_xlfn.XLOOKUP(PROYECTOS[[#This Row],[MUNICIPIO]],MUNICIPIOS!A:A,MUNICIPIOS!C:C,0,0,1)</f>
        <v>1</v>
      </c>
      <c r="J549" s="34" t="s">
        <v>1614</v>
      </c>
      <c r="K549" s="45">
        <v>2</v>
      </c>
      <c r="L549" s="199">
        <v>701447223</v>
      </c>
      <c r="M549" s="34" t="s">
        <v>288</v>
      </c>
      <c r="N549" s="40" t="s">
        <v>398</v>
      </c>
      <c r="O549" s="40" t="s">
        <v>25</v>
      </c>
      <c r="P549" s="37"/>
      <c r="Q549" s="45">
        <v>1</v>
      </c>
      <c r="R549" s="43" t="s">
        <v>922</v>
      </c>
      <c r="S549" s="43" t="s">
        <v>1639</v>
      </c>
      <c r="T549" s="44">
        <f>+_xlfn.XLOOKUP(PROYECTOS[[#This Row],[MUNICIPIO]],'4.CAP_ENDMNT'!B:B,'4.CAP_ENDMNT'!C:C,0,0,1)</f>
        <v>6</v>
      </c>
      <c r="U549" s="167">
        <f>+_xlfn.XLOOKUP(PROYECTOS[[#This Row],[MUNICIPIO]],'4.CAP_ENDMNT'!B:B,'4.CAP_ENDMNT'!D:D,0,0,1)</f>
        <v>8997781405.9869995</v>
      </c>
      <c r="V549" s="44">
        <f>+_xlfn.XLOOKUP(PROYECTOS[[#This Row],[MUNICIPIO]],'4.CAP_ENDMNT'!B:B,'4.CAP_ENDMNT'!E:E,0,0,1)</f>
        <v>3426460056.4700003</v>
      </c>
      <c r="W549" s="44">
        <f>+_xlfn.XLOOKUP(PROYECTOS[[#This Row],[MUNICIPIO]],'4.CAP_ENDMNT'!B:B,'4.CAP_ENDMNT'!F:F,0,0,1)</f>
        <v>5571321349.5169992</v>
      </c>
      <c r="X549" s="44">
        <f>+_xlfn.XLOOKUP(PROYECTOS[[#This Row],[MUNICIPIO]],'4.CAP_ENDMNT'!B:B,'4.CAP_ENDMNT'!G:G,0,0,1)</f>
        <v>1950193992</v>
      </c>
      <c r="Y549" s="44">
        <f>+_xlfn.XLOOKUP(PROYECTOS[[#This Row],[MUNICIPIO]],'4.CAP_ENDMNT'!B:B,'4.CAP_ENDMNT'!H:H,0,0,1)</f>
        <v>0</v>
      </c>
      <c r="Z549" s="44">
        <f>+_xlfn.XLOOKUP(PROYECTOS[[#This Row],[MUNICIPIO]],'4.CAP_ENDMNT'!B:B,'4.CAP_ENDMNT'!I:I,0,0,1)</f>
        <v>1950193992</v>
      </c>
      <c r="AA549" s="134">
        <f>+_xlfn.XLOOKUP(PROYECTOS[[#This Row],[MUNICIPIO]],'4.CAP_ENDMNT'!B:B,'4.CAP_ENDMNT'!J:J,0,0,1)</f>
        <v>0.21674165041421964</v>
      </c>
      <c r="AB549" s="44">
        <f>+_xlfn.XLOOKUP(PROYECTOS[[#This Row],[MUNICIPIO]],'4.CAP_ENDMNT'!B:B,'4.CAP_ENDMNT'!K:K,0,0,1)</f>
        <v>7047587413.9869995</v>
      </c>
      <c r="AC549" s="44">
        <f>+_xlfn.XLOOKUP(PROYECTOS[[#This Row],[MUNICIPIO]],'4.CAP_ENDMNT'!B:B,'4.CAP_ENDMNT'!L:L,0,0,1)</f>
        <v>5638069931.1896</v>
      </c>
      <c r="AD549" s="44">
        <f>+_xlfn.XLOOKUP(PROYECTOS[[#This Row],[MUNICIPIO]],'4.CAP_ENDMNT'!B:B,'4.CAP_ENDMNT'!M:M,0,0,1)</f>
        <v>4228552448.3921995</v>
      </c>
      <c r="AE549" s="134">
        <f>+_xlfn.XLOOKUP(PROYECTOS[[#This Row],[MUNICIPIO]],'4.CAP_ENDMNT'!B:B,'4.CAP_ENDMNT'!N:N,0,0,1)</f>
        <v>1</v>
      </c>
      <c r="AF549" s="134">
        <f>+_xlfn.XLOOKUP(PROYECTOS[[#This Row],[MUNICIPIO]],'4.CAP_ENDMNT'!B:B,'4.CAP_ENDMNT'!O:O,0,0,1)</f>
        <v>0.74479628788817998</v>
      </c>
      <c r="AG549" s="134">
        <f>+_xlfn.XLOOKUP(PROYECTOS[[#This Row],[MUNICIPIO]],'4.CAP_ENDMNT'!B:B,'4.CAP_ENDMNT'!P:P,0,0,1)</f>
        <v>0.8</v>
      </c>
      <c r="AH549" s="44" t="str">
        <f>+_xlfn.XLOOKUP(PROYECTOS[[#This Row],[MUNICIPIO]],'4.CAP_ENDMNT'!B:B,'4.CAP_ENDMNT'!Q:Q,0,0,1)</f>
        <v>Cumple</v>
      </c>
      <c r="AI549" s="139">
        <f>+_xlfn.XLOOKUP(PROYECTOS[[#This Row],[MUNICIPIO]],'4.CAP_ENDMNT'!B:B,'4.CAP_ENDMNT'!V:V,0,0,1)</f>
        <v>845710489.67843997</v>
      </c>
      <c r="AJ549" s="139">
        <f>+_xlfn.XLOOKUP(PROYECTOS[[#This Row],[MUNICIPIO]],'4.CAP_ENDMNT'!B:B,'4.CAP_ENDMNT'!Y:Y,0,0,1)</f>
        <v>-130563065.92936039</v>
      </c>
      <c r="AK549"/>
      <c r="AL549"/>
      <c r="AM549"/>
    </row>
    <row r="550" spans="1:39" ht="15" customHeight="1">
      <c r="A550" s="44">
        <v>667</v>
      </c>
      <c r="B550" s="37" t="s">
        <v>1619</v>
      </c>
      <c r="C550" s="118">
        <v>45658</v>
      </c>
      <c r="D550" s="67" t="s">
        <v>138</v>
      </c>
      <c r="E550" s="47" t="str">
        <f>+_xlfn.XLOOKUP(PROYECTOS[[#This Row],[MUNICIPIO]],MUNICIPIOS!A:A,MUNICIPIOS!E:E,0,0,1)</f>
        <v>Norte</v>
      </c>
      <c r="F550" s="44">
        <f>+_xlfn.XLOOKUP(PROYECTOS[[#This Row],[MUNICIPIO]],MUNICIPIOS!A:A,MUNICIPIOS!F:F,0,0,1)</f>
        <v>-75.220017999999996</v>
      </c>
      <c r="G550" s="44" t="str">
        <f>+_xlfn.XLOOKUP(PROYECTOS[[#This Row],[MUNICIPIO]],MUNICIPIOS!A:A,MUNICIPIOS!G:G,0,0,1)</f>
        <v>6,683269</v>
      </c>
      <c r="H550" s="44">
        <f>+_xlfn.XLOOKUP(PROYECTOS[[#This Row],[MUNICIPIO]],MUNICIPIOS!A:A,MUNICIPIOS!B:B,0,0,1)</f>
        <v>0</v>
      </c>
      <c r="I550" s="44">
        <f>+_xlfn.XLOOKUP(PROYECTOS[[#This Row],[MUNICIPIO]],MUNICIPIOS!A:A,MUNICIPIOS!C:C,0,0,1)</f>
        <v>0</v>
      </c>
      <c r="J550" s="34" t="str" cm="1">
        <f t="array" ref="J550">_xlfn.TEXTJOIN(", ", TRUE, IF(radicados[ID PROYECTOS]=A550, radicados[RADICADO], ""))</f>
        <v/>
      </c>
      <c r="K550" s="45">
        <v>3</v>
      </c>
      <c r="L550" s="199">
        <v>4294044919</v>
      </c>
      <c r="M550" s="34" t="s">
        <v>288</v>
      </c>
      <c r="N550" s="40" t="s">
        <v>398</v>
      </c>
      <c r="O550" s="40" t="s">
        <v>25</v>
      </c>
      <c r="P550" s="37"/>
      <c r="Q550" s="45">
        <v>1</v>
      </c>
      <c r="R550" s="43" t="s">
        <v>922</v>
      </c>
      <c r="S550" s="43" t="s">
        <v>1618</v>
      </c>
      <c r="T550" s="44">
        <f>+_xlfn.XLOOKUP(PROYECTOS[[#This Row],[MUNICIPIO]],'4.CAP_ENDMNT'!B:B,'4.CAP_ENDMNT'!C:C,0,0,1)</f>
        <v>6</v>
      </c>
      <c r="U550" s="167">
        <f>+_xlfn.XLOOKUP(PROYECTOS[[#This Row],[MUNICIPIO]],'4.CAP_ENDMNT'!B:B,'4.CAP_ENDMNT'!D:D,0,0,1)</f>
        <v>12229746381.692001</v>
      </c>
      <c r="V550" s="44">
        <f>+_xlfn.XLOOKUP(PROYECTOS[[#This Row],[MUNICIPIO]],'4.CAP_ENDMNT'!B:B,'4.CAP_ENDMNT'!E:E,0,0,1)</f>
        <v>3376878617.9000001</v>
      </c>
      <c r="W550" s="44">
        <f>+_xlfn.XLOOKUP(PROYECTOS[[#This Row],[MUNICIPIO]],'4.CAP_ENDMNT'!B:B,'4.CAP_ENDMNT'!F:F,0,0,1)</f>
        <v>8852867763.7920017</v>
      </c>
      <c r="X550" s="44">
        <f>+_xlfn.XLOOKUP(PROYECTOS[[#This Row],[MUNICIPIO]],'4.CAP_ENDMNT'!B:B,'4.CAP_ENDMNT'!G:G,0,0,1)</f>
        <v>1494526177.51</v>
      </c>
      <c r="Y550" s="44">
        <f>+_xlfn.XLOOKUP(PROYECTOS[[#This Row],[MUNICIPIO]],'4.CAP_ENDMNT'!B:B,'4.CAP_ENDMNT'!H:H,0,0,1)</f>
        <v>880381975</v>
      </c>
      <c r="Z550" s="44">
        <f>+_xlfn.XLOOKUP(PROYECTOS[[#This Row],[MUNICIPIO]],'4.CAP_ENDMNT'!B:B,'4.CAP_ENDMNT'!I:I,0,0,1)</f>
        <v>2374908152.5100002</v>
      </c>
      <c r="AA550" s="134">
        <f>+_xlfn.XLOOKUP(PROYECTOS[[#This Row],[MUNICIPIO]],'4.CAP_ENDMNT'!B:B,'4.CAP_ENDMNT'!J:J,0,0,1)</f>
        <v>0.19419112043609105</v>
      </c>
      <c r="AB550" s="44">
        <f>+_xlfn.XLOOKUP(PROYECTOS[[#This Row],[MUNICIPIO]],'4.CAP_ENDMNT'!B:B,'4.CAP_ENDMNT'!K:K,0,0,1)</f>
        <v>9854838229.1820011</v>
      </c>
      <c r="AC550" s="44">
        <f>+_xlfn.XLOOKUP(PROYECTOS[[#This Row],[MUNICIPIO]],'4.CAP_ENDMNT'!B:B,'4.CAP_ENDMNT'!L:L,0,0,1)</f>
        <v>7883870583.3456011</v>
      </c>
      <c r="AD550" s="44">
        <f>+_xlfn.XLOOKUP(PROYECTOS[[#This Row],[MUNICIPIO]],'4.CAP_ENDMNT'!B:B,'4.CAP_ENDMNT'!M:M,0,0,1)</f>
        <v>5912902937.5092001</v>
      </c>
      <c r="AE550" s="134">
        <f>+_xlfn.XLOOKUP(PROYECTOS[[#This Row],[MUNICIPIO]],'4.CAP_ENDMNT'!B:B,'4.CAP_ENDMNT'!N:N,0,0,1)</f>
        <v>0.6292985166312477</v>
      </c>
      <c r="AF550" s="134">
        <f>+_xlfn.XLOOKUP(PROYECTOS[[#This Row],[MUNICIPIO]],'4.CAP_ENDMNT'!B:B,'4.CAP_ENDMNT'!O:O,0,0,1)</f>
        <v>0.5600857997738885</v>
      </c>
      <c r="AG550" s="134">
        <f>+_xlfn.XLOOKUP(PROYECTOS[[#This Row],[MUNICIPIO]],'4.CAP_ENDMNT'!B:B,'4.CAP_ENDMNT'!P:P,0,0,1)</f>
        <v>0.8</v>
      </c>
      <c r="AH550" s="44" t="str">
        <f>+_xlfn.XLOOKUP(PROYECTOS[[#This Row],[MUNICIPIO]],'4.CAP_ENDMNT'!B:B,'4.CAP_ENDMNT'!Q:Q,0,0,1)</f>
        <v>Cumple</v>
      </c>
      <c r="AI550" s="139">
        <f>+_xlfn.XLOOKUP(PROYECTOS[[#This Row],[MUNICIPIO]],'4.CAP_ENDMNT'!B:B,'4.CAP_ENDMNT'!V:V,0,0,1)</f>
        <v>1182580587.5018401</v>
      </c>
      <c r="AJ550" s="139">
        <f>+_xlfn.XLOOKUP(PROYECTOS[[#This Row],[MUNICIPIO]],'4.CAP_ENDMNT'!B:B,'4.CAP_ENDMNT'!Y:Y,0,0,1)</f>
        <v>-14890911393.98896</v>
      </c>
      <c r="AK550"/>
      <c r="AL550"/>
      <c r="AM550"/>
    </row>
    <row r="551" spans="1:39" ht="15" customHeight="1">
      <c r="A551" s="44">
        <v>668</v>
      </c>
      <c r="B551" s="37" t="s">
        <v>1620</v>
      </c>
      <c r="C551" s="118">
        <v>45658</v>
      </c>
      <c r="D551" s="67" t="s">
        <v>11</v>
      </c>
      <c r="E551" s="47" t="str">
        <f>+_xlfn.XLOOKUP(PROYECTOS[[#This Row],[MUNICIPIO]],MUNICIPIOS!A:A,MUNICIPIOS!E:E,0,0,1)</f>
        <v>Magdalena Medio</v>
      </c>
      <c r="F551" s="44">
        <f>+_xlfn.XLOOKUP(PROYECTOS[[#This Row],[MUNICIPIO]],MUNICIPIOS!A:A,MUNICIPIOS!F:F,0,0,1)</f>
        <v>-74.641189999999995</v>
      </c>
      <c r="G551" s="44" t="str">
        <f>+_xlfn.XLOOKUP(PROYECTOS[[#This Row],[MUNICIPIO]],MUNICIPIOS!A:A,MUNICIPIOS!G:G,0,0,1)</f>
        <v>5,871318</v>
      </c>
      <c r="H551" s="44">
        <f>+_xlfn.XLOOKUP(PROYECTOS[[#This Row],[MUNICIPIO]],MUNICIPIOS!A:A,MUNICIPIOS!B:B,0,0,1)</f>
        <v>0</v>
      </c>
      <c r="I551" s="44">
        <f>+_xlfn.XLOOKUP(PROYECTOS[[#This Row],[MUNICIPIO]],MUNICIPIOS!A:A,MUNICIPIOS!C:C,0,0,1)</f>
        <v>0</v>
      </c>
      <c r="J551" s="34" t="str" cm="1">
        <f t="array" ref="J551">_xlfn.TEXTJOIN(", ", TRUE, IF(radicados[ID PROYECTOS]=A551, radicados[RADICADO], ""))</f>
        <v/>
      </c>
      <c r="K551" s="45">
        <v>3</v>
      </c>
      <c r="L551" s="199">
        <v>4237507648</v>
      </c>
      <c r="M551" s="34" t="s">
        <v>288</v>
      </c>
      <c r="N551" s="40" t="s">
        <v>398</v>
      </c>
      <c r="O551" s="40" t="s">
        <v>25</v>
      </c>
      <c r="P551" s="37" t="s">
        <v>1623</v>
      </c>
      <c r="Q551" s="45">
        <v>1</v>
      </c>
      <c r="R551" s="43" t="s">
        <v>922</v>
      </c>
      <c r="S551" s="43" t="s">
        <v>1618</v>
      </c>
      <c r="T551" s="44">
        <f>+_xlfn.XLOOKUP(PROYECTOS[[#This Row],[MUNICIPIO]],'4.CAP_ENDMNT'!B:B,'4.CAP_ENDMNT'!C:C,0,0,1)</f>
        <v>6</v>
      </c>
      <c r="U551" s="167">
        <f>+_xlfn.XLOOKUP(PROYECTOS[[#This Row],[MUNICIPIO]],'4.CAP_ENDMNT'!B:B,'4.CAP_ENDMNT'!D:D,0,0,1)</f>
        <v>22896432570.9105</v>
      </c>
      <c r="V551" s="44">
        <f>+_xlfn.XLOOKUP(PROYECTOS[[#This Row],[MUNICIPIO]],'4.CAP_ENDMNT'!B:B,'4.CAP_ENDMNT'!E:E,0,0,1)</f>
        <v>6514105665.9899998</v>
      </c>
      <c r="W551" s="44">
        <f>+_xlfn.XLOOKUP(PROYECTOS[[#This Row],[MUNICIPIO]],'4.CAP_ENDMNT'!B:B,'4.CAP_ENDMNT'!F:F,0,0,1)</f>
        <v>16382326904.9205</v>
      </c>
      <c r="X551" s="44">
        <f>+_xlfn.XLOOKUP(PROYECTOS[[#This Row],[MUNICIPIO]],'4.CAP_ENDMNT'!B:B,'4.CAP_ENDMNT'!G:G,0,0,1)</f>
        <v>15087488121</v>
      </c>
      <c r="Y551" s="44">
        <f>+_xlfn.XLOOKUP(PROYECTOS[[#This Row],[MUNICIPIO]],'4.CAP_ENDMNT'!B:B,'4.CAP_ENDMNT'!H:H,0,0,1)</f>
        <v>152370595</v>
      </c>
      <c r="Z551" s="44">
        <f>+_xlfn.XLOOKUP(PROYECTOS[[#This Row],[MUNICIPIO]],'4.CAP_ENDMNT'!B:B,'4.CAP_ENDMNT'!I:I,0,0,1)</f>
        <v>15239858716</v>
      </c>
      <c r="AA551" s="134">
        <f>+_xlfn.XLOOKUP(PROYECTOS[[#This Row],[MUNICIPIO]],'4.CAP_ENDMNT'!B:B,'4.CAP_ENDMNT'!J:J,0,0,1)</f>
        <v>0.66559970287082904</v>
      </c>
      <c r="AB551" s="44">
        <f>+_xlfn.XLOOKUP(PROYECTOS[[#This Row],[MUNICIPIO]],'4.CAP_ENDMNT'!B:B,'4.CAP_ENDMNT'!K:K,0,0,1)</f>
        <v>7656573854.9104996</v>
      </c>
      <c r="AC551" s="44">
        <f>+_xlfn.XLOOKUP(PROYECTOS[[#This Row],[MUNICIPIO]],'4.CAP_ENDMNT'!B:B,'4.CAP_ENDMNT'!L:L,0,0,1)</f>
        <v>6125259083.9284</v>
      </c>
      <c r="AD551" s="44">
        <f>+_xlfn.XLOOKUP(PROYECTOS[[#This Row],[MUNICIPIO]],'4.CAP_ENDMNT'!B:B,'4.CAP_ENDMNT'!M:M,0,0,1)</f>
        <v>4593944312.9462996</v>
      </c>
      <c r="AE551" s="134">
        <f>+_xlfn.XLOOKUP(PROYECTOS[[#This Row],[MUNICIPIO]],'4.CAP_ENDMNT'!B:B,'4.CAP_ENDMNT'!N:N,0,0,1)</f>
        <v>0.99000183677293352</v>
      </c>
      <c r="AF551" s="134">
        <f>+_xlfn.XLOOKUP(PROYECTOS[[#This Row],[MUNICIPIO]],'4.CAP_ENDMNT'!B:B,'4.CAP_ENDMNT'!O:O,0,0,1)</f>
        <v>0.53987925149269589</v>
      </c>
      <c r="AG551" s="134">
        <f>+_xlfn.XLOOKUP(PROYECTOS[[#This Row],[MUNICIPIO]],'4.CAP_ENDMNT'!B:B,'4.CAP_ENDMNT'!P:P,0,0,1)</f>
        <v>0.8</v>
      </c>
      <c r="AH551" s="44" t="str">
        <f>+_xlfn.XLOOKUP(PROYECTOS[[#This Row],[MUNICIPIO]],'4.CAP_ENDMNT'!B:B,'4.CAP_ENDMNT'!Q:Q,0,0,1)</f>
        <v>Cumple</v>
      </c>
      <c r="AI551" s="139">
        <f>+_xlfn.XLOOKUP(PROYECTOS[[#This Row],[MUNICIPIO]],'4.CAP_ENDMNT'!B:B,'4.CAP_ENDMNT'!V:V,0,0,1)</f>
        <v>918788862.58925998</v>
      </c>
      <c r="AJ551" s="139">
        <f>+_xlfn.XLOOKUP(PROYECTOS[[#This Row],[MUNICIPIO]],'4.CAP_ENDMNT'!B:B,'4.CAP_ENDMNT'!Y:Y,0,0,1)</f>
        <v>-5124042499.4644403</v>
      </c>
      <c r="AK551"/>
      <c r="AL551"/>
      <c r="AM551"/>
    </row>
    <row r="552" spans="1:39" ht="15" customHeight="1">
      <c r="A552" s="44">
        <v>669</v>
      </c>
      <c r="B552" s="37" t="s">
        <v>1621</v>
      </c>
      <c r="C552" s="118">
        <v>45658</v>
      </c>
      <c r="D552" s="67" t="s">
        <v>27</v>
      </c>
      <c r="E552" s="47" t="str">
        <f>+_xlfn.XLOOKUP(PROYECTOS[[#This Row],[MUNICIPIO]],MUNICIPIOS!A:A,MUNICIPIOS!E:E,0,0,1)</f>
        <v>Oriente</v>
      </c>
      <c r="F552" s="44">
        <f>+_xlfn.XLOOKUP(PROYECTOS[[#This Row],[MUNICIPIO]],MUNICIPIOS!A:A,MUNICIPIOS!F:F,0,0,1)</f>
        <v>-75.377315999999993</v>
      </c>
      <c r="G552" s="44" t="str">
        <f>+_xlfn.XLOOKUP(PROYECTOS[[#This Row],[MUNICIPIO]],MUNICIPIOS!A:A,MUNICIPIOS!G:G,0,0,1)</f>
        <v>6,147148</v>
      </c>
      <c r="H552" s="44">
        <f>+_xlfn.XLOOKUP(PROYECTOS[[#This Row],[MUNICIPIO]],MUNICIPIOS!A:A,MUNICIPIOS!B:B,0,0,1)</f>
        <v>0</v>
      </c>
      <c r="I552" s="44">
        <f>+_xlfn.XLOOKUP(PROYECTOS[[#This Row],[MUNICIPIO]],MUNICIPIOS!A:A,MUNICIPIOS!C:C,0,0,1)</f>
        <v>0</v>
      </c>
      <c r="J552" s="34" t="str" cm="1">
        <f t="array" ref="J552">_xlfn.TEXTJOIN(", ", TRUE, IF(radicados[ID PROYECTOS]=A552, radicados[RADICADO], ""))</f>
        <v/>
      </c>
      <c r="K552" s="45">
        <v>3</v>
      </c>
      <c r="L552" s="199">
        <v>2057502613</v>
      </c>
      <c r="M552" s="34" t="s">
        <v>288</v>
      </c>
      <c r="N552" s="40" t="s">
        <v>398</v>
      </c>
      <c r="O552" s="40" t="s">
        <v>25</v>
      </c>
      <c r="P552" s="37"/>
      <c r="Q552" s="45">
        <v>1</v>
      </c>
      <c r="R552" s="43" t="s">
        <v>922</v>
      </c>
      <c r="S552" s="43" t="s">
        <v>1618</v>
      </c>
      <c r="T552" s="44">
        <f>+_xlfn.XLOOKUP(PROYECTOS[[#This Row],[MUNICIPIO]],'4.CAP_ENDMNT'!B:B,'4.CAP_ENDMNT'!C:C,0,0,1)</f>
        <v>1</v>
      </c>
      <c r="U552" s="167">
        <f>+_xlfn.XLOOKUP(PROYECTOS[[#This Row],[MUNICIPIO]],'4.CAP_ENDMNT'!B:B,'4.CAP_ENDMNT'!D:D,0,0,1)</f>
        <v>501236439904.31354</v>
      </c>
      <c r="V552" s="44">
        <f>+_xlfn.XLOOKUP(PROYECTOS[[#This Row],[MUNICIPIO]],'4.CAP_ENDMNT'!B:B,'4.CAP_ENDMNT'!E:E,0,0,1)</f>
        <v>112502020079.39</v>
      </c>
      <c r="W552" s="44">
        <f>+_xlfn.XLOOKUP(PROYECTOS[[#This Row],[MUNICIPIO]],'4.CAP_ENDMNT'!B:B,'4.CAP_ENDMNT'!F:F,0,0,1)</f>
        <v>388734419824.92352</v>
      </c>
      <c r="X552" s="44">
        <f>+_xlfn.XLOOKUP(PROYECTOS[[#This Row],[MUNICIPIO]],'4.CAP_ENDMNT'!B:B,'4.CAP_ENDMNT'!G:G,0,0,1)</f>
        <v>85394840514</v>
      </c>
      <c r="Y552" s="44">
        <f>+_xlfn.XLOOKUP(PROYECTOS[[#This Row],[MUNICIPIO]],'4.CAP_ENDMNT'!B:B,'4.CAP_ENDMNT'!H:H,0,0,1)</f>
        <v>114109886446.23999</v>
      </c>
      <c r="Z552" s="44">
        <f>+_xlfn.XLOOKUP(PROYECTOS[[#This Row],[MUNICIPIO]],'4.CAP_ENDMNT'!B:B,'4.CAP_ENDMNT'!I:I,0,0,1)</f>
        <v>199504726960.23999</v>
      </c>
      <c r="AA552" s="134">
        <f>+_xlfn.XLOOKUP(PROYECTOS[[#This Row],[MUNICIPIO]],'4.CAP_ENDMNT'!B:B,'4.CAP_ENDMNT'!J:J,0,0,1)</f>
        <v>0.39802518547599136</v>
      </c>
      <c r="AB552" s="44">
        <f>+_xlfn.XLOOKUP(PROYECTOS[[#This Row],[MUNICIPIO]],'4.CAP_ENDMNT'!B:B,'4.CAP_ENDMNT'!K:K,0,0,1)</f>
        <v>301731712944.07355</v>
      </c>
      <c r="AC552" s="44">
        <f>+_xlfn.XLOOKUP(PROYECTOS[[#This Row],[MUNICIPIO]],'4.CAP_ENDMNT'!B:B,'4.CAP_ENDMNT'!L:L,0,0,1)</f>
        <v>241385370355.25885</v>
      </c>
      <c r="AD552" s="44">
        <f>+_xlfn.XLOOKUP(PROYECTOS[[#This Row],[MUNICIPIO]],'4.CAP_ENDMNT'!B:B,'4.CAP_ENDMNT'!M:M,0,0,1)</f>
        <v>181039027766.44412</v>
      </c>
      <c r="AE552" s="134">
        <f>+_xlfn.XLOOKUP(PROYECTOS[[#This Row],[MUNICIPIO]],'4.CAP_ENDMNT'!B:B,'4.CAP_ENDMNT'!N:N,0,0,1)</f>
        <v>0.42803417149619039</v>
      </c>
      <c r="AF552" s="134">
        <f>+_xlfn.XLOOKUP(PROYECTOS[[#This Row],[MUNICIPIO]],'4.CAP_ENDMNT'!B:B,'4.CAP_ENDMNT'!O:O,0,0,1)</f>
        <v>0.23207277402530038</v>
      </c>
      <c r="AG552" s="134">
        <f>+_xlfn.XLOOKUP(PROYECTOS[[#This Row],[MUNICIPIO]],'4.CAP_ENDMNT'!B:B,'4.CAP_ENDMNT'!P:P,0,0,1)</f>
        <v>0.65</v>
      </c>
      <c r="AH552" s="44" t="str">
        <f>+_xlfn.XLOOKUP(PROYECTOS[[#This Row],[MUNICIPIO]],'4.CAP_ENDMNT'!B:B,'4.CAP_ENDMNT'!Q:Q,0,0,1)</f>
        <v>Cumple</v>
      </c>
      <c r="AI552" s="139">
        <f>+_xlfn.XLOOKUP(PROYECTOS[[#This Row],[MUNICIPIO]],'4.CAP_ENDMNT'!B:B,'4.CAP_ENDMNT'!V:V,0,0,1)</f>
        <v>36207805553.288826</v>
      </c>
      <c r="AJ552" s="139">
        <f>+_xlfn.XLOOKUP(PROYECTOS[[#This Row],[MUNICIPIO]],'4.CAP_ENDMNT'!B:B,'4.CAP_ENDMNT'!Y:Y,0,0,1)</f>
        <v>199470854625.73294</v>
      </c>
      <c r="AK552"/>
      <c r="AL552"/>
      <c r="AM552"/>
    </row>
    <row r="553" spans="1:39" ht="15" customHeight="1">
      <c r="A553" s="44">
        <v>670</v>
      </c>
      <c r="B553" s="37" t="s">
        <v>1627</v>
      </c>
      <c r="C553" s="118">
        <f>+_xlfn.XLOOKUP(PROYECTOS[[#This Row],[ID_NECESIDAD]],'1.RADICADOS'!G:G,'1.RADICADOS'!C:C,0,0,1)*1</f>
        <v>45559</v>
      </c>
      <c r="D553" s="67" t="s">
        <v>473</v>
      </c>
      <c r="E553" s="47" t="str">
        <f>+_xlfn.XLOOKUP(PROYECTOS[[#This Row],[MUNICIPIO]],MUNICIPIOS!A:A,MUNICIPIOS!E:E,0,0,1)</f>
        <v>Magdalena Medio</v>
      </c>
      <c r="F553" s="44">
        <f>+_xlfn.XLOOKUP(PROYECTOS[[#This Row],[MUNICIPIO]],MUNICIPIOS!A:A,MUNICIPIOS!F:F,0,0,1)</f>
        <v>-74.757420999999994</v>
      </c>
      <c r="G553" s="44" t="str">
        <f>+_xlfn.XLOOKUP(PROYECTOS[[#This Row],[MUNICIPIO]],MUNICIPIOS!A:A,MUNICIPIOS!G:G,0,0,1)</f>
        <v>6,409829</v>
      </c>
      <c r="H553" s="44">
        <f>+_xlfn.XLOOKUP(PROYECTOS[[#This Row],[MUNICIPIO]],MUNICIPIOS!A:A,MUNICIPIOS!B:B,0,0,1)</f>
        <v>0</v>
      </c>
      <c r="I553" s="44">
        <f>+_xlfn.XLOOKUP(PROYECTOS[[#This Row],[MUNICIPIO]],MUNICIPIOS!A:A,MUNICIPIOS!C:C,0,0,1)</f>
        <v>0</v>
      </c>
      <c r="J553" s="34" t="str" cm="1">
        <f t="array" ref="J553">_xlfn.TEXTJOIN(", ", TRUE, IF(radicados[ID PROYECTOS]=A553, radicados[RADICADO], ""))</f>
        <v>2024010436683</v>
      </c>
      <c r="K553" s="45">
        <v>2</v>
      </c>
      <c r="L553" s="199">
        <v>1460101335</v>
      </c>
      <c r="M553" s="34" t="s">
        <v>407</v>
      </c>
      <c r="N553" s="40" t="s">
        <v>398</v>
      </c>
      <c r="O553" s="40" t="s">
        <v>25</v>
      </c>
      <c r="P553" s="33" t="s">
        <v>1665</v>
      </c>
      <c r="Q553" s="45"/>
      <c r="R553" s="166"/>
      <c r="S553" s="166"/>
      <c r="T553" s="44">
        <f>+_xlfn.XLOOKUP(PROYECTOS[[#This Row],[MUNICIPIO]],'4.CAP_ENDMNT'!B:B,'4.CAP_ENDMNT'!C:C,0,0,1)</f>
        <v>6</v>
      </c>
      <c r="U553" s="167">
        <f>+_xlfn.XLOOKUP(PROYECTOS[[#This Row],[MUNICIPIO]],'4.CAP_ENDMNT'!B:B,'4.CAP_ENDMNT'!D:D,0,0,1)</f>
        <v>6287173903.2990007</v>
      </c>
      <c r="V553" s="44">
        <f>+_xlfn.XLOOKUP(PROYECTOS[[#This Row],[MUNICIPIO]],'4.CAP_ENDMNT'!B:B,'4.CAP_ENDMNT'!E:E,0,0,1)</f>
        <v>2101889048.3700001</v>
      </c>
      <c r="W553" s="44">
        <f>+_xlfn.XLOOKUP(PROYECTOS[[#This Row],[MUNICIPIO]],'4.CAP_ENDMNT'!B:B,'4.CAP_ENDMNT'!F:F,0,0,1)</f>
        <v>4185284854.9290009</v>
      </c>
      <c r="X553" s="44">
        <f>+_xlfn.XLOOKUP(PROYECTOS[[#This Row],[MUNICIPIO]],'4.CAP_ENDMNT'!B:B,'4.CAP_ENDMNT'!G:G,0,0,1)</f>
        <v>1389004859</v>
      </c>
      <c r="Y553" s="44">
        <f>+_xlfn.XLOOKUP(PROYECTOS[[#This Row],[MUNICIPIO]],'4.CAP_ENDMNT'!B:B,'4.CAP_ENDMNT'!H:H,0,0,1)</f>
        <v>1150000000</v>
      </c>
      <c r="Z553" s="44">
        <f>+_xlfn.XLOOKUP(PROYECTOS[[#This Row],[MUNICIPIO]],'4.CAP_ENDMNT'!B:B,'4.CAP_ENDMNT'!I:I,0,0,1)</f>
        <v>2539004859</v>
      </c>
      <c r="AA553" s="134">
        <f>+_xlfn.XLOOKUP(PROYECTOS[[#This Row],[MUNICIPIO]],'4.CAP_ENDMNT'!B:B,'4.CAP_ENDMNT'!J:J,0,0,1)</f>
        <v>0.40383881503066671</v>
      </c>
      <c r="AB553" s="44">
        <f>+_xlfn.XLOOKUP(PROYECTOS[[#This Row],[MUNICIPIO]],'4.CAP_ENDMNT'!B:B,'4.CAP_ENDMNT'!K:K,0,0,1)</f>
        <v>3748169044.2990007</v>
      </c>
      <c r="AC553" s="44">
        <f>+_xlfn.XLOOKUP(PROYECTOS[[#This Row],[MUNICIPIO]],'4.CAP_ENDMNT'!B:B,'4.CAP_ENDMNT'!L:L,0,0,1)</f>
        <v>2998535235.4392009</v>
      </c>
      <c r="AD553" s="44">
        <f>+_xlfn.XLOOKUP(PROYECTOS[[#This Row],[MUNICIPIO]],'4.CAP_ENDMNT'!B:B,'4.CAP_ENDMNT'!M:M,0,0,1)</f>
        <v>2248901426.5794005</v>
      </c>
      <c r="AE553" s="134">
        <f>+_xlfn.XLOOKUP(PROYECTOS[[#This Row],[MUNICIPIO]],'4.CAP_ENDMNT'!B:B,'4.CAP_ENDMNT'!N:N,0,0,1)</f>
        <v>0.54706664072595224</v>
      </c>
      <c r="AF553" s="134">
        <f>+_xlfn.XLOOKUP(PROYECTOS[[#This Row],[MUNICIPIO]],'4.CAP_ENDMNT'!B:B,'4.CAP_ENDMNT'!O:O,0,0,1)</f>
        <v>0.5833393396108878</v>
      </c>
      <c r="AG553" s="134">
        <f>+_xlfn.XLOOKUP(PROYECTOS[[#This Row],[MUNICIPIO]],'4.CAP_ENDMNT'!B:B,'4.CAP_ENDMNT'!P:P,0,0,1)</f>
        <v>0.8</v>
      </c>
      <c r="AH553" s="44" t="str">
        <f>+_xlfn.XLOOKUP(PROYECTOS[[#This Row],[MUNICIPIO]],'4.CAP_ENDMNT'!B:B,'4.CAP_ENDMNT'!Q:Q,0,0,1)</f>
        <v>Cumple</v>
      </c>
      <c r="AI553" s="139">
        <f>+_xlfn.XLOOKUP(PROYECTOS[[#This Row],[MUNICIPIO]],'4.CAP_ENDMNT'!B:B,'4.CAP_ENDMNT'!V:V,0,0,1)</f>
        <v>449780285.31588012</v>
      </c>
      <c r="AJ553" s="139">
        <f>+_xlfn.XLOOKUP(PROYECTOS[[#This Row],[MUNICIPIO]],'4.CAP_ENDMNT'!B:B,'4.CAP_ENDMNT'!Y:Y,0,0,1)</f>
        <v>-1221148754.1047192</v>
      </c>
      <c r="AK553"/>
      <c r="AL553"/>
      <c r="AM553"/>
    </row>
    <row r="554" spans="1:39" ht="15" customHeight="1">
      <c r="A554" s="44">
        <v>671</v>
      </c>
      <c r="B554" s="37" t="s">
        <v>1628</v>
      </c>
      <c r="C554" s="118">
        <f>+_xlfn.XLOOKUP(PROYECTOS[[#This Row],[ID_NECESIDAD]],'1.RADICADOS'!G:G,'1.RADICADOS'!C:C,0,0,1)*1</f>
        <v>45559</v>
      </c>
      <c r="D554" s="67" t="s">
        <v>473</v>
      </c>
      <c r="E554" s="47" t="str">
        <f>+_xlfn.XLOOKUP(PROYECTOS[[#This Row],[MUNICIPIO]],MUNICIPIOS!A:A,MUNICIPIOS!E:E,0,0,1)</f>
        <v>Magdalena Medio</v>
      </c>
      <c r="F554" s="44">
        <f>+_xlfn.XLOOKUP(PROYECTOS[[#This Row],[MUNICIPIO]],MUNICIPIOS!A:A,MUNICIPIOS!F:F,0,0,1)</f>
        <v>-74.757420999999994</v>
      </c>
      <c r="G554" s="44" t="str">
        <f>+_xlfn.XLOOKUP(PROYECTOS[[#This Row],[MUNICIPIO]],MUNICIPIOS!A:A,MUNICIPIOS!G:G,0,0,1)</f>
        <v>6,409829</v>
      </c>
      <c r="H554" s="44">
        <f>+_xlfn.XLOOKUP(PROYECTOS[[#This Row],[MUNICIPIO]],MUNICIPIOS!A:A,MUNICIPIOS!B:B,0,0,1)</f>
        <v>0</v>
      </c>
      <c r="I554" s="44">
        <f>+_xlfn.XLOOKUP(PROYECTOS[[#This Row],[MUNICIPIO]],MUNICIPIOS!A:A,MUNICIPIOS!C:C,0,0,1)</f>
        <v>0</v>
      </c>
      <c r="J554" s="34" t="str" cm="1">
        <f t="array" ref="J554">_xlfn.TEXTJOIN(", ", TRUE, IF(radicados[ID PROYECTOS]=A554, radicados[RADICADO], ""))</f>
        <v>2024010436683</v>
      </c>
      <c r="K554" s="45">
        <v>2</v>
      </c>
      <c r="L554" s="199">
        <v>2459729131</v>
      </c>
      <c r="M554" s="34" t="s">
        <v>407</v>
      </c>
      <c r="N554" s="40" t="s">
        <v>398</v>
      </c>
      <c r="O554" s="40" t="s">
        <v>25</v>
      </c>
      <c r="P554" s="33" t="s">
        <v>1665</v>
      </c>
      <c r="Q554" s="45"/>
      <c r="R554" s="166"/>
      <c r="S554" s="166"/>
      <c r="T554" s="44">
        <f>+_xlfn.XLOOKUP(PROYECTOS[[#This Row],[MUNICIPIO]],'4.CAP_ENDMNT'!B:B,'4.CAP_ENDMNT'!C:C,0,0,1)</f>
        <v>6</v>
      </c>
      <c r="U554" s="167">
        <f>+_xlfn.XLOOKUP(PROYECTOS[[#This Row],[MUNICIPIO]],'4.CAP_ENDMNT'!B:B,'4.CAP_ENDMNT'!D:D,0,0,1)</f>
        <v>6287173903.2990007</v>
      </c>
      <c r="V554" s="44">
        <f>+_xlfn.XLOOKUP(PROYECTOS[[#This Row],[MUNICIPIO]],'4.CAP_ENDMNT'!B:B,'4.CAP_ENDMNT'!E:E,0,0,1)</f>
        <v>2101889048.3700001</v>
      </c>
      <c r="W554" s="44">
        <f>+_xlfn.XLOOKUP(PROYECTOS[[#This Row],[MUNICIPIO]],'4.CAP_ENDMNT'!B:B,'4.CAP_ENDMNT'!F:F,0,0,1)</f>
        <v>4185284854.9290009</v>
      </c>
      <c r="X554" s="44">
        <f>+_xlfn.XLOOKUP(PROYECTOS[[#This Row],[MUNICIPIO]],'4.CAP_ENDMNT'!B:B,'4.CAP_ENDMNT'!G:G,0,0,1)</f>
        <v>1389004859</v>
      </c>
      <c r="Y554" s="44">
        <f>+_xlfn.XLOOKUP(PROYECTOS[[#This Row],[MUNICIPIO]],'4.CAP_ENDMNT'!B:B,'4.CAP_ENDMNT'!H:H,0,0,1)</f>
        <v>1150000000</v>
      </c>
      <c r="Z554" s="44">
        <f>+_xlfn.XLOOKUP(PROYECTOS[[#This Row],[MUNICIPIO]],'4.CAP_ENDMNT'!B:B,'4.CAP_ENDMNT'!I:I,0,0,1)</f>
        <v>2539004859</v>
      </c>
      <c r="AA554" s="134">
        <f>+_xlfn.XLOOKUP(PROYECTOS[[#This Row],[MUNICIPIO]],'4.CAP_ENDMNT'!B:B,'4.CAP_ENDMNT'!J:J,0,0,1)</f>
        <v>0.40383881503066671</v>
      </c>
      <c r="AB554" s="44">
        <f>+_xlfn.XLOOKUP(PROYECTOS[[#This Row],[MUNICIPIO]],'4.CAP_ENDMNT'!B:B,'4.CAP_ENDMNT'!K:K,0,0,1)</f>
        <v>3748169044.2990007</v>
      </c>
      <c r="AC554" s="44">
        <f>+_xlfn.XLOOKUP(PROYECTOS[[#This Row],[MUNICIPIO]],'4.CAP_ENDMNT'!B:B,'4.CAP_ENDMNT'!L:L,0,0,1)</f>
        <v>2998535235.4392009</v>
      </c>
      <c r="AD554" s="44">
        <f>+_xlfn.XLOOKUP(PROYECTOS[[#This Row],[MUNICIPIO]],'4.CAP_ENDMNT'!B:B,'4.CAP_ENDMNT'!M:M,0,0,1)</f>
        <v>2248901426.5794005</v>
      </c>
      <c r="AE554" s="134">
        <f>+_xlfn.XLOOKUP(PROYECTOS[[#This Row],[MUNICIPIO]],'4.CAP_ENDMNT'!B:B,'4.CAP_ENDMNT'!N:N,0,0,1)</f>
        <v>0.54706664072595224</v>
      </c>
      <c r="AF554" s="134">
        <f>+_xlfn.XLOOKUP(PROYECTOS[[#This Row],[MUNICIPIO]],'4.CAP_ENDMNT'!B:B,'4.CAP_ENDMNT'!O:O,0,0,1)</f>
        <v>0.5833393396108878</v>
      </c>
      <c r="AG554" s="134">
        <f>+_xlfn.XLOOKUP(PROYECTOS[[#This Row],[MUNICIPIO]],'4.CAP_ENDMNT'!B:B,'4.CAP_ENDMNT'!P:P,0,0,1)</f>
        <v>0.8</v>
      </c>
      <c r="AH554" s="44" t="str">
        <f>+_xlfn.XLOOKUP(PROYECTOS[[#This Row],[MUNICIPIO]],'4.CAP_ENDMNT'!B:B,'4.CAP_ENDMNT'!Q:Q,0,0,1)</f>
        <v>Cumple</v>
      </c>
      <c r="AI554" s="139">
        <f>+_xlfn.XLOOKUP(PROYECTOS[[#This Row],[MUNICIPIO]],'4.CAP_ENDMNT'!B:B,'4.CAP_ENDMNT'!V:V,0,0,1)</f>
        <v>449780285.31588012</v>
      </c>
      <c r="AJ554" s="139">
        <f>+_xlfn.XLOOKUP(PROYECTOS[[#This Row],[MUNICIPIO]],'4.CAP_ENDMNT'!B:B,'4.CAP_ENDMNT'!Y:Y,0,0,1)</f>
        <v>-1221148754.1047192</v>
      </c>
      <c r="AK554"/>
      <c r="AL554"/>
      <c r="AM554"/>
    </row>
    <row r="555" spans="1:39" ht="15" customHeight="1">
      <c r="A555" s="44">
        <v>672</v>
      </c>
      <c r="B555" t="s">
        <v>1635</v>
      </c>
      <c r="C555" s="118">
        <f>+_xlfn.XLOOKUP(PROYECTOS[[#This Row],[ID_NECESIDAD]],'1.RADICADOS'!G:G,'1.RADICADOS'!C:C,0,0,1)*1</f>
        <v>45722</v>
      </c>
      <c r="D555" s="67" t="s">
        <v>465</v>
      </c>
      <c r="E555" s="47" t="str">
        <f>+_xlfn.XLOOKUP(PROYECTOS[[#This Row],[MUNICIPIO]],MUNICIPIOS!A:A,MUNICIPIOS!E:E,0,0,1)</f>
        <v>Suroeste</v>
      </c>
      <c r="F555" s="44">
        <f>+_xlfn.XLOOKUP(PROYECTOS[[#This Row],[MUNICIPIO]],MUNICIPIOS!A:A,MUNICIPIOS!F:F,0,0,1)</f>
        <v>-75.711388999999997</v>
      </c>
      <c r="G555" s="44" t="str">
        <f>+_xlfn.XLOOKUP(PROYECTOS[[#This Row],[MUNICIPIO]],MUNICIPIOS!A:A,MUNICIPIOS!G:G,0,0,1)</f>
        <v>6,109719</v>
      </c>
      <c r="H555" s="44">
        <f>+_xlfn.XLOOKUP(PROYECTOS[[#This Row],[MUNICIPIO]],MUNICIPIOS!A:A,MUNICIPIOS!B:B,0,0,1)</f>
        <v>0</v>
      </c>
      <c r="I555" s="44">
        <f>+_xlfn.XLOOKUP(PROYECTOS[[#This Row],[MUNICIPIO]],MUNICIPIOS!A:A,MUNICIPIOS!C:C,0,0,1)</f>
        <v>0</v>
      </c>
      <c r="J555" s="34" t="str" cm="1">
        <f t="array" ref="J555">_xlfn.TEXTJOIN(", ", TRUE, IF(radicados[ID PROYECTOS]=A555, radicados[RADICADO], ""))</f>
        <v>2025010267513</v>
      </c>
      <c r="K555" s="45">
        <v>1</v>
      </c>
      <c r="L555" s="199">
        <v>4959251750</v>
      </c>
      <c r="M555" s="34" t="s">
        <v>288</v>
      </c>
      <c r="N555" s="40" t="s">
        <v>398</v>
      </c>
      <c r="O555" s="40" t="s">
        <v>25</v>
      </c>
      <c r="P555" s="213"/>
      <c r="Q555" s="45"/>
      <c r="R555" s="166"/>
      <c r="S555" s="166"/>
      <c r="T555" s="44">
        <f>+_xlfn.XLOOKUP(PROYECTOS[[#This Row],[MUNICIPIO]],'4.CAP_ENDMNT'!B:B,'4.CAP_ENDMNT'!C:C,0,0,1)</f>
        <v>5</v>
      </c>
      <c r="U555" s="167">
        <f>+_xlfn.XLOOKUP(PROYECTOS[[#This Row],[MUNICIPIO]],'4.CAP_ENDMNT'!B:B,'4.CAP_ENDMNT'!D:D,0,0,1)</f>
        <v>7630980393.4579992</v>
      </c>
      <c r="V555" s="44">
        <f>+_xlfn.XLOOKUP(PROYECTOS[[#This Row],[MUNICIPIO]],'4.CAP_ENDMNT'!B:B,'4.CAP_ENDMNT'!E:E,0,0,1)</f>
        <v>2836641555.8400002</v>
      </c>
      <c r="W555" s="44">
        <f>+_xlfn.XLOOKUP(PROYECTOS[[#This Row],[MUNICIPIO]],'4.CAP_ENDMNT'!B:B,'4.CAP_ENDMNT'!F:F,0,0,1)</f>
        <v>4794338837.6179991</v>
      </c>
      <c r="X555" s="44">
        <f>+_xlfn.XLOOKUP(PROYECTOS[[#This Row],[MUNICIPIO]],'4.CAP_ENDMNT'!B:B,'4.CAP_ENDMNT'!G:G,0,0,1)</f>
        <v>46770446.019999996</v>
      </c>
      <c r="Y555" s="44">
        <f>+_xlfn.XLOOKUP(PROYECTOS[[#This Row],[MUNICIPIO]],'4.CAP_ENDMNT'!B:B,'4.CAP_ENDMNT'!H:H,0,0,1)</f>
        <v>1700000000</v>
      </c>
      <c r="Z555" s="44">
        <f>+_xlfn.XLOOKUP(PROYECTOS[[#This Row],[MUNICIPIO]],'4.CAP_ENDMNT'!B:B,'4.CAP_ENDMNT'!I:I,0,0,1)</f>
        <v>1746770446.02</v>
      </c>
      <c r="AA555" s="134">
        <f>+_xlfn.XLOOKUP(PROYECTOS[[#This Row],[MUNICIPIO]],'4.CAP_ENDMNT'!B:B,'4.CAP_ENDMNT'!J:J,0,0,1)</f>
        <v>0.22890511519561726</v>
      </c>
      <c r="AB555" s="44">
        <f>+_xlfn.XLOOKUP(PROYECTOS[[#This Row],[MUNICIPIO]],'4.CAP_ENDMNT'!B:B,'4.CAP_ENDMNT'!K:K,0,0,1)</f>
        <v>5884209947.4379997</v>
      </c>
      <c r="AC555" s="44">
        <f>+_xlfn.XLOOKUP(PROYECTOS[[#This Row],[MUNICIPIO]],'4.CAP_ENDMNT'!B:B,'4.CAP_ENDMNT'!L:L,0,0,1)</f>
        <v>4707367957.9504004</v>
      </c>
      <c r="AD555" s="44">
        <f>+_xlfn.XLOOKUP(PROYECTOS[[#This Row],[MUNICIPIO]],'4.CAP_ENDMNT'!B:B,'4.CAP_ENDMNT'!M:M,0,0,1)</f>
        <v>3530525968.4627995</v>
      </c>
      <c r="AE555" s="134">
        <f>+_xlfn.XLOOKUP(PROYECTOS[[#This Row],[MUNICIPIO]],'4.CAP_ENDMNT'!B:B,'4.CAP_ENDMNT'!N:N,0,0,1)</f>
        <v>2.6775382035210189E-2</v>
      </c>
      <c r="AF555" s="134">
        <f>+_xlfn.XLOOKUP(PROYECTOS[[#This Row],[MUNICIPIO]],'4.CAP_ENDMNT'!B:B,'4.CAP_ENDMNT'!O:O,0,0,1)</f>
        <v>0.7580768893854527</v>
      </c>
      <c r="AG555" s="134">
        <f>+_xlfn.XLOOKUP(PROYECTOS[[#This Row],[MUNICIPIO]],'4.CAP_ENDMNT'!B:B,'4.CAP_ENDMNT'!P:P,0,0,1)</f>
        <v>0.8</v>
      </c>
      <c r="AH555" s="44" t="str">
        <f>+_xlfn.XLOOKUP(PROYECTOS[[#This Row],[MUNICIPIO]],'4.CAP_ENDMNT'!B:B,'4.CAP_ENDMNT'!Q:Q,0,0,1)</f>
        <v>Riesgo</v>
      </c>
      <c r="AI555" s="139">
        <f>+_xlfn.XLOOKUP(PROYECTOS[[#This Row],[MUNICIPIO]],'4.CAP_ENDMNT'!B:B,'4.CAP_ENDMNT'!V:V,0,0,1)</f>
        <v>706105193.69255996</v>
      </c>
      <c r="AJ555" s="139">
        <f>+_xlfn.XLOOKUP(PROYECTOS[[#This Row],[MUNICIPIO]],'4.CAP_ENDMNT'!B:B,'4.CAP_ENDMNT'!Y:Y,0,0,1)</f>
        <v>-8074382003.8446407</v>
      </c>
      <c r="AK555"/>
      <c r="AL555"/>
      <c r="AM555"/>
    </row>
    <row r="556" spans="1:39" ht="15" customHeight="1">
      <c r="A556" s="44">
        <v>673</v>
      </c>
      <c r="B556" t="s">
        <v>1636</v>
      </c>
      <c r="C556" s="118">
        <f>+_xlfn.XLOOKUP(PROYECTOS[[#This Row],[ID_NECESIDAD]],'1.RADICADOS'!G:G,'1.RADICADOS'!C:C,0,0,1)*1</f>
        <v>45722</v>
      </c>
      <c r="D556" s="198" t="s">
        <v>465</v>
      </c>
      <c r="E556" s="47" t="str">
        <f>+_xlfn.XLOOKUP(PROYECTOS[[#This Row],[MUNICIPIO]],MUNICIPIOS!A:A,MUNICIPIOS!E:E,0,0,1)</f>
        <v>Suroeste</v>
      </c>
      <c r="F556" s="44">
        <f>+_xlfn.XLOOKUP(PROYECTOS[[#This Row],[MUNICIPIO]],MUNICIPIOS!A:A,MUNICIPIOS!F:F,0,0,1)</f>
        <v>-75.711388999999997</v>
      </c>
      <c r="G556" s="44" t="str">
        <f>+_xlfn.XLOOKUP(PROYECTOS[[#This Row],[MUNICIPIO]],MUNICIPIOS!A:A,MUNICIPIOS!G:G,0,0,1)</f>
        <v>6,109719</v>
      </c>
      <c r="H556" s="44">
        <f>+_xlfn.XLOOKUP(PROYECTOS[[#This Row],[MUNICIPIO]],MUNICIPIOS!A:A,MUNICIPIOS!B:B,0,0,1)</f>
        <v>0</v>
      </c>
      <c r="I556" s="44">
        <f>+_xlfn.XLOOKUP(PROYECTOS[[#This Row],[MUNICIPIO]],MUNICIPIOS!A:A,MUNICIPIOS!C:C,0,0,1)</f>
        <v>0</v>
      </c>
      <c r="J556" s="34" t="str" cm="1">
        <f t="array" ref="J556">_xlfn.TEXTJOIN(", ", TRUE, IF(radicados[ID PROYECTOS]=A556, radicados[RADICADO], ""))</f>
        <v>2025010267513</v>
      </c>
      <c r="K556" s="45">
        <v>1</v>
      </c>
      <c r="L556" s="199">
        <v>793480280</v>
      </c>
      <c r="M556" s="34" t="s">
        <v>288</v>
      </c>
      <c r="N556" s="40" t="s">
        <v>398</v>
      </c>
      <c r="O556" s="40" t="s">
        <v>25</v>
      </c>
      <c r="P556" s="213"/>
      <c r="Q556" s="45"/>
      <c r="R556" s="166"/>
      <c r="S556" s="166"/>
      <c r="T556" s="44">
        <f>+_xlfn.XLOOKUP(PROYECTOS[[#This Row],[MUNICIPIO]],'4.CAP_ENDMNT'!B:B,'4.CAP_ENDMNT'!C:C,0,0,1)</f>
        <v>5</v>
      </c>
      <c r="U556" s="167">
        <f>+_xlfn.XLOOKUP(PROYECTOS[[#This Row],[MUNICIPIO]],'4.CAP_ENDMNT'!B:B,'4.CAP_ENDMNT'!D:D,0,0,1)</f>
        <v>7630980393.4579992</v>
      </c>
      <c r="V556" s="44">
        <f>+_xlfn.XLOOKUP(PROYECTOS[[#This Row],[MUNICIPIO]],'4.CAP_ENDMNT'!B:B,'4.CAP_ENDMNT'!E:E,0,0,1)</f>
        <v>2836641555.8400002</v>
      </c>
      <c r="W556" s="44">
        <f>+_xlfn.XLOOKUP(PROYECTOS[[#This Row],[MUNICIPIO]],'4.CAP_ENDMNT'!B:B,'4.CAP_ENDMNT'!F:F,0,0,1)</f>
        <v>4794338837.6179991</v>
      </c>
      <c r="X556" s="44">
        <f>+_xlfn.XLOOKUP(PROYECTOS[[#This Row],[MUNICIPIO]],'4.CAP_ENDMNT'!B:B,'4.CAP_ENDMNT'!G:G,0,0,1)</f>
        <v>46770446.019999996</v>
      </c>
      <c r="Y556" s="44">
        <f>+_xlfn.XLOOKUP(PROYECTOS[[#This Row],[MUNICIPIO]],'4.CAP_ENDMNT'!B:B,'4.CAP_ENDMNT'!H:H,0,0,1)</f>
        <v>1700000000</v>
      </c>
      <c r="Z556" s="44">
        <f>+_xlfn.XLOOKUP(PROYECTOS[[#This Row],[MUNICIPIO]],'4.CAP_ENDMNT'!B:B,'4.CAP_ENDMNT'!I:I,0,0,1)</f>
        <v>1746770446.02</v>
      </c>
      <c r="AA556" s="134">
        <f>+_xlfn.XLOOKUP(PROYECTOS[[#This Row],[MUNICIPIO]],'4.CAP_ENDMNT'!B:B,'4.CAP_ENDMNT'!J:J,0,0,1)</f>
        <v>0.22890511519561726</v>
      </c>
      <c r="AB556" s="44">
        <f>+_xlfn.XLOOKUP(PROYECTOS[[#This Row],[MUNICIPIO]],'4.CAP_ENDMNT'!B:B,'4.CAP_ENDMNT'!K:K,0,0,1)</f>
        <v>5884209947.4379997</v>
      </c>
      <c r="AC556" s="44">
        <f>+_xlfn.XLOOKUP(PROYECTOS[[#This Row],[MUNICIPIO]],'4.CAP_ENDMNT'!B:B,'4.CAP_ENDMNT'!L:L,0,0,1)</f>
        <v>4707367957.9504004</v>
      </c>
      <c r="AD556" s="44">
        <f>+_xlfn.XLOOKUP(PROYECTOS[[#This Row],[MUNICIPIO]],'4.CAP_ENDMNT'!B:B,'4.CAP_ENDMNT'!M:M,0,0,1)</f>
        <v>3530525968.4627995</v>
      </c>
      <c r="AE556" s="134">
        <f>+_xlfn.XLOOKUP(PROYECTOS[[#This Row],[MUNICIPIO]],'4.CAP_ENDMNT'!B:B,'4.CAP_ENDMNT'!N:N,0,0,1)</f>
        <v>2.6775382035210189E-2</v>
      </c>
      <c r="AF556" s="134">
        <f>+_xlfn.XLOOKUP(PROYECTOS[[#This Row],[MUNICIPIO]],'4.CAP_ENDMNT'!B:B,'4.CAP_ENDMNT'!O:O,0,0,1)</f>
        <v>0.7580768893854527</v>
      </c>
      <c r="AG556" s="134">
        <f>+_xlfn.XLOOKUP(PROYECTOS[[#This Row],[MUNICIPIO]],'4.CAP_ENDMNT'!B:B,'4.CAP_ENDMNT'!P:P,0,0,1)</f>
        <v>0.8</v>
      </c>
      <c r="AH556" s="44" t="str">
        <f>+_xlfn.XLOOKUP(PROYECTOS[[#This Row],[MUNICIPIO]],'4.CAP_ENDMNT'!B:B,'4.CAP_ENDMNT'!Q:Q,0,0,1)</f>
        <v>Riesgo</v>
      </c>
      <c r="AI556" s="139">
        <f>+_xlfn.XLOOKUP(PROYECTOS[[#This Row],[MUNICIPIO]],'4.CAP_ENDMNT'!B:B,'4.CAP_ENDMNT'!V:V,0,0,1)</f>
        <v>706105193.69255996</v>
      </c>
      <c r="AJ556" s="139">
        <f>+_xlfn.XLOOKUP(PROYECTOS[[#This Row],[MUNICIPIO]],'4.CAP_ENDMNT'!B:B,'4.CAP_ENDMNT'!Y:Y,0,0,1)</f>
        <v>-8074382003.8446407</v>
      </c>
      <c r="AK556"/>
      <c r="AL556"/>
      <c r="AM556"/>
    </row>
    <row r="557" spans="1:39" ht="15" customHeight="1">
      <c r="A557" s="44">
        <v>674</v>
      </c>
      <c r="B557" t="s">
        <v>1637</v>
      </c>
      <c r="C557" s="118">
        <f>+_xlfn.XLOOKUP(PROYECTOS[[#This Row],[ID_NECESIDAD]],'1.RADICADOS'!G:G,'1.RADICADOS'!C:C,0,0,1)*1</f>
        <v>45722</v>
      </c>
      <c r="D557" s="198" t="s">
        <v>465</v>
      </c>
      <c r="E557" s="47" t="str">
        <f>+_xlfn.XLOOKUP(PROYECTOS[[#This Row],[MUNICIPIO]],MUNICIPIOS!A:A,MUNICIPIOS!E:E,0,0,1)</f>
        <v>Suroeste</v>
      </c>
      <c r="F557" s="44">
        <f>+_xlfn.XLOOKUP(PROYECTOS[[#This Row],[MUNICIPIO]],MUNICIPIOS!A:A,MUNICIPIOS!F:F,0,0,1)</f>
        <v>-75.711388999999997</v>
      </c>
      <c r="G557" s="44" t="str">
        <f>+_xlfn.XLOOKUP(PROYECTOS[[#This Row],[MUNICIPIO]],MUNICIPIOS!A:A,MUNICIPIOS!G:G,0,0,1)</f>
        <v>6,109719</v>
      </c>
      <c r="H557" s="44">
        <f>+_xlfn.XLOOKUP(PROYECTOS[[#This Row],[MUNICIPIO]],MUNICIPIOS!A:A,MUNICIPIOS!B:B,0,0,1)</f>
        <v>0</v>
      </c>
      <c r="I557" s="44">
        <f>+_xlfn.XLOOKUP(PROYECTOS[[#This Row],[MUNICIPIO]],MUNICIPIOS!A:A,MUNICIPIOS!C:C,0,0,1)</f>
        <v>0</v>
      </c>
      <c r="J557" s="34" t="str" cm="1">
        <f t="array" ref="J557">_xlfn.TEXTJOIN(", ", TRUE, IF(radicados[ID PROYECTOS]=A557, radicados[RADICADO], ""))</f>
        <v>2025010267513</v>
      </c>
      <c r="K557" s="45">
        <v>1</v>
      </c>
      <c r="L557" s="199">
        <v>1200000000</v>
      </c>
      <c r="M557" s="34" t="s">
        <v>435</v>
      </c>
      <c r="N557" s="40" t="s">
        <v>398</v>
      </c>
      <c r="O557" s="40" t="s">
        <v>25</v>
      </c>
      <c r="P557" s="213"/>
      <c r="Q557" s="45"/>
      <c r="R557" s="166"/>
      <c r="S557" s="166"/>
      <c r="T557" s="44">
        <f>+_xlfn.XLOOKUP(PROYECTOS[[#This Row],[MUNICIPIO]],'4.CAP_ENDMNT'!B:B,'4.CAP_ENDMNT'!C:C,0,0,1)</f>
        <v>5</v>
      </c>
      <c r="U557" s="167">
        <f>+_xlfn.XLOOKUP(PROYECTOS[[#This Row],[MUNICIPIO]],'4.CAP_ENDMNT'!B:B,'4.CAP_ENDMNT'!D:D,0,0,1)</f>
        <v>7630980393.4579992</v>
      </c>
      <c r="V557" s="44">
        <f>+_xlfn.XLOOKUP(PROYECTOS[[#This Row],[MUNICIPIO]],'4.CAP_ENDMNT'!B:B,'4.CAP_ENDMNT'!E:E,0,0,1)</f>
        <v>2836641555.8400002</v>
      </c>
      <c r="W557" s="44">
        <f>+_xlfn.XLOOKUP(PROYECTOS[[#This Row],[MUNICIPIO]],'4.CAP_ENDMNT'!B:B,'4.CAP_ENDMNT'!F:F,0,0,1)</f>
        <v>4794338837.6179991</v>
      </c>
      <c r="X557" s="44">
        <f>+_xlfn.XLOOKUP(PROYECTOS[[#This Row],[MUNICIPIO]],'4.CAP_ENDMNT'!B:B,'4.CAP_ENDMNT'!G:G,0,0,1)</f>
        <v>46770446.019999996</v>
      </c>
      <c r="Y557" s="44">
        <f>+_xlfn.XLOOKUP(PROYECTOS[[#This Row],[MUNICIPIO]],'4.CAP_ENDMNT'!B:B,'4.CAP_ENDMNT'!H:H,0,0,1)</f>
        <v>1700000000</v>
      </c>
      <c r="Z557" s="44">
        <f>+_xlfn.XLOOKUP(PROYECTOS[[#This Row],[MUNICIPIO]],'4.CAP_ENDMNT'!B:B,'4.CAP_ENDMNT'!I:I,0,0,1)</f>
        <v>1746770446.02</v>
      </c>
      <c r="AA557" s="134">
        <f>+_xlfn.XLOOKUP(PROYECTOS[[#This Row],[MUNICIPIO]],'4.CAP_ENDMNT'!B:B,'4.CAP_ENDMNT'!J:J,0,0,1)</f>
        <v>0.22890511519561726</v>
      </c>
      <c r="AB557" s="44">
        <f>+_xlfn.XLOOKUP(PROYECTOS[[#This Row],[MUNICIPIO]],'4.CAP_ENDMNT'!B:B,'4.CAP_ENDMNT'!K:K,0,0,1)</f>
        <v>5884209947.4379997</v>
      </c>
      <c r="AC557" s="44">
        <f>+_xlfn.XLOOKUP(PROYECTOS[[#This Row],[MUNICIPIO]],'4.CAP_ENDMNT'!B:B,'4.CAP_ENDMNT'!L:L,0,0,1)</f>
        <v>4707367957.9504004</v>
      </c>
      <c r="AD557" s="44">
        <f>+_xlfn.XLOOKUP(PROYECTOS[[#This Row],[MUNICIPIO]],'4.CAP_ENDMNT'!B:B,'4.CAP_ENDMNT'!M:M,0,0,1)</f>
        <v>3530525968.4627995</v>
      </c>
      <c r="AE557" s="134">
        <f>+_xlfn.XLOOKUP(PROYECTOS[[#This Row],[MUNICIPIO]],'4.CAP_ENDMNT'!B:B,'4.CAP_ENDMNT'!N:N,0,0,1)</f>
        <v>2.6775382035210189E-2</v>
      </c>
      <c r="AF557" s="134">
        <f>+_xlfn.XLOOKUP(PROYECTOS[[#This Row],[MUNICIPIO]],'4.CAP_ENDMNT'!B:B,'4.CAP_ENDMNT'!O:O,0,0,1)</f>
        <v>0.7580768893854527</v>
      </c>
      <c r="AG557" s="134">
        <f>+_xlfn.XLOOKUP(PROYECTOS[[#This Row],[MUNICIPIO]],'4.CAP_ENDMNT'!B:B,'4.CAP_ENDMNT'!P:P,0,0,1)</f>
        <v>0.8</v>
      </c>
      <c r="AH557" s="44" t="str">
        <f>+_xlfn.XLOOKUP(PROYECTOS[[#This Row],[MUNICIPIO]],'4.CAP_ENDMNT'!B:B,'4.CAP_ENDMNT'!Q:Q,0,0,1)</f>
        <v>Riesgo</v>
      </c>
      <c r="AI557" s="139">
        <f>+_xlfn.XLOOKUP(PROYECTOS[[#This Row],[MUNICIPIO]],'4.CAP_ENDMNT'!B:B,'4.CAP_ENDMNT'!V:V,0,0,1)</f>
        <v>706105193.69255996</v>
      </c>
      <c r="AJ557" s="139">
        <f>+_xlfn.XLOOKUP(PROYECTOS[[#This Row],[MUNICIPIO]],'4.CAP_ENDMNT'!B:B,'4.CAP_ENDMNT'!Y:Y,0,0,1)</f>
        <v>-8074382003.8446407</v>
      </c>
      <c r="AK557"/>
      <c r="AL557"/>
      <c r="AM557"/>
    </row>
    <row r="558" spans="1:39" ht="15" customHeight="1">
      <c r="A558" s="44">
        <v>675</v>
      </c>
      <c r="B558" s="234" t="s">
        <v>1711</v>
      </c>
      <c r="C558" s="118">
        <f>+_xlfn.XLOOKUP(PROYECTOS[[#This Row],[ID_NECESIDAD]],'1.RADICADOS'!G:G,'1.RADICADOS'!C:C,0,0,1)*1</f>
        <v>45813</v>
      </c>
      <c r="D558" s="67" t="s">
        <v>74</v>
      </c>
      <c r="E558" s="47" t="str">
        <f>+_xlfn.XLOOKUP(PROYECTOS[[#This Row],[MUNICIPIO]],MUNICIPIOS!A:A,MUNICIPIOS!E:E,0,0,1)</f>
        <v>Urabá</v>
      </c>
      <c r="F558" s="44">
        <f>+_xlfn.XLOOKUP(PROYECTOS[[#This Row],[MUNICIPIO]],MUNICIPIOS!A:A,MUNICIPIOS!F:F,0,0,1)</f>
        <v>-76.728858000000002</v>
      </c>
      <c r="G558" s="44">
        <f>+_xlfn.XLOOKUP(PROYECTOS[[#This Row],[MUNICIPIO]],MUNICIPIOS!A:A,MUNICIPIOS!G:G,0,0,1)</f>
        <v>8.0899289999999997</v>
      </c>
      <c r="H558" s="44">
        <f>+_xlfn.XLOOKUP(PROYECTOS[[#This Row],[MUNICIPIO]],MUNICIPIOS!A:A,MUNICIPIOS!B:B,0,0,1)</f>
        <v>1</v>
      </c>
      <c r="I558" s="44">
        <f>+_xlfn.XLOOKUP(PROYECTOS[[#This Row],[MUNICIPIO]],MUNICIPIOS!A:A,MUNICIPIOS!C:C,0,0,1)</f>
        <v>1</v>
      </c>
      <c r="J558" s="34" t="str" cm="1">
        <f t="array" ref="J558">_xlfn.TEXTJOIN(", ", TRUE, IF(radicados[ID PROYECTOS]=A558, radicados[RADICADO], ""))</f>
        <v>2025010280945</v>
      </c>
      <c r="K558" s="45">
        <v>1</v>
      </c>
      <c r="L558" s="199"/>
      <c r="M558" s="34" t="s">
        <v>288</v>
      </c>
      <c r="N558" s="40" t="s">
        <v>398</v>
      </c>
      <c r="O558" s="40" t="s">
        <v>25</v>
      </c>
      <c r="P558" s="213" t="s">
        <v>1685</v>
      </c>
      <c r="Q558" s="45"/>
      <c r="R558" s="166"/>
      <c r="S558" s="166"/>
      <c r="T558" s="44">
        <f>+_xlfn.XLOOKUP(PROYECTOS[[#This Row],[MUNICIPIO]],'4.CAP_ENDMNT'!B:B,'4.CAP_ENDMNT'!C:C,0,0,1)</f>
        <v>5</v>
      </c>
      <c r="U558" s="167">
        <f>+_xlfn.XLOOKUP(PROYECTOS[[#This Row],[MUNICIPIO]],'4.CAP_ENDMNT'!B:B,'4.CAP_ENDMNT'!D:D,0,0,1)</f>
        <v>57277943756.629501</v>
      </c>
      <c r="V558" s="44">
        <f>+_xlfn.XLOOKUP(PROYECTOS[[#This Row],[MUNICIPIO]],'4.CAP_ENDMNT'!B:B,'4.CAP_ENDMNT'!E:E,0,0,1)</f>
        <v>34159399600.959999</v>
      </c>
      <c r="W558" s="44">
        <f>+_xlfn.XLOOKUP(PROYECTOS[[#This Row],[MUNICIPIO]],'4.CAP_ENDMNT'!B:B,'4.CAP_ENDMNT'!F:F,0,0,1)</f>
        <v>23118544155.669502</v>
      </c>
      <c r="X558" s="44">
        <f>+_xlfn.XLOOKUP(PROYECTOS[[#This Row],[MUNICIPIO]],'4.CAP_ENDMNT'!B:B,'4.CAP_ENDMNT'!G:G,0,0,1)</f>
        <v>3450000000</v>
      </c>
      <c r="Y558" s="44">
        <f>+_xlfn.XLOOKUP(PROYECTOS[[#This Row],[MUNICIPIO]],'4.CAP_ENDMNT'!B:B,'4.CAP_ENDMNT'!H:H,0,0,1)</f>
        <v>21452083665</v>
      </c>
      <c r="Z558" s="44">
        <f>+_xlfn.XLOOKUP(PROYECTOS[[#This Row],[MUNICIPIO]],'4.CAP_ENDMNT'!B:B,'4.CAP_ENDMNT'!I:I,0,0,1)</f>
        <v>24902083665</v>
      </c>
      <c r="AA558" s="134">
        <f>+_xlfn.XLOOKUP(PROYECTOS[[#This Row],[MUNICIPIO]],'4.CAP_ENDMNT'!B:B,'4.CAP_ENDMNT'!J:J,0,0,1)</f>
        <v>0.43475868775610099</v>
      </c>
      <c r="AB558" s="44">
        <f>+_xlfn.XLOOKUP(PROYECTOS[[#This Row],[MUNICIPIO]],'4.CAP_ENDMNT'!B:B,'4.CAP_ENDMNT'!K:K,0,0,1)</f>
        <v>32375860091.629501</v>
      </c>
      <c r="AC558" s="44">
        <f>+_xlfn.XLOOKUP(PROYECTOS[[#This Row],[MUNICIPIO]],'4.CAP_ENDMNT'!B:B,'4.CAP_ENDMNT'!L:L,0,0,1)</f>
        <v>25900688073.303604</v>
      </c>
      <c r="AD558" s="44">
        <f>+_xlfn.XLOOKUP(PROYECTOS[[#This Row],[MUNICIPIO]],'4.CAP_ENDMNT'!B:B,'4.CAP_ENDMNT'!M:M,0,0,1)</f>
        <v>19425516054.977699</v>
      </c>
      <c r="AE558" s="134">
        <f>+_xlfn.XLOOKUP(PROYECTOS[[#This Row],[MUNICIPIO]],'4.CAP_ENDMNT'!B:B,'4.CAP_ENDMNT'!N:N,0,0,1)</f>
        <v>0.13854262343712995</v>
      </c>
      <c r="AF558" s="134">
        <f>+_xlfn.XLOOKUP(PROYECTOS[[#This Row],[MUNICIPIO]],'4.CAP_ENDMNT'!B:B,'4.CAP_ENDMNT'!O:O,0,0,1)</f>
        <v>0.87015152665365447</v>
      </c>
      <c r="AG558" s="134">
        <f>+_xlfn.XLOOKUP(PROYECTOS[[#This Row],[MUNICIPIO]],'4.CAP_ENDMNT'!B:B,'4.CAP_ENDMNT'!P:P,0,0,1)</f>
        <v>0.8</v>
      </c>
      <c r="AH558" s="44" t="str">
        <f>+_xlfn.XLOOKUP(PROYECTOS[[#This Row],[MUNICIPIO]],'4.CAP_ENDMNT'!B:B,'4.CAP_ENDMNT'!Q:Q,0,0,1)</f>
        <v>Incumple</v>
      </c>
      <c r="AI558" s="139">
        <f>+_xlfn.XLOOKUP(PROYECTOS[[#This Row],[MUNICIPIO]],'4.CAP_ENDMNT'!B:B,'4.CAP_ENDMNT'!V:V,0,0,1)</f>
        <v>3885103210.9955401</v>
      </c>
      <c r="AJ558" s="139">
        <f>+_xlfn.XLOOKUP(PROYECTOS[[#This Row],[MUNICIPIO]],'4.CAP_ENDMNT'!B:B,'4.CAP_ENDMNT'!Y:Y,0,0,1)</f>
        <v>-114052861009.72676</v>
      </c>
      <c r="AK558"/>
      <c r="AL558"/>
      <c r="AM558"/>
    </row>
    <row r="559" spans="1:39" ht="15" customHeight="1">
      <c r="A559" s="44">
        <v>676</v>
      </c>
      <c r="B559" t="s">
        <v>1716</v>
      </c>
      <c r="C559" s="118">
        <f>+_xlfn.XLOOKUP(PROYECTOS[[#This Row],[ID_NECESIDAD]],'1.RADICADOS'!G:G,'1.RADICADOS'!C:C,0,0,1)*1</f>
        <v>45813</v>
      </c>
      <c r="D559" s="67" t="s">
        <v>170</v>
      </c>
      <c r="E559" s="47" t="str">
        <f>+_xlfn.XLOOKUP(PROYECTOS[[#This Row],[MUNICIPIO]],MUNICIPIOS!A:A,MUNICIPIOS!E:E,0,0,1)</f>
        <v>Bajo Cauca</v>
      </c>
      <c r="F559" s="44">
        <f>+_xlfn.XLOOKUP(PROYECTOS[[#This Row],[MUNICIPIO]],MUNICIPIOS!A:A,MUNICIPIOS!F:F,0,0,1)</f>
        <v>-74.799097000000003</v>
      </c>
      <c r="G559" s="44" t="str">
        <f>+_xlfn.XLOOKUP(PROYECTOS[[#This Row],[MUNICIPIO]],MUNICIPIOS!A:A,MUNICIPIOS!G:G,0,0,1)</f>
        <v>7,5975</v>
      </c>
      <c r="H559" s="44">
        <f>+_xlfn.XLOOKUP(PROYECTOS[[#This Row],[MUNICIPIO]],MUNICIPIOS!A:A,MUNICIPIOS!B:B,0,0,1)</f>
        <v>1</v>
      </c>
      <c r="I559" s="44">
        <f>+_xlfn.XLOOKUP(PROYECTOS[[#This Row],[MUNICIPIO]],MUNICIPIOS!A:A,MUNICIPIOS!C:C,0,0,1)</f>
        <v>1</v>
      </c>
      <c r="J559" s="34" t="str" cm="1">
        <f t="array" ref="J559">_xlfn.TEXTJOIN(", ", TRUE, IF(radicados[ID PROYECTOS]=A559, radicados[RADICADO], ""))</f>
        <v>2025010282894</v>
      </c>
      <c r="K559" s="45">
        <v>1</v>
      </c>
      <c r="L559" s="199"/>
      <c r="M559" s="34" t="s">
        <v>288</v>
      </c>
      <c r="N559" s="40" t="s">
        <v>398</v>
      </c>
      <c r="O559" s="40" t="s">
        <v>25</v>
      </c>
      <c r="P559" s="213" t="s">
        <v>1685</v>
      </c>
      <c r="Q559" s="45"/>
      <c r="R559" s="166"/>
      <c r="S559" s="166"/>
      <c r="T559" s="44">
        <f>+_xlfn.XLOOKUP(PROYECTOS[[#This Row],[MUNICIPIO]],'4.CAP_ENDMNT'!B:B,'4.CAP_ENDMNT'!C:C,0,0,1)</f>
        <v>6</v>
      </c>
      <c r="U559" s="167">
        <f>+_xlfn.XLOOKUP(PROYECTOS[[#This Row],[MUNICIPIO]],'4.CAP_ENDMNT'!B:B,'4.CAP_ENDMNT'!D:D,0,0,1)</f>
        <v>50634494381.026505</v>
      </c>
      <c r="V559" s="44">
        <f>+_xlfn.XLOOKUP(PROYECTOS[[#This Row],[MUNICIPIO]],'4.CAP_ENDMNT'!B:B,'4.CAP_ENDMNT'!E:E,0,0,1)</f>
        <v>15839182742.690001</v>
      </c>
      <c r="W559" s="44">
        <f>+_xlfn.XLOOKUP(PROYECTOS[[#This Row],[MUNICIPIO]],'4.CAP_ENDMNT'!B:B,'4.CAP_ENDMNT'!F:F,0,0,1)</f>
        <v>34795311638.336502</v>
      </c>
      <c r="X559" s="44">
        <f>+_xlfn.XLOOKUP(PROYECTOS[[#This Row],[MUNICIPIO]],'4.CAP_ENDMNT'!B:B,'4.CAP_ENDMNT'!G:G,0,0,1)</f>
        <v>67652077</v>
      </c>
      <c r="Y559" s="44">
        <f>+_xlfn.XLOOKUP(PROYECTOS[[#This Row],[MUNICIPIO]],'4.CAP_ENDMNT'!B:B,'4.CAP_ENDMNT'!H:H,0,0,1)</f>
        <v>17477834894.650002</v>
      </c>
      <c r="Z559" s="44">
        <f>+_xlfn.XLOOKUP(PROYECTOS[[#This Row],[MUNICIPIO]],'4.CAP_ENDMNT'!B:B,'4.CAP_ENDMNT'!I:I,0,0,1)</f>
        <v>17545486971.650002</v>
      </c>
      <c r="AA559" s="134">
        <f>+_xlfn.XLOOKUP(PROYECTOS[[#This Row],[MUNICIPIO]],'4.CAP_ENDMNT'!B:B,'4.CAP_ENDMNT'!J:J,0,0,1)</f>
        <v>0.34651253431345719</v>
      </c>
      <c r="AB559" s="44">
        <f>+_xlfn.XLOOKUP(PROYECTOS[[#This Row],[MUNICIPIO]],'4.CAP_ENDMNT'!B:B,'4.CAP_ENDMNT'!K:K,0,0,1)</f>
        <v>33089007409.376503</v>
      </c>
      <c r="AC559" s="44">
        <f>+_xlfn.XLOOKUP(PROYECTOS[[#This Row],[MUNICIPIO]],'4.CAP_ENDMNT'!B:B,'4.CAP_ENDMNT'!L:L,0,0,1)</f>
        <v>26471205927.501205</v>
      </c>
      <c r="AD559" s="44">
        <f>+_xlfn.XLOOKUP(PROYECTOS[[#This Row],[MUNICIPIO]],'4.CAP_ENDMNT'!B:B,'4.CAP_ENDMNT'!M:M,0,0,1)</f>
        <v>19853404445.6259</v>
      </c>
      <c r="AE559" s="134">
        <f>+_xlfn.XLOOKUP(PROYECTOS[[#This Row],[MUNICIPIO]],'4.CAP_ENDMNT'!B:B,'4.CAP_ENDMNT'!N:N,0,0,1)</f>
        <v>3.8558107340829141E-3</v>
      </c>
      <c r="AF559" s="134">
        <f>+_xlfn.XLOOKUP(PROYECTOS[[#This Row],[MUNICIPIO]],'4.CAP_ENDMNT'!B:B,'4.CAP_ENDMNT'!O:O,0,0,1)</f>
        <v>0.40594992695874271</v>
      </c>
      <c r="AG559" s="134">
        <f>+_xlfn.XLOOKUP(PROYECTOS[[#This Row],[MUNICIPIO]],'4.CAP_ENDMNT'!B:B,'4.CAP_ENDMNT'!P:P,0,0,1)</f>
        <v>0.8</v>
      </c>
      <c r="AH559" s="44" t="str">
        <f>+_xlfn.XLOOKUP(PROYECTOS[[#This Row],[MUNICIPIO]],'4.CAP_ENDMNT'!B:B,'4.CAP_ENDMNT'!Q:Q,0,0,1)</f>
        <v>Cumple</v>
      </c>
      <c r="AI559" s="139">
        <f>+_xlfn.XLOOKUP(PROYECTOS[[#This Row],[MUNICIPIO]],'4.CAP_ENDMNT'!B:B,'4.CAP_ENDMNT'!V:V,0,0,1)</f>
        <v>3970680889.1251802</v>
      </c>
      <c r="AJ559" s="139">
        <f>+_xlfn.XLOOKUP(PROYECTOS[[#This Row],[MUNICIPIO]],'4.CAP_ENDMNT'!B:B,'4.CAP_ENDMNT'!Y:Y,0,0,1)</f>
        <v>-9892273308.2489204</v>
      </c>
      <c r="AK559"/>
      <c r="AL559"/>
      <c r="AM559"/>
    </row>
    <row r="560" spans="1:39" ht="15" customHeight="1">
      <c r="A560" s="44">
        <v>677</v>
      </c>
      <c r="B560" t="s">
        <v>1631</v>
      </c>
      <c r="C560" s="118">
        <f>+_xlfn.XLOOKUP(PROYECTOS[[#This Row],[ID_NECESIDAD]],'1.RADICADOS'!G:G,'1.RADICADOS'!C:C,0,0,1)*1</f>
        <v>45805</v>
      </c>
      <c r="D560" s="67" t="s">
        <v>209</v>
      </c>
      <c r="E560" s="47" t="str">
        <f>+_xlfn.XLOOKUP(PROYECTOS[[#This Row],[MUNICIPIO]],MUNICIPIOS!A:A,MUNICIPIOS!E:E,0,0,1)</f>
        <v>Norte</v>
      </c>
      <c r="F560" s="44">
        <f>+_xlfn.XLOOKUP(PROYECTOS[[#This Row],[MUNICIPIO]],MUNICIPIOS!A:A,MUNICIPIOS!F:F,0,0,1)</f>
        <v>-75.439273999999997</v>
      </c>
      <c r="G560" s="44">
        <f>+_xlfn.XLOOKUP(PROYECTOS[[#This Row],[MUNICIPIO]],MUNICIPIOS!A:A,MUNICIPIOS!G:G,0,0,1)</f>
        <v>7.1651999999999996</v>
      </c>
      <c r="H560" s="44">
        <f>+_xlfn.XLOOKUP(PROYECTOS[[#This Row],[MUNICIPIO]],MUNICIPIOS!A:A,MUNICIPIOS!B:B,0,0,1)</f>
        <v>1</v>
      </c>
      <c r="I560" s="44">
        <f>+_xlfn.XLOOKUP(PROYECTOS[[#This Row],[MUNICIPIO]],MUNICIPIOS!A:A,MUNICIPIOS!C:C,0,0,1)</f>
        <v>1</v>
      </c>
      <c r="J560" s="34" t="str" cm="1">
        <f t="array" ref="J560">_xlfn.TEXTJOIN(", ", TRUE, IF(radicados[ID PROYECTOS]=A560, radicados[RADICADO], ""))</f>
        <v>2025010266769</v>
      </c>
      <c r="K560" s="45">
        <v>1</v>
      </c>
      <c r="L560" s="199"/>
      <c r="M560" s="34" t="s">
        <v>435</v>
      </c>
      <c r="N560" s="40" t="s">
        <v>398</v>
      </c>
      <c r="O560" s="40" t="s">
        <v>25</v>
      </c>
      <c r="P560" s="213"/>
      <c r="Q560" s="45"/>
      <c r="R560" s="166"/>
      <c r="S560" s="166"/>
      <c r="T560" s="44">
        <f>+_xlfn.XLOOKUP(PROYECTOS[[#This Row],[MUNICIPIO]],'4.CAP_ENDMNT'!B:B,'4.CAP_ENDMNT'!C:C,0,0,1)</f>
        <v>6</v>
      </c>
      <c r="U560" s="167">
        <f>+_xlfn.XLOOKUP(PROYECTOS[[#This Row],[MUNICIPIO]],'4.CAP_ENDMNT'!B:B,'4.CAP_ENDMNT'!D:D,0,0,1)</f>
        <v>13037566833.207003</v>
      </c>
      <c r="V560" s="44">
        <f>+_xlfn.XLOOKUP(PROYECTOS[[#This Row],[MUNICIPIO]],'4.CAP_ENDMNT'!B:B,'4.CAP_ENDMNT'!E:E,0,0,1)</f>
        <v>3869989518.3099999</v>
      </c>
      <c r="W560" s="44">
        <f>+_xlfn.XLOOKUP(PROYECTOS[[#This Row],[MUNICIPIO]],'4.CAP_ENDMNT'!B:B,'4.CAP_ENDMNT'!F:F,0,0,1)</f>
        <v>9167577314.8970032</v>
      </c>
      <c r="X560" s="44">
        <f>+_xlfn.XLOOKUP(PROYECTOS[[#This Row],[MUNICIPIO]],'4.CAP_ENDMNT'!B:B,'4.CAP_ENDMNT'!G:G,0,0,1)</f>
        <v>3761583922</v>
      </c>
      <c r="Y560" s="44">
        <f>+_xlfn.XLOOKUP(PROYECTOS[[#This Row],[MUNICIPIO]],'4.CAP_ENDMNT'!B:B,'4.CAP_ENDMNT'!H:H,0,0,1)</f>
        <v>0</v>
      </c>
      <c r="Z560" s="44">
        <f>+_xlfn.XLOOKUP(PROYECTOS[[#This Row],[MUNICIPIO]],'4.CAP_ENDMNT'!B:B,'4.CAP_ENDMNT'!I:I,0,0,1)</f>
        <v>3761583922</v>
      </c>
      <c r="AA560" s="134">
        <f>+_xlfn.XLOOKUP(PROYECTOS[[#This Row],[MUNICIPIO]],'4.CAP_ENDMNT'!B:B,'4.CAP_ENDMNT'!J:J,0,0,1)</f>
        <v>0.28851886016178674</v>
      </c>
      <c r="AB560" s="44">
        <f>+_xlfn.XLOOKUP(PROYECTOS[[#This Row],[MUNICIPIO]],'4.CAP_ENDMNT'!B:B,'4.CAP_ENDMNT'!K:K,0,0,1)</f>
        <v>9275982911.2070026</v>
      </c>
      <c r="AC560" s="44">
        <f>+_xlfn.XLOOKUP(PROYECTOS[[#This Row],[MUNICIPIO]],'4.CAP_ENDMNT'!B:B,'4.CAP_ENDMNT'!L:L,0,0,1)</f>
        <v>7420786328.9656029</v>
      </c>
      <c r="AD560" s="44">
        <f>+_xlfn.XLOOKUP(PROYECTOS[[#This Row],[MUNICIPIO]],'4.CAP_ENDMNT'!B:B,'4.CAP_ENDMNT'!M:M,0,0,1)</f>
        <v>5565589746.7242012</v>
      </c>
      <c r="AE560" s="134">
        <f>+_xlfn.XLOOKUP(PROYECTOS[[#This Row],[MUNICIPIO]],'4.CAP_ENDMNT'!B:B,'4.CAP_ENDMNT'!N:N,0,0,1)</f>
        <v>1</v>
      </c>
      <c r="AF560" s="134">
        <f>+_xlfn.XLOOKUP(PROYECTOS[[#This Row],[MUNICIPIO]],'4.CAP_ENDMNT'!B:B,'4.CAP_ENDMNT'!O:O,0,0,1)</f>
        <v>0.55776534569064784</v>
      </c>
      <c r="AG560" s="134">
        <f>+_xlfn.XLOOKUP(PROYECTOS[[#This Row],[MUNICIPIO]],'4.CAP_ENDMNT'!B:B,'4.CAP_ENDMNT'!P:P,0,0,1)</f>
        <v>0.8</v>
      </c>
      <c r="AH560" s="44" t="str">
        <f>+_xlfn.XLOOKUP(PROYECTOS[[#This Row],[MUNICIPIO]],'4.CAP_ENDMNT'!B:B,'4.CAP_ENDMNT'!Q:Q,0,0,1)</f>
        <v>Cumple</v>
      </c>
      <c r="AI560" s="139">
        <f>+_xlfn.XLOOKUP(PROYECTOS[[#This Row],[MUNICIPIO]],'4.CAP_ENDMNT'!B:B,'4.CAP_ENDMNT'!V:V,0,0,1)</f>
        <v>1113117949.3448403</v>
      </c>
      <c r="AJ560" s="139">
        <f>+_xlfn.XLOOKUP(PROYECTOS[[#This Row],[MUNICIPIO]],'4.CAP_ENDMNT'!B:B,'4.CAP_ENDMNT'!Y:Y,0,0,1)</f>
        <v>-623173287.21095943</v>
      </c>
      <c r="AK560"/>
      <c r="AL560"/>
      <c r="AM560"/>
    </row>
    <row r="561" spans="1:39" ht="15" customHeight="1">
      <c r="A561" s="44">
        <v>678</v>
      </c>
      <c r="B561" t="s">
        <v>1632</v>
      </c>
      <c r="C561" s="118">
        <f>+_xlfn.XLOOKUP(PROYECTOS[[#This Row],[ID_NECESIDAD]],'1.RADICADOS'!G:G,'1.RADICADOS'!C:C,0,0,1)*1</f>
        <v>45812</v>
      </c>
      <c r="D561" s="67" t="s">
        <v>196</v>
      </c>
      <c r="E561" s="47" t="str">
        <f>+_xlfn.XLOOKUP(PROYECTOS[[#This Row],[MUNICIPIO]],MUNICIPIOS!A:A,MUNICIPIOS!E:E,0,0,1)</f>
        <v>Valle de Aburrá</v>
      </c>
      <c r="F561" s="44">
        <f>+_xlfn.XLOOKUP(PROYECTOS[[#This Row],[MUNICIPIO]],MUNICIPIOS!A:A,MUNICIPIOS!F:F,0,0,1)</f>
        <v>-75.444237999999999</v>
      </c>
      <c r="G561" s="44" t="str">
        <f>+_xlfn.XLOOKUP(PROYECTOS[[#This Row],[MUNICIPIO]],MUNICIPIOS!A:A,MUNICIPIOS!G:G,0,0,1)</f>
        <v>6,379472</v>
      </c>
      <c r="H561" s="44">
        <f>+_xlfn.XLOOKUP(PROYECTOS[[#This Row],[MUNICIPIO]],MUNICIPIOS!A:A,MUNICIPIOS!B:B,0,0,1)</f>
        <v>0</v>
      </c>
      <c r="I561" s="44">
        <f>+_xlfn.XLOOKUP(PROYECTOS[[#This Row],[MUNICIPIO]],MUNICIPIOS!A:A,MUNICIPIOS!C:C,0,0,1)</f>
        <v>0</v>
      </c>
      <c r="J561" s="34" t="str" cm="1">
        <f t="array" ref="J561">_xlfn.TEXTJOIN(", ", TRUE, IF(radicados[ID PROYECTOS]=A561, radicados[RADICADO], ""))</f>
        <v>2025010278720</v>
      </c>
      <c r="K561" s="45">
        <v>3</v>
      </c>
      <c r="L561" s="199">
        <v>18456429395</v>
      </c>
      <c r="M561" s="34" t="s">
        <v>396</v>
      </c>
      <c r="N561" s="40" t="s">
        <v>398</v>
      </c>
      <c r="O561" s="40" t="s">
        <v>25</v>
      </c>
      <c r="P561" s="213"/>
      <c r="Q561" s="45"/>
      <c r="R561" s="166"/>
      <c r="S561" s="166"/>
      <c r="T561" s="44">
        <f>+_xlfn.XLOOKUP(PROYECTOS[[#This Row],[MUNICIPIO]],'4.CAP_ENDMNT'!B:B,'4.CAP_ENDMNT'!C:C,0,0,1)</f>
        <v>2</v>
      </c>
      <c r="U561" s="167">
        <f>+_xlfn.XLOOKUP(PROYECTOS[[#This Row],[MUNICIPIO]],'4.CAP_ENDMNT'!B:B,'4.CAP_ENDMNT'!D:D,0,0,1)</f>
        <v>101079829717.10699</v>
      </c>
      <c r="V561" s="44">
        <f>+_xlfn.XLOOKUP(PROYECTOS[[#This Row],[MUNICIPIO]],'4.CAP_ENDMNT'!B:B,'4.CAP_ENDMNT'!E:E,0,0,1)</f>
        <v>35923834396.690002</v>
      </c>
      <c r="W561" s="44">
        <f>+_xlfn.XLOOKUP(PROYECTOS[[#This Row],[MUNICIPIO]],'4.CAP_ENDMNT'!B:B,'4.CAP_ENDMNT'!F:F,0,0,1)</f>
        <v>65155995320.416992</v>
      </c>
      <c r="X561" s="44">
        <f>+_xlfn.XLOOKUP(PROYECTOS[[#This Row],[MUNICIPIO]],'4.CAP_ENDMNT'!B:B,'4.CAP_ENDMNT'!G:G,0,0,1)</f>
        <v>0</v>
      </c>
      <c r="Y561" s="44">
        <f>+_xlfn.XLOOKUP(PROYECTOS[[#This Row],[MUNICIPIO]],'4.CAP_ENDMNT'!B:B,'4.CAP_ENDMNT'!H:H,0,0,1)</f>
        <v>33364035579</v>
      </c>
      <c r="Z561" s="44">
        <f>+_xlfn.XLOOKUP(PROYECTOS[[#This Row],[MUNICIPIO]],'4.CAP_ENDMNT'!B:B,'4.CAP_ENDMNT'!I:I,0,0,1)</f>
        <v>33364035579</v>
      </c>
      <c r="AA561" s="134">
        <f>+_xlfn.XLOOKUP(PROYECTOS[[#This Row],[MUNICIPIO]],'4.CAP_ENDMNT'!B:B,'4.CAP_ENDMNT'!J:J,0,0,1)</f>
        <v>0.33007609601615101</v>
      </c>
      <c r="AB561" s="44">
        <f>+_xlfn.XLOOKUP(PROYECTOS[[#This Row],[MUNICIPIO]],'4.CAP_ENDMNT'!B:B,'4.CAP_ENDMNT'!K:K,0,0,1)</f>
        <v>67715794138.106995</v>
      </c>
      <c r="AC561" s="44">
        <f>+_xlfn.XLOOKUP(PROYECTOS[[#This Row],[MUNICIPIO]],'4.CAP_ENDMNT'!B:B,'4.CAP_ENDMNT'!L:L,0,0,1)</f>
        <v>54172635310.485596</v>
      </c>
      <c r="AD561" s="44">
        <f>+_xlfn.XLOOKUP(PROYECTOS[[#This Row],[MUNICIPIO]],'4.CAP_ENDMNT'!B:B,'4.CAP_ENDMNT'!M:M,0,0,1)</f>
        <v>40629476482.864197</v>
      </c>
      <c r="AE561" s="134">
        <f>+_xlfn.XLOOKUP(PROYECTOS[[#This Row],[MUNICIPIO]],'4.CAP_ENDMNT'!B:B,'4.CAP_ENDMNT'!N:N,0,0,1)</f>
        <v>0</v>
      </c>
      <c r="AF561" s="134">
        <f>+_xlfn.XLOOKUP(PROYECTOS[[#This Row],[MUNICIPIO]],'4.CAP_ENDMNT'!B:B,'4.CAP_ENDMNT'!O:O,0,0,1)</f>
        <v>0.39321465077323631</v>
      </c>
      <c r="AG561" s="134">
        <f>+_xlfn.XLOOKUP(PROYECTOS[[#This Row],[MUNICIPIO]],'4.CAP_ENDMNT'!B:B,'4.CAP_ENDMNT'!P:P,0,0,1)</f>
        <v>0.7</v>
      </c>
      <c r="AH561" s="44" t="str">
        <f>+_xlfn.XLOOKUP(PROYECTOS[[#This Row],[MUNICIPIO]],'4.CAP_ENDMNT'!B:B,'4.CAP_ENDMNT'!Q:Q,0,0,1)</f>
        <v>Cumple</v>
      </c>
      <c r="AI561" s="139">
        <f>+_xlfn.XLOOKUP(PROYECTOS[[#This Row],[MUNICIPIO]],'4.CAP_ENDMNT'!B:B,'4.CAP_ENDMNT'!V:V,0,0,1)</f>
        <v>8125895296.5728397</v>
      </c>
      <c r="AJ561" s="139">
        <f>+_xlfn.XLOOKUP(PROYECTOS[[#This Row],[MUNICIPIO]],'4.CAP_ENDMNT'!B:B,'4.CAP_ENDMNT'!Y:Y,0,0,1)</f>
        <v>-38204944046.562965</v>
      </c>
      <c r="AK561"/>
      <c r="AL561"/>
      <c r="AM561"/>
    </row>
    <row r="562" spans="1:39" ht="15" customHeight="1">
      <c r="A562" s="44">
        <v>679</v>
      </c>
      <c r="B562" t="s">
        <v>1633</v>
      </c>
      <c r="C562" s="118">
        <f>+_xlfn.XLOOKUP(PROYECTOS[[#This Row],[ID_NECESIDAD]],'1.RADICADOS'!G:G,'1.RADICADOS'!C:C,0,0,1)*1</f>
        <v>45813</v>
      </c>
      <c r="D562" s="67" t="s">
        <v>141</v>
      </c>
      <c r="E562" s="47" t="str">
        <f>+_xlfn.XLOOKUP(PROYECTOS[[#This Row],[MUNICIPIO]],MUNICIPIOS!A:A,MUNICIPIOS!E:E,0,0,1)</f>
        <v>Oriente</v>
      </c>
      <c r="F562" s="44">
        <f>+_xlfn.XLOOKUP(PROYECTOS[[#This Row],[MUNICIPIO]],MUNICIPIOS!A:A,MUNICIPIOS!F:F,0,0,1)</f>
        <v>-75.141069999999999</v>
      </c>
      <c r="G562" s="44" t="str">
        <f>+_xlfn.XLOOKUP(PROYECTOS[[#This Row],[MUNICIPIO]],MUNICIPIOS!A:A,MUNICIPIOS!G:G,0,0,1)</f>
        <v>5,731474</v>
      </c>
      <c r="H562" s="44">
        <f>+_xlfn.XLOOKUP(PROYECTOS[[#This Row],[MUNICIPIO]],MUNICIPIOS!A:A,MUNICIPIOS!B:B,0,0,1)</f>
        <v>0</v>
      </c>
      <c r="I562" s="44">
        <f>+_xlfn.XLOOKUP(PROYECTOS[[#This Row],[MUNICIPIO]],MUNICIPIOS!A:A,MUNICIPIOS!C:C,0,0,1)</f>
        <v>1</v>
      </c>
      <c r="J562" s="34" t="str" cm="1">
        <f t="array" ref="J562">_xlfn.TEXTJOIN(", ", TRUE, IF(radicados[ID PROYECTOS]=A562, radicados[RADICADO], ""))</f>
        <v>2025010279303</v>
      </c>
      <c r="K562" s="45">
        <v>2</v>
      </c>
      <c r="L562" s="199">
        <v>22116602097</v>
      </c>
      <c r="M562" s="34" t="s">
        <v>288</v>
      </c>
      <c r="N562" s="40" t="s">
        <v>398</v>
      </c>
      <c r="O562" s="40" t="s">
        <v>25</v>
      </c>
      <c r="P562" s="213"/>
      <c r="Q562" s="45"/>
      <c r="R562" s="166"/>
      <c r="S562" s="166"/>
      <c r="T562" s="44">
        <f>+_xlfn.XLOOKUP(PROYECTOS[[#This Row],[MUNICIPIO]],'4.CAP_ENDMNT'!B:B,'4.CAP_ENDMNT'!C:C,0,0,1)</f>
        <v>6</v>
      </c>
      <c r="U562" s="167">
        <f>+_xlfn.XLOOKUP(PROYECTOS[[#This Row],[MUNICIPIO]],'4.CAP_ENDMNT'!B:B,'4.CAP_ENDMNT'!D:D,0,0,1)</f>
        <v>7397887197.3409996</v>
      </c>
      <c r="V562" s="44">
        <f>+_xlfn.XLOOKUP(PROYECTOS[[#This Row],[MUNICIPIO]],'4.CAP_ENDMNT'!B:B,'4.CAP_ENDMNT'!E:E,0,0,1)</f>
        <v>2145550795.75</v>
      </c>
      <c r="W562" s="44">
        <f>+_xlfn.XLOOKUP(PROYECTOS[[#This Row],[MUNICIPIO]],'4.CAP_ENDMNT'!B:B,'4.CAP_ENDMNT'!F:F,0,0,1)</f>
        <v>5252336401.5909996</v>
      </c>
      <c r="X562" s="44">
        <f>+_xlfn.XLOOKUP(PROYECTOS[[#This Row],[MUNICIPIO]],'4.CAP_ENDMNT'!B:B,'4.CAP_ENDMNT'!G:G,0,0,1)</f>
        <v>913988424</v>
      </c>
      <c r="Y562" s="44">
        <f>+_xlfn.XLOOKUP(PROYECTOS[[#This Row],[MUNICIPIO]],'4.CAP_ENDMNT'!B:B,'4.CAP_ENDMNT'!H:H,0,0,1)</f>
        <v>0</v>
      </c>
      <c r="Z562" s="44">
        <f>+_xlfn.XLOOKUP(PROYECTOS[[#This Row],[MUNICIPIO]],'4.CAP_ENDMNT'!B:B,'4.CAP_ENDMNT'!I:I,0,0,1)</f>
        <v>913988424</v>
      </c>
      <c r="AA562" s="134">
        <f>+_xlfn.XLOOKUP(PROYECTOS[[#This Row],[MUNICIPIO]],'4.CAP_ENDMNT'!B:B,'4.CAP_ENDMNT'!J:J,0,0,1)</f>
        <v>0.12354722363548773</v>
      </c>
      <c r="AB562" s="44">
        <f>+_xlfn.XLOOKUP(PROYECTOS[[#This Row],[MUNICIPIO]],'4.CAP_ENDMNT'!B:B,'4.CAP_ENDMNT'!K:K,0,0,1)</f>
        <v>6483898773.3409996</v>
      </c>
      <c r="AC562" s="44">
        <f>+_xlfn.XLOOKUP(PROYECTOS[[#This Row],[MUNICIPIO]],'4.CAP_ENDMNT'!B:B,'4.CAP_ENDMNT'!L:L,0,0,1)</f>
        <v>5187119018.6728001</v>
      </c>
      <c r="AD562" s="44">
        <f>+_xlfn.XLOOKUP(PROYECTOS[[#This Row],[MUNICIPIO]],'4.CAP_ENDMNT'!B:B,'4.CAP_ENDMNT'!M:M,0,0,1)</f>
        <v>3890339264.0045996</v>
      </c>
      <c r="AE562" s="134">
        <f>+_xlfn.XLOOKUP(PROYECTOS[[#This Row],[MUNICIPIO]],'4.CAP_ENDMNT'!B:B,'4.CAP_ENDMNT'!N:N,0,0,1)</f>
        <v>1</v>
      </c>
      <c r="AF562" s="134">
        <f>+_xlfn.XLOOKUP(PROYECTOS[[#This Row],[MUNICIPIO]],'4.CAP_ENDMNT'!B:B,'4.CAP_ENDMNT'!O:O,0,0,1)</f>
        <v>0.55936476249157852</v>
      </c>
      <c r="AG562" s="134">
        <f>+_xlfn.XLOOKUP(PROYECTOS[[#This Row],[MUNICIPIO]],'4.CAP_ENDMNT'!B:B,'4.CAP_ENDMNT'!P:P,0,0,1)</f>
        <v>0.8</v>
      </c>
      <c r="AH562" s="44" t="str">
        <f>+_xlfn.XLOOKUP(PROYECTOS[[#This Row],[MUNICIPIO]],'4.CAP_ENDMNT'!B:B,'4.CAP_ENDMNT'!Q:Q,0,0,1)</f>
        <v>Cumple</v>
      </c>
      <c r="AI562" s="139">
        <f>+_xlfn.XLOOKUP(PROYECTOS[[#This Row],[MUNICIPIO]],'4.CAP_ENDMNT'!B:B,'4.CAP_ENDMNT'!V:V,0,0,1)</f>
        <v>778067852.80092001</v>
      </c>
      <c r="AJ562" s="139">
        <f>+_xlfn.XLOOKUP(PROYECTOS[[#This Row],[MUNICIPIO]],'4.CAP_ENDMNT'!B:B,'4.CAP_ENDMNT'!Y:Y,0,0,1)</f>
        <v>-57612554588.194481</v>
      </c>
      <c r="AK562"/>
      <c r="AL562"/>
      <c r="AM562"/>
    </row>
    <row r="563" spans="1:39" ht="15" customHeight="1">
      <c r="A563" s="44">
        <v>680</v>
      </c>
      <c r="B563" t="s">
        <v>1634</v>
      </c>
      <c r="C563" s="118">
        <f>+_xlfn.XLOOKUP(PROYECTOS[[#This Row],[ID_NECESIDAD]],'1.RADICADOS'!G:G,'1.RADICADOS'!C:C,0,0,1)*1</f>
        <v>45818</v>
      </c>
      <c r="D563" s="67" t="s">
        <v>273</v>
      </c>
      <c r="E563" s="47" t="str">
        <f>+_xlfn.XLOOKUP(PROYECTOS[[#This Row],[MUNICIPIO]],MUNICIPIOS!A:A,MUNICIPIOS!E:E,0,0,1)</f>
        <v>Occidente</v>
      </c>
      <c r="F563" s="44">
        <f>+_xlfn.XLOOKUP(PROYECTOS[[#This Row],[MUNICIPIO]],MUNICIPIOS!A:A,MUNICIPIOS!F:F,0,0,1)</f>
        <v>-75.811773000000002</v>
      </c>
      <c r="G563" s="44" t="str">
        <f>+_xlfn.XLOOKUP(PROYECTOS[[#This Row],[MUNICIPIO]],MUNICIPIOS!A:A,MUNICIPIOS!G:G,0,0,1)</f>
        <v>6,626492</v>
      </c>
      <c r="H563" s="44">
        <f>+_xlfn.XLOOKUP(PROYECTOS[[#This Row],[MUNICIPIO]],MUNICIPIOS!A:A,MUNICIPIOS!B:B,0,0,1)</f>
        <v>0</v>
      </c>
      <c r="I563" s="44">
        <f>+_xlfn.XLOOKUP(PROYECTOS[[#This Row],[MUNICIPIO]],MUNICIPIOS!A:A,MUNICIPIOS!C:C,0,0,1)</f>
        <v>0</v>
      </c>
      <c r="J563" s="34" t="str" cm="1">
        <f t="array" ref="J563">_xlfn.TEXTJOIN(", ", TRUE, IF(radicados[ID PROYECTOS]=A563, radicados[RADICADO], ""))</f>
        <v>2025010287731</v>
      </c>
      <c r="K563" s="45">
        <v>2</v>
      </c>
      <c r="L563" s="199">
        <v>2300000000</v>
      </c>
      <c r="M563" s="34" t="s">
        <v>288</v>
      </c>
      <c r="N563" s="40" t="s">
        <v>398</v>
      </c>
      <c r="O563" s="40" t="s">
        <v>25</v>
      </c>
      <c r="P563" s="205" t="s">
        <v>1638</v>
      </c>
      <c r="Q563" s="45"/>
      <c r="R563" s="166"/>
      <c r="S563" s="166"/>
      <c r="T563" s="44">
        <f>+_xlfn.XLOOKUP(PROYECTOS[[#This Row],[MUNICIPIO]],'4.CAP_ENDMNT'!B:B,'4.CAP_ENDMNT'!C:C,0,0,1)</f>
        <v>6</v>
      </c>
      <c r="U563" s="167">
        <f>+_xlfn.XLOOKUP(PROYECTOS[[#This Row],[MUNICIPIO]],'4.CAP_ENDMNT'!B:B,'4.CAP_ENDMNT'!D:D,0,0,1)</f>
        <v>4127448900.7750001</v>
      </c>
      <c r="V563" s="44">
        <f>+_xlfn.XLOOKUP(PROYECTOS[[#This Row],[MUNICIPIO]],'4.CAP_ENDMNT'!B:B,'4.CAP_ENDMNT'!E:E,0,0,1)</f>
        <v>1679484660.96</v>
      </c>
      <c r="W563" s="44">
        <f>+_xlfn.XLOOKUP(PROYECTOS[[#This Row],[MUNICIPIO]],'4.CAP_ENDMNT'!B:B,'4.CAP_ENDMNT'!F:F,0,0,1)</f>
        <v>2447964239.8150001</v>
      </c>
      <c r="X563" s="44">
        <f>+_xlfn.XLOOKUP(PROYECTOS[[#This Row],[MUNICIPIO]],'4.CAP_ENDMNT'!B:B,'4.CAP_ENDMNT'!G:G,0,0,1)</f>
        <v>2175868693</v>
      </c>
      <c r="Y563" s="44">
        <f>+_xlfn.XLOOKUP(PROYECTOS[[#This Row],[MUNICIPIO]],'4.CAP_ENDMNT'!B:B,'4.CAP_ENDMNT'!H:H,0,0,1)</f>
        <v>0</v>
      </c>
      <c r="Z563" s="44">
        <f>+_xlfn.XLOOKUP(PROYECTOS[[#This Row],[MUNICIPIO]],'4.CAP_ENDMNT'!B:B,'4.CAP_ENDMNT'!I:I,0,0,1)</f>
        <v>2175868693</v>
      </c>
      <c r="AA563" s="134">
        <f>+_xlfn.XLOOKUP(PROYECTOS[[#This Row],[MUNICIPIO]],'4.CAP_ENDMNT'!B:B,'4.CAP_ENDMNT'!J:J,0,0,1)</f>
        <v>0.52717035275504998</v>
      </c>
      <c r="AB563" s="44">
        <f>+_xlfn.XLOOKUP(PROYECTOS[[#This Row],[MUNICIPIO]],'4.CAP_ENDMNT'!B:B,'4.CAP_ENDMNT'!K:K,0,0,1)</f>
        <v>1951580207.7750001</v>
      </c>
      <c r="AC563" s="44">
        <f>+_xlfn.XLOOKUP(PROYECTOS[[#This Row],[MUNICIPIO]],'4.CAP_ENDMNT'!B:B,'4.CAP_ENDMNT'!L:L,0,0,1)</f>
        <v>1561264166.2200003</v>
      </c>
      <c r="AD563" s="44">
        <f>+_xlfn.XLOOKUP(PROYECTOS[[#This Row],[MUNICIPIO]],'4.CAP_ENDMNT'!B:B,'4.CAP_ENDMNT'!M:M,0,0,1)</f>
        <v>1170948124.665</v>
      </c>
      <c r="AE563" s="134">
        <f>+_xlfn.XLOOKUP(PROYECTOS[[#This Row],[MUNICIPIO]],'4.CAP_ENDMNT'!B:B,'4.CAP_ENDMNT'!N:N,0,0,1)</f>
        <v>1</v>
      </c>
      <c r="AF563" s="134">
        <f>+_xlfn.XLOOKUP(PROYECTOS[[#This Row],[MUNICIPIO]],'4.CAP_ENDMNT'!B:B,'4.CAP_ENDMNT'!O:O,0,0,1)</f>
        <v>0.89586302238809568</v>
      </c>
      <c r="AG563" s="134">
        <f>+_xlfn.XLOOKUP(PROYECTOS[[#This Row],[MUNICIPIO]],'4.CAP_ENDMNT'!B:B,'4.CAP_ENDMNT'!P:P,0,0,1)</f>
        <v>0.8</v>
      </c>
      <c r="AH563" s="44" t="str">
        <f>+_xlfn.XLOOKUP(PROYECTOS[[#This Row],[MUNICIPIO]],'4.CAP_ENDMNT'!B:B,'4.CAP_ENDMNT'!Q:Q,0,0,1)</f>
        <v>Incumple</v>
      </c>
      <c r="AI563" s="139">
        <f>+_xlfn.XLOOKUP(PROYECTOS[[#This Row],[MUNICIPIO]],'4.CAP_ENDMNT'!B:B,'4.CAP_ENDMNT'!V:V,0,0,1)</f>
        <v>234189624.933</v>
      </c>
      <c r="AJ563" s="139">
        <f>+_xlfn.XLOOKUP(PROYECTOS[[#This Row],[MUNICIPIO]],'4.CAP_ENDMNT'!B:B,'4.CAP_ENDMNT'!Y:Y,0,0,1)</f>
        <v>-5192738357.4020004</v>
      </c>
      <c r="AK563"/>
      <c r="AL563"/>
      <c r="AM563"/>
    </row>
    <row r="564" spans="1:39" ht="15" customHeight="1">
      <c r="A564" s="44">
        <v>681</v>
      </c>
      <c r="B564" t="s">
        <v>1645</v>
      </c>
      <c r="C564" s="118">
        <f>+_xlfn.XLOOKUP(PROYECTOS[[#This Row],[ID_NECESIDAD]],'1.RADICADOS'!G:G,'1.RADICADOS'!C:C,0,0,1)*1</f>
        <v>45807</v>
      </c>
      <c r="D564" s="67" t="s">
        <v>182</v>
      </c>
      <c r="E564" s="47" t="str">
        <f>+_xlfn.XLOOKUP(PROYECTOS[[#This Row],[MUNICIPIO]],MUNICIPIOS!A:A,MUNICIPIOS!E:E,0,0,1)</f>
        <v>Occidente</v>
      </c>
      <c r="F564" s="44">
        <f>+_xlfn.XLOOKUP(PROYECTOS[[#This Row],[MUNICIPIO]],MUNICIPIOS!A:A,MUNICIPIOS!F:F,0,0,1)</f>
        <v>-76.028227999999999</v>
      </c>
      <c r="G564" s="44" t="str">
        <f>+_xlfn.XLOOKUP(PROYECTOS[[#This Row],[MUNICIPIO]],MUNICIPIOS!A:A,MUNICIPIOS!G:G,0,0,1)</f>
        <v>6,753859</v>
      </c>
      <c r="H564" s="44">
        <f>+_xlfn.XLOOKUP(PROYECTOS[[#This Row],[MUNICIPIO]],MUNICIPIOS!A:A,MUNICIPIOS!B:B,0,0,1)</f>
        <v>0</v>
      </c>
      <c r="I564" s="44">
        <f>+_xlfn.XLOOKUP(PROYECTOS[[#This Row],[MUNICIPIO]],MUNICIPIOS!A:A,MUNICIPIOS!C:C,0,0,1)</f>
        <v>0</v>
      </c>
      <c r="J564" s="34" t="str" cm="1">
        <f t="array" ref="J564">_xlfn.TEXTJOIN(", ", TRUE, IF(radicados[ID PROYECTOS]=A564, radicados[RADICADO], ""))</f>
        <v>2025010269355</v>
      </c>
      <c r="K564" s="45">
        <v>1</v>
      </c>
      <c r="L564" s="223"/>
      <c r="M564" s="34" t="s">
        <v>288</v>
      </c>
      <c r="N564" s="40" t="s">
        <v>398</v>
      </c>
      <c r="O564" s="40" t="s">
        <v>25</v>
      </c>
      <c r="P564" s="224"/>
      <c r="Q564" s="45"/>
      <c r="R564" s="166"/>
      <c r="S564" s="166"/>
      <c r="T564" s="44">
        <f>+_xlfn.XLOOKUP(PROYECTOS[[#This Row],[MUNICIPIO]],'4.CAP_ENDMNT'!B:B,'4.CAP_ENDMNT'!C:C,0,0,1)</f>
        <v>6</v>
      </c>
      <c r="U564" s="167">
        <f>+_xlfn.XLOOKUP(PROYECTOS[[#This Row],[MUNICIPIO]],'4.CAP_ENDMNT'!B:B,'4.CAP_ENDMNT'!D:D,0,0,1)</f>
        <v>17304408242.457001</v>
      </c>
      <c r="V564" s="44">
        <f>+_xlfn.XLOOKUP(PROYECTOS[[#This Row],[MUNICIPIO]],'4.CAP_ENDMNT'!B:B,'4.CAP_ENDMNT'!E:E,0,0,1)</f>
        <v>4260885029.46</v>
      </c>
      <c r="W564" s="44">
        <f>+_xlfn.XLOOKUP(PROYECTOS[[#This Row],[MUNICIPIO]],'4.CAP_ENDMNT'!B:B,'4.CAP_ENDMNT'!F:F,0,0,1)</f>
        <v>13043523212.997002</v>
      </c>
      <c r="X564" s="44">
        <f>+_xlfn.XLOOKUP(PROYECTOS[[#This Row],[MUNICIPIO]],'4.CAP_ENDMNT'!B:B,'4.CAP_ENDMNT'!G:G,0,0,1)</f>
        <v>3210633884</v>
      </c>
      <c r="Y564" s="44">
        <f>+_xlfn.XLOOKUP(PROYECTOS[[#This Row],[MUNICIPIO]],'4.CAP_ENDMNT'!B:B,'4.CAP_ENDMNT'!H:H,0,0,1)</f>
        <v>0</v>
      </c>
      <c r="Z564" s="44">
        <f>+_xlfn.XLOOKUP(PROYECTOS[[#This Row],[MUNICIPIO]],'4.CAP_ENDMNT'!B:B,'4.CAP_ENDMNT'!I:I,0,0,1)</f>
        <v>3210633884</v>
      </c>
      <c r="AA564" s="134">
        <f>+_xlfn.XLOOKUP(PROYECTOS[[#This Row],[MUNICIPIO]],'4.CAP_ENDMNT'!B:B,'4.CAP_ENDMNT'!J:J,0,0,1)</f>
        <v>0.1855384962614666</v>
      </c>
      <c r="AB564" s="44">
        <f>+_xlfn.XLOOKUP(PROYECTOS[[#This Row],[MUNICIPIO]],'4.CAP_ENDMNT'!B:B,'4.CAP_ENDMNT'!K:K,0,0,1)</f>
        <v>14093774358.457001</v>
      </c>
      <c r="AC564" s="44">
        <f>+_xlfn.XLOOKUP(PROYECTOS[[#This Row],[MUNICIPIO]],'4.CAP_ENDMNT'!B:B,'4.CAP_ENDMNT'!L:L,0,0,1)</f>
        <v>11275019486.765602</v>
      </c>
      <c r="AD564" s="44">
        <f>+_xlfn.XLOOKUP(PROYECTOS[[#This Row],[MUNICIPIO]],'4.CAP_ENDMNT'!B:B,'4.CAP_ENDMNT'!M:M,0,0,1)</f>
        <v>8456264615.0741997</v>
      </c>
      <c r="AE564" s="134">
        <f>+_xlfn.XLOOKUP(PROYECTOS[[#This Row],[MUNICIPIO]],'4.CAP_ENDMNT'!B:B,'4.CAP_ENDMNT'!N:N,0,0,1)</f>
        <v>1</v>
      </c>
      <c r="AF564" s="134">
        <f>+_xlfn.XLOOKUP(PROYECTOS[[#This Row],[MUNICIPIO]],'4.CAP_ENDMNT'!B:B,'4.CAP_ENDMNT'!O:O,0,0,1)</f>
        <v>0.3794626866525494</v>
      </c>
      <c r="AG564" s="134">
        <f>+_xlfn.XLOOKUP(PROYECTOS[[#This Row],[MUNICIPIO]],'4.CAP_ENDMNT'!B:B,'4.CAP_ENDMNT'!P:P,0,0,1)</f>
        <v>0.8</v>
      </c>
      <c r="AH564" s="44" t="str">
        <f>+_xlfn.XLOOKUP(PROYECTOS[[#This Row],[MUNICIPIO]],'4.CAP_ENDMNT'!B:B,'4.CAP_ENDMNT'!Q:Q,0,0,1)</f>
        <v>Cumple</v>
      </c>
      <c r="AI564" s="139">
        <f>+_xlfn.XLOOKUP(PROYECTOS[[#This Row],[MUNICIPIO]],'4.CAP_ENDMNT'!B:B,'4.CAP_ENDMNT'!V:V,0,0,1)</f>
        <v>1691252923.0148401</v>
      </c>
      <c r="AJ564" s="139">
        <f>+_xlfn.XLOOKUP(PROYECTOS[[#This Row],[MUNICIPIO]],'4.CAP_ENDMNT'!B:B,'4.CAP_ENDMNT'!Y:Y,0,0,1)</f>
        <v>-145378147798.91095</v>
      </c>
      <c r="AK564"/>
      <c r="AL564"/>
      <c r="AM564"/>
    </row>
    <row r="565" spans="1:39" ht="15" customHeight="1">
      <c r="A565" s="44">
        <v>682</v>
      </c>
      <c r="B565" t="s">
        <v>1646</v>
      </c>
      <c r="C565" s="118">
        <f>+_xlfn.XLOOKUP(PROYECTOS[[#This Row],[ID_NECESIDAD]],'1.RADICADOS'!G:G,'1.RADICADOS'!C:C,0,0,1)*1</f>
        <v>45807</v>
      </c>
      <c r="D565" s="67" t="s">
        <v>182</v>
      </c>
      <c r="E565" s="47" t="str">
        <f>+_xlfn.XLOOKUP(PROYECTOS[[#This Row],[MUNICIPIO]],MUNICIPIOS!A:A,MUNICIPIOS!E:E,0,0,1)</f>
        <v>Occidente</v>
      </c>
      <c r="F565" s="44">
        <f>+_xlfn.XLOOKUP(PROYECTOS[[#This Row],[MUNICIPIO]],MUNICIPIOS!A:A,MUNICIPIOS!F:F,0,0,1)</f>
        <v>-76.028227999999999</v>
      </c>
      <c r="G565" s="44" t="str">
        <f>+_xlfn.XLOOKUP(PROYECTOS[[#This Row],[MUNICIPIO]],MUNICIPIOS!A:A,MUNICIPIOS!G:G,0,0,1)</f>
        <v>6,753859</v>
      </c>
      <c r="H565" s="44">
        <f>+_xlfn.XLOOKUP(PROYECTOS[[#This Row],[MUNICIPIO]],MUNICIPIOS!A:A,MUNICIPIOS!B:B,0,0,1)</f>
        <v>0</v>
      </c>
      <c r="I565" s="44">
        <f>+_xlfn.XLOOKUP(PROYECTOS[[#This Row],[MUNICIPIO]],MUNICIPIOS!A:A,MUNICIPIOS!C:C,0,0,1)</f>
        <v>0</v>
      </c>
      <c r="J565" s="34" t="str" cm="1">
        <f t="array" ref="J565">_xlfn.TEXTJOIN(", ", TRUE, IF(radicados[ID PROYECTOS]=A565, radicados[RADICADO], ""))</f>
        <v>2025010269386</v>
      </c>
      <c r="K565" s="45">
        <v>1</v>
      </c>
      <c r="L565" s="223"/>
      <c r="M565" s="34" t="s">
        <v>288</v>
      </c>
      <c r="N565" s="40" t="s">
        <v>398</v>
      </c>
      <c r="O565" s="40" t="s">
        <v>25</v>
      </c>
      <c r="P565" s="224"/>
      <c r="Q565" s="45"/>
      <c r="R565" s="166"/>
      <c r="S565" s="166"/>
      <c r="T565" s="44">
        <f>+_xlfn.XLOOKUP(PROYECTOS[[#This Row],[MUNICIPIO]],'4.CAP_ENDMNT'!B:B,'4.CAP_ENDMNT'!C:C,0,0,1)</f>
        <v>6</v>
      </c>
      <c r="U565" s="167">
        <f>+_xlfn.XLOOKUP(PROYECTOS[[#This Row],[MUNICIPIO]],'4.CAP_ENDMNT'!B:B,'4.CAP_ENDMNT'!D:D,0,0,1)</f>
        <v>17304408242.457001</v>
      </c>
      <c r="V565" s="44">
        <f>+_xlfn.XLOOKUP(PROYECTOS[[#This Row],[MUNICIPIO]],'4.CAP_ENDMNT'!B:B,'4.CAP_ENDMNT'!E:E,0,0,1)</f>
        <v>4260885029.46</v>
      </c>
      <c r="W565" s="44">
        <f>+_xlfn.XLOOKUP(PROYECTOS[[#This Row],[MUNICIPIO]],'4.CAP_ENDMNT'!B:B,'4.CAP_ENDMNT'!F:F,0,0,1)</f>
        <v>13043523212.997002</v>
      </c>
      <c r="X565" s="44">
        <f>+_xlfn.XLOOKUP(PROYECTOS[[#This Row],[MUNICIPIO]],'4.CAP_ENDMNT'!B:B,'4.CAP_ENDMNT'!G:G,0,0,1)</f>
        <v>3210633884</v>
      </c>
      <c r="Y565" s="44">
        <f>+_xlfn.XLOOKUP(PROYECTOS[[#This Row],[MUNICIPIO]],'4.CAP_ENDMNT'!B:B,'4.CAP_ENDMNT'!H:H,0,0,1)</f>
        <v>0</v>
      </c>
      <c r="Z565" s="44">
        <f>+_xlfn.XLOOKUP(PROYECTOS[[#This Row],[MUNICIPIO]],'4.CAP_ENDMNT'!B:B,'4.CAP_ENDMNT'!I:I,0,0,1)</f>
        <v>3210633884</v>
      </c>
      <c r="AA565" s="134">
        <f>+_xlfn.XLOOKUP(PROYECTOS[[#This Row],[MUNICIPIO]],'4.CAP_ENDMNT'!B:B,'4.CAP_ENDMNT'!J:J,0,0,1)</f>
        <v>0.1855384962614666</v>
      </c>
      <c r="AB565" s="44">
        <f>+_xlfn.XLOOKUP(PROYECTOS[[#This Row],[MUNICIPIO]],'4.CAP_ENDMNT'!B:B,'4.CAP_ENDMNT'!K:K,0,0,1)</f>
        <v>14093774358.457001</v>
      </c>
      <c r="AC565" s="44">
        <f>+_xlfn.XLOOKUP(PROYECTOS[[#This Row],[MUNICIPIO]],'4.CAP_ENDMNT'!B:B,'4.CAP_ENDMNT'!L:L,0,0,1)</f>
        <v>11275019486.765602</v>
      </c>
      <c r="AD565" s="44">
        <f>+_xlfn.XLOOKUP(PROYECTOS[[#This Row],[MUNICIPIO]],'4.CAP_ENDMNT'!B:B,'4.CAP_ENDMNT'!M:M,0,0,1)</f>
        <v>8456264615.0741997</v>
      </c>
      <c r="AE565" s="134">
        <f>+_xlfn.XLOOKUP(PROYECTOS[[#This Row],[MUNICIPIO]],'4.CAP_ENDMNT'!B:B,'4.CAP_ENDMNT'!N:N,0,0,1)</f>
        <v>1</v>
      </c>
      <c r="AF565" s="134">
        <f>+_xlfn.XLOOKUP(PROYECTOS[[#This Row],[MUNICIPIO]],'4.CAP_ENDMNT'!B:B,'4.CAP_ENDMNT'!O:O,0,0,1)</f>
        <v>0.3794626866525494</v>
      </c>
      <c r="AG565" s="134">
        <f>+_xlfn.XLOOKUP(PROYECTOS[[#This Row],[MUNICIPIO]],'4.CAP_ENDMNT'!B:B,'4.CAP_ENDMNT'!P:P,0,0,1)</f>
        <v>0.8</v>
      </c>
      <c r="AH565" s="44" t="str">
        <f>+_xlfn.XLOOKUP(PROYECTOS[[#This Row],[MUNICIPIO]],'4.CAP_ENDMNT'!B:B,'4.CAP_ENDMNT'!Q:Q,0,0,1)</f>
        <v>Cumple</v>
      </c>
      <c r="AI565" s="139">
        <f>+_xlfn.XLOOKUP(PROYECTOS[[#This Row],[MUNICIPIO]],'4.CAP_ENDMNT'!B:B,'4.CAP_ENDMNT'!V:V,0,0,1)</f>
        <v>1691252923.0148401</v>
      </c>
      <c r="AJ565" s="139">
        <f>+_xlfn.XLOOKUP(PROYECTOS[[#This Row],[MUNICIPIO]],'4.CAP_ENDMNT'!B:B,'4.CAP_ENDMNT'!Y:Y,0,0,1)</f>
        <v>-145378147798.91095</v>
      </c>
      <c r="AK565"/>
      <c r="AL565"/>
      <c r="AM565"/>
    </row>
    <row r="566" spans="1:39" ht="15" customHeight="1">
      <c r="A566" s="44">
        <v>683</v>
      </c>
      <c r="B566" t="s">
        <v>1649</v>
      </c>
      <c r="C566" s="118">
        <f>+_xlfn.XLOOKUP(PROYECTOS[[#This Row],[ID_NECESIDAD]],'1.RADICADOS'!G:G,'1.RADICADOS'!C:C,0,0,1)*1</f>
        <v>45783</v>
      </c>
      <c r="D566" s="67" t="s">
        <v>492</v>
      </c>
      <c r="E566" s="47" t="str">
        <f>+_xlfn.XLOOKUP(PROYECTOS[[#This Row],[MUNICIPIO]],MUNICIPIOS!A:A,MUNICIPIOS!E:E,0,0,1)</f>
        <v>Suroeste</v>
      </c>
      <c r="F566" s="44">
        <f>+_xlfn.XLOOKUP(PROYECTOS[[#This Row],[MUNICIPIO]],MUNICIPIOS!A:A,MUNICIPIOS!F:F,0,0,1)</f>
        <v>-75.976806999999994</v>
      </c>
      <c r="G566" s="44" t="str">
        <f>+_xlfn.XLOOKUP(PROYECTOS[[#This Row],[MUNICIPIO]],MUNICIPIOS!A:A,MUNICIPIOS!G:G,0,0,1)</f>
        <v>5,964198</v>
      </c>
      <c r="H566" s="44">
        <f>+_xlfn.XLOOKUP(PROYECTOS[[#This Row],[MUNICIPIO]],MUNICIPIOS!A:A,MUNICIPIOS!B:B,0,0,1)</f>
        <v>0</v>
      </c>
      <c r="I566" s="44">
        <f>+_xlfn.XLOOKUP(PROYECTOS[[#This Row],[MUNICIPIO]],MUNICIPIOS!A:A,MUNICIPIOS!C:C,0,0,1)</f>
        <v>1</v>
      </c>
      <c r="J566" s="34" t="str" cm="1">
        <f t="array" ref="J566">_xlfn.TEXTJOIN(", ", TRUE, IF(radicados[ID PROYECTOS]=A566, radicados[RADICADO], ""))</f>
        <v>2025010280625</v>
      </c>
      <c r="K566" s="45">
        <v>3</v>
      </c>
      <c r="L566" s="223">
        <v>556920000</v>
      </c>
      <c r="M566" s="34" t="s">
        <v>422</v>
      </c>
      <c r="N566" s="40" t="s">
        <v>398</v>
      </c>
      <c r="O566" s="40" t="s">
        <v>72</v>
      </c>
      <c r="P566" s="224"/>
      <c r="Q566" s="45"/>
      <c r="R566" s="166"/>
      <c r="S566" s="166"/>
      <c r="T566" s="44">
        <f>+_xlfn.XLOOKUP(PROYECTOS[[#This Row],[MUNICIPIO]],'4.CAP_ENDMNT'!B:B,'4.CAP_ENDMNT'!C:C,0,0,1)</f>
        <v>6</v>
      </c>
      <c r="U566" s="167">
        <f>+_xlfn.XLOOKUP(PROYECTOS[[#This Row],[MUNICIPIO]],'4.CAP_ENDMNT'!B:B,'4.CAP_ENDMNT'!D:D,0,0,1)</f>
        <v>13308978307.0145</v>
      </c>
      <c r="V566" s="44">
        <f>+_xlfn.XLOOKUP(PROYECTOS[[#This Row],[MUNICIPIO]],'4.CAP_ENDMNT'!B:B,'4.CAP_ENDMNT'!E:E,0,0,1)</f>
        <v>4910718349.54</v>
      </c>
      <c r="W566" s="44">
        <f>+_xlfn.XLOOKUP(PROYECTOS[[#This Row],[MUNICIPIO]],'4.CAP_ENDMNT'!B:B,'4.CAP_ENDMNT'!F:F,0,0,1)</f>
        <v>8398259957.4744997</v>
      </c>
      <c r="X566" s="44">
        <f>+_xlfn.XLOOKUP(PROYECTOS[[#This Row],[MUNICIPIO]],'4.CAP_ENDMNT'!B:B,'4.CAP_ENDMNT'!G:G,0,0,1)</f>
        <v>0</v>
      </c>
      <c r="Y566" s="44">
        <f>+_xlfn.XLOOKUP(PROYECTOS[[#This Row],[MUNICIPIO]],'4.CAP_ENDMNT'!B:B,'4.CAP_ENDMNT'!H:H,0,0,1)</f>
        <v>3987177539</v>
      </c>
      <c r="Z566" s="44">
        <f>+_xlfn.XLOOKUP(PROYECTOS[[#This Row],[MUNICIPIO]],'4.CAP_ENDMNT'!B:B,'4.CAP_ENDMNT'!I:I,0,0,1)</f>
        <v>3987177539</v>
      </c>
      <c r="AA566" s="134">
        <f>+_xlfn.XLOOKUP(PROYECTOS[[#This Row],[MUNICIPIO]],'4.CAP_ENDMNT'!B:B,'4.CAP_ENDMNT'!J:J,0,0,1)</f>
        <v>0.29958554646516761</v>
      </c>
      <c r="AB566" s="44">
        <f>+_xlfn.XLOOKUP(PROYECTOS[[#This Row],[MUNICIPIO]],'4.CAP_ENDMNT'!B:B,'4.CAP_ENDMNT'!K:K,0,0,1)</f>
        <v>9321800768.0144997</v>
      </c>
      <c r="AC566" s="44">
        <f>+_xlfn.XLOOKUP(PROYECTOS[[#This Row],[MUNICIPIO]],'4.CAP_ENDMNT'!B:B,'4.CAP_ENDMNT'!L:L,0,0,1)</f>
        <v>7457440614.4116001</v>
      </c>
      <c r="AD566" s="44">
        <f>+_xlfn.XLOOKUP(PROYECTOS[[#This Row],[MUNICIPIO]],'4.CAP_ENDMNT'!B:B,'4.CAP_ENDMNT'!M:M,0,0,1)</f>
        <v>5593080460.8086996</v>
      </c>
      <c r="AE566" s="134">
        <f>+_xlfn.XLOOKUP(PROYECTOS[[#This Row],[MUNICIPIO]],'4.CAP_ENDMNT'!B:B,'4.CAP_ENDMNT'!N:N,0,0,1)</f>
        <v>0</v>
      </c>
      <c r="AF566" s="134">
        <f>+_xlfn.XLOOKUP(PROYECTOS[[#This Row],[MUNICIPIO]],'4.CAP_ENDMNT'!B:B,'4.CAP_ENDMNT'!O:O,0,0,1)</f>
        <v>0.65348583125551507</v>
      </c>
      <c r="AG566" s="134">
        <f>+_xlfn.XLOOKUP(PROYECTOS[[#This Row],[MUNICIPIO]],'4.CAP_ENDMNT'!B:B,'4.CAP_ENDMNT'!P:P,0,0,1)</f>
        <v>0.8</v>
      </c>
      <c r="AH566" s="44" t="str">
        <f>+_xlfn.XLOOKUP(PROYECTOS[[#This Row],[MUNICIPIO]],'4.CAP_ENDMNT'!B:B,'4.CAP_ENDMNT'!Q:Q,0,0,1)</f>
        <v>Cumple</v>
      </c>
      <c r="AI566" s="139">
        <f>+_xlfn.XLOOKUP(PROYECTOS[[#This Row],[MUNICIPIO]],'4.CAP_ENDMNT'!B:B,'4.CAP_ENDMNT'!V:V,0,0,1)</f>
        <v>1118616092.1617401</v>
      </c>
      <c r="AJ566" s="139">
        <f>+_xlfn.XLOOKUP(PROYECTOS[[#This Row],[MUNICIPIO]],'4.CAP_ENDMNT'!B:B,'4.CAP_ENDMNT'!Y:Y,0,0,1)</f>
        <v>6154776552.9704399</v>
      </c>
      <c r="AK566"/>
      <c r="AL566"/>
      <c r="AM566"/>
    </row>
    <row r="567" spans="1:39" ht="15" customHeight="1">
      <c r="A567" s="44">
        <v>684</v>
      </c>
      <c r="B567" t="s">
        <v>1661</v>
      </c>
      <c r="C567" s="118">
        <f>+_xlfn.XLOOKUP(PROYECTOS[[#This Row],[ID_NECESIDAD]],'1.RADICADOS'!G:G,'1.RADICADOS'!C:C,0,0,1)*1</f>
        <v>45821</v>
      </c>
      <c r="D567" s="67" t="s">
        <v>166</v>
      </c>
      <c r="E567" s="47" t="str">
        <f>+_xlfn.XLOOKUP(PROYECTOS[[#This Row],[MUNICIPIO]],MUNICIPIOS!A:A,MUNICIPIOS!E:E,0,0,1)</f>
        <v>Occidente</v>
      </c>
      <c r="F567" s="44">
        <f>+_xlfn.XLOOKUP(PROYECTOS[[#This Row],[MUNICIPIO]],MUNICIPIOS!A:A,MUNICIPIOS!F:F,0,0,1)</f>
        <v>-75.826648000000006</v>
      </c>
      <c r="G567" s="44" t="str">
        <f>+_xlfn.XLOOKUP(PROYECTOS[[#This Row],[MUNICIPIO]],MUNICIPIOS!A:A,MUNICIPIOS!G:G,0,0,1)</f>
        <v>6,556484</v>
      </c>
      <c r="H567" s="44">
        <f>+_xlfn.XLOOKUP(PROYECTOS[[#This Row],[MUNICIPIO]],MUNICIPIOS!A:A,MUNICIPIOS!B:B,0,0,1)</f>
        <v>0</v>
      </c>
      <c r="I567" s="44">
        <f>+_xlfn.XLOOKUP(PROYECTOS[[#This Row],[MUNICIPIO]],MUNICIPIOS!A:A,MUNICIPIOS!C:C,0,0,1)</f>
        <v>1</v>
      </c>
      <c r="J567" s="34" t="str" cm="1">
        <f t="array" ref="J567">_xlfn.TEXTJOIN(", ", TRUE, IF(radicados[ID PROYECTOS]=A567, radicados[RADICADO], ""))</f>
        <v>2025010296258</v>
      </c>
      <c r="K567" s="45">
        <v>3</v>
      </c>
      <c r="L567" s="212">
        <v>10420022815</v>
      </c>
      <c r="M567" s="34" t="s">
        <v>288</v>
      </c>
      <c r="N567" s="40" t="s">
        <v>398</v>
      </c>
      <c r="O567" s="40" t="s">
        <v>25</v>
      </c>
      <c r="P567" s="224" t="s">
        <v>1662</v>
      </c>
      <c r="Q567" s="45"/>
      <c r="R567" s="166"/>
      <c r="S567" s="166"/>
      <c r="T567" s="44">
        <f>+_xlfn.XLOOKUP(PROYECTOS[[#This Row],[MUNICIPIO]],'4.CAP_ENDMNT'!B:B,'4.CAP_ENDMNT'!C:C,0,0,1)</f>
        <v>5</v>
      </c>
      <c r="U567" s="167">
        <f>+_xlfn.XLOOKUP(PROYECTOS[[#This Row],[MUNICIPIO]],'4.CAP_ENDMNT'!B:B,'4.CAP_ENDMNT'!D:D,0,0,1)</f>
        <v>40656193467.687004</v>
      </c>
      <c r="V567" s="44">
        <f>+_xlfn.XLOOKUP(PROYECTOS[[#This Row],[MUNICIPIO]],'4.CAP_ENDMNT'!B:B,'4.CAP_ENDMNT'!E:E,0,0,1)</f>
        <v>18778286398.540001</v>
      </c>
      <c r="W567" s="44">
        <f>+_xlfn.XLOOKUP(PROYECTOS[[#This Row],[MUNICIPIO]],'4.CAP_ENDMNT'!B:B,'4.CAP_ENDMNT'!F:F,0,0,1)</f>
        <v>21877907069.147003</v>
      </c>
      <c r="X567" s="44">
        <f>+_xlfn.XLOOKUP(PROYECTOS[[#This Row],[MUNICIPIO]],'4.CAP_ENDMNT'!B:B,'4.CAP_ENDMNT'!G:G,0,0,1)</f>
        <v>5492975516</v>
      </c>
      <c r="Y567" s="44">
        <f>+_xlfn.XLOOKUP(PROYECTOS[[#This Row],[MUNICIPIO]],'4.CAP_ENDMNT'!B:B,'4.CAP_ENDMNT'!H:H,0,0,1)</f>
        <v>2014055909</v>
      </c>
      <c r="Z567" s="44">
        <f>+_xlfn.XLOOKUP(PROYECTOS[[#This Row],[MUNICIPIO]],'4.CAP_ENDMNT'!B:B,'4.CAP_ENDMNT'!I:I,0,0,1)</f>
        <v>7507031425</v>
      </c>
      <c r="AA567" s="134">
        <f>+_xlfn.XLOOKUP(PROYECTOS[[#This Row],[MUNICIPIO]],'4.CAP_ENDMNT'!B:B,'4.CAP_ENDMNT'!J:J,0,0,1)</f>
        <v>0.18464668688096655</v>
      </c>
      <c r="AB567" s="44">
        <f>+_xlfn.XLOOKUP(PROYECTOS[[#This Row],[MUNICIPIO]],'4.CAP_ENDMNT'!B:B,'4.CAP_ENDMNT'!K:K,0,0,1)</f>
        <v>33149162042.687004</v>
      </c>
      <c r="AC567" s="44">
        <f>+_xlfn.XLOOKUP(PROYECTOS[[#This Row],[MUNICIPIO]],'4.CAP_ENDMNT'!B:B,'4.CAP_ENDMNT'!L:L,0,0,1)</f>
        <v>26519329634.149605</v>
      </c>
      <c r="AD567" s="44">
        <f>+_xlfn.XLOOKUP(PROYECTOS[[#This Row],[MUNICIPIO]],'4.CAP_ENDMNT'!B:B,'4.CAP_ENDMNT'!M:M,0,0,1)</f>
        <v>19889497225.612202</v>
      </c>
      <c r="AE567" s="134">
        <f>+_xlfn.XLOOKUP(PROYECTOS[[#This Row],[MUNICIPIO]],'4.CAP_ENDMNT'!B:B,'4.CAP_ENDMNT'!N:N,0,0,1)</f>
        <v>0.73171073957506449</v>
      </c>
      <c r="AF567" s="134">
        <f>+_xlfn.XLOOKUP(PROYECTOS[[#This Row],[MUNICIPIO]],'4.CAP_ENDMNT'!B:B,'4.CAP_ENDMNT'!O:O,0,0,1)</f>
        <v>0.53391906125286837</v>
      </c>
      <c r="AG567" s="134">
        <f>+_xlfn.XLOOKUP(PROYECTOS[[#This Row],[MUNICIPIO]],'4.CAP_ENDMNT'!B:B,'4.CAP_ENDMNT'!P:P,0,0,1)</f>
        <v>0.8</v>
      </c>
      <c r="AH567" s="44" t="str">
        <f>+_xlfn.XLOOKUP(PROYECTOS[[#This Row],[MUNICIPIO]],'4.CAP_ENDMNT'!B:B,'4.CAP_ENDMNT'!Q:Q,0,0,1)</f>
        <v>Cumple</v>
      </c>
      <c r="AI567" s="139">
        <f>+_xlfn.XLOOKUP(PROYECTOS[[#This Row],[MUNICIPIO]],'4.CAP_ENDMNT'!B:B,'4.CAP_ENDMNT'!V:V,0,0,1)</f>
        <v>3977899445.1224403</v>
      </c>
      <c r="AJ567" s="139">
        <f>+_xlfn.XLOOKUP(PROYECTOS[[#This Row],[MUNICIPIO]],'4.CAP_ENDMNT'!B:B,'4.CAP_ENDMNT'!Y:Y,0,0,1)</f>
        <v>-34393689178.265358</v>
      </c>
      <c r="AK567"/>
      <c r="AL567"/>
      <c r="AM567"/>
    </row>
    <row r="568" spans="1:39" ht="15" customHeight="1">
      <c r="A568" s="44">
        <v>685</v>
      </c>
      <c r="B568" t="s">
        <v>1652</v>
      </c>
      <c r="C568" s="118">
        <f>+_xlfn.XLOOKUP(PROYECTOS[[#This Row],[ID_NECESIDAD]],'1.RADICADOS'!G:G,'1.RADICADOS'!C:C,0,0,1)*1</f>
        <v>45821</v>
      </c>
      <c r="D568" s="67" t="s">
        <v>118</v>
      </c>
      <c r="E568" s="47" t="str">
        <f>+_xlfn.XLOOKUP(PROYECTOS[[#This Row],[MUNICIPIO]],MUNICIPIOS!A:A,MUNICIPIOS!E:E,0,0,1)</f>
        <v>Urabá</v>
      </c>
      <c r="F568" s="44">
        <f>+_xlfn.XLOOKUP(PROYECTOS[[#This Row],[MUNICIPIO]],MUNICIPIOS!A:A,MUNICIPIOS!F:F,0,0,1)</f>
        <v>-76.681531000000007</v>
      </c>
      <c r="G568" s="44" t="str">
        <f>+_xlfn.XLOOKUP(PROYECTOS[[#This Row],[MUNICIPIO]],MUNICIPIOS!A:A,MUNICIPIOS!G:G,0,0,1)</f>
        <v>7,666147</v>
      </c>
      <c r="H568" s="44">
        <f>+_xlfn.XLOOKUP(PROYECTOS[[#This Row],[MUNICIPIO]],MUNICIPIOS!A:A,MUNICIPIOS!B:B,0,0,1)</f>
        <v>1</v>
      </c>
      <c r="I568" s="44">
        <f>+_xlfn.XLOOKUP(PROYECTOS[[#This Row],[MUNICIPIO]],MUNICIPIOS!A:A,MUNICIPIOS!C:C,0,0,1)</f>
        <v>1</v>
      </c>
      <c r="J568" s="34" t="str" cm="1">
        <f t="array" ref="J568">_xlfn.TEXTJOIN(", ", TRUE, IF(radicados[ID PROYECTOS]=A568, radicados[RADICADO], ""))</f>
        <v>2025010296274</v>
      </c>
      <c r="K568" s="45">
        <v>3</v>
      </c>
      <c r="L568" s="212">
        <v>2246454902</v>
      </c>
      <c r="M568" s="34" t="s">
        <v>40</v>
      </c>
      <c r="N568" s="40" t="s">
        <v>394</v>
      </c>
      <c r="O568" s="40" t="s">
        <v>18</v>
      </c>
      <c r="P568" s="224"/>
      <c r="Q568" s="45"/>
      <c r="R568" s="166"/>
      <c r="S568" s="166"/>
      <c r="T568" s="44">
        <f>+_xlfn.XLOOKUP(PROYECTOS[[#This Row],[MUNICIPIO]],'4.CAP_ENDMNT'!B:B,'4.CAP_ENDMNT'!C:C,0,0,1)</f>
        <v>6</v>
      </c>
      <c r="U568" s="167">
        <f>+_xlfn.XLOOKUP(PROYECTOS[[#This Row],[MUNICIPIO]],'4.CAP_ENDMNT'!B:B,'4.CAP_ENDMNT'!D:D,0,0,1)</f>
        <v>31480625713.601501</v>
      </c>
      <c r="V568" s="44">
        <f>+_xlfn.XLOOKUP(PROYECTOS[[#This Row],[MUNICIPIO]],'4.CAP_ENDMNT'!B:B,'4.CAP_ENDMNT'!E:E,0,0,1)</f>
        <v>12012746210.970001</v>
      </c>
      <c r="W568" s="44">
        <f>+_xlfn.XLOOKUP(PROYECTOS[[#This Row],[MUNICIPIO]],'4.CAP_ENDMNT'!B:B,'4.CAP_ENDMNT'!F:F,0,0,1)</f>
        <v>19467879502.6315</v>
      </c>
      <c r="X568" s="44">
        <f>+_xlfn.XLOOKUP(PROYECTOS[[#This Row],[MUNICIPIO]],'4.CAP_ENDMNT'!B:B,'4.CAP_ENDMNT'!G:G,0,0,1)</f>
        <v>990257688</v>
      </c>
      <c r="Y568" s="44">
        <f>+_xlfn.XLOOKUP(PROYECTOS[[#This Row],[MUNICIPIO]],'4.CAP_ENDMNT'!B:B,'4.CAP_ENDMNT'!H:H,0,0,1)</f>
        <v>4241046406.5999999</v>
      </c>
      <c r="Z568" s="44">
        <f>+_xlfn.XLOOKUP(PROYECTOS[[#This Row],[MUNICIPIO]],'4.CAP_ENDMNT'!B:B,'4.CAP_ENDMNT'!I:I,0,0,1)</f>
        <v>5231304094.6000004</v>
      </c>
      <c r="AA568" s="134">
        <f>+_xlfn.XLOOKUP(PROYECTOS[[#This Row],[MUNICIPIO]],'4.CAP_ENDMNT'!B:B,'4.CAP_ENDMNT'!J:J,0,0,1)</f>
        <v>0.16617535312647125</v>
      </c>
      <c r="AB568" s="44">
        <f>+_xlfn.XLOOKUP(PROYECTOS[[#This Row],[MUNICIPIO]],'4.CAP_ENDMNT'!B:B,'4.CAP_ENDMNT'!K:K,0,0,1)</f>
        <v>26249321619.001503</v>
      </c>
      <c r="AC568" s="44">
        <f>+_xlfn.XLOOKUP(PROYECTOS[[#This Row],[MUNICIPIO]],'4.CAP_ENDMNT'!B:B,'4.CAP_ENDMNT'!L:L,0,0,1)</f>
        <v>20999457295.201202</v>
      </c>
      <c r="AD568" s="44">
        <f>+_xlfn.XLOOKUP(PROYECTOS[[#This Row],[MUNICIPIO]],'4.CAP_ENDMNT'!B:B,'4.CAP_ENDMNT'!M:M,0,0,1)</f>
        <v>15749592971.400902</v>
      </c>
      <c r="AE568" s="134">
        <f>+_xlfn.XLOOKUP(PROYECTOS[[#This Row],[MUNICIPIO]],'4.CAP_ENDMNT'!B:B,'4.CAP_ENDMNT'!N:N,0,0,1)</f>
        <v>0.18929461375074541</v>
      </c>
      <c r="AF568" s="134">
        <f>+_xlfn.XLOOKUP(PROYECTOS[[#This Row],[MUNICIPIO]],'4.CAP_ENDMNT'!B:B,'4.CAP_ENDMNT'!O:O,0,0,1)</f>
        <v>0.57128723877428544</v>
      </c>
      <c r="AG568" s="134">
        <f>+_xlfn.XLOOKUP(PROYECTOS[[#This Row],[MUNICIPIO]],'4.CAP_ENDMNT'!B:B,'4.CAP_ENDMNT'!P:P,0,0,1)</f>
        <v>0.8</v>
      </c>
      <c r="AH568" s="44" t="str">
        <f>+_xlfn.XLOOKUP(PROYECTOS[[#This Row],[MUNICIPIO]],'4.CAP_ENDMNT'!B:B,'4.CAP_ENDMNT'!Q:Q,0,0,1)</f>
        <v>Cumple</v>
      </c>
      <c r="AI568" s="139">
        <f>+_xlfn.XLOOKUP(PROYECTOS[[#This Row],[MUNICIPIO]],'4.CAP_ENDMNT'!B:B,'4.CAP_ENDMNT'!V:V,0,0,1)</f>
        <v>3149918594.2801805</v>
      </c>
      <c r="AJ568" s="139">
        <f>+_xlfn.XLOOKUP(PROYECTOS[[#This Row],[MUNICIPIO]],'4.CAP_ENDMNT'!B:B,'4.CAP_ENDMNT'!Y:Y,0,0,1)</f>
        <v>-159577103574.2489</v>
      </c>
      <c r="AK568"/>
      <c r="AL568"/>
      <c r="AM568"/>
    </row>
    <row r="569" spans="1:39" ht="15" customHeight="1">
      <c r="A569" s="44">
        <v>686</v>
      </c>
      <c r="B569" t="s">
        <v>1653</v>
      </c>
      <c r="C569" s="118">
        <f>+_xlfn.XLOOKUP(PROYECTOS[[#This Row],[ID_NECESIDAD]],'1.RADICADOS'!G:G,'1.RADICADOS'!C:C,0,0,1)*1</f>
        <v>45821</v>
      </c>
      <c r="D569" s="67" t="s">
        <v>200</v>
      </c>
      <c r="E569" s="47" t="str">
        <f>+_xlfn.XLOOKUP(PROYECTOS[[#This Row],[MUNICIPIO]],MUNICIPIOS!A:A,MUNICIPIOS!E:E,0,0,1)</f>
        <v>Bajo Cauca</v>
      </c>
      <c r="F569" s="44">
        <f>+_xlfn.XLOOKUP(PROYECTOS[[#This Row],[MUNICIPIO]],MUNICIPIOS!A:A,MUNICIPIOS!F:F,0,0,1)</f>
        <v>-74.867075</v>
      </c>
      <c r="G569" s="44">
        <f>+_xlfn.XLOOKUP(PROYECTOS[[#This Row],[MUNICIPIO]],MUNICIPIOS!A:A,MUNICIPIOS!G:G,0,0,1)</f>
        <v>7.4885830000000002</v>
      </c>
      <c r="H569" s="44">
        <f>+_xlfn.XLOOKUP(PROYECTOS[[#This Row],[MUNICIPIO]],MUNICIPIOS!A:A,MUNICIPIOS!B:B,0,0,1)</f>
        <v>1</v>
      </c>
      <c r="I569" s="44">
        <f>+_xlfn.XLOOKUP(PROYECTOS[[#This Row],[MUNICIPIO]],MUNICIPIOS!A:A,MUNICIPIOS!C:C,0,0,1)</f>
        <v>1</v>
      </c>
      <c r="J569" s="34" t="str" cm="1">
        <f t="array" ref="J569">_xlfn.TEXTJOIN(", ", TRUE, IF(radicados[ID PROYECTOS]=A569, radicados[RADICADO], ""))</f>
        <v>2025010295139</v>
      </c>
      <c r="K569" s="45">
        <v>1</v>
      </c>
      <c r="L569" s="223"/>
      <c r="M569" s="34" t="s">
        <v>40</v>
      </c>
      <c r="N569" s="40" t="s">
        <v>398</v>
      </c>
      <c r="O569" s="40" t="s">
        <v>25</v>
      </c>
      <c r="P569" s="224" t="s">
        <v>1663</v>
      </c>
      <c r="Q569" s="45"/>
      <c r="R569" s="166"/>
      <c r="S569" s="166"/>
      <c r="T569" s="44">
        <f>+_xlfn.XLOOKUP(PROYECTOS[[#This Row],[MUNICIPIO]],'4.CAP_ENDMNT'!B:B,'4.CAP_ENDMNT'!C:C,0,0,1)</f>
        <v>6</v>
      </c>
      <c r="U569" s="167">
        <f>+_xlfn.XLOOKUP(PROYECTOS[[#This Row],[MUNICIPIO]],'4.CAP_ENDMNT'!B:B,'4.CAP_ENDMNT'!D:D,0,0,1)</f>
        <v>26491016162.216</v>
      </c>
      <c r="V569" s="44">
        <f>+_xlfn.XLOOKUP(PROYECTOS[[#This Row],[MUNICIPIO]],'4.CAP_ENDMNT'!B:B,'4.CAP_ENDMNT'!E:E,0,0,1)</f>
        <v>7986352410.1199999</v>
      </c>
      <c r="W569" s="44">
        <f>+_xlfn.XLOOKUP(PROYECTOS[[#This Row],[MUNICIPIO]],'4.CAP_ENDMNT'!B:B,'4.CAP_ENDMNT'!F:F,0,0,1)</f>
        <v>18504663752.096001</v>
      </c>
      <c r="X569" s="44">
        <f>+_xlfn.XLOOKUP(PROYECTOS[[#This Row],[MUNICIPIO]],'4.CAP_ENDMNT'!B:B,'4.CAP_ENDMNT'!G:G,0,0,1)</f>
        <v>6804069561</v>
      </c>
      <c r="Y569" s="44">
        <f>+_xlfn.XLOOKUP(PROYECTOS[[#This Row],[MUNICIPIO]],'4.CAP_ENDMNT'!B:B,'4.CAP_ENDMNT'!H:H,0,0,1)</f>
        <v>0</v>
      </c>
      <c r="Z569" s="44">
        <f>+_xlfn.XLOOKUP(PROYECTOS[[#This Row],[MUNICIPIO]],'4.CAP_ENDMNT'!B:B,'4.CAP_ENDMNT'!I:I,0,0,1)</f>
        <v>6804069561</v>
      </c>
      <c r="AA569" s="134">
        <f>+_xlfn.XLOOKUP(PROYECTOS[[#This Row],[MUNICIPIO]],'4.CAP_ENDMNT'!B:B,'4.CAP_ENDMNT'!J:J,0,0,1)</f>
        <v>0.25684441545525194</v>
      </c>
      <c r="AB569" s="44">
        <f>+_xlfn.XLOOKUP(PROYECTOS[[#This Row],[MUNICIPIO]],'4.CAP_ENDMNT'!B:B,'4.CAP_ENDMNT'!K:K,0,0,1)</f>
        <v>19686946601.216</v>
      </c>
      <c r="AC569" s="44">
        <f>+_xlfn.XLOOKUP(PROYECTOS[[#This Row],[MUNICIPIO]],'4.CAP_ENDMNT'!B:B,'4.CAP_ENDMNT'!L:L,0,0,1)</f>
        <v>15749557280.972801</v>
      </c>
      <c r="AD569" s="44">
        <f>+_xlfn.XLOOKUP(PROYECTOS[[#This Row],[MUNICIPIO]],'4.CAP_ENDMNT'!B:B,'4.CAP_ENDMNT'!M:M,0,0,1)</f>
        <v>11812167960.729599</v>
      </c>
      <c r="AE569" s="134">
        <f>+_xlfn.XLOOKUP(PROYECTOS[[#This Row],[MUNICIPIO]],'4.CAP_ENDMNT'!B:B,'4.CAP_ENDMNT'!N:N,0,0,1)</f>
        <v>1</v>
      </c>
      <c r="AF569" s="134">
        <f>+_xlfn.XLOOKUP(PROYECTOS[[#This Row],[MUNICIPIO]],'4.CAP_ENDMNT'!B:B,'4.CAP_ENDMNT'!O:O,0,0,1)</f>
        <v>0.54140540347070121</v>
      </c>
      <c r="AG569" s="134">
        <f>+_xlfn.XLOOKUP(PROYECTOS[[#This Row],[MUNICIPIO]],'4.CAP_ENDMNT'!B:B,'4.CAP_ENDMNT'!P:P,0,0,1)</f>
        <v>0.8</v>
      </c>
      <c r="AH569" s="44" t="str">
        <f>+_xlfn.XLOOKUP(PROYECTOS[[#This Row],[MUNICIPIO]],'4.CAP_ENDMNT'!B:B,'4.CAP_ENDMNT'!Q:Q,0,0,1)</f>
        <v>Cumple</v>
      </c>
      <c r="AI569" s="139">
        <f>+_xlfn.XLOOKUP(PROYECTOS[[#This Row],[MUNICIPIO]],'4.CAP_ENDMNT'!B:B,'4.CAP_ENDMNT'!V:V,0,0,1)</f>
        <v>2362433592.1459198</v>
      </c>
      <c r="AJ569" s="139">
        <f>+_xlfn.XLOOKUP(PROYECTOS[[#This Row],[MUNICIPIO]],'4.CAP_ENDMNT'!B:B,'4.CAP_ENDMNT'!Y:Y,0,0,1)</f>
        <v>-15716605637.124481</v>
      </c>
      <c r="AK569"/>
      <c r="AL569"/>
      <c r="AM569"/>
    </row>
    <row r="570" spans="1:39" ht="15" customHeight="1">
      <c r="A570" s="44">
        <v>687</v>
      </c>
      <c r="B570" t="s">
        <v>1654</v>
      </c>
      <c r="C570" s="118">
        <f>+_xlfn.XLOOKUP(PROYECTOS[[#This Row],[ID_NECESIDAD]],'1.RADICADOS'!G:G,'1.RADICADOS'!C:C,0,0,1)*1</f>
        <v>45819</v>
      </c>
      <c r="D570" s="67" t="s">
        <v>369</v>
      </c>
      <c r="E570" s="47" t="str">
        <f>+_xlfn.XLOOKUP(PROYECTOS[[#This Row],[MUNICIPIO]],MUNICIPIOS!A:A,MUNICIPIOS!E:E,0,0,1)</f>
        <v>Nordeste</v>
      </c>
      <c r="F570" s="44">
        <f>+_xlfn.XLOOKUP(PROYECTOS[[#This Row],[MUNICIPIO]],MUNICIPIOS!A:A,MUNICIPIOS!F:F,0,0,1)</f>
        <v>-75.164902999999995</v>
      </c>
      <c r="G570" s="44" t="str">
        <f>+_xlfn.XLOOKUP(PROYECTOS[[#This Row],[MUNICIPIO]],MUNICIPIOS!A:A,MUNICIPIOS!G:G,0,0,1)</f>
        <v>6,473032</v>
      </c>
      <c r="H570" s="44">
        <f>+_xlfn.XLOOKUP(PROYECTOS[[#This Row],[MUNICIPIO]],MUNICIPIOS!A:A,MUNICIPIOS!B:B,0,0,1)</f>
        <v>0</v>
      </c>
      <c r="I570" s="44">
        <f>+_xlfn.XLOOKUP(PROYECTOS[[#This Row],[MUNICIPIO]],MUNICIPIOS!A:A,MUNICIPIOS!C:C,0,0,1)</f>
        <v>1</v>
      </c>
      <c r="J570" s="34" t="str" cm="1">
        <f t="array" ref="J570">_xlfn.TEXTJOIN(", ", TRUE, IF(radicados[ID PROYECTOS]=A570, radicados[RADICADO], ""))</f>
        <v>2025010291398</v>
      </c>
      <c r="K570" s="45">
        <v>3</v>
      </c>
      <c r="L570" s="212">
        <v>17504145871</v>
      </c>
      <c r="M570" s="34" t="s">
        <v>288</v>
      </c>
      <c r="N570" s="40" t="s">
        <v>398</v>
      </c>
      <c r="O570" s="40" t="s">
        <v>25</v>
      </c>
      <c r="P570" s="224"/>
      <c r="Q570" s="45"/>
      <c r="R570" s="166"/>
      <c r="S570" s="166"/>
      <c r="T570" s="44">
        <f>+_xlfn.XLOOKUP(PROYECTOS[[#This Row],[MUNICIPIO]],'4.CAP_ENDMNT'!B:B,'4.CAP_ENDMNT'!C:C,0,0,1)</f>
        <v>6</v>
      </c>
      <c r="U570" s="167">
        <f>+_xlfn.XLOOKUP(PROYECTOS[[#This Row],[MUNICIPIO]],'4.CAP_ENDMNT'!B:B,'4.CAP_ENDMNT'!D:D,0,0,1)</f>
        <v>13758623676.126001</v>
      </c>
      <c r="V570" s="44">
        <f>+_xlfn.XLOOKUP(PROYECTOS[[#This Row],[MUNICIPIO]],'4.CAP_ENDMNT'!B:B,'4.CAP_ENDMNT'!E:E,0,0,1)</f>
        <v>4170961872.3800001</v>
      </c>
      <c r="W570" s="44">
        <f>+_xlfn.XLOOKUP(PROYECTOS[[#This Row],[MUNICIPIO]],'4.CAP_ENDMNT'!B:B,'4.CAP_ENDMNT'!F:F,0,0,1)</f>
        <v>9587661803.7460022</v>
      </c>
      <c r="X570" s="44">
        <f>+_xlfn.XLOOKUP(PROYECTOS[[#This Row],[MUNICIPIO]],'4.CAP_ENDMNT'!B:B,'4.CAP_ENDMNT'!G:G,0,0,1)</f>
        <v>5765015946</v>
      </c>
      <c r="Y570" s="44">
        <f>+_xlfn.XLOOKUP(PROYECTOS[[#This Row],[MUNICIPIO]],'4.CAP_ENDMNT'!B:B,'4.CAP_ENDMNT'!H:H,0,0,1)</f>
        <v>0</v>
      </c>
      <c r="Z570" s="44">
        <f>+_xlfn.XLOOKUP(PROYECTOS[[#This Row],[MUNICIPIO]],'4.CAP_ENDMNT'!B:B,'4.CAP_ENDMNT'!I:I,0,0,1)</f>
        <v>5765015946</v>
      </c>
      <c r="AA570" s="134">
        <f>+_xlfn.XLOOKUP(PROYECTOS[[#This Row],[MUNICIPIO]],'4.CAP_ENDMNT'!B:B,'4.CAP_ENDMNT'!J:J,0,0,1)</f>
        <v>0.41901109309381507</v>
      </c>
      <c r="AB570" s="44">
        <f>+_xlfn.XLOOKUP(PROYECTOS[[#This Row],[MUNICIPIO]],'4.CAP_ENDMNT'!B:B,'4.CAP_ENDMNT'!K:K,0,0,1)</f>
        <v>7993607730.1260014</v>
      </c>
      <c r="AC570" s="44">
        <f>+_xlfn.XLOOKUP(PROYECTOS[[#This Row],[MUNICIPIO]],'4.CAP_ENDMNT'!B:B,'4.CAP_ENDMNT'!L:L,0,0,1)</f>
        <v>6394886184.1008015</v>
      </c>
      <c r="AD570" s="44">
        <f>+_xlfn.XLOOKUP(PROYECTOS[[#This Row],[MUNICIPIO]],'4.CAP_ENDMNT'!B:B,'4.CAP_ENDMNT'!M:M,0,0,1)</f>
        <v>4796164638.0756006</v>
      </c>
      <c r="AE570" s="134">
        <f>+_xlfn.XLOOKUP(PROYECTOS[[#This Row],[MUNICIPIO]],'4.CAP_ENDMNT'!B:B,'4.CAP_ENDMNT'!N:N,0,0,1)</f>
        <v>1</v>
      </c>
      <c r="AF570" s="134">
        <f>+_xlfn.XLOOKUP(PROYECTOS[[#This Row],[MUNICIPIO]],'4.CAP_ENDMNT'!B:B,'4.CAP_ENDMNT'!O:O,0,0,1)</f>
        <v>0.61660684639206742</v>
      </c>
      <c r="AG570" s="134">
        <f>+_xlfn.XLOOKUP(PROYECTOS[[#This Row],[MUNICIPIO]],'4.CAP_ENDMNT'!B:B,'4.CAP_ENDMNT'!P:P,0,0,1)</f>
        <v>0.8</v>
      </c>
      <c r="AH570" s="44" t="str">
        <f>+_xlfn.XLOOKUP(PROYECTOS[[#This Row],[MUNICIPIO]],'4.CAP_ENDMNT'!B:B,'4.CAP_ENDMNT'!Q:Q,0,0,1)</f>
        <v>Cumple</v>
      </c>
      <c r="AI570" s="139">
        <f>+_xlfn.XLOOKUP(PROYECTOS[[#This Row],[MUNICIPIO]],'4.CAP_ENDMNT'!B:B,'4.CAP_ENDMNT'!V:V,0,0,1)</f>
        <v>959232927.61512017</v>
      </c>
      <c r="AJ570" s="139">
        <f>+_xlfn.XLOOKUP(PROYECTOS[[#This Row],[MUNICIPIO]],'4.CAP_ENDMNT'!B:B,'4.CAP_ENDMNT'!Y:Y,0,0,1)</f>
        <v>-12238697187.30928</v>
      </c>
      <c r="AK570"/>
      <c r="AL570"/>
      <c r="AM570"/>
    </row>
    <row r="571" spans="1:39" ht="15" customHeight="1">
      <c r="A571" s="44">
        <v>688</v>
      </c>
      <c r="B571" t="s">
        <v>1655</v>
      </c>
      <c r="C571" s="118">
        <f>+_xlfn.XLOOKUP(PROYECTOS[[#This Row],[ID_NECESIDAD]],'1.RADICADOS'!G:G,'1.RADICADOS'!C:C,0,0,1)*1</f>
        <v>45819</v>
      </c>
      <c r="D571" s="67" t="s">
        <v>362</v>
      </c>
      <c r="E571" s="47" t="str">
        <f>+_xlfn.XLOOKUP(PROYECTOS[[#This Row],[MUNICIPIO]],MUNICIPIOS!A:A,MUNICIPIOS!E:E,0,0,1)</f>
        <v>Occidente</v>
      </c>
      <c r="F571" s="44">
        <f>+_xlfn.XLOOKUP(PROYECTOS[[#This Row],[MUNICIPIO]],MUNICIPIOS!A:A,MUNICIPIOS!F:F,0,0,1)</f>
        <v>-76.261613999999994</v>
      </c>
      <c r="G571" s="44" t="str">
        <f>+_xlfn.XLOOKUP(PROYECTOS[[#This Row],[MUNICIPIO]],MUNICIPIOS!A:A,MUNICIPIOS!G:G,0,0,1)</f>
        <v>6,998112</v>
      </c>
      <c r="H571" s="44">
        <f>+_xlfn.XLOOKUP(PROYECTOS[[#This Row],[MUNICIPIO]],MUNICIPIOS!A:A,MUNICIPIOS!B:B,0,0,1)</f>
        <v>1</v>
      </c>
      <c r="I571" s="44">
        <f>+_xlfn.XLOOKUP(PROYECTOS[[#This Row],[MUNICIPIO]],MUNICIPIOS!A:A,MUNICIPIOS!C:C,0,0,1)</f>
        <v>1</v>
      </c>
      <c r="J571" s="34" t="str" cm="1">
        <f t="array" ref="J571">_xlfn.TEXTJOIN(", ", TRUE, IF(radicados[ID PROYECTOS]=A571, radicados[RADICADO], ""))</f>
        <v>2025010290870</v>
      </c>
      <c r="K571" s="45">
        <v>1</v>
      </c>
      <c r="L571" s="223"/>
      <c r="M571" s="34" t="s">
        <v>428</v>
      </c>
      <c r="N571" s="40" t="s">
        <v>398</v>
      </c>
      <c r="O571" s="40" t="s">
        <v>25</v>
      </c>
      <c r="P571" s="224"/>
      <c r="Q571" s="45"/>
      <c r="R571" s="166"/>
      <c r="S571" s="166"/>
      <c r="T571" s="44">
        <f>+_xlfn.XLOOKUP(PROYECTOS[[#This Row],[MUNICIPIO]],'4.CAP_ENDMNT'!B:B,'4.CAP_ENDMNT'!C:C,0,0,1)</f>
        <v>6</v>
      </c>
      <c r="U571" s="167">
        <f>+_xlfn.XLOOKUP(PROYECTOS[[#This Row],[MUNICIPIO]],'4.CAP_ENDMNT'!B:B,'4.CAP_ENDMNT'!D:D,0,0,1)</f>
        <v>24612921465.534</v>
      </c>
      <c r="V571" s="44">
        <f>+_xlfn.XLOOKUP(PROYECTOS[[#This Row],[MUNICIPIO]],'4.CAP_ENDMNT'!B:B,'4.CAP_ENDMNT'!E:E,0,0,1)</f>
        <v>6692367651.6599998</v>
      </c>
      <c r="W571" s="44">
        <f>+_xlfn.XLOOKUP(PROYECTOS[[#This Row],[MUNICIPIO]],'4.CAP_ENDMNT'!B:B,'4.CAP_ENDMNT'!F:F,0,0,1)</f>
        <v>17920553813.874001</v>
      </c>
      <c r="X571" s="44">
        <f>+_xlfn.XLOOKUP(PROYECTOS[[#This Row],[MUNICIPIO]],'4.CAP_ENDMNT'!B:B,'4.CAP_ENDMNT'!G:G,0,0,1)</f>
        <v>830923107</v>
      </c>
      <c r="Y571" s="44">
        <f>+_xlfn.XLOOKUP(PROYECTOS[[#This Row],[MUNICIPIO]],'4.CAP_ENDMNT'!B:B,'4.CAP_ENDMNT'!H:H,0,0,1)</f>
        <v>8409573820</v>
      </c>
      <c r="Z571" s="44">
        <f>+_xlfn.XLOOKUP(PROYECTOS[[#This Row],[MUNICIPIO]],'4.CAP_ENDMNT'!B:B,'4.CAP_ENDMNT'!I:I,0,0,1)</f>
        <v>9240496927</v>
      </c>
      <c r="AA571" s="134">
        <f>+_xlfn.XLOOKUP(PROYECTOS[[#This Row],[MUNICIPIO]],'4.CAP_ENDMNT'!B:B,'4.CAP_ENDMNT'!J:J,0,0,1)</f>
        <v>0.37543275551176097</v>
      </c>
      <c r="AB571" s="44">
        <f>+_xlfn.XLOOKUP(PROYECTOS[[#This Row],[MUNICIPIO]],'4.CAP_ENDMNT'!B:B,'4.CAP_ENDMNT'!K:K,0,0,1)</f>
        <v>15372424538.534</v>
      </c>
      <c r="AC571" s="44">
        <f>+_xlfn.XLOOKUP(PROYECTOS[[#This Row],[MUNICIPIO]],'4.CAP_ENDMNT'!B:B,'4.CAP_ENDMNT'!L:L,0,0,1)</f>
        <v>12297939630.827202</v>
      </c>
      <c r="AD571" s="44">
        <f>+_xlfn.XLOOKUP(PROYECTOS[[#This Row],[MUNICIPIO]],'4.CAP_ENDMNT'!B:B,'4.CAP_ENDMNT'!M:M,0,0,1)</f>
        <v>9223454723.1203995</v>
      </c>
      <c r="AE571" s="134">
        <f>+_xlfn.XLOOKUP(PROYECTOS[[#This Row],[MUNICIPIO]],'4.CAP_ENDMNT'!B:B,'4.CAP_ENDMNT'!N:N,0,0,1)</f>
        <v>8.9921907183596203E-2</v>
      </c>
      <c r="AF571" s="134">
        <f>+_xlfn.XLOOKUP(PROYECTOS[[#This Row],[MUNICIPIO]],'4.CAP_ENDMNT'!B:B,'4.CAP_ENDMNT'!O:O,0,0,1)</f>
        <v>0.49254696748300181</v>
      </c>
      <c r="AG571" s="134">
        <f>+_xlfn.XLOOKUP(PROYECTOS[[#This Row],[MUNICIPIO]],'4.CAP_ENDMNT'!B:B,'4.CAP_ENDMNT'!P:P,0,0,1)</f>
        <v>0.8</v>
      </c>
      <c r="AH571" s="44" t="str">
        <f>+_xlfn.XLOOKUP(PROYECTOS[[#This Row],[MUNICIPIO]],'4.CAP_ENDMNT'!B:B,'4.CAP_ENDMNT'!Q:Q,0,0,1)</f>
        <v>Cumple</v>
      </c>
      <c r="AI571" s="139">
        <f>+_xlfn.XLOOKUP(PROYECTOS[[#This Row],[MUNICIPIO]],'4.CAP_ENDMNT'!B:B,'4.CAP_ENDMNT'!V:V,0,0,1)</f>
        <v>1844690944.6240799</v>
      </c>
      <c r="AJ571" s="139">
        <f>+_xlfn.XLOOKUP(PROYECTOS[[#This Row],[MUNICIPIO]],'4.CAP_ENDMNT'!B:B,'4.CAP_ENDMNT'!Y:Y,0,0,1)</f>
        <v>10069545667.74448</v>
      </c>
      <c r="AK571"/>
      <c r="AL571"/>
      <c r="AM571"/>
    </row>
    <row r="572" spans="1:39" ht="15" customHeight="1">
      <c r="A572" s="44">
        <v>689</v>
      </c>
      <c r="B572" t="s">
        <v>1656</v>
      </c>
      <c r="C572" s="118">
        <f>+_xlfn.XLOOKUP(PROYECTOS[[#This Row],[ID_NECESIDAD]],'1.RADICADOS'!G:G,'1.RADICADOS'!C:C,0,0,1)*1</f>
        <v>45820</v>
      </c>
      <c r="D572" s="67" t="s">
        <v>63</v>
      </c>
      <c r="E572" s="47" t="str">
        <f>+_xlfn.XLOOKUP(PROYECTOS[[#This Row],[MUNICIPIO]],MUNICIPIOS!A:A,MUNICIPIOS!E:E,0,0,1)</f>
        <v>Urabá</v>
      </c>
      <c r="F572" s="44">
        <f>+_xlfn.XLOOKUP(PROYECTOS[[#This Row],[MUNICIPIO]],MUNICIPIOS!A:A,MUNICIPIOS!F:F,0,0,1)</f>
        <v>-76.380566999999999</v>
      </c>
      <c r="G572" s="44" t="str">
        <f>+_xlfn.XLOOKUP(PROYECTOS[[#This Row],[MUNICIPIO]],MUNICIPIOS!A:A,MUNICIPIOS!G:G,0,0,1)</f>
        <v>8,276884</v>
      </c>
      <c r="H572" s="44">
        <f>+_xlfn.XLOOKUP(PROYECTOS[[#This Row],[MUNICIPIO]],MUNICIPIOS!A:A,MUNICIPIOS!B:B,0,0,1)</f>
        <v>1</v>
      </c>
      <c r="I572" s="44">
        <f>+_xlfn.XLOOKUP(PROYECTOS[[#This Row],[MUNICIPIO]],MUNICIPIOS!A:A,MUNICIPIOS!C:C,0,0,1)</f>
        <v>1</v>
      </c>
      <c r="J572" s="34" t="str" cm="1">
        <f t="array" ref="J572">_xlfn.TEXTJOIN(", ", TRUE, IF(radicados[ID PROYECTOS]=A572, radicados[RADICADO], ""))</f>
        <v>2025010294662</v>
      </c>
      <c r="K572" s="45">
        <v>1</v>
      </c>
      <c r="L572" s="118"/>
      <c r="M572" s="34" t="s">
        <v>396</v>
      </c>
      <c r="N572" s="40" t="s">
        <v>398</v>
      </c>
      <c r="O572" s="40" t="s">
        <v>25</v>
      </c>
      <c r="P572" s="225" t="s">
        <v>1664</v>
      </c>
      <c r="Q572" s="45"/>
      <c r="R572" s="166"/>
      <c r="S572" s="166"/>
      <c r="T572" s="44">
        <f>+_xlfn.XLOOKUP(PROYECTOS[[#This Row],[MUNICIPIO]],'4.CAP_ENDMNT'!B:B,'4.CAP_ENDMNT'!C:C,0,0,1)</f>
        <v>6</v>
      </c>
      <c r="U572" s="167">
        <f>+_xlfn.XLOOKUP(PROYECTOS[[#This Row],[MUNICIPIO]],'4.CAP_ENDMNT'!B:B,'4.CAP_ENDMNT'!D:D,0,0,1)</f>
        <v>19508372714.52</v>
      </c>
      <c r="V572" s="44">
        <f>+_xlfn.XLOOKUP(PROYECTOS[[#This Row],[MUNICIPIO]],'4.CAP_ENDMNT'!B:B,'4.CAP_ENDMNT'!E:E,0,0,1)</f>
        <v>5389834315.5</v>
      </c>
      <c r="W572" s="44">
        <f>+_xlfn.XLOOKUP(PROYECTOS[[#This Row],[MUNICIPIO]],'4.CAP_ENDMNT'!B:B,'4.CAP_ENDMNT'!F:F,0,0,1)</f>
        <v>14118538399.02</v>
      </c>
      <c r="X572" s="44">
        <f>+_xlfn.XLOOKUP(PROYECTOS[[#This Row],[MUNICIPIO]],'4.CAP_ENDMNT'!B:B,'4.CAP_ENDMNT'!G:G,0,0,1)</f>
        <v>2594281047</v>
      </c>
      <c r="Y572" s="44">
        <f>+_xlfn.XLOOKUP(PROYECTOS[[#This Row],[MUNICIPIO]],'4.CAP_ENDMNT'!B:B,'4.CAP_ENDMNT'!H:H,0,0,1)</f>
        <v>1833333333</v>
      </c>
      <c r="Z572" s="44">
        <f>+_xlfn.XLOOKUP(PROYECTOS[[#This Row],[MUNICIPIO]],'4.CAP_ENDMNT'!B:B,'4.CAP_ENDMNT'!I:I,0,0,1)</f>
        <v>4427614380</v>
      </c>
      <c r="AA572" s="134">
        <f>+_xlfn.XLOOKUP(PROYECTOS[[#This Row],[MUNICIPIO]],'4.CAP_ENDMNT'!B:B,'4.CAP_ENDMNT'!J:J,0,0,1)</f>
        <v>0.22695969801235882</v>
      </c>
      <c r="AB572" s="44">
        <f>+_xlfn.XLOOKUP(PROYECTOS[[#This Row],[MUNICIPIO]],'4.CAP_ENDMNT'!B:B,'4.CAP_ENDMNT'!K:K,0,0,1)</f>
        <v>15080758334.52</v>
      </c>
      <c r="AC572" s="44">
        <f>+_xlfn.XLOOKUP(PROYECTOS[[#This Row],[MUNICIPIO]],'4.CAP_ENDMNT'!B:B,'4.CAP_ENDMNT'!L:L,0,0,1)</f>
        <v>12064606667.616001</v>
      </c>
      <c r="AD572" s="44">
        <f>+_xlfn.XLOOKUP(PROYECTOS[[#This Row],[MUNICIPIO]],'4.CAP_ENDMNT'!B:B,'4.CAP_ENDMNT'!M:M,0,0,1)</f>
        <v>9048455000.7119999</v>
      </c>
      <c r="AE572" s="134">
        <f>+_xlfn.XLOOKUP(PROYECTOS[[#This Row],[MUNICIPIO]],'4.CAP_ENDMNT'!B:B,'4.CAP_ENDMNT'!N:N,0,0,1)</f>
        <v>0.58593202215591322</v>
      </c>
      <c r="AF572" s="134">
        <f>+_xlfn.XLOOKUP(PROYECTOS[[#This Row],[MUNICIPIO]],'4.CAP_ENDMNT'!B:B,'4.CAP_ENDMNT'!O:O,0,0,1)</f>
        <v>0.58851112900500024</v>
      </c>
      <c r="AG572" s="134">
        <f>+_xlfn.XLOOKUP(PROYECTOS[[#This Row],[MUNICIPIO]],'4.CAP_ENDMNT'!B:B,'4.CAP_ENDMNT'!P:P,0,0,1)</f>
        <v>0.8</v>
      </c>
      <c r="AH572" s="44" t="str">
        <f>+_xlfn.XLOOKUP(PROYECTOS[[#This Row],[MUNICIPIO]],'4.CAP_ENDMNT'!B:B,'4.CAP_ENDMNT'!Q:Q,0,0,1)</f>
        <v>Cumple</v>
      </c>
      <c r="AI572" s="139">
        <f>+_xlfn.XLOOKUP(PROYECTOS[[#This Row],[MUNICIPIO]],'4.CAP_ENDMNT'!B:B,'4.CAP_ENDMNT'!V:V,0,0,1)</f>
        <v>1809691000.1424</v>
      </c>
      <c r="AJ572" s="139">
        <f>+_xlfn.XLOOKUP(PROYECTOS[[#This Row],[MUNICIPIO]],'4.CAP_ENDMNT'!B:B,'4.CAP_ENDMNT'!Y:Y,0,0,1)</f>
        <v>-12348843887.145599</v>
      </c>
      <c r="AK572"/>
      <c r="AL572"/>
      <c r="AM572"/>
    </row>
    <row r="573" spans="1:39" ht="15" customHeight="1">
      <c r="A573" s="44">
        <v>690</v>
      </c>
      <c r="B573" s="232" t="str">
        <f>+_xlfn.XLOOKUP(PROYECTOS[[#This Row],[ID_NECESIDAD]],'1.RADICADOS'!G:G,'1.RADICADOS'!H:H,0,0,1)</f>
        <v>CONSTRUCCION DE VIAS INTERNAS DEL PROYECTO RENOVACION URBANISTICA DEL MUNICIPIO DE TURBO, DEPARTAMENTO DE ANTIOQUIA 1052 M PAV RIGIDO</v>
      </c>
      <c r="C573" s="118">
        <f>+_xlfn.XLOOKUP(PROYECTOS[[#This Row],[ID_NECESIDAD]],'1.RADICADOS'!G:G,'1.RADICADOS'!C:C,0,0,1)*1</f>
        <v>45833</v>
      </c>
      <c r="D573" s="118" t="str">
        <f>+_xlfn.XLOOKUP(PROYECTOS[[#This Row],[ID_NECESIDAD]],'1.RADICADOS'!G:G,'1.RADICADOS'!F:F,0,0,1)</f>
        <v>Turbo</v>
      </c>
      <c r="E573" s="47" t="str">
        <f>+_xlfn.XLOOKUP(PROYECTOS[[#This Row],[MUNICIPIO]],MUNICIPIOS!A:A,MUNICIPIOS!E:E,0,0,1)</f>
        <v>Urabá</v>
      </c>
      <c r="F573" s="44">
        <f>+_xlfn.XLOOKUP(PROYECTOS[[#This Row],[MUNICIPIO]],MUNICIPIOS!A:A,MUNICIPIOS!F:F,0,0,1)</f>
        <v>-76.728858000000002</v>
      </c>
      <c r="G573" s="44">
        <f>+_xlfn.XLOOKUP(PROYECTOS[[#This Row],[MUNICIPIO]],MUNICIPIOS!A:A,MUNICIPIOS!G:G,0,0,1)</f>
        <v>8.0899289999999997</v>
      </c>
      <c r="H573" s="44">
        <f>+LOOKUP(PROYECTOS[[#This Row],[MUNICIPIO]],Table1[Municipio],Table1[PDET])</f>
        <v>0</v>
      </c>
      <c r="I573" s="45">
        <f>+LOOKUP(PROYECTOS[[#This Row],[MUNICIPIO]],Table1[Municipio],Table1[ZOMAC])</f>
        <v>0</v>
      </c>
      <c r="J573" s="34" t="str" cm="1">
        <f t="array" ref="J573">_xlfn.TEXTJOIN(", ", TRUE, IF(radicados[ID PROYECTOS]=A573, radicados[RADICADO], ""))</f>
        <v>2025010312573</v>
      </c>
      <c r="K573" s="67">
        <v>3</v>
      </c>
      <c r="L573" s="212">
        <f>+_xlfn.XLOOKUP(PROYECTOS[[#This Row],[ID_NECESIDAD]],'1.RADICADOS'!G:G,'1.RADICADOS'!J:J,0,0,1)</f>
        <v>9735234421.7000008</v>
      </c>
      <c r="M573" s="34" t="s">
        <v>401</v>
      </c>
      <c r="N573" s="40" t="s">
        <v>398</v>
      </c>
      <c r="O573" s="40" t="s">
        <v>25</v>
      </c>
      <c r="P573" s="237"/>
      <c r="Q573" s="45"/>
      <c r="R573" s="166"/>
      <c r="S573" s="166"/>
      <c r="T573" s="44">
        <f>+_xlfn.XLOOKUP(PROYECTOS[[#This Row],[MUNICIPIO]],'4.CAP_ENDMNT'!B:B,'4.CAP_ENDMNT'!C:C,0,0,1)</f>
        <v>5</v>
      </c>
      <c r="U573" s="167">
        <f>+_xlfn.XLOOKUP(PROYECTOS[[#This Row],[MUNICIPIO]],'4.CAP_ENDMNT'!B:B,'4.CAP_ENDMNT'!D:D,0,0,1)</f>
        <v>57277943756.629501</v>
      </c>
      <c r="V573" s="44">
        <f>+_xlfn.XLOOKUP(PROYECTOS[[#This Row],[MUNICIPIO]],'4.CAP_ENDMNT'!B:B,'4.CAP_ENDMNT'!E:E,0,0,1)</f>
        <v>34159399600.959999</v>
      </c>
      <c r="W573" s="44">
        <f>+_xlfn.XLOOKUP(PROYECTOS[[#This Row],[MUNICIPIO]],'4.CAP_ENDMNT'!B:B,'4.CAP_ENDMNT'!F:F,0,0,1)</f>
        <v>23118544155.669502</v>
      </c>
      <c r="X573" s="44">
        <f>+_xlfn.XLOOKUP(PROYECTOS[[#This Row],[MUNICIPIO]],'4.CAP_ENDMNT'!B:B,'4.CAP_ENDMNT'!G:G,0,0,1)</f>
        <v>3450000000</v>
      </c>
      <c r="Y573" s="44">
        <f>+_xlfn.XLOOKUP(PROYECTOS[[#This Row],[MUNICIPIO]],'4.CAP_ENDMNT'!B:B,'4.CAP_ENDMNT'!H:H,0,0,1)</f>
        <v>21452083665</v>
      </c>
      <c r="Z573" s="44">
        <f>+_xlfn.XLOOKUP(PROYECTOS[[#This Row],[MUNICIPIO]],'4.CAP_ENDMNT'!B:B,'4.CAP_ENDMNT'!I:I,0,0,1)</f>
        <v>24902083665</v>
      </c>
      <c r="AA573" s="134">
        <f>+_xlfn.XLOOKUP(PROYECTOS[[#This Row],[MUNICIPIO]],'4.CAP_ENDMNT'!B:B,'4.CAP_ENDMNT'!J:J,0,0,1)</f>
        <v>0.43475868775610099</v>
      </c>
      <c r="AB573" s="44">
        <f>+_xlfn.XLOOKUP(PROYECTOS[[#This Row],[MUNICIPIO]],'4.CAP_ENDMNT'!B:B,'4.CAP_ENDMNT'!K:K,0,0,1)</f>
        <v>32375860091.629501</v>
      </c>
      <c r="AC573" s="44">
        <f>+_xlfn.XLOOKUP(PROYECTOS[[#This Row],[MUNICIPIO]],'4.CAP_ENDMNT'!B:B,'4.CAP_ENDMNT'!L:L,0,0,1)</f>
        <v>25900688073.303604</v>
      </c>
      <c r="AD573" s="44">
        <f>+_xlfn.XLOOKUP(PROYECTOS[[#This Row],[MUNICIPIO]],'4.CAP_ENDMNT'!B:B,'4.CAP_ENDMNT'!M:M,0,0,1)</f>
        <v>19425516054.977699</v>
      </c>
      <c r="AE573" s="134">
        <f>+_xlfn.XLOOKUP(PROYECTOS[[#This Row],[MUNICIPIO]],'4.CAP_ENDMNT'!B:B,'4.CAP_ENDMNT'!N:N,0,0,1)</f>
        <v>0.13854262343712995</v>
      </c>
      <c r="AF573" s="134">
        <f>+_xlfn.XLOOKUP(PROYECTOS[[#This Row],[MUNICIPIO]],'4.CAP_ENDMNT'!B:B,'4.CAP_ENDMNT'!O:O,0,0,1)</f>
        <v>0.87015152665365447</v>
      </c>
      <c r="AG573" s="134">
        <f>+_xlfn.XLOOKUP(PROYECTOS[[#This Row],[MUNICIPIO]],'4.CAP_ENDMNT'!B:B,'4.CAP_ENDMNT'!P:P,0,0,1)</f>
        <v>0.8</v>
      </c>
      <c r="AH573" s="44" t="str">
        <f>+_xlfn.XLOOKUP(PROYECTOS[[#This Row],[MUNICIPIO]],'4.CAP_ENDMNT'!B:B,'4.CAP_ENDMNT'!Q:Q,0,0,1)</f>
        <v>Incumple</v>
      </c>
      <c r="AI573" s="139">
        <f>+_xlfn.XLOOKUP(PROYECTOS[[#This Row],[MUNICIPIO]],'4.CAP_ENDMNT'!B:B,'4.CAP_ENDMNT'!V:V,0,0,1)</f>
        <v>3885103210.9955401</v>
      </c>
      <c r="AJ573" s="139">
        <f>+_xlfn.XLOOKUP(PROYECTOS[[#This Row],[MUNICIPIO]],'4.CAP_ENDMNT'!B:B,'4.CAP_ENDMNT'!Y:Y,0,0,1)</f>
        <v>-114052861009.72676</v>
      </c>
      <c r="AK573"/>
      <c r="AL573"/>
      <c r="AM573"/>
    </row>
    <row r="574" spans="1:39" ht="15" customHeight="1">
      <c r="A574" s="44">
        <v>691</v>
      </c>
      <c r="B574" s="118" t="str">
        <f>+_xlfn.XLOOKUP(PROYECTOS[[#This Row],[ID_NECESIDAD]],'1.RADICADOS'!G:G,'1.RADICADOS'!H:H,0,0,1)</f>
        <v>CONSTRUCCIÓN DE 1,005 KILOMETROS DE PAVIMENTO RIGIDO EN LA VEREDA LOS CEDROS Y 1,023 KILOMETROS DE PAVIMENTO RIGIDO EN LA VEREDA LA CIENAGA, EN JURISDICCIÓN DEL MUNICIPIO DE SAN JERONIMO, SUBREGIÓN OCCIDENTE DEL DEPARTAMENTO DE ANTIOQUIA</v>
      </c>
      <c r="C574" s="118">
        <f>+_xlfn.XLOOKUP(PROYECTOS[[#This Row],[ID_NECESIDAD]],'1.RADICADOS'!G:G,'1.RADICADOS'!C:C,0,0,1)*1</f>
        <v>45720</v>
      </c>
      <c r="D574" s="118" t="str">
        <f>+_xlfn.XLOOKUP(PROYECTOS[[#This Row],[ID_NECESIDAD]],'1.RADICADOS'!G:G,'1.RADICADOS'!F:F,0,0,1)</f>
        <v>San Jerónimo</v>
      </c>
      <c r="E574" s="47" t="str">
        <f>+_xlfn.XLOOKUP(PROYECTOS[[#This Row],[MUNICIPIO]],MUNICIPIOS!A:A,MUNICIPIOS!E:E,0,0,1)</f>
        <v>Occidente</v>
      </c>
      <c r="F574" s="44">
        <f>+_xlfn.XLOOKUP(PROYECTOS[[#This Row],[MUNICIPIO]],MUNICIPIOS!A:A,MUNICIPIOS!F:F,0,0,1)</f>
        <v>-75.726974999999996</v>
      </c>
      <c r="G574" s="44" t="str">
        <f>+_xlfn.XLOOKUP(PROYECTOS[[#This Row],[MUNICIPIO]],MUNICIPIOS!A:A,MUNICIPIOS!G:G,0,0,1)</f>
        <v>6,44809</v>
      </c>
      <c r="H574" s="44">
        <f>+LOOKUP(PROYECTOS[[#This Row],[MUNICIPIO]],Table1[Municipio],Table1[PDET])</f>
        <v>0</v>
      </c>
      <c r="I574" s="45">
        <f>+LOOKUP(PROYECTOS[[#This Row],[MUNICIPIO]],Table1[Municipio],Table1[ZOMAC])</f>
        <v>0</v>
      </c>
      <c r="J574" s="34" t="str" cm="1">
        <f t="array" ref="J574">_xlfn.TEXTJOIN(", ", TRUE, IF(radicados[ID PROYECTOS]=A574, radicados[RADICADO], ""))</f>
        <v>2025010101249</v>
      </c>
      <c r="K574" s="230">
        <v>3</v>
      </c>
      <c r="L574" s="212">
        <f>+_xlfn.XLOOKUP(PROYECTOS[[#This Row],[ID_NECESIDAD]],'1.RADICADOS'!G:G,'1.RADICADOS'!J:J,0,0,1)</f>
        <v>4102567843.1700001</v>
      </c>
      <c r="M574" s="34" t="s">
        <v>401</v>
      </c>
      <c r="N574" s="40" t="s">
        <v>398</v>
      </c>
      <c r="O574" s="40" t="s">
        <v>25</v>
      </c>
      <c r="P574" s="228"/>
      <c r="Q574" s="45"/>
      <c r="R574" s="166"/>
      <c r="S574" s="166"/>
      <c r="T574" s="44">
        <f>+_xlfn.XLOOKUP(PROYECTOS[[#This Row],[MUNICIPIO]],'4.CAP_ENDMNT'!B:B,'4.CAP_ENDMNT'!C:C,0,0,1)</f>
        <v>6</v>
      </c>
      <c r="U574" s="167">
        <f>+_xlfn.XLOOKUP(PROYECTOS[[#This Row],[MUNICIPIO]],'4.CAP_ENDMNT'!B:B,'4.CAP_ENDMNT'!D:D,0,0,1)</f>
        <v>21865753958.964001</v>
      </c>
      <c r="V574" s="44">
        <f>+_xlfn.XLOOKUP(PROYECTOS[[#This Row],[MUNICIPIO]],'4.CAP_ENDMNT'!B:B,'4.CAP_ENDMNT'!E:E,0,0,1)</f>
        <v>8371779870.6599998</v>
      </c>
      <c r="W574" s="44">
        <f>+_xlfn.XLOOKUP(PROYECTOS[[#This Row],[MUNICIPIO]],'4.CAP_ENDMNT'!B:B,'4.CAP_ENDMNT'!F:F,0,0,1)</f>
        <v>13493974088.304001</v>
      </c>
      <c r="X574" s="44">
        <f>+_xlfn.XLOOKUP(PROYECTOS[[#This Row],[MUNICIPIO]],'4.CAP_ENDMNT'!B:B,'4.CAP_ENDMNT'!G:G,0,0,1)</f>
        <v>851002641</v>
      </c>
      <c r="Y574" s="44">
        <f>+_xlfn.XLOOKUP(PROYECTOS[[#This Row],[MUNICIPIO]],'4.CAP_ENDMNT'!B:B,'4.CAP_ENDMNT'!H:H,0,0,1)</f>
        <v>4636492005</v>
      </c>
      <c r="Z574" s="44">
        <f>+_xlfn.XLOOKUP(PROYECTOS[[#This Row],[MUNICIPIO]],'4.CAP_ENDMNT'!B:B,'4.CAP_ENDMNT'!I:I,0,0,1)</f>
        <v>5487494646</v>
      </c>
      <c r="AA574" s="134">
        <f>+_xlfn.XLOOKUP(PROYECTOS[[#This Row],[MUNICIPIO]],'4.CAP_ENDMNT'!B:B,'4.CAP_ENDMNT'!J:J,0,0,1)</f>
        <v>0.25096297416949431</v>
      </c>
      <c r="AB574" s="44">
        <f>+_xlfn.XLOOKUP(PROYECTOS[[#This Row],[MUNICIPIO]],'4.CAP_ENDMNT'!B:B,'4.CAP_ENDMNT'!K:K,0,0,1)</f>
        <v>16378259312.964001</v>
      </c>
      <c r="AC574" s="44">
        <f>+_xlfn.XLOOKUP(PROYECTOS[[#This Row],[MUNICIPIO]],'4.CAP_ENDMNT'!B:B,'4.CAP_ENDMNT'!L:L,0,0,1)</f>
        <v>13102607450.371201</v>
      </c>
      <c r="AD574" s="44">
        <f>+_xlfn.XLOOKUP(PROYECTOS[[#This Row],[MUNICIPIO]],'4.CAP_ENDMNT'!B:B,'4.CAP_ENDMNT'!M:M,0,0,1)</f>
        <v>9826955587.7784004</v>
      </c>
      <c r="AE574" s="134">
        <f>+_xlfn.XLOOKUP(PROYECTOS[[#This Row],[MUNICIPIO]],'4.CAP_ENDMNT'!B:B,'4.CAP_ENDMNT'!N:N,0,0,1)</f>
        <v>0.15508035923466848</v>
      </c>
      <c r="AF574" s="134">
        <f>+_xlfn.XLOOKUP(PROYECTOS[[#This Row],[MUNICIPIO]],'4.CAP_ENDMNT'!B:B,'4.CAP_ENDMNT'!O:O,0,0,1)</f>
        <v>0.43479333121090752</v>
      </c>
      <c r="AG574" s="134">
        <f>+_xlfn.XLOOKUP(PROYECTOS[[#This Row],[MUNICIPIO]],'4.CAP_ENDMNT'!B:B,'4.CAP_ENDMNT'!P:P,0,0,1)</f>
        <v>0.8</v>
      </c>
      <c r="AH574" s="44" t="str">
        <f>+_xlfn.XLOOKUP(PROYECTOS[[#This Row],[MUNICIPIO]],'4.CAP_ENDMNT'!B:B,'4.CAP_ENDMNT'!Q:Q,0,0,1)</f>
        <v>Cumple</v>
      </c>
      <c r="AI574" s="139">
        <f>+_xlfn.XLOOKUP(PROYECTOS[[#This Row],[MUNICIPIO]],'4.CAP_ENDMNT'!B:B,'4.CAP_ENDMNT'!V:V,0,0,1)</f>
        <v>1965391117.5556803</v>
      </c>
      <c r="AJ574" s="139">
        <f>+_xlfn.XLOOKUP(PROYECTOS[[#This Row],[MUNICIPIO]],'4.CAP_ENDMNT'!B:B,'4.CAP_ENDMNT'!Y:Y,0,0,1)</f>
        <v>-4462766845.8359203</v>
      </c>
      <c r="AK574"/>
      <c r="AL574"/>
      <c r="AM574"/>
    </row>
    <row r="575" spans="1:39" ht="15" customHeight="1">
      <c r="A575" s="44">
        <v>692</v>
      </c>
      <c r="B575" s="232" t="str">
        <f>+_xlfn.XLOOKUP(PROYECTOS[[#This Row],[ID_NECESIDAD]],'1.RADICADOS'!G:G,'1.RADICADOS'!H:H,0,0,1)</f>
        <v>CONSTRUCCIÓN DE OBRAS VIALES PARA MEJORAR LA CONECTIVIDAD DE NUESTRAS COMUNIDADES NEGRAS DE PUERTO GIRÓN ZONA RURAL DEL MUNICIPIO DE APARTADÓ, ANTIOQUIA”,</v>
      </c>
      <c r="C575" s="118">
        <f>+_xlfn.XLOOKUP(PROYECTOS[[#This Row],[ID_NECESIDAD]],'1.RADICADOS'!G:G,'1.RADICADOS'!C:C,0,0,1)*1</f>
        <v>45825</v>
      </c>
      <c r="D575" s="118" t="str">
        <f>+_xlfn.XLOOKUP(PROYECTOS[[#This Row],[ID_NECESIDAD]],'1.RADICADOS'!G:G,'1.RADICADOS'!F:F,0,0,1)</f>
        <v>Apartadó</v>
      </c>
      <c r="E575" s="47" t="str">
        <f>+_xlfn.XLOOKUP(PROYECTOS[[#This Row],[MUNICIPIO]],MUNICIPIOS!A:A,MUNICIPIOS!E:E,0,0,1)</f>
        <v>Urabá</v>
      </c>
      <c r="F575" s="44">
        <f>+_xlfn.XLOOKUP(PROYECTOS[[#This Row],[MUNICIPIO]],MUNICIPIOS!A:A,MUNICIPIOS!F:F,0,0,1)</f>
        <v>-76.625279000000006</v>
      </c>
      <c r="G575" s="44" t="str">
        <f>+_xlfn.XLOOKUP(PROYECTOS[[#This Row],[MUNICIPIO]],MUNICIPIOS!A:A,MUNICIPIOS!G:G,0,0,1)</f>
        <v>7,882968</v>
      </c>
      <c r="H575" s="44">
        <f>+LOOKUP(PROYECTOS[[#This Row],[MUNICIPIO]],Table1[Municipio],Table1[PDET])</f>
        <v>1</v>
      </c>
      <c r="I575" s="45">
        <f>+LOOKUP(PROYECTOS[[#This Row],[MUNICIPIO]],Table1[Municipio],Table1[ZOMAC])</f>
        <v>1</v>
      </c>
      <c r="J575" s="34" t="str" cm="1">
        <f t="array" ref="J575">_xlfn.TEXTJOIN(", ", TRUE, IF(radicados[ID PROYECTOS]=A575, radicados[RADICADO], ""))</f>
        <v>2025010301918, 2025010306251</v>
      </c>
      <c r="K575" s="230">
        <v>2</v>
      </c>
      <c r="L575" s="212">
        <f>+_xlfn.XLOOKUP(PROYECTOS[[#This Row],[ID_NECESIDAD]],'1.RADICADOS'!G:G,'1.RADICADOS'!J:J,0,0,1)</f>
        <v>10425971420</v>
      </c>
      <c r="M575" s="34" t="s">
        <v>401</v>
      </c>
      <c r="N575" s="40" t="s">
        <v>398</v>
      </c>
      <c r="O575" s="40" t="s">
        <v>25</v>
      </c>
      <c r="P575" s="33" t="s">
        <v>1672</v>
      </c>
      <c r="Q575" s="45"/>
      <c r="R575" s="166"/>
      <c r="S575" s="166"/>
      <c r="T575" s="44">
        <f>+_xlfn.XLOOKUP(PROYECTOS[[#This Row],[MUNICIPIO]],'4.CAP_ENDMNT'!B:B,'4.CAP_ENDMNT'!C:C,0,0,1)</f>
        <v>3</v>
      </c>
      <c r="U575" s="167">
        <f>+_xlfn.XLOOKUP(PROYECTOS[[#This Row],[MUNICIPIO]],'4.CAP_ENDMNT'!B:B,'4.CAP_ENDMNT'!D:D,0,0,1)</f>
        <v>77784648137.448013</v>
      </c>
      <c r="V575" s="44">
        <f>+_xlfn.XLOOKUP(PROYECTOS[[#This Row],[MUNICIPIO]],'4.CAP_ENDMNT'!B:B,'4.CAP_ENDMNT'!E:E,0,0,1)</f>
        <v>31716114442.57</v>
      </c>
      <c r="W575" s="44">
        <f>+_xlfn.XLOOKUP(PROYECTOS[[#This Row],[MUNICIPIO]],'4.CAP_ENDMNT'!B:B,'4.CAP_ENDMNT'!F:F,0,0,1)</f>
        <v>46068533694.878014</v>
      </c>
      <c r="X575" s="44">
        <f>+_xlfn.XLOOKUP(PROYECTOS[[#This Row],[MUNICIPIO]],'4.CAP_ENDMNT'!B:B,'4.CAP_ENDMNT'!G:G,0,0,1)</f>
        <v>43139212620</v>
      </c>
      <c r="Y575" s="44">
        <f>+_xlfn.XLOOKUP(PROYECTOS[[#This Row],[MUNICIPIO]],'4.CAP_ENDMNT'!B:B,'4.CAP_ENDMNT'!H:H,0,0,1)</f>
        <v>17341932907.400002</v>
      </c>
      <c r="Z575" s="44">
        <f>+_xlfn.XLOOKUP(PROYECTOS[[#This Row],[MUNICIPIO]],'4.CAP_ENDMNT'!B:B,'4.CAP_ENDMNT'!I:I,0,0,1)</f>
        <v>60481145527.400002</v>
      </c>
      <c r="AA575" s="134">
        <f>+_xlfn.XLOOKUP(PROYECTOS[[#This Row],[MUNICIPIO]],'4.CAP_ENDMNT'!B:B,'4.CAP_ENDMNT'!J:J,0,0,1)</f>
        <v>0.77754604508241576</v>
      </c>
      <c r="AB575" s="44">
        <f>+_xlfn.XLOOKUP(PROYECTOS[[#This Row],[MUNICIPIO]],'4.CAP_ENDMNT'!B:B,'4.CAP_ENDMNT'!K:K,0,0,1)</f>
        <v>17303502610.048012</v>
      </c>
      <c r="AC575" s="44">
        <f>+_xlfn.XLOOKUP(PROYECTOS[[#This Row],[MUNICIPIO]],'4.CAP_ENDMNT'!B:B,'4.CAP_ENDMNT'!L:L,0,0,1)</f>
        <v>13842802088.03841</v>
      </c>
      <c r="AD575" s="44">
        <f>+_xlfn.XLOOKUP(PROYECTOS[[#This Row],[MUNICIPIO]],'4.CAP_ENDMNT'!B:B,'4.CAP_ENDMNT'!M:M,0,0,1)</f>
        <v>10382101566.028807</v>
      </c>
      <c r="AE575" s="134">
        <f>+_xlfn.XLOOKUP(PROYECTOS[[#This Row],[MUNICIPIO]],'4.CAP_ENDMNT'!B:B,'4.CAP_ENDMNT'!N:N,0,0,1)</f>
        <v>0.71326712223822675</v>
      </c>
      <c r="AF575" s="134">
        <f>+_xlfn.XLOOKUP(PROYECTOS[[#This Row],[MUNICIPIO]],'4.CAP_ENDMNT'!B:B,'4.CAP_ENDMNT'!O:O,0,0,1)</f>
        <v>0.57328291579513591</v>
      </c>
      <c r="AG575" s="134">
        <f>+_xlfn.XLOOKUP(PROYECTOS[[#This Row],[MUNICIPIO]],'4.CAP_ENDMNT'!B:B,'4.CAP_ENDMNT'!P:P,0,0,1)</f>
        <v>0.7</v>
      </c>
      <c r="AH575" s="44" t="str">
        <f>+_xlfn.XLOOKUP(PROYECTOS[[#This Row],[MUNICIPIO]],'4.CAP_ENDMNT'!B:B,'4.CAP_ENDMNT'!Q:Q,0,0,1)</f>
        <v>Cumple</v>
      </c>
      <c r="AI575" s="139">
        <f>+_xlfn.XLOOKUP(PROYECTOS[[#This Row],[MUNICIPIO]],'4.CAP_ENDMNT'!B:B,'4.CAP_ENDMNT'!V:V,0,0,1)</f>
        <v>2076420313.2057614</v>
      </c>
      <c r="AJ575" s="139">
        <f>+_xlfn.XLOOKUP(PROYECTOS[[#This Row],[MUNICIPIO]],'4.CAP_ENDMNT'!B:B,'4.CAP_ENDMNT'!Y:Y,0,0,1)</f>
        <v>-13466841257.765432</v>
      </c>
      <c r="AK575"/>
      <c r="AL575"/>
      <c r="AM575"/>
    </row>
    <row r="576" spans="1:39" ht="15" customHeight="1">
      <c r="A576" s="44">
        <v>693</v>
      </c>
      <c r="B576" s="232" t="str">
        <f>+_xlfn.XLOOKUP(PROYECTOS[[#This Row],[ID_NECESIDAD]],'1.RADICADOS'!G:G,'1.RADICADOS'!H:H,0,0,1)</f>
        <v>Presentación y solicitud de recursos para el proyecto construcción placahuellas vereda Quebrada Honda 1km F3</v>
      </c>
      <c r="C576" s="118">
        <f>+_xlfn.XLOOKUP(PROYECTOS[[#This Row],[ID_NECESIDAD]],'1.RADICADOS'!G:G,'1.RADICADOS'!C:C,0,0,1)*1</f>
        <v>45804</v>
      </c>
      <c r="D576" s="118" t="str">
        <f>+_xlfn.XLOOKUP(PROYECTOS[[#This Row],[ID_NECESIDAD]],'1.RADICADOS'!G:G,'1.RADICADOS'!F:F,0,0,1)</f>
        <v>Chigorodó</v>
      </c>
      <c r="E576" s="47" t="str">
        <f>+_xlfn.XLOOKUP(PROYECTOS[[#This Row],[MUNICIPIO]],MUNICIPIOS!A:A,MUNICIPIOS!E:E,0,0,1)</f>
        <v>Urabá</v>
      </c>
      <c r="F576" s="44">
        <f>+_xlfn.XLOOKUP(PROYECTOS[[#This Row],[MUNICIPIO]],MUNICIPIOS!A:A,MUNICIPIOS!F:F,0,0,1)</f>
        <v>-76.681531000000007</v>
      </c>
      <c r="G576" s="44" t="str">
        <f>+_xlfn.XLOOKUP(PROYECTOS[[#This Row],[MUNICIPIO]],MUNICIPIOS!A:A,MUNICIPIOS!G:G,0,0,1)</f>
        <v>7,666147</v>
      </c>
      <c r="H576" s="44">
        <f>+LOOKUP(PROYECTOS[[#This Row],[MUNICIPIO]],Table1[Municipio],Table1[PDET])</f>
        <v>1</v>
      </c>
      <c r="I576" s="45">
        <f>+LOOKUP(PROYECTOS[[#This Row],[MUNICIPIO]],Table1[Municipio],Table1[ZOMAC])</f>
        <v>1</v>
      </c>
      <c r="J576" s="34" t="str" cm="1">
        <f t="array" ref="J576">_xlfn.TEXTJOIN(", ", TRUE, IF(radicados[ID PROYECTOS]=A576, radicados[RADICADO], ""))</f>
        <v>2025010265003</v>
      </c>
      <c r="K576" s="230">
        <v>3</v>
      </c>
      <c r="L576" s="212">
        <f>+_xlfn.XLOOKUP(PROYECTOS[[#This Row],[ID_NECESIDAD]],'1.RADICADOS'!G:G,'1.RADICADOS'!J:J,0,0,1)</f>
        <v>2179486579</v>
      </c>
      <c r="M576" s="34" t="s">
        <v>288</v>
      </c>
      <c r="N576" s="40" t="s">
        <v>398</v>
      </c>
      <c r="O576" s="40" t="s">
        <v>25</v>
      </c>
      <c r="P576" s="213"/>
      <c r="Q576" s="45"/>
      <c r="R576" s="166"/>
      <c r="S576" s="166"/>
      <c r="T576" s="44">
        <f>+_xlfn.XLOOKUP(PROYECTOS[[#This Row],[MUNICIPIO]],'4.CAP_ENDMNT'!B:B,'4.CAP_ENDMNT'!C:C,0,0,1)</f>
        <v>6</v>
      </c>
      <c r="U576" s="167">
        <f>+_xlfn.XLOOKUP(PROYECTOS[[#This Row],[MUNICIPIO]],'4.CAP_ENDMNT'!B:B,'4.CAP_ENDMNT'!D:D,0,0,1)</f>
        <v>31480625713.601501</v>
      </c>
      <c r="V576" s="44">
        <f>+_xlfn.XLOOKUP(PROYECTOS[[#This Row],[MUNICIPIO]],'4.CAP_ENDMNT'!B:B,'4.CAP_ENDMNT'!E:E,0,0,1)</f>
        <v>12012746210.970001</v>
      </c>
      <c r="W576" s="44">
        <f>+_xlfn.XLOOKUP(PROYECTOS[[#This Row],[MUNICIPIO]],'4.CAP_ENDMNT'!B:B,'4.CAP_ENDMNT'!F:F,0,0,1)</f>
        <v>19467879502.6315</v>
      </c>
      <c r="X576" s="44">
        <f>+_xlfn.XLOOKUP(PROYECTOS[[#This Row],[MUNICIPIO]],'4.CAP_ENDMNT'!B:B,'4.CAP_ENDMNT'!G:G,0,0,1)</f>
        <v>990257688</v>
      </c>
      <c r="Y576" s="44">
        <f>+_xlfn.XLOOKUP(PROYECTOS[[#This Row],[MUNICIPIO]],'4.CAP_ENDMNT'!B:B,'4.CAP_ENDMNT'!H:H,0,0,1)</f>
        <v>4241046406.5999999</v>
      </c>
      <c r="Z576" s="44">
        <f>+_xlfn.XLOOKUP(PROYECTOS[[#This Row],[MUNICIPIO]],'4.CAP_ENDMNT'!B:B,'4.CAP_ENDMNT'!I:I,0,0,1)</f>
        <v>5231304094.6000004</v>
      </c>
      <c r="AA576" s="134">
        <f>+_xlfn.XLOOKUP(PROYECTOS[[#This Row],[MUNICIPIO]],'4.CAP_ENDMNT'!B:B,'4.CAP_ENDMNT'!J:J,0,0,1)</f>
        <v>0.16617535312647125</v>
      </c>
      <c r="AB576" s="44">
        <f>+_xlfn.XLOOKUP(PROYECTOS[[#This Row],[MUNICIPIO]],'4.CAP_ENDMNT'!B:B,'4.CAP_ENDMNT'!K:K,0,0,1)</f>
        <v>26249321619.001503</v>
      </c>
      <c r="AC576" s="44">
        <f>+_xlfn.XLOOKUP(PROYECTOS[[#This Row],[MUNICIPIO]],'4.CAP_ENDMNT'!B:B,'4.CAP_ENDMNT'!L:L,0,0,1)</f>
        <v>20999457295.201202</v>
      </c>
      <c r="AD576" s="44">
        <f>+_xlfn.XLOOKUP(PROYECTOS[[#This Row],[MUNICIPIO]],'4.CAP_ENDMNT'!B:B,'4.CAP_ENDMNT'!M:M,0,0,1)</f>
        <v>15749592971.400902</v>
      </c>
      <c r="AE576" s="134">
        <f>+_xlfn.XLOOKUP(PROYECTOS[[#This Row],[MUNICIPIO]],'4.CAP_ENDMNT'!B:B,'4.CAP_ENDMNT'!N:N,0,0,1)</f>
        <v>0.18929461375074541</v>
      </c>
      <c r="AF576" s="134">
        <f>+_xlfn.XLOOKUP(PROYECTOS[[#This Row],[MUNICIPIO]],'4.CAP_ENDMNT'!B:B,'4.CAP_ENDMNT'!O:O,0,0,1)</f>
        <v>0.57128723877428544</v>
      </c>
      <c r="AG576" s="134">
        <f>+_xlfn.XLOOKUP(PROYECTOS[[#This Row],[MUNICIPIO]],'4.CAP_ENDMNT'!B:B,'4.CAP_ENDMNT'!P:P,0,0,1)</f>
        <v>0.8</v>
      </c>
      <c r="AH576" s="44" t="str">
        <f>+_xlfn.XLOOKUP(PROYECTOS[[#This Row],[MUNICIPIO]],'4.CAP_ENDMNT'!B:B,'4.CAP_ENDMNT'!Q:Q,0,0,1)</f>
        <v>Cumple</v>
      </c>
      <c r="AI576" s="139">
        <f>+_xlfn.XLOOKUP(PROYECTOS[[#This Row],[MUNICIPIO]],'4.CAP_ENDMNT'!B:B,'4.CAP_ENDMNT'!V:V,0,0,1)</f>
        <v>3149918594.2801805</v>
      </c>
      <c r="AJ576" s="139">
        <f>+_xlfn.XLOOKUP(PROYECTOS[[#This Row],[MUNICIPIO]],'4.CAP_ENDMNT'!B:B,'4.CAP_ENDMNT'!Y:Y,0,0,1)</f>
        <v>-159577103574.2489</v>
      </c>
      <c r="AK576"/>
      <c r="AL576"/>
      <c r="AM576"/>
    </row>
    <row r="577" spans="1:39" ht="15" customHeight="1">
      <c r="A577" s="44">
        <v>694</v>
      </c>
      <c r="B577" s="232" t="str">
        <f>+_xlfn.XLOOKUP(PROYECTOS[[#This Row],[ID_NECESIDAD]],'1.RADICADOS'!G:G,'1.RADICADOS'!H:H,0,0,1)</f>
        <v>Petición construcción puente metálico sector Playa Linda (Sonsón - San Francisco) F1</v>
      </c>
      <c r="C577" s="118">
        <f>+_xlfn.XLOOKUP(PROYECTOS[[#This Row],[ID_NECESIDAD]],'1.RADICADOS'!G:G,'1.RADICADOS'!C:C,0,0,1)*1</f>
        <v>45818</v>
      </c>
      <c r="D577" s="118" t="str">
        <f>+_xlfn.XLOOKUP(PROYECTOS[[#This Row],[ID_NECESIDAD]],'1.RADICADOS'!G:G,'1.RADICADOS'!F:F,0,0,1)</f>
        <v>San Francisco</v>
      </c>
      <c r="E577" s="47" t="str">
        <f>+_xlfn.XLOOKUP(PROYECTOS[[#This Row],[MUNICIPIO]],MUNICIPIOS!A:A,MUNICIPIOS!E:E,0,0,1)</f>
        <v>Oriente</v>
      </c>
      <c r="F577" s="44">
        <f>+_xlfn.XLOOKUP(PROYECTOS[[#This Row],[MUNICIPIO]],MUNICIPIOS!A:A,MUNICIPIOS!F:F,0,0,1)</f>
        <v>-75.101562000000001</v>
      </c>
      <c r="G577" s="44" t="str">
        <f>+_xlfn.XLOOKUP(PROYECTOS[[#This Row],[MUNICIPIO]],MUNICIPIOS!A:A,MUNICIPIOS!G:G,0,0,1)</f>
        <v>5,963476</v>
      </c>
      <c r="H577" s="44">
        <f>+LOOKUP(PROYECTOS[[#This Row],[MUNICIPIO]],Table1[Municipio],Table1[PDET])</f>
        <v>0</v>
      </c>
      <c r="I577" s="45">
        <f>+LOOKUP(PROYECTOS[[#This Row],[MUNICIPIO]],Table1[Municipio],Table1[ZOMAC])</f>
        <v>0</v>
      </c>
      <c r="J577" s="34" t="str" cm="1">
        <f t="array" ref="J577">_xlfn.TEXTJOIN(", ", TRUE, IF(radicados[ID PROYECTOS]=A577, radicados[RADICADO], ""))</f>
        <v>2025010288682</v>
      </c>
      <c r="K577" s="230">
        <v>1</v>
      </c>
      <c r="L577" s="223"/>
      <c r="M577" s="34" t="s">
        <v>1598</v>
      </c>
      <c r="N577" s="40" t="s">
        <v>398</v>
      </c>
      <c r="O577" s="40" t="s">
        <v>25</v>
      </c>
      <c r="P577" s="213"/>
      <c r="Q577" s="45"/>
      <c r="R577" s="166"/>
      <c r="S577" s="166"/>
      <c r="T577" s="44">
        <f>+_xlfn.XLOOKUP(PROYECTOS[[#This Row],[MUNICIPIO]],'4.CAP_ENDMNT'!B:B,'4.CAP_ENDMNT'!C:C,0,0,1)</f>
        <v>6</v>
      </c>
      <c r="U577" s="167">
        <f>+_xlfn.XLOOKUP(PROYECTOS[[#This Row],[MUNICIPIO]],'4.CAP_ENDMNT'!B:B,'4.CAP_ENDMNT'!D:D,0,0,1)</f>
        <v>7763487077.335</v>
      </c>
      <c r="V577" s="44">
        <f>+_xlfn.XLOOKUP(PROYECTOS[[#This Row],[MUNICIPIO]],'4.CAP_ENDMNT'!B:B,'4.CAP_ENDMNT'!E:E,0,0,1)</f>
        <v>2329929022.3600001</v>
      </c>
      <c r="W577" s="44">
        <f>+_xlfn.XLOOKUP(PROYECTOS[[#This Row],[MUNICIPIO]],'4.CAP_ENDMNT'!B:B,'4.CAP_ENDMNT'!F:F,0,0,1)</f>
        <v>5433558054.9750004</v>
      </c>
      <c r="X577" s="44">
        <f>+_xlfn.XLOOKUP(PROYECTOS[[#This Row],[MUNICIPIO]],'4.CAP_ENDMNT'!B:B,'4.CAP_ENDMNT'!G:G,0,0,1)</f>
        <v>1217107364.4400001</v>
      </c>
      <c r="Y577" s="44">
        <f>+_xlfn.XLOOKUP(PROYECTOS[[#This Row],[MUNICIPIO]],'4.CAP_ENDMNT'!B:B,'4.CAP_ENDMNT'!H:H,0,0,1)</f>
        <v>0</v>
      </c>
      <c r="Z577" s="44">
        <f>+_xlfn.XLOOKUP(PROYECTOS[[#This Row],[MUNICIPIO]],'4.CAP_ENDMNT'!B:B,'4.CAP_ENDMNT'!I:I,0,0,1)</f>
        <v>1217107364.4400001</v>
      </c>
      <c r="AA577" s="134">
        <f>+_xlfn.XLOOKUP(PROYECTOS[[#This Row],[MUNICIPIO]],'4.CAP_ENDMNT'!B:B,'4.CAP_ENDMNT'!J:J,0,0,1)</f>
        <v>0.15677328400446064</v>
      </c>
      <c r="AB577" s="44">
        <f>+_xlfn.XLOOKUP(PROYECTOS[[#This Row],[MUNICIPIO]],'4.CAP_ENDMNT'!B:B,'4.CAP_ENDMNT'!K:K,0,0,1)</f>
        <v>6546379712.8950005</v>
      </c>
      <c r="AC577" s="44">
        <f>+_xlfn.XLOOKUP(PROYECTOS[[#This Row],[MUNICIPIO]],'4.CAP_ENDMNT'!B:B,'4.CAP_ENDMNT'!L:L,0,0,1)</f>
        <v>5237103770.3160009</v>
      </c>
      <c r="AD577" s="44">
        <f>+_xlfn.XLOOKUP(PROYECTOS[[#This Row],[MUNICIPIO]],'4.CAP_ENDMNT'!B:B,'4.CAP_ENDMNT'!M:M,0,0,1)</f>
        <v>3927827827.737</v>
      </c>
      <c r="AE577" s="134">
        <f>+_xlfn.XLOOKUP(PROYECTOS[[#This Row],[MUNICIPIO]],'4.CAP_ENDMNT'!B:B,'4.CAP_ENDMNT'!N:N,0,0,1)</f>
        <v>1</v>
      </c>
      <c r="AF577" s="134">
        <f>+_xlfn.XLOOKUP(PROYECTOS[[#This Row],[MUNICIPIO]],'4.CAP_ENDMNT'!B:B,'4.CAP_ENDMNT'!O:O,0,0,1)</f>
        <v>0.68141761997590633</v>
      </c>
      <c r="AG577" s="134">
        <f>+_xlfn.XLOOKUP(PROYECTOS[[#This Row],[MUNICIPIO]],'4.CAP_ENDMNT'!B:B,'4.CAP_ENDMNT'!P:P,0,0,1)</f>
        <v>0.8</v>
      </c>
      <c r="AH577" s="44" t="str">
        <f>+_xlfn.XLOOKUP(PROYECTOS[[#This Row],[MUNICIPIO]],'4.CAP_ENDMNT'!B:B,'4.CAP_ENDMNT'!Q:Q,0,0,1)</f>
        <v>Cumple</v>
      </c>
      <c r="AI577" s="139">
        <f>+_xlfn.XLOOKUP(PROYECTOS[[#This Row],[MUNICIPIO]],'4.CAP_ENDMNT'!B:B,'4.CAP_ENDMNT'!V:V,0,0,1)</f>
        <v>785565565.5474</v>
      </c>
      <c r="AJ577" s="139">
        <f>+_xlfn.XLOOKUP(PROYECTOS[[#This Row],[MUNICIPIO]],'4.CAP_ENDMNT'!B:B,'4.CAP_ENDMNT'!Y:Y,0,0,1)</f>
        <v>-10352204929.605598</v>
      </c>
      <c r="AK577"/>
      <c r="AL577"/>
      <c r="AM577"/>
    </row>
    <row r="578" spans="1:39" ht="15" customHeight="1">
      <c r="A578" s="44">
        <v>695</v>
      </c>
      <c r="B578" s="232" t="str">
        <f>+_xlfn.XLOOKUP(PROYECTOS[[#This Row],[ID_NECESIDAD]],'1.RADICADOS'!G:G,'1.RADICADOS'!H:H,0,0,1)</f>
        <v>Petición mejoramiento vía entre urbanización La Nueva y la vereda Murrapal F1 JAC Murrapal</v>
      </c>
      <c r="C578" s="118">
        <f>+_xlfn.XLOOKUP(PROYECTOS[[#This Row],[ID_NECESIDAD]],'1.RADICADOS'!G:G,'1.RADICADOS'!C:C,0,0,1)*1</f>
        <v>45821</v>
      </c>
      <c r="D578" s="118" t="str">
        <f>+_xlfn.XLOOKUP(PROYECTOS[[#This Row],[ID_NECESIDAD]],'1.RADICADOS'!G:G,'1.RADICADOS'!F:F,0,0,1)</f>
        <v>Valparaíso</v>
      </c>
      <c r="E578" s="47" t="str">
        <f>+_xlfn.XLOOKUP(PROYECTOS[[#This Row],[MUNICIPIO]],MUNICIPIOS!A:A,MUNICIPIOS!E:E,0,0,1)</f>
        <v>Suroeste</v>
      </c>
      <c r="F578" s="44">
        <f>+_xlfn.XLOOKUP(PROYECTOS[[#This Row],[MUNICIPIO]],MUNICIPIOS!A:A,MUNICIPIOS!F:F,0,0,1)</f>
        <v>-75.624452000000005</v>
      </c>
      <c r="G578" s="44">
        <f>+_xlfn.XLOOKUP(PROYECTOS[[#This Row],[MUNICIPIO]],MUNICIPIOS!A:A,MUNICIPIOS!G:G,0,0,1)</f>
        <v>5.6145550000000002</v>
      </c>
      <c r="H578" s="44">
        <f>+LOOKUP(PROYECTOS[[#This Row],[MUNICIPIO]],Table1[Municipio],Table1[PDET])</f>
        <v>0</v>
      </c>
      <c r="I578" s="45">
        <f>+LOOKUP(PROYECTOS[[#This Row],[MUNICIPIO]],Table1[Municipio],Table1[ZOMAC])</f>
        <v>0</v>
      </c>
      <c r="J578" s="34" t="str" cm="1">
        <f t="array" ref="J578">_xlfn.TEXTJOIN(", ", TRUE, IF(radicados[ID PROYECTOS]=A578, radicados[RADICADO], ""))</f>
        <v>2025010297264</v>
      </c>
      <c r="K578" s="230">
        <v>1</v>
      </c>
      <c r="L578" s="223"/>
      <c r="M578" s="34" t="s">
        <v>288</v>
      </c>
      <c r="N578" s="40" t="s">
        <v>398</v>
      </c>
      <c r="O578" s="40" t="s">
        <v>25</v>
      </c>
      <c r="P578" s="213" t="s">
        <v>1685</v>
      </c>
      <c r="Q578" s="45"/>
      <c r="R578" s="166"/>
      <c r="S578" s="166"/>
      <c r="T578" s="44">
        <f>+_xlfn.XLOOKUP(PROYECTOS[[#This Row],[MUNICIPIO]],'4.CAP_ENDMNT'!B:B,'4.CAP_ENDMNT'!C:C,0,0,1)</f>
        <v>6</v>
      </c>
      <c r="U578" s="167">
        <f>+_xlfn.XLOOKUP(PROYECTOS[[#This Row],[MUNICIPIO]],'4.CAP_ENDMNT'!B:B,'4.CAP_ENDMNT'!D:D,0,0,1)</f>
        <v>6485715716.868001</v>
      </c>
      <c r="V578" s="44">
        <f>+_xlfn.XLOOKUP(PROYECTOS[[#This Row],[MUNICIPIO]],'4.CAP_ENDMNT'!B:B,'4.CAP_ENDMNT'!E:E,0,0,1)</f>
        <v>3717110032.7600002</v>
      </c>
      <c r="W578" s="44">
        <f>+_xlfn.XLOOKUP(PROYECTOS[[#This Row],[MUNICIPIO]],'4.CAP_ENDMNT'!B:B,'4.CAP_ENDMNT'!F:F,0,0,1)</f>
        <v>2768605684.1080008</v>
      </c>
      <c r="X578" s="44">
        <f>+_xlfn.XLOOKUP(PROYECTOS[[#This Row],[MUNICIPIO]],'4.CAP_ENDMNT'!B:B,'4.CAP_ENDMNT'!G:G,0,0,1)</f>
        <v>598561755.20000005</v>
      </c>
      <c r="Y578" s="44">
        <f>+_xlfn.XLOOKUP(PROYECTOS[[#This Row],[MUNICIPIO]],'4.CAP_ENDMNT'!B:B,'4.CAP_ENDMNT'!H:H,0,0,1)</f>
        <v>823222224</v>
      </c>
      <c r="Z578" s="44">
        <f>+_xlfn.XLOOKUP(PROYECTOS[[#This Row],[MUNICIPIO]],'4.CAP_ENDMNT'!B:B,'4.CAP_ENDMNT'!I:I,0,0,1)</f>
        <v>1421783979.2</v>
      </c>
      <c r="AA578" s="134">
        <f>+_xlfn.XLOOKUP(PROYECTOS[[#This Row],[MUNICIPIO]],'4.CAP_ENDMNT'!B:B,'4.CAP_ENDMNT'!J:J,0,0,1)</f>
        <v>0.21921774577665112</v>
      </c>
      <c r="AB578" s="44">
        <f>+_xlfn.XLOOKUP(PROYECTOS[[#This Row],[MUNICIPIO]],'4.CAP_ENDMNT'!B:B,'4.CAP_ENDMNT'!K:K,0,0,1)</f>
        <v>5063931737.6680012</v>
      </c>
      <c r="AC578" s="44">
        <f>+_xlfn.XLOOKUP(PROYECTOS[[#This Row],[MUNICIPIO]],'4.CAP_ENDMNT'!B:B,'4.CAP_ENDMNT'!L:L,0,0,1)</f>
        <v>4051145390.1344013</v>
      </c>
      <c r="AD578" s="44">
        <f>+_xlfn.XLOOKUP(PROYECTOS[[#This Row],[MUNICIPIO]],'4.CAP_ENDMNT'!B:B,'4.CAP_ENDMNT'!M:M,0,0,1)</f>
        <v>3038359042.6008005</v>
      </c>
      <c r="AE578" s="134">
        <f>+_xlfn.XLOOKUP(PROYECTOS[[#This Row],[MUNICIPIO]],'4.CAP_ENDMNT'!B:B,'4.CAP_ENDMNT'!N:N,0,0,1)</f>
        <v>0.42099345889155032</v>
      </c>
      <c r="AF578" s="134">
        <f>+_xlfn.XLOOKUP(PROYECTOS[[#This Row],[MUNICIPIO]],'4.CAP_ENDMNT'!B:B,'4.CAP_ENDMNT'!O:O,0,0,1)</f>
        <v>0.68598337343648785</v>
      </c>
      <c r="AG578" s="134">
        <f>+_xlfn.XLOOKUP(PROYECTOS[[#This Row],[MUNICIPIO]],'4.CAP_ENDMNT'!B:B,'4.CAP_ENDMNT'!P:P,0,0,1)</f>
        <v>0.8</v>
      </c>
      <c r="AH578" s="44" t="str">
        <f>+_xlfn.XLOOKUP(PROYECTOS[[#This Row],[MUNICIPIO]],'4.CAP_ENDMNT'!B:B,'4.CAP_ENDMNT'!Q:Q,0,0,1)</f>
        <v>Cumple</v>
      </c>
      <c r="AI578" s="139">
        <f>+_xlfn.XLOOKUP(PROYECTOS[[#This Row],[MUNICIPIO]],'4.CAP_ENDMNT'!B:B,'4.CAP_ENDMNT'!V:V,0,0,1)</f>
        <v>607671808.52016008</v>
      </c>
      <c r="AJ578" s="139">
        <f>+_xlfn.XLOOKUP(PROYECTOS[[#This Row],[MUNICIPIO]],'4.CAP_ENDMNT'!B:B,'4.CAP_ENDMNT'!Y:Y,0,0,1)</f>
        <v>-1701336321.8790393</v>
      </c>
      <c r="AK578"/>
      <c r="AL578"/>
      <c r="AM578"/>
    </row>
    <row r="579" spans="1:39" ht="15" customHeight="1">
      <c r="A579" s="44">
        <v>696</v>
      </c>
      <c r="B579" s="232" t="str">
        <f>+_xlfn.XLOOKUP(PROYECTOS[[#This Row],[ID_NECESIDAD]],'1.RADICADOS'!G:G,'1.RADICADOS'!H:H,0,0,1)</f>
        <v>Petición JAC Santa Barbara atención a vía secundaria Santa Barbara - Fredonia</v>
      </c>
      <c r="C579" s="118">
        <f>+_xlfn.XLOOKUP(PROYECTOS[[#This Row],[ID_NECESIDAD]],'1.RADICADOS'!G:G,'1.RADICADOS'!C:C,0,0,1)*1</f>
        <v>45824</v>
      </c>
      <c r="D579" s="118" t="str">
        <f>+_xlfn.XLOOKUP(PROYECTOS[[#This Row],[ID_NECESIDAD]],'1.RADICADOS'!G:G,'1.RADICADOS'!F:F,0,0,1)</f>
        <v>Santa Bárbara</v>
      </c>
      <c r="E579" s="47" t="str">
        <f>+_xlfn.XLOOKUP(PROYECTOS[[#This Row],[MUNICIPIO]],MUNICIPIOS!A:A,MUNICIPIOS!E:E,0,0,1)</f>
        <v>Suroeste</v>
      </c>
      <c r="F579" s="44">
        <f>+_xlfn.XLOOKUP(PROYECTOS[[#This Row],[MUNICIPIO]],MUNICIPIOS!A:A,MUNICIPIOS!F:F,0,0,1)</f>
        <v>-75.567351000000002</v>
      </c>
      <c r="G579" s="44" t="str">
        <f>+_xlfn.XLOOKUP(PROYECTOS[[#This Row],[MUNICIPIO]],MUNICIPIOS!A:A,MUNICIPIOS!G:G,0,0,1)</f>
        <v>5,875527</v>
      </c>
      <c r="H579" s="44">
        <f>+LOOKUP(PROYECTOS[[#This Row],[MUNICIPIO]],Table1[Municipio],Table1[PDET])</f>
        <v>0</v>
      </c>
      <c r="I579" s="45">
        <f>+LOOKUP(PROYECTOS[[#This Row],[MUNICIPIO]],Table1[Municipio],Table1[ZOMAC])</f>
        <v>0</v>
      </c>
      <c r="J579" s="34" t="str" cm="1">
        <f t="array" ref="J579">_xlfn.TEXTJOIN(", ", TRUE, IF(radicados[ID PROYECTOS]=A579, radicados[RADICADO], ""))</f>
        <v>2025010299106</v>
      </c>
      <c r="K579" s="230">
        <v>1</v>
      </c>
      <c r="L579" s="223"/>
      <c r="M579" s="34" t="s">
        <v>288</v>
      </c>
      <c r="N579" s="40" t="s">
        <v>398</v>
      </c>
      <c r="O579" s="40" t="s">
        <v>25</v>
      </c>
      <c r="P579" s="213" t="s">
        <v>1685</v>
      </c>
      <c r="Q579" s="45"/>
      <c r="R579" s="166"/>
      <c r="S579" s="166"/>
      <c r="T579" s="44">
        <f>+_xlfn.XLOOKUP(PROYECTOS[[#This Row],[MUNICIPIO]],'4.CAP_ENDMNT'!B:B,'4.CAP_ENDMNT'!C:C,0,0,1)</f>
        <v>6</v>
      </c>
      <c r="U579" s="167">
        <f>+_xlfn.XLOOKUP(PROYECTOS[[#This Row],[MUNICIPIO]],'4.CAP_ENDMNT'!B:B,'4.CAP_ENDMNT'!D:D,0,0,1)</f>
        <v>12109127304.486</v>
      </c>
      <c r="V579" s="44">
        <f>+_xlfn.XLOOKUP(PROYECTOS[[#This Row],[MUNICIPIO]],'4.CAP_ENDMNT'!B:B,'4.CAP_ENDMNT'!E:E,0,0,1)</f>
        <v>6485076277.8299999</v>
      </c>
      <c r="W579" s="44">
        <f>+_xlfn.XLOOKUP(PROYECTOS[[#This Row],[MUNICIPIO]],'4.CAP_ENDMNT'!B:B,'4.CAP_ENDMNT'!F:F,0,0,1)</f>
        <v>5624051026.6560001</v>
      </c>
      <c r="X579" s="44">
        <f>+_xlfn.XLOOKUP(PROYECTOS[[#This Row],[MUNICIPIO]],'4.CAP_ENDMNT'!B:B,'4.CAP_ENDMNT'!G:G,0,0,1)</f>
        <v>3662325591</v>
      </c>
      <c r="Y579" s="44">
        <f>+_xlfn.XLOOKUP(PROYECTOS[[#This Row],[MUNICIPIO]],'4.CAP_ENDMNT'!B:B,'4.CAP_ENDMNT'!H:H,0,0,1)</f>
        <v>0</v>
      </c>
      <c r="Z579" s="44">
        <f>+_xlfn.XLOOKUP(PROYECTOS[[#This Row],[MUNICIPIO]],'4.CAP_ENDMNT'!B:B,'4.CAP_ENDMNT'!I:I,0,0,1)</f>
        <v>3662325591</v>
      </c>
      <c r="AA579" s="134">
        <f>+_xlfn.XLOOKUP(PROYECTOS[[#This Row],[MUNICIPIO]],'4.CAP_ENDMNT'!B:B,'4.CAP_ENDMNT'!J:J,0,0,1)</f>
        <v>0.30244339653141139</v>
      </c>
      <c r="AB579" s="44">
        <f>+_xlfn.XLOOKUP(PROYECTOS[[#This Row],[MUNICIPIO]],'4.CAP_ENDMNT'!B:B,'4.CAP_ENDMNT'!K:K,0,0,1)</f>
        <v>8446801713.4860001</v>
      </c>
      <c r="AC579" s="44">
        <f>+_xlfn.XLOOKUP(PROYECTOS[[#This Row],[MUNICIPIO]],'4.CAP_ENDMNT'!B:B,'4.CAP_ENDMNT'!L:L,0,0,1)</f>
        <v>6757441370.7888002</v>
      </c>
      <c r="AD579" s="44">
        <f>+_xlfn.XLOOKUP(PROYECTOS[[#This Row],[MUNICIPIO]],'4.CAP_ENDMNT'!B:B,'4.CAP_ENDMNT'!M:M,0,0,1)</f>
        <v>5068081028.0915995</v>
      </c>
      <c r="AE579" s="134">
        <f>+_xlfn.XLOOKUP(PROYECTOS[[#This Row],[MUNICIPIO]],'4.CAP_ENDMNT'!B:B,'4.CAP_ENDMNT'!N:N,0,0,1)</f>
        <v>1</v>
      </c>
      <c r="AF579" s="134">
        <f>+_xlfn.XLOOKUP(PROYECTOS[[#This Row],[MUNICIPIO]],'4.CAP_ENDMNT'!B:B,'4.CAP_ENDMNT'!O:O,0,0,1)</f>
        <v>0.55253262293583549</v>
      </c>
      <c r="AG579" s="134">
        <f>+_xlfn.XLOOKUP(PROYECTOS[[#This Row],[MUNICIPIO]],'4.CAP_ENDMNT'!B:B,'4.CAP_ENDMNT'!P:P,0,0,1)</f>
        <v>0.8</v>
      </c>
      <c r="AH579" s="44" t="str">
        <f>+_xlfn.XLOOKUP(PROYECTOS[[#This Row],[MUNICIPIO]],'4.CAP_ENDMNT'!B:B,'4.CAP_ENDMNT'!Q:Q,0,0,1)</f>
        <v>Cumple</v>
      </c>
      <c r="AI579" s="139">
        <f>+_xlfn.XLOOKUP(PROYECTOS[[#This Row],[MUNICIPIO]],'4.CAP_ENDMNT'!B:B,'4.CAP_ENDMNT'!V:V,0,0,1)</f>
        <v>1013616205.61832</v>
      </c>
      <c r="AJ579" s="139">
        <f>+_xlfn.XLOOKUP(PROYECTOS[[#This Row],[MUNICIPIO]],'4.CAP_ENDMNT'!B:B,'4.CAP_ENDMNT'!Y:Y,0,0,1)</f>
        <v>5281697233.709919</v>
      </c>
      <c r="AK579"/>
      <c r="AL579"/>
      <c r="AM579"/>
    </row>
    <row r="580" spans="1:39" ht="15" customHeight="1">
      <c r="A580" s="44">
        <v>697</v>
      </c>
      <c r="B580" s="232" t="str">
        <f>+_xlfn.XLOOKUP(PROYECTOS[[#This Row],[ID_NECESIDAD]],'1.RADICADOS'!G:G,'1.RADICADOS'!H:H,0,0,1)</f>
        <v>Proyecto construcción puente La Asunción</v>
      </c>
      <c r="C580" s="118">
        <f>+_xlfn.XLOOKUP(PROYECTOS[[#This Row],[ID_NECESIDAD]],'1.RADICADOS'!G:G,'1.RADICADOS'!C:C,0,0,1)*1</f>
        <v>45826</v>
      </c>
      <c r="D580" s="118" t="str">
        <f>+_xlfn.XLOOKUP(PROYECTOS[[#This Row],[ID_NECESIDAD]],'1.RADICADOS'!G:G,'1.RADICADOS'!F:F,0,0,1)</f>
        <v>Copacabana</v>
      </c>
      <c r="E580" s="47" t="str">
        <f>+_xlfn.XLOOKUP(PROYECTOS[[#This Row],[MUNICIPIO]],MUNICIPIOS!A:A,MUNICIPIOS!E:E,0,0,1)</f>
        <v>Valle de Aburrá</v>
      </c>
      <c r="F580" s="44">
        <f>+_xlfn.XLOOKUP(PROYECTOS[[#This Row],[MUNICIPIO]],MUNICIPIOS!A:A,MUNICIPIOS!F:F,0,0,1)</f>
        <v>-75.509383999999997</v>
      </c>
      <c r="G580" s="44" t="str">
        <f>+_xlfn.XLOOKUP(PROYECTOS[[#This Row],[MUNICIPIO]],MUNICIPIOS!A:A,MUNICIPIOS!G:G,0,0,1)</f>
        <v>6,348557</v>
      </c>
      <c r="H580" s="44">
        <f>+LOOKUP(PROYECTOS[[#This Row],[MUNICIPIO]],Table1[Municipio],Table1[PDET])</f>
        <v>0</v>
      </c>
      <c r="I580" s="45">
        <f>+LOOKUP(PROYECTOS[[#This Row],[MUNICIPIO]],Table1[Municipio],Table1[ZOMAC])</f>
        <v>1</v>
      </c>
      <c r="J580" s="34" t="str" cm="1">
        <f t="array" ref="J580">_xlfn.TEXTJOIN(", ", TRUE, IF(radicados[ID PROYECTOS]=A580, radicados[RADICADO], ""))</f>
        <v>2025010305013</v>
      </c>
      <c r="K580" s="230">
        <v>3</v>
      </c>
      <c r="L580" s="223"/>
      <c r="M580" s="34" t="s">
        <v>435</v>
      </c>
      <c r="N580" s="40" t="s">
        <v>394</v>
      </c>
      <c r="O580" s="40" t="s">
        <v>18</v>
      </c>
      <c r="P580" s="213"/>
      <c r="Q580" s="45">
        <v>1</v>
      </c>
      <c r="R580" s="43" t="s">
        <v>922</v>
      </c>
      <c r="S580" s="43" t="s">
        <v>1643</v>
      </c>
      <c r="T580" s="44">
        <f>+_xlfn.XLOOKUP(PROYECTOS[[#This Row],[MUNICIPIO]],'4.CAP_ENDMNT'!B:B,'4.CAP_ENDMNT'!C:C,0,0,1)</f>
        <v>3</v>
      </c>
      <c r="U580" s="167">
        <f>+_xlfn.XLOOKUP(PROYECTOS[[#This Row],[MUNICIPIO]],'4.CAP_ENDMNT'!B:B,'4.CAP_ENDMNT'!D:D,0,0,1)</f>
        <v>71418896570.32901</v>
      </c>
      <c r="V580" s="44">
        <f>+_xlfn.XLOOKUP(PROYECTOS[[#This Row],[MUNICIPIO]],'4.CAP_ENDMNT'!B:B,'4.CAP_ENDMNT'!E:E,0,0,1)</f>
        <v>21915816653.91</v>
      </c>
      <c r="W580" s="44">
        <f>+_xlfn.XLOOKUP(PROYECTOS[[#This Row],[MUNICIPIO]],'4.CAP_ENDMNT'!B:B,'4.CAP_ENDMNT'!F:F,0,0,1)</f>
        <v>49503079916.419006</v>
      </c>
      <c r="X580" s="44">
        <f>+_xlfn.XLOOKUP(PROYECTOS[[#This Row],[MUNICIPIO]],'4.CAP_ENDMNT'!B:B,'4.CAP_ENDMNT'!G:G,0,0,1)</f>
        <v>5163365590</v>
      </c>
      <c r="Y580" s="44">
        <f>+_xlfn.XLOOKUP(PROYECTOS[[#This Row],[MUNICIPIO]],'4.CAP_ENDMNT'!B:B,'4.CAP_ENDMNT'!H:H,0,0,1)</f>
        <v>10000000000</v>
      </c>
      <c r="Z580" s="44">
        <f>+_xlfn.XLOOKUP(PROYECTOS[[#This Row],[MUNICIPIO]],'4.CAP_ENDMNT'!B:B,'4.CAP_ENDMNT'!I:I,0,0,1)</f>
        <v>15163365590</v>
      </c>
      <c r="AA580" s="134">
        <f>+_xlfn.XLOOKUP(PROYECTOS[[#This Row],[MUNICIPIO]],'4.CAP_ENDMNT'!B:B,'4.CAP_ENDMNT'!J:J,0,0,1)</f>
        <v>0.21231587602404406</v>
      </c>
      <c r="AB580" s="44">
        <f>+_xlfn.XLOOKUP(PROYECTOS[[#This Row],[MUNICIPIO]],'4.CAP_ENDMNT'!B:B,'4.CAP_ENDMNT'!K:K,0,0,1)</f>
        <v>56255530980.32901</v>
      </c>
      <c r="AC580" s="44">
        <f>+_xlfn.XLOOKUP(PROYECTOS[[#This Row],[MUNICIPIO]],'4.CAP_ENDMNT'!B:B,'4.CAP_ENDMNT'!L:L,0,0,1)</f>
        <v>45004424784.263214</v>
      </c>
      <c r="AD580" s="44">
        <f>+_xlfn.XLOOKUP(PROYECTOS[[#This Row],[MUNICIPIO]],'4.CAP_ENDMNT'!B:B,'4.CAP_ENDMNT'!M:M,0,0,1)</f>
        <v>33753318588.197403</v>
      </c>
      <c r="AE580" s="134">
        <f>+_xlfn.XLOOKUP(PROYECTOS[[#This Row],[MUNICIPIO]],'4.CAP_ENDMNT'!B:B,'4.CAP_ENDMNT'!N:N,0,0,1)</f>
        <v>0.34051580167698114</v>
      </c>
      <c r="AF580" s="134">
        <f>+_xlfn.XLOOKUP(PROYECTOS[[#This Row],[MUNICIPIO]],'4.CAP_ENDMNT'!B:B,'4.CAP_ENDMNT'!O:O,0,0,1)</f>
        <v>0.39338076792135007</v>
      </c>
      <c r="AG580" s="134">
        <f>+_xlfn.XLOOKUP(PROYECTOS[[#This Row],[MUNICIPIO]],'4.CAP_ENDMNT'!B:B,'4.CAP_ENDMNT'!P:P,0,0,1)</f>
        <v>0.7</v>
      </c>
      <c r="AH580" s="44" t="str">
        <f>+_xlfn.XLOOKUP(PROYECTOS[[#This Row],[MUNICIPIO]],'4.CAP_ENDMNT'!B:B,'4.CAP_ENDMNT'!Q:Q,0,0,1)</f>
        <v>Cumple</v>
      </c>
      <c r="AI580" s="139">
        <f>+_xlfn.XLOOKUP(PROYECTOS[[#This Row],[MUNICIPIO]],'4.CAP_ENDMNT'!B:B,'4.CAP_ENDMNT'!V:V,0,0,1)</f>
        <v>6750663717.6394806</v>
      </c>
      <c r="AJ580" s="139">
        <f>+_xlfn.XLOOKUP(PROYECTOS[[#This Row],[MUNICIPIO]],'4.CAP_ENDMNT'!B:B,'4.CAP_ENDMNT'!Y:Y,0,0,1)</f>
        <v>38546426431.836884</v>
      </c>
      <c r="AK580"/>
      <c r="AL580"/>
      <c r="AM580"/>
    </row>
    <row r="581" spans="1:39" ht="15" customHeight="1">
      <c r="A581" s="44">
        <v>698</v>
      </c>
      <c r="B581" s="232" t="str">
        <f>+_xlfn.XLOOKUP(PROYECTOS[[#This Row],[ID_NECESIDAD]],'1.RADICADOS'!G:G,'1.RADICADOS'!H:H,0,0,1)</f>
        <v>"MEJORAMIENTO DE 2 KM VIALES MEDIANTE EL SISTEMA CONSTRUCTIVO DE PLACA HUELLA EN EL CORREDOR VÍAL EN ANDES-SANTA RITA, EN EL MUNICIPIO DE ANDES, DEPARTAMENTO DE ANTIOQUIA"</v>
      </c>
      <c r="C581" s="118">
        <f>+_xlfn.XLOOKUP(PROYECTOS[[#This Row],[ID_NECESIDAD]],'1.RADICADOS'!G:G,'1.RADICADOS'!C:C,0,0,1)*1</f>
        <v>45833</v>
      </c>
      <c r="D581" s="118" t="str">
        <f>+_xlfn.XLOOKUP(PROYECTOS[[#This Row],[ID_NECESIDAD]],'1.RADICADOS'!G:G,'1.RADICADOS'!F:F,0,0,1)</f>
        <v>Andes</v>
      </c>
      <c r="E581" s="47" t="str">
        <f>+_xlfn.XLOOKUP(PROYECTOS[[#This Row],[MUNICIPIO]],MUNICIPIOS!A:A,MUNICIPIOS!E:E,0,0,1)</f>
        <v>Suroeste</v>
      </c>
      <c r="F581" s="44">
        <f>+_xlfn.XLOOKUP(PROYECTOS[[#This Row],[MUNICIPIO]],MUNICIPIOS!A:A,MUNICIPIOS!F:F,0,0,1)</f>
        <v>-75.878827999999999</v>
      </c>
      <c r="G581" s="44" t="str">
        <f>+_xlfn.XLOOKUP(PROYECTOS[[#This Row],[MUNICIPIO]],MUNICIPIOS!A:A,MUNICIPIOS!G:G,0,0,1)</f>
        <v>5,657194</v>
      </c>
      <c r="H581" s="44" t="e">
        <f>+LOOKUP(PROYECTOS[[#This Row],[MUNICIPIO]],Table1[Municipio],Table1[PDET])</f>
        <v>#N/A</v>
      </c>
      <c r="I581" s="45" t="e">
        <f>+LOOKUP(PROYECTOS[[#This Row],[MUNICIPIO]],Table1[Municipio],Table1[ZOMAC])</f>
        <v>#N/A</v>
      </c>
      <c r="J581" s="34" t="str" cm="1">
        <f t="array" ref="J581">_xlfn.TEXTJOIN(", ", TRUE, IF(radicados[ID PROYECTOS]=A581, radicados[RADICADO], ""))</f>
        <v>2025010316713</v>
      </c>
      <c r="K581" s="230">
        <v>2</v>
      </c>
      <c r="L581" s="212">
        <f>+_xlfn.XLOOKUP(PROYECTOS[[#This Row],[ID_NECESIDAD]],'1.RADICADOS'!G:G,'1.RADICADOS'!J:J,0,0,1)</f>
        <v>5496126787</v>
      </c>
      <c r="M581" s="34" t="s">
        <v>288</v>
      </c>
      <c r="N581" s="40" t="s">
        <v>398</v>
      </c>
      <c r="O581" s="40" t="s">
        <v>25</v>
      </c>
      <c r="P581" s="213"/>
      <c r="Q581" s="45"/>
      <c r="R581" s="166"/>
      <c r="S581" s="166"/>
      <c r="T581" s="44">
        <f>+_xlfn.XLOOKUP(PROYECTOS[[#This Row],[MUNICIPIO]],'4.CAP_ENDMNT'!B:B,'4.CAP_ENDMNT'!C:C,0,0,1)</f>
        <v>6</v>
      </c>
      <c r="U581" s="167">
        <f>+_xlfn.XLOOKUP(PROYECTOS[[#This Row],[MUNICIPIO]],'4.CAP_ENDMNT'!B:B,'4.CAP_ENDMNT'!D:D,0,0,1)</f>
        <v>27843076411.630001</v>
      </c>
      <c r="V581" s="44">
        <f>+_xlfn.XLOOKUP(PROYECTOS[[#This Row],[MUNICIPIO]],'4.CAP_ENDMNT'!B:B,'4.CAP_ENDMNT'!E:E,0,0,1)</f>
        <v>11739999040.630001</v>
      </c>
      <c r="W581" s="44">
        <f>+_xlfn.XLOOKUP(PROYECTOS[[#This Row],[MUNICIPIO]],'4.CAP_ENDMNT'!B:B,'4.CAP_ENDMNT'!F:F,0,0,1)</f>
        <v>16103077371</v>
      </c>
      <c r="X581" s="44">
        <f>+_xlfn.XLOOKUP(PROYECTOS[[#This Row],[MUNICIPIO]],'4.CAP_ENDMNT'!B:B,'4.CAP_ENDMNT'!G:G,0,0,1)</f>
        <v>13999483044</v>
      </c>
      <c r="Y581" s="44">
        <f>+_xlfn.XLOOKUP(PROYECTOS[[#This Row],[MUNICIPIO]],'4.CAP_ENDMNT'!B:B,'4.CAP_ENDMNT'!H:H,0,0,1)</f>
        <v>1243354438.6800001</v>
      </c>
      <c r="Z581" s="44">
        <f>+_xlfn.XLOOKUP(PROYECTOS[[#This Row],[MUNICIPIO]],'4.CAP_ENDMNT'!B:B,'4.CAP_ENDMNT'!I:I,0,0,1)</f>
        <v>15242837482.68</v>
      </c>
      <c r="AA581" s="134">
        <f>+_xlfn.XLOOKUP(PROYECTOS[[#This Row],[MUNICIPIO]],'4.CAP_ENDMNT'!B:B,'4.CAP_ENDMNT'!J:J,0,0,1)</f>
        <v>0.54745521857322832</v>
      </c>
      <c r="AB581" s="44">
        <f>+_xlfn.XLOOKUP(PROYECTOS[[#This Row],[MUNICIPIO]],'4.CAP_ENDMNT'!B:B,'4.CAP_ENDMNT'!K:K,0,0,1)</f>
        <v>12600238928.950001</v>
      </c>
      <c r="AC581" s="44">
        <f>+_xlfn.XLOOKUP(PROYECTOS[[#This Row],[MUNICIPIO]],'4.CAP_ENDMNT'!B:B,'4.CAP_ENDMNT'!L:L,0,0,1)</f>
        <v>10080191143.160002</v>
      </c>
      <c r="AD581" s="44">
        <f>+_xlfn.XLOOKUP(PROYECTOS[[#This Row],[MUNICIPIO]],'4.CAP_ENDMNT'!B:B,'4.CAP_ENDMNT'!M:M,0,0,1)</f>
        <v>7560143357.3699999</v>
      </c>
      <c r="AE581" s="134">
        <f>+_xlfn.XLOOKUP(PROYECTOS[[#This Row],[MUNICIPIO]],'4.CAP_ENDMNT'!B:B,'4.CAP_ENDMNT'!N:N,0,0,1)</f>
        <v>0.91843025026719671</v>
      </c>
      <c r="AF581" s="134">
        <f>+_xlfn.XLOOKUP(PROYECTOS[[#This Row],[MUNICIPIO]],'4.CAP_ENDMNT'!B:B,'4.CAP_ENDMNT'!O:O,0,0,1)</f>
        <v>0.46026317160648733</v>
      </c>
      <c r="AG581" s="134">
        <f>+_xlfn.XLOOKUP(PROYECTOS[[#This Row],[MUNICIPIO]],'4.CAP_ENDMNT'!B:B,'4.CAP_ENDMNT'!P:P,0,0,1)</f>
        <v>0.8</v>
      </c>
      <c r="AH581" s="44" t="str">
        <f>+_xlfn.XLOOKUP(PROYECTOS[[#This Row],[MUNICIPIO]],'4.CAP_ENDMNT'!B:B,'4.CAP_ENDMNT'!Q:Q,0,0,1)</f>
        <v>Cumple</v>
      </c>
      <c r="AI581" s="139">
        <f>+_xlfn.XLOOKUP(PROYECTOS[[#This Row],[MUNICIPIO]],'4.CAP_ENDMNT'!B:B,'4.CAP_ENDMNT'!V:V,0,0,1)</f>
        <v>1512028671.474</v>
      </c>
      <c r="AJ581" s="139">
        <f>+_xlfn.XLOOKUP(PROYECTOS[[#This Row],[MUNICIPIO]],'4.CAP_ENDMNT'!B:B,'4.CAP_ENDMNT'!Y:Y,0,0,1)</f>
        <v>-29909877478.155998</v>
      </c>
      <c r="AK581"/>
      <c r="AL581"/>
      <c r="AM581"/>
    </row>
    <row r="582" spans="1:39" ht="15" customHeight="1">
      <c r="A582" s="44">
        <v>699</v>
      </c>
      <c r="B582" s="232" t="str">
        <f>+_xlfn.XLOOKUP(PROYECTOS[[#This Row],[ID_NECESIDAD]],'1.RADICADOS'!G:G,'1.RADICADOS'!H:H,0,0,1)</f>
        <v>Solicitud  de  ejecución  de  obras  de  placa  huella  en las  veredas  del Corregimiento El Dos, Municipio de Turbo –Antioquia JAC</v>
      </c>
      <c r="C582" s="118">
        <f>+_xlfn.XLOOKUP(PROYECTOS[[#This Row],[ID_NECESIDAD]],'1.RADICADOS'!G:G,'1.RADICADOS'!C:C,0,0,1)*1</f>
        <v>45833</v>
      </c>
      <c r="D582" s="118" t="str">
        <f>+_xlfn.XLOOKUP(PROYECTOS[[#This Row],[ID_NECESIDAD]],'1.RADICADOS'!G:G,'1.RADICADOS'!F:F,0,0,1)</f>
        <v>Turbo</v>
      </c>
      <c r="E582" s="47" t="str">
        <f>+_xlfn.XLOOKUP(PROYECTOS[[#This Row],[MUNICIPIO]],MUNICIPIOS!A:A,MUNICIPIOS!E:E,0,0,1)</f>
        <v>Urabá</v>
      </c>
      <c r="F582" s="44">
        <f>+_xlfn.XLOOKUP(PROYECTOS[[#This Row],[MUNICIPIO]],MUNICIPIOS!A:A,MUNICIPIOS!F:F,0,0,1)</f>
        <v>-76.728858000000002</v>
      </c>
      <c r="G582" s="44">
        <f>+_xlfn.XLOOKUP(PROYECTOS[[#This Row],[MUNICIPIO]],MUNICIPIOS!A:A,MUNICIPIOS!G:G,0,0,1)</f>
        <v>8.0899289999999997</v>
      </c>
      <c r="H582" s="44">
        <f>+LOOKUP(PROYECTOS[[#This Row],[MUNICIPIO]],Table1[Municipio],Table1[PDET])</f>
        <v>0</v>
      </c>
      <c r="I582" s="45">
        <f>+LOOKUP(PROYECTOS[[#This Row],[MUNICIPIO]],Table1[Municipio],Table1[ZOMAC])</f>
        <v>0</v>
      </c>
      <c r="J582" s="34" t="str" cm="1">
        <f t="array" ref="J582">_xlfn.TEXTJOIN(", ", TRUE, IF(radicados[ID PROYECTOS]=A582, radicados[RADICADO], ""))</f>
        <v>2025010317398</v>
      </c>
      <c r="K582" s="230">
        <v>1</v>
      </c>
      <c r="L582" s="223"/>
      <c r="M582" s="34" t="s">
        <v>288</v>
      </c>
      <c r="N582" s="40" t="s">
        <v>398</v>
      </c>
      <c r="O582" s="40" t="s">
        <v>25</v>
      </c>
      <c r="P582" s="213" t="s">
        <v>1685</v>
      </c>
      <c r="Q582" s="45"/>
      <c r="R582" s="166"/>
      <c r="S582" s="166"/>
      <c r="T582" s="44">
        <f>+_xlfn.XLOOKUP(PROYECTOS[[#This Row],[MUNICIPIO]],'4.CAP_ENDMNT'!B:B,'4.CAP_ENDMNT'!C:C,0,0,1)</f>
        <v>5</v>
      </c>
      <c r="U582" s="167">
        <f>+_xlfn.XLOOKUP(PROYECTOS[[#This Row],[MUNICIPIO]],'4.CAP_ENDMNT'!B:B,'4.CAP_ENDMNT'!D:D,0,0,1)</f>
        <v>57277943756.629501</v>
      </c>
      <c r="V582" s="44">
        <f>+_xlfn.XLOOKUP(PROYECTOS[[#This Row],[MUNICIPIO]],'4.CAP_ENDMNT'!B:B,'4.CAP_ENDMNT'!E:E,0,0,1)</f>
        <v>34159399600.959999</v>
      </c>
      <c r="W582" s="44">
        <f>+_xlfn.XLOOKUP(PROYECTOS[[#This Row],[MUNICIPIO]],'4.CAP_ENDMNT'!B:B,'4.CAP_ENDMNT'!F:F,0,0,1)</f>
        <v>23118544155.669502</v>
      </c>
      <c r="X582" s="44">
        <f>+_xlfn.XLOOKUP(PROYECTOS[[#This Row],[MUNICIPIO]],'4.CAP_ENDMNT'!B:B,'4.CAP_ENDMNT'!G:G,0,0,1)</f>
        <v>3450000000</v>
      </c>
      <c r="Y582" s="44">
        <f>+_xlfn.XLOOKUP(PROYECTOS[[#This Row],[MUNICIPIO]],'4.CAP_ENDMNT'!B:B,'4.CAP_ENDMNT'!H:H,0,0,1)</f>
        <v>21452083665</v>
      </c>
      <c r="Z582" s="44">
        <f>+_xlfn.XLOOKUP(PROYECTOS[[#This Row],[MUNICIPIO]],'4.CAP_ENDMNT'!B:B,'4.CAP_ENDMNT'!I:I,0,0,1)</f>
        <v>24902083665</v>
      </c>
      <c r="AA582" s="134">
        <f>+_xlfn.XLOOKUP(PROYECTOS[[#This Row],[MUNICIPIO]],'4.CAP_ENDMNT'!B:B,'4.CAP_ENDMNT'!J:J,0,0,1)</f>
        <v>0.43475868775610099</v>
      </c>
      <c r="AB582" s="44">
        <f>+_xlfn.XLOOKUP(PROYECTOS[[#This Row],[MUNICIPIO]],'4.CAP_ENDMNT'!B:B,'4.CAP_ENDMNT'!K:K,0,0,1)</f>
        <v>32375860091.629501</v>
      </c>
      <c r="AC582" s="44">
        <f>+_xlfn.XLOOKUP(PROYECTOS[[#This Row],[MUNICIPIO]],'4.CAP_ENDMNT'!B:B,'4.CAP_ENDMNT'!L:L,0,0,1)</f>
        <v>25900688073.303604</v>
      </c>
      <c r="AD582" s="44">
        <f>+_xlfn.XLOOKUP(PROYECTOS[[#This Row],[MUNICIPIO]],'4.CAP_ENDMNT'!B:B,'4.CAP_ENDMNT'!M:M,0,0,1)</f>
        <v>19425516054.977699</v>
      </c>
      <c r="AE582" s="134">
        <f>+_xlfn.XLOOKUP(PROYECTOS[[#This Row],[MUNICIPIO]],'4.CAP_ENDMNT'!B:B,'4.CAP_ENDMNT'!N:N,0,0,1)</f>
        <v>0.13854262343712995</v>
      </c>
      <c r="AF582" s="134">
        <f>+_xlfn.XLOOKUP(PROYECTOS[[#This Row],[MUNICIPIO]],'4.CAP_ENDMNT'!B:B,'4.CAP_ENDMNT'!O:O,0,0,1)</f>
        <v>0.87015152665365447</v>
      </c>
      <c r="AG582" s="134">
        <f>+_xlfn.XLOOKUP(PROYECTOS[[#This Row],[MUNICIPIO]],'4.CAP_ENDMNT'!B:B,'4.CAP_ENDMNT'!P:P,0,0,1)</f>
        <v>0.8</v>
      </c>
      <c r="AH582" s="44" t="str">
        <f>+_xlfn.XLOOKUP(PROYECTOS[[#This Row],[MUNICIPIO]],'4.CAP_ENDMNT'!B:B,'4.CAP_ENDMNT'!Q:Q,0,0,1)</f>
        <v>Incumple</v>
      </c>
      <c r="AI582" s="139">
        <f>+_xlfn.XLOOKUP(PROYECTOS[[#This Row],[MUNICIPIO]],'4.CAP_ENDMNT'!B:B,'4.CAP_ENDMNT'!V:V,0,0,1)</f>
        <v>3885103210.9955401</v>
      </c>
      <c r="AJ582" s="139">
        <f>+_xlfn.XLOOKUP(PROYECTOS[[#This Row],[MUNICIPIO]],'4.CAP_ENDMNT'!B:B,'4.CAP_ENDMNT'!Y:Y,0,0,1)</f>
        <v>-114052861009.72676</v>
      </c>
      <c r="AK582"/>
      <c r="AL582"/>
      <c r="AM582"/>
    </row>
    <row r="583" spans="1:39" ht="15" customHeight="1">
      <c r="A583" s="44">
        <v>700</v>
      </c>
      <c r="B583" s="232" t="str">
        <f>+_xlfn.XLOOKUP(PROYECTOS[[#This Row],[ID_NECESIDAD]],'1.RADICADOS'!G:G,'1.RADICADOS'!H:H,0,0,1)</f>
        <v>Construcción de 2,4 km de placa huella en las veredas Ciénega  y  Los Cedros</v>
      </c>
      <c r="C583" s="118">
        <f>+_xlfn.XLOOKUP(PROYECTOS[[#This Row],[ID_NECESIDAD]],'1.RADICADOS'!G:G,'1.RADICADOS'!C:C,0,0,1)*1</f>
        <v>45834</v>
      </c>
      <c r="D583" s="118" t="str">
        <f>+_xlfn.XLOOKUP(PROYECTOS[[#This Row],[ID_NECESIDAD]],'1.RADICADOS'!G:G,'1.RADICADOS'!F:F,0,0,1)</f>
        <v>San Jerónimo</v>
      </c>
      <c r="E583" s="47" t="str">
        <f>+_xlfn.XLOOKUP(PROYECTOS[[#This Row],[MUNICIPIO]],MUNICIPIOS!A:A,MUNICIPIOS!E:E,0,0,1)</f>
        <v>Occidente</v>
      </c>
      <c r="F583" s="44">
        <f>+_xlfn.XLOOKUP(PROYECTOS[[#This Row],[MUNICIPIO]],MUNICIPIOS!A:A,MUNICIPIOS!F:F,0,0,1)</f>
        <v>-75.726974999999996</v>
      </c>
      <c r="G583" s="44" t="str">
        <f>+_xlfn.XLOOKUP(PROYECTOS[[#This Row],[MUNICIPIO]],MUNICIPIOS!A:A,MUNICIPIOS!G:G,0,0,1)</f>
        <v>6,44809</v>
      </c>
      <c r="H583" s="44">
        <f>+LOOKUP(PROYECTOS[[#This Row],[MUNICIPIO]],Table1[Municipio],Table1[PDET])</f>
        <v>0</v>
      </c>
      <c r="I583" s="45">
        <f>+LOOKUP(PROYECTOS[[#This Row],[MUNICIPIO]],Table1[Municipio],Table1[ZOMAC])</f>
        <v>0</v>
      </c>
      <c r="J583" s="34" t="str" cm="1">
        <f t="array" ref="J583">_xlfn.TEXTJOIN(", ", TRUE, IF(radicados[ID PROYECTOS]=A583, radicados[RADICADO], ""))</f>
        <v>2025010319860</v>
      </c>
      <c r="K583" s="230">
        <v>3</v>
      </c>
      <c r="L583" s="212">
        <f>+_xlfn.XLOOKUP(PROYECTOS[[#This Row],[ID_NECESIDAD]],'1.RADICADOS'!G:G,'1.RADICADOS'!J:J,0,0,1)</f>
        <v>4102567843</v>
      </c>
      <c r="M583" s="34" t="s">
        <v>288</v>
      </c>
      <c r="N583" s="40" t="s">
        <v>398</v>
      </c>
      <c r="O583" s="40" t="s">
        <v>25</v>
      </c>
      <c r="P583" s="213" t="s">
        <v>1685</v>
      </c>
      <c r="Q583" s="45"/>
      <c r="R583" s="166"/>
      <c r="S583" s="166"/>
      <c r="T583" s="44">
        <f>+_xlfn.XLOOKUP(PROYECTOS[[#This Row],[MUNICIPIO]],'4.CAP_ENDMNT'!B:B,'4.CAP_ENDMNT'!C:C,0,0,1)</f>
        <v>6</v>
      </c>
      <c r="U583" s="167">
        <f>+_xlfn.XLOOKUP(PROYECTOS[[#This Row],[MUNICIPIO]],'4.CAP_ENDMNT'!B:B,'4.CAP_ENDMNT'!D:D,0,0,1)</f>
        <v>21865753958.964001</v>
      </c>
      <c r="V583" s="44">
        <f>+_xlfn.XLOOKUP(PROYECTOS[[#This Row],[MUNICIPIO]],'4.CAP_ENDMNT'!B:B,'4.CAP_ENDMNT'!E:E,0,0,1)</f>
        <v>8371779870.6599998</v>
      </c>
      <c r="W583" s="44">
        <f>+_xlfn.XLOOKUP(PROYECTOS[[#This Row],[MUNICIPIO]],'4.CAP_ENDMNT'!B:B,'4.CAP_ENDMNT'!F:F,0,0,1)</f>
        <v>13493974088.304001</v>
      </c>
      <c r="X583" s="44">
        <f>+_xlfn.XLOOKUP(PROYECTOS[[#This Row],[MUNICIPIO]],'4.CAP_ENDMNT'!B:B,'4.CAP_ENDMNT'!G:G,0,0,1)</f>
        <v>851002641</v>
      </c>
      <c r="Y583" s="44">
        <f>+_xlfn.XLOOKUP(PROYECTOS[[#This Row],[MUNICIPIO]],'4.CAP_ENDMNT'!B:B,'4.CAP_ENDMNT'!H:H,0,0,1)</f>
        <v>4636492005</v>
      </c>
      <c r="Z583" s="44">
        <f>+_xlfn.XLOOKUP(PROYECTOS[[#This Row],[MUNICIPIO]],'4.CAP_ENDMNT'!B:B,'4.CAP_ENDMNT'!I:I,0,0,1)</f>
        <v>5487494646</v>
      </c>
      <c r="AA583" s="134">
        <f>+_xlfn.XLOOKUP(PROYECTOS[[#This Row],[MUNICIPIO]],'4.CAP_ENDMNT'!B:B,'4.CAP_ENDMNT'!J:J,0,0,1)</f>
        <v>0.25096297416949431</v>
      </c>
      <c r="AB583" s="44">
        <f>+_xlfn.XLOOKUP(PROYECTOS[[#This Row],[MUNICIPIO]],'4.CAP_ENDMNT'!B:B,'4.CAP_ENDMNT'!K:K,0,0,1)</f>
        <v>16378259312.964001</v>
      </c>
      <c r="AC583" s="44">
        <f>+_xlfn.XLOOKUP(PROYECTOS[[#This Row],[MUNICIPIO]],'4.CAP_ENDMNT'!B:B,'4.CAP_ENDMNT'!L:L,0,0,1)</f>
        <v>13102607450.371201</v>
      </c>
      <c r="AD583" s="44">
        <f>+_xlfn.XLOOKUP(PROYECTOS[[#This Row],[MUNICIPIO]],'4.CAP_ENDMNT'!B:B,'4.CAP_ENDMNT'!M:M,0,0,1)</f>
        <v>9826955587.7784004</v>
      </c>
      <c r="AE583" s="134">
        <f>+_xlfn.XLOOKUP(PROYECTOS[[#This Row],[MUNICIPIO]],'4.CAP_ENDMNT'!B:B,'4.CAP_ENDMNT'!N:N,0,0,1)</f>
        <v>0.15508035923466848</v>
      </c>
      <c r="AF583" s="134">
        <f>+_xlfn.XLOOKUP(PROYECTOS[[#This Row],[MUNICIPIO]],'4.CAP_ENDMNT'!B:B,'4.CAP_ENDMNT'!O:O,0,0,1)</f>
        <v>0.43479333121090752</v>
      </c>
      <c r="AG583" s="134">
        <f>+_xlfn.XLOOKUP(PROYECTOS[[#This Row],[MUNICIPIO]],'4.CAP_ENDMNT'!B:B,'4.CAP_ENDMNT'!P:P,0,0,1)</f>
        <v>0.8</v>
      </c>
      <c r="AH583" s="44" t="str">
        <f>+_xlfn.XLOOKUP(PROYECTOS[[#This Row],[MUNICIPIO]],'4.CAP_ENDMNT'!B:B,'4.CAP_ENDMNT'!Q:Q,0,0,1)</f>
        <v>Cumple</v>
      </c>
      <c r="AI583" s="139">
        <f>+_xlfn.XLOOKUP(PROYECTOS[[#This Row],[MUNICIPIO]],'4.CAP_ENDMNT'!B:B,'4.CAP_ENDMNT'!V:V,0,0,1)</f>
        <v>1965391117.5556803</v>
      </c>
      <c r="AJ583" s="139">
        <f>+_xlfn.XLOOKUP(PROYECTOS[[#This Row],[MUNICIPIO]],'4.CAP_ENDMNT'!B:B,'4.CAP_ENDMNT'!Y:Y,0,0,1)</f>
        <v>-4462766845.8359203</v>
      </c>
      <c r="AK583"/>
      <c r="AL583"/>
      <c r="AM583"/>
    </row>
    <row r="584" spans="1:39" ht="15" customHeight="1">
      <c r="A584" s="44">
        <v>701</v>
      </c>
      <c r="B584" s="232" t="str">
        <f>+_xlfn.XLOOKUP(PROYECTOS[[#This Row],[ID_NECESIDAD]],'1.RADICADOS'!G:G,'1.RADICADOS'!H:H,0,0,1)</f>
        <v>Solicitud placa huella junta de acción comunal vereda porvenir tulapa del municipio de turbo JAC</v>
      </c>
      <c r="C584" s="118">
        <f>+_xlfn.XLOOKUP(PROYECTOS[[#This Row],[ID_NECESIDAD]],'1.RADICADOS'!G:G,'1.RADICADOS'!C:C,0,0,1)*1</f>
        <v>45840</v>
      </c>
      <c r="D584" s="118" t="str">
        <f>+_xlfn.XLOOKUP(PROYECTOS[[#This Row],[ID_NECESIDAD]],'1.RADICADOS'!G:G,'1.RADICADOS'!F:F,0,0,1)</f>
        <v>Turbo</v>
      </c>
      <c r="E584" s="47" t="str">
        <f>+_xlfn.XLOOKUP(PROYECTOS[[#This Row],[MUNICIPIO]],MUNICIPIOS!A:A,MUNICIPIOS!E:E,0,0,1)</f>
        <v>Urabá</v>
      </c>
      <c r="F584" s="44">
        <f>+_xlfn.XLOOKUP(PROYECTOS[[#This Row],[MUNICIPIO]],MUNICIPIOS!A:A,MUNICIPIOS!F:F,0,0,1)</f>
        <v>-76.728858000000002</v>
      </c>
      <c r="G584" s="44">
        <f>+_xlfn.XLOOKUP(PROYECTOS[[#This Row],[MUNICIPIO]],MUNICIPIOS!A:A,MUNICIPIOS!G:G,0,0,1)</f>
        <v>8.0899289999999997</v>
      </c>
      <c r="H584" s="44">
        <f>+LOOKUP(PROYECTOS[[#This Row],[MUNICIPIO]],Table1[Municipio],Table1[PDET])</f>
        <v>0</v>
      </c>
      <c r="I584" s="45">
        <f>+LOOKUP(PROYECTOS[[#This Row],[MUNICIPIO]],Table1[Municipio],Table1[ZOMAC])</f>
        <v>0</v>
      </c>
      <c r="J584" s="34" t="str" cm="1">
        <f t="array" ref="J584">_xlfn.TEXTJOIN(", ", TRUE, IF(radicados[ID PROYECTOS]=A584, radicados[RADICADO], ""))</f>
        <v>2025010329531</v>
      </c>
      <c r="K584" s="230">
        <v>1</v>
      </c>
      <c r="L584" s="223"/>
      <c r="M584" s="34" t="s">
        <v>288</v>
      </c>
      <c r="N584" s="40" t="s">
        <v>398</v>
      </c>
      <c r="O584" s="40" t="s">
        <v>25</v>
      </c>
      <c r="P584" s="213" t="s">
        <v>1685</v>
      </c>
      <c r="Q584" s="45"/>
      <c r="R584" s="166"/>
      <c r="S584" s="166"/>
      <c r="T584" s="44">
        <f>+_xlfn.XLOOKUP(PROYECTOS[[#This Row],[MUNICIPIO]],'4.CAP_ENDMNT'!B:B,'4.CAP_ENDMNT'!C:C,0,0,1)</f>
        <v>5</v>
      </c>
      <c r="U584" s="167">
        <f>+_xlfn.XLOOKUP(PROYECTOS[[#This Row],[MUNICIPIO]],'4.CAP_ENDMNT'!B:B,'4.CAP_ENDMNT'!D:D,0,0,1)</f>
        <v>57277943756.629501</v>
      </c>
      <c r="V584" s="44">
        <f>+_xlfn.XLOOKUP(PROYECTOS[[#This Row],[MUNICIPIO]],'4.CAP_ENDMNT'!B:B,'4.CAP_ENDMNT'!E:E,0,0,1)</f>
        <v>34159399600.959999</v>
      </c>
      <c r="W584" s="44">
        <f>+_xlfn.XLOOKUP(PROYECTOS[[#This Row],[MUNICIPIO]],'4.CAP_ENDMNT'!B:B,'4.CAP_ENDMNT'!F:F,0,0,1)</f>
        <v>23118544155.669502</v>
      </c>
      <c r="X584" s="44">
        <f>+_xlfn.XLOOKUP(PROYECTOS[[#This Row],[MUNICIPIO]],'4.CAP_ENDMNT'!B:B,'4.CAP_ENDMNT'!G:G,0,0,1)</f>
        <v>3450000000</v>
      </c>
      <c r="Y584" s="44">
        <f>+_xlfn.XLOOKUP(PROYECTOS[[#This Row],[MUNICIPIO]],'4.CAP_ENDMNT'!B:B,'4.CAP_ENDMNT'!H:H,0,0,1)</f>
        <v>21452083665</v>
      </c>
      <c r="Z584" s="44">
        <f>+_xlfn.XLOOKUP(PROYECTOS[[#This Row],[MUNICIPIO]],'4.CAP_ENDMNT'!B:B,'4.CAP_ENDMNT'!I:I,0,0,1)</f>
        <v>24902083665</v>
      </c>
      <c r="AA584" s="134">
        <f>+_xlfn.XLOOKUP(PROYECTOS[[#This Row],[MUNICIPIO]],'4.CAP_ENDMNT'!B:B,'4.CAP_ENDMNT'!J:J,0,0,1)</f>
        <v>0.43475868775610099</v>
      </c>
      <c r="AB584" s="44">
        <f>+_xlfn.XLOOKUP(PROYECTOS[[#This Row],[MUNICIPIO]],'4.CAP_ENDMNT'!B:B,'4.CAP_ENDMNT'!K:K,0,0,1)</f>
        <v>32375860091.629501</v>
      </c>
      <c r="AC584" s="44">
        <f>+_xlfn.XLOOKUP(PROYECTOS[[#This Row],[MUNICIPIO]],'4.CAP_ENDMNT'!B:B,'4.CAP_ENDMNT'!L:L,0,0,1)</f>
        <v>25900688073.303604</v>
      </c>
      <c r="AD584" s="44">
        <f>+_xlfn.XLOOKUP(PROYECTOS[[#This Row],[MUNICIPIO]],'4.CAP_ENDMNT'!B:B,'4.CAP_ENDMNT'!M:M,0,0,1)</f>
        <v>19425516054.977699</v>
      </c>
      <c r="AE584" s="134">
        <f>+_xlfn.XLOOKUP(PROYECTOS[[#This Row],[MUNICIPIO]],'4.CAP_ENDMNT'!B:B,'4.CAP_ENDMNT'!N:N,0,0,1)</f>
        <v>0.13854262343712995</v>
      </c>
      <c r="AF584" s="134">
        <f>+_xlfn.XLOOKUP(PROYECTOS[[#This Row],[MUNICIPIO]],'4.CAP_ENDMNT'!B:B,'4.CAP_ENDMNT'!O:O,0,0,1)</f>
        <v>0.87015152665365447</v>
      </c>
      <c r="AG584" s="134">
        <f>+_xlfn.XLOOKUP(PROYECTOS[[#This Row],[MUNICIPIO]],'4.CAP_ENDMNT'!B:B,'4.CAP_ENDMNT'!P:P,0,0,1)</f>
        <v>0.8</v>
      </c>
      <c r="AH584" s="44" t="str">
        <f>+_xlfn.XLOOKUP(PROYECTOS[[#This Row],[MUNICIPIO]],'4.CAP_ENDMNT'!B:B,'4.CAP_ENDMNT'!Q:Q,0,0,1)</f>
        <v>Incumple</v>
      </c>
      <c r="AI584" s="139">
        <f>+_xlfn.XLOOKUP(PROYECTOS[[#This Row],[MUNICIPIO]],'4.CAP_ENDMNT'!B:B,'4.CAP_ENDMNT'!V:V,0,0,1)</f>
        <v>3885103210.9955401</v>
      </c>
      <c r="AJ584" s="139">
        <f>+_xlfn.XLOOKUP(PROYECTOS[[#This Row],[MUNICIPIO]],'4.CAP_ENDMNT'!B:B,'4.CAP_ENDMNT'!Y:Y,0,0,1)</f>
        <v>-114052861009.72676</v>
      </c>
      <c r="AK584"/>
      <c r="AL584"/>
      <c r="AM584"/>
    </row>
    <row r="585" spans="1:39" ht="15" customHeight="1">
      <c r="A585" s="44">
        <v>702</v>
      </c>
      <c r="B585" s="232" t="str">
        <f>+_xlfn.XLOOKUP(PROYECTOS[[#This Row],[ID_NECESIDAD]],'1.RADICADOS'!G:G,'1.RADICADOS'!H:H,0,0,1)</f>
        <v>Solicitud placa huella junta de acción comunal corregimiento el alto mulatos del municipio de turbo.JAC</v>
      </c>
      <c r="C585" s="118">
        <f>+_xlfn.XLOOKUP(PROYECTOS[[#This Row],[ID_NECESIDAD]],'1.RADICADOS'!G:G,'1.RADICADOS'!C:C,0,0,1)*1</f>
        <v>45840</v>
      </c>
      <c r="D585" s="118" t="str">
        <f>+_xlfn.XLOOKUP(PROYECTOS[[#This Row],[ID_NECESIDAD]],'1.RADICADOS'!G:G,'1.RADICADOS'!F:F,0,0,1)</f>
        <v>Turbo</v>
      </c>
      <c r="E585" s="47" t="str">
        <f>+_xlfn.XLOOKUP(PROYECTOS[[#This Row],[MUNICIPIO]],MUNICIPIOS!A:A,MUNICIPIOS!E:E,0,0,1)</f>
        <v>Urabá</v>
      </c>
      <c r="F585" s="44">
        <f>+_xlfn.XLOOKUP(PROYECTOS[[#This Row],[MUNICIPIO]],MUNICIPIOS!A:A,MUNICIPIOS!F:F,0,0,1)</f>
        <v>-76.728858000000002</v>
      </c>
      <c r="G585" s="44">
        <f>+_xlfn.XLOOKUP(PROYECTOS[[#This Row],[MUNICIPIO]],MUNICIPIOS!A:A,MUNICIPIOS!G:G,0,0,1)</f>
        <v>8.0899289999999997</v>
      </c>
      <c r="H585" s="44">
        <f>+LOOKUP(PROYECTOS[[#This Row],[MUNICIPIO]],Table1[Municipio],Table1[PDET])</f>
        <v>0</v>
      </c>
      <c r="I585" s="45">
        <f>+LOOKUP(PROYECTOS[[#This Row],[MUNICIPIO]],Table1[Municipio],Table1[ZOMAC])</f>
        <v>0</v>
      </c>
      <c r="J585" s="34" t="str" cm="1">
        <f t="array" ref="J585">_xlfn.TEXTJOIN(", ", TRUE, IF(radicados[ID PROYECTOS]=A585, radicados[RADICADO], ""))</f>
        <v>2025010329555</v>
      </c>
      <c r="K585" s="230">
        <v>1</v>
      </c>
      <c r="L585" s="223"/>
      <c r="M585" s="34" t="s">
        <v>288</v>
      </c>
      <c r="N585" s="40" t="s">
        <v>398</v>
      </c>
      <c r="O585" s="40" t="s">
        <v>25</v>
      </c>
      <c r="P585" s="213" t="s">
        <v>1685</v>
      </c>
      <c r="Q585" s="45"/>
      <c r="R585" s="166"/>
      <c r="S585" s="166"/>
      <c r="T585" s="44">
        <f>+_xlfn.XLOOKUP(PROYECTOS[[#This Row],[MUNICIPIO]],'4.CAP_ENDMNT'!B:B,'4.CAP_ENDMNT'!C:C,0,0,1)</f>
        <v>5</v>
      </c>
      <c r="U585" s="167">
        <f>+_xlfn.XLOOKUP(PROYECTOS[[#This Row],[MUNICIPIO]],'4.CAP_ENDMNT'!B:B,'4.CAP_ENDMNT'!D:D,0,0,1)</f>
        <v>57277943756.629501</v>
      </c>
      <c r="V585" s="44">
        <f>+_xlfn.XLOOKUP(PROYECTOS[[#This Row],[MUNICIPIO]],'4.CAP_ENDMNT'!B:B,'4.CAP_ENDMNT'!E:E,0,0,1)</f>
        <v>34159399600.959999</v>
      </c>
      <c r="W585" s="44">
        <f>+_xlfn.XLOOKUP(PROYECTOS[[#This Row],[MUNICIPIO]],'4.CAP_ENDMNT'!B:B,'4.CAP_ENDMNT'!F:F,0,0,1)</f>
        <v>23118544155.669502</v>
      </c>
      <c r="X585" s="44">
        <f>+_xlfn.XLOOKUP(PROYECTOS[[#This Row],[MUNICIPIO]],'4.CAP_ENDMNT'!B:B,'4.CAP_ENDMNT'!G:G,0,0,1)</f>
        <v>3450000000</v>
      </c>
      <c r="Y585" s="44">
        <f>+_xlfn.XLOOKUP(PROYECTOS[[#This Row],[MUNICIPIO]],'4.CAP_ENDMNT'!B:B,'4.CAP_ENDMNT'!H:H,0,0,1)</f>
        <v>21452083665</v>
      </c>
      <c r="Z585" s="44">
        <f>+_xlfn.XLOOKUP(PROYECTOS[[#This Row],[MUNICIPIO]],'4.CAP_ENDMNT'!B:B,'4.CAP_ENDMNT'!I:I,0,0,1)</f>
        <v>24902083665</v>
      </c>
      <c r="AA585" s="134">
        <f>+_xlfn.XLOOKUP(PROYECTOS[[#This Row],[MUNICIPIO]],'4.CAP_ENDMNT'!B:B,'4.CAP_ENDMNT'!J:J,0,0,1)</f>
        <v>0.43475868775610099</v>
      </c>
      <c r="AB585" s="44">
        <f>+_xlfn.XLOOKUP(PROYECTOS[[#This Row],[MUNICIPIO]],'4.CAP_ENDMNT'!B:B,'4.CAP_ENDMNT'!K:K,0,0,1)</f>
        <v>32375860091.629501</v>
      </c>
      <c r="AC585" s="44">
        <f>+_xlfn.XLOOKUP(PROYECTOS[[#This Row],[MUNICIPIO]],'4.CAP_ENDMNT'!B:B,'4.CAP_ENDMNT'!L:L,0,0,1)</f>
        <v>25900688073.303604</v>
      </c>
      <c r="AD585" s="44">
        <f>+_xlfn.XLOOKUP(PROYECTOS[[#This Row],[MUNICIPIO]],'4.CAP_ENDMNT'!B:B,'4.CAP_ENDMNT'!M:M,0,0,1)</f>
        <v>19425516054.977699</v>
      </c>
      <c r="AE585" s="134">
        <f>+_xlfn.XLOOKUP(PROYECTOS[[#This Row],[MUNICIPIO]],'4.CAP_ENDMNT'!B:B,'4.CAP_ENDMNT'!N:N,0,0,1)</f>
        <v>0.13854262343712995</v>
      </c>
      <c r="AF585" s="134">
        <f>+_xlfn.XLOOKUP(PROYECTOS[[#This Row],[MUNICIPIO]],'4.CAP_ENDMNT'!B:B,'4.CAP_ENDMNT'!O:O,0,0,1)</f>
        <v>0.87015152665365447</v>
      </c>
      <c r="AG585" s="134">
        <f>+_xlfn.XLOOKUP(PROYECTOS[[#This Row],[MUNICIPIO]],'4.CAP_ENDMNT'!B:B,'4.CAP_ENDMNT'!P:P,0,0,1)</f>
        <v>0.8</v>
      </c>
      <c r="AH585" s="44" t="str">
        <f>+_xlfn.XLOOKUP(PROYECTOS[[#This Row],[MUNICIPIO]],'4.CAP_ENDMNT'!B:B,'4.CAP_ENDMNT'!Q:Q,0,0,1)</f>
        <v>Incumple</v>
      </c>
      <c r="AI585" s="139">
        <f>+_xlfn.XLOOKUP(PROYECTOS[[#This Row],[MUNICIPIO]],'4.CAP_ENDMNT'!B:B,'4.CAP_ENDMNT'!V:V,0,0,1)</f>
        <v>3885103210.9955401</v>
      </c>
      <c r="AJ585" s="139">
        <f>+_xlfn.XLOOKUP(PROYECTOS[[#This Row],[MUNICIPIO]],'4.CAP_ENDMNT'!B:B,'4.CAP_ENDMNT'!Y:Y,0,0,1)</f>
        <v>-114052861009.72676</v>
      </c>
      <c r="AK585"/>
      <c r="AL585"/>
      <c r="AM585"/>
    </row>
    <row r="586" spans="1:39" ht="15" customHeight="1">
      <c r="A586" s="44">
        <v>703</v>
      </c>
      <c r="B586" s="232" t="str">
        <f>+_xlfn.XLOOKUP(PROYECTOS[[#This Row],[ID_NECESIDAD]],'1.RADICADOS'!G:G,'1.RADICADOS'!H:H,0,0,1)</f>
        <v>MEJORAMIENTO DE VÍA (VEREDA SAN ISIDRO – VEREDA BOQUERON) EN EL MUNICIPIO DE SAN FRANCISCO, ANTIOQUIA</v>
      </c>
      <c r="C586" s="118">
        <f>+_xlfn.XLOOKUP(PROYECTOS[[#This Row],[ID_NECESIDAD]],'1.RADICADOS'!G:G,'1.RADICADOS'!C:C,0,0,1)*1</f>
        <v>45841</v>
      </c>
      <c r="D586" s="118" t="str">
        <f>+_xlfn.XLOOKUP(PROYECTOS[[#This Row],[ID_NECESIDAD]],'1.RADICADOS'!G:G,'1.RADICADOS'!F:F,0,0,1)</f>
        <v>San Francisco</v>
      </c>
      <c r="E586" s="47" t="str">
        <f>+_xlfn.XLOOKUP(PROYECTOS[[#This Row],[MUNICIPIO]],MUNICIPIOS!A:A,MUNICIPIOS!E:E,0,0,1)</f>
        <v>Oriente</v>
      </c>
      <c r="F586" s="44">
        <f>+_xlfn.XLOOKUP(PROYECTOS[[#This Row],[MUNICIPIO]],MUNICIPIOS!A:A,MUNICIPIOS!F:F,0,0,1)</f>
        <v>-75.101562000000001</v>
      </c>
      <c r="G586" s="44" t="str">
        <f>+_xlfn.XLOOKUP(PROYECTOS[[#This Row],[MUNICIPIO]],MUNICIPIOS!A:A,MUNICIPIOS!G:G,0,0,1)</f>
        <v>5,963476</v>
      </c>
      <c r="H586" s="44">
        <f>+LOOKUP(PROYECTOS[[#This Row],[MUNICIPIO]],Table1[Municipio],Table1[PDET])</f>
        <v>0</v>
      </c>
      <c r="I586" s="45">
        <f>+LOOKUP(PROYECTOS[[#This Row],[MUNICIPIO]],Table1[Municipio],Table1[ZOMAC])</f>
        <v>0</v>
      </c>
      <c r="J586" s="34" t="str" cm="1">
        <f t="array" ref="J586">_xlfn.TEXTJOIN(", ", TRUE, IF(radicados[ID PROYECTOS]=A586, radicados[RADICADO], ""))</f>
        <v>2025010331368</v>
      </c>
      <c r="K586" s="230">
        <v>3</v>
      </c>
      <c r="L586" s="212">
        <f>+_xlfn.XLOOKUP(PROYECTOS[[#This Row],[ID_NECESIDAD]],'1.RADICADOS'!G:G,'1.RADICADOS'!J:J,0,0,1)</f>
        <v>2391348958</v>
      </c>
      <c r="M586" s="34" t="s">
        <v>288</v>
      </c>
      <c r="N586" s="40" t="s">
        <v>398</v>
      </c>
      <c r="O586" s="40" t="s">
        <v>25</v>
      </c>
      <c r="P586" s="213" t="s">
        <v>1687</v>
      </c>
      <c r="Q586" s="45"/>
      <c r="R586" s="166"/>
      <c r="S586" s="166"/>
      <c r="T586" s="44">
        <f>+_xlfn.XLOOKUP(PROYECTOS[[#This Row],[MUNICIPIO]],'4.CAP_ENDMNT'!B:B,'4.CAP_ENDMNT'!C:C,0,0,1)</f>
        <v>6</v>
      </c>
      <c r="U586" s="167">
        <f>+_xlfn.XLOOKUP(PROYECTOS[[#This Row],[MUNICIPIO]],'4.CAP_ENDMNT'!B:B,'4.CAP_ENDMNT'!D:D,0,0,1)</f>
        <v>7763487077.335</v>
      </c>
      <c r="V586" s="44">
        <f>+_xlfn.XLOOKUP(PROYECTOS[[#This Row],[MUNICIPIO]],'4.CAP_ENDMNT'!B:B,'4.CAP_ENDMNT'!E:E,0,0,1)</f>
        <v>2329929022.3600001</v>
      </c>
      <c r="W586" s="44">
        <f>+_xlfn.XLOOKUP(PROYECTOS[[#This Row],[MUNICIPIO]],'4.CAP_ENDMNT'!B:B,'4.CAP_ENDMNT'!F:F,0,0,1)</f>
        <v>5433558054.9750004</v>
      </c>
      <c r="X586" s="44">
        <f>+_xlfn.XLOOKUP(PROYECTOS[[#This Row],[MUNICIPIO]],'4.CAP_ENDMNT'!B:B,'4.CAP_ENDMNT'!G:G,0,0,1)</f>
        <v>1217107364.4400001</v>
      </c>
      <c r="Y586" s="44">
        <f>+_xlfn.XLOOKUP(PROYECTOS[[#This Row],[MUNICIPIO]],'4.CAP_ENDMNT'!B:B,'4.CAP_ENDMNT'!H:H,0,0,1)</f>
        <v>0</v>
      </c>
      <c r="Z586" s="44">
        <f>+_xlfn.XLOOKUP(PROYECTOS[[#This Row],[MUNICIPIO]],'4.CAP_ENDMNT'!B:B,'4.CAP_ENDMNT'!I:I,0,0,1)</f>
        <v>1217107364.4400001</v>
      </c>
      <c r="AA586" s="134">
        <f>+_xlfn.XLOOKUP(PROYECTOS[[#This Row],[MUNICIPIO]],'4.CAP_ENDMNT'!B:B,'4.CAP_ENDMNT'!J:J,0,0,1)</f>
        <v>0.15677328400446064</v>
      </c>
      <c r="AB586" s="44">
        <f>+_xlfn.XLOOKUP(PROYECTOS[[#This Row],[MUNICIPIO]],'4.CAP_ENDMNT'!B:B,'4.CAP_ENDMNT'!K:K,0,0,1)</f>
        <v>6546379712.8950005</v>
      </c>
      <c r="AC586" s="44">
        <f>+_xlfn.XLOOKUP(PROYECTOS[[#This Row],[MUNICIPIO]],'4.CAP_ENDMNT'!B:B,'4.CAP_ENDMNT'!L:L,0,0,1)</f>
        <v>5237103770.3160009</v>
      </c>
      <c r="AD586" s="44">
        <f>+_xlfn.XLOOKUP(PROYECTOS[[#This Row],[MUNICIPIO]],'4.CAP_ENDMNT'!B:B,'4.CAP_ENDMNT'!M:M,0,0,1)</f>
        <v>3927827827.737</v>
      </c>
      <c r="AE586" s="134">
        <f>+_xlfn.XLOOKUP(PROYECTOS[[#This Row],[MUNICIPIO]],'4.CAP_ENDMNT'!B:B,'4.CAP_ENDMNT'!N:N,0,0,1)</f>
        <v>1</v>
      </c>
      <c r="AF586" s="134">
        <f>+_xlfn.XLOOKUP(PROYECTOS[[#This Row],[MUNICIPIO]],'4.CAP_ENDMNT'!B:B,'4.CAP_ENDMNT'!O:O,0,0,1)</f>
        <v>0.68141761997590633</v>
      </c>
      <c r="AG586" s="134">
        <f>+_xlfn.XLOOKUP(PROYECTOS[[#This Row],[MUNICIPIO]],'4.CAP_ENDMNT'!B:B,'4.CAP_ENDMNT'!P:P,0,0,1)</f>
        <v>0.8</v>
      </c>
      <c r="AH586" s="44" t="str">
        <f>+_xlfn.XLOOKUP(PROYECTOS[[#This Row],[MUNICIPIO]],'4.CAP_ENDMNT'!B:B,'4.CAP_ENDMNT'!Q:Q,0,0,1)</f>
        <v>Cumple</v>
      </c>
      <c r="AI586" s="139">
        <f>+_xlfn.XLOOKUP(PROYECTOS[[#This Row],[MUNICIPIO]],'4.CAP_ENDMNT'!B:B,'4.CAP_ENDMNT'!V:V,0,0,1)</f>
        <v>785565565.5474</v>
      </c>
      <c r="AJ586" s="139">
        <f>+_xlfn.XLOOKUP(PROYECTOS[[#This Row],[MUNICIPIO]],'4.CAP_ENDMNT'!B:B,'4.CAP_ENDMNT'!Y:Y,0,0,1)</f>
        <v>-10352204929.605598</v>
      </c>
      <c r="AK586"/>
      <c r="AL586"/>
      <c r="AM586"/>
    </row>
    <row r="587" spans="1:39" ht="15" customHeight="1">
      <c r="A587" s="44">
        <v>704</v>
      </c>
      <c r="B587" s="232" t="str">
        <f>+_xlfn.XLOOKUP(PROYECTOS[[#This Row],[ID_NECESIDAD]],'1.RADICADOS'!G:G,'1.RADICADOS'!H:H,0,0,1)</f>
        <v>PROYECTO MEJORAMIENTO Y MANTENIMIENTO DE LA VÍA SEVILLA - VALDIVIA EN EL DEPARTAMENTO DE ANTIOQUIA.</v>
      </c>
      <c r="C587" s="118">
        <f>+_xlfn.XLOOKUP(PROYECTOS[[#This Row],[ID_NECESIDAD]],'1.RADICADOS'!G:G,'1.RADICADOS'!C:C,0,0,1)*1</f>
        <v>45723</v>
      </c>
      <c r="D587" s="118" t="str">
        <f>+_xlfn.XLOOKUP(PROYECTOS[[#This Row],[ID_NECESIDAD]],'1.RADICADOS'!G:G,'1.RADICADOS'!F:F,0,0,1)</f>
        <v>Valdivia</v>
      </c>
      <c r="E587" s="47" t="str">
        <f>+_xlfn.XLOOKUP(PROYECTOS[[#This Row],[MUNICIPIO]],MUNICIPIOS!A:A,MUNICIPIOS!E:E,0,0,1)</f>
        <v>Norte</v>
      </c>
      <c r="F587" s="44">
        <f>+_xlfn.XLOOKUP(PROYECTOS[[#This Row],[MUNICIPIO]],MUNICIPIOS!A:A,MUNICIPIOS!F:F,0,0,1)</f>
        <v>-75.439273999999997</v>
      </c>
      <c r="G587" s="44">
        <f>+_xlfn.XLOOKUP(PROYECTOS[[#This Row],[MUNICIPIO]],MUNICIPIOS!A:A,MUNICIPIOS!G:G,0,0,1)</f>
        <v>7.1651999999999996</v>
      </c>
      <c r="H587" s="44">
        <f>+LOOKUP(PROYECTOS[[#This Row],[MUNICIPIO]],Table1[Municipio],Table1[PDET])</f>
        <v>0</v>
      </c>
      <c r="I587" s="45">
        <f>+LOOKUP(PROYECTOS[[#This Row],[MUNICIPIO]],Table1[Municipio],Table1[ZOMAC])</f>
        <v>0</v>
      </c>
      <c r="J587" s="34" t="str" cm="1">
        <f t="array" ref="J587">_xlfn.TEXTJOIN(", ", TRUE, IF(radicados[ID PROYECTOS]=A587, radicados[RADICADO], ""))</f>
        <v>2025010333092</v>
      </c>
      <c r="K587" s="230">
        <v>3</v>
      </c>
      <c r="L587" s="212">
        <f>+_xlfn.XLOOKUP(PROYECTOS[[#This Row],[ID_NECESIDAD]],'1.RADICADOS'!G:G,'1.RADICADOS'!J:J,0,0,1)</f>
        <v>2627352174.2800002</v>
      </c>
      <c r="M587" s="34" t="s">
        <v>401</v>
      </c>
      <c r="N587" s="40" t="s">
        <v>398</v>
      </c>
      <c r="O587" s="40" t="s">
        <v>25</v>
      </c>
      <c r="P587" s="213"/>
      <c r="Q587" s="45"/>
      <c r="R587" s="166"/>
      <c r="S587" s="166"/>
      <c r="T587" s="44">
        <f>+_xlfn.XLOOKUP(PROYECTOS[[#This Row],[MUNICIPIO]],'4.CAP_ENDMNT'!B:B,'4.CAP_ENDMNT'!C:C,0,0,1)</f>
        <v>6</v>
      </c>
      <c r="U587" s="167">
        <f>+_xlfn.XLOOKUP(PROYECTOS[[#This Row],[MUNICIPIO]],'4.CAP_ENDMNT'!B:B,'4.CAP_ENDMNT'!D:D,0,0,1)</f>
        <v>13037566833.207003</v>
      </c>
      <c r="V587" s="44">
        <f>+_xlfn.XLOOKUP(PROYECTOS[[#This Row],[MUNICIPIO]],'4.CAP_ENDMNT'!B:B,'4.CAP_ENDMNT'!E:E,0,0,1)</f>
        <v>3869989518.3099999</v>
      </c>
      <c r="W587" s="44">
        <f>+_xlfn.XLOOKUP(PROYECTOS[[#This Row],[MUNICIPIO]],'4.CAP_ENDMNT'!B:B,'4.CAP_ENDMNT'!F:F,0,0,1)</f>
        <v>9167577314.8970032</v>
      </c>
      <c r="X587" s="44">
        <f>+_xlfn.XLOOKUP(PROYECTOS[[#This Row],[MUNICIPIO]],'4.CAP_ENDMNT'!B:B,'4.CAP_ENDMNT'!G:G,0,0,1)</f>
        <v>3761583922</v>
      </c>
      <c r="Y587" s="44">
        <f>+_xlfn.XLOOKUP(PROYECTOS[[#This Row],[MUNICIPIO]],'4.CAP_ENDMNT'!B:B,'4.CAP_ENDMNT'!H:H,0,0,1)</f>
        <v>0</v>
      </c>
      <c r="Z587" s="44">
        <f>+_xlfn.XLOOKUP(PROYECTOS[[#This Row],[MUNICIPIO]],'4.CAP_ENDMNT'!B:B,'4.CAP_ENDMNT'!I:I,0,0,1)</f>
        <v>3761583922</v>
      </c>
      <c r="AA587" s="134">
        <f>+_xlfn.XLOOKUP(PROYECTOS[[#This Row],[MUNICIPIO]],'4.CAP_ENDMNT'!B:B,'4.CAP_ENDMNT'!J:J,0,0,1)</f>
        <v>0.28851886016178674</v>
      </c>
      <c r="AB587" s="44">
        <f>+_xlfn.XLOOKUP(PROYECTOS[[#This Row],[MUNICIPIO]],'4.CAP_ENDMNT'!B:B,'4.CAP_ENDMNT'!K:K,0,0,1)</f>
        <v>9275982911.2070026</v>
      </c>
      <c r="AC587" s="44">
        <f>+_xlfn.XLOOKUP(PROYECTOS[[#This Row],[MUNICIPIO]],'4.CAP_ENDMNT'!B:B,'4.CAP_ENDMNT'!L:L,0,0,1)</f>
        <v>7420786328.9656029</v>
      </c>
      <c r="AD587" s="44">
        <f>+_xlfn.XLOOKUP(PROYECTOS[[#This Row],[MUNICIPIO]],'4.CAP_ENDMNT'!B:B,'4.CAP_ENDMNT'!M:M,0,0,1)</f>
        <v>5565589746.7242012</v>
      </c>
      <c r="AE587" s="134">
        <f>+_xlfn.XLOOKUP(PROYECTOS[[#This Row],[MUNICIPIO]],'4.CAP_ENDMNT'!B:B,'4.CAP_ENDMNT'!N:N,0,0,1)</f>
        <v>1</v>
      </c>
      <c r="AF587" s="134">
        <f>+_xlfn.XLOOKUP(PROYECTOS[[#This Row],[MUNICIPIO]],'4.CAP_ENDMNT'!B:B,'4.CAP_ENDMNT'!O:O,0,0,1)</f>
        <v>0.55776534569064784</v>
      </c>
      <c r="AG587" s="134">
        <f>+_xlfn.XLOOKUP(PROYECTOS[[#This Row],[MUNICIPIO]],'4.CAP_ENDMNT'!B:B,'4.CAP_ENDMNT'!P:P,0,0,1)</f>
        <v>0.8</v>
      </c>
      <c r="AH587" s="44" t="str">
        <f>+_xlfn.XLOOKUP(PROYECTOS[[#This Row],[MUNICIPIO]],'4.CAP_ENDMNT'!B:B,'4.CAP_ENDMNT'!Q:Q,0,0,1)</f>
        <v>Cumple</v>
      </c>
      <c r="AI587" s="139">
        <f>+_xlfn.XLOOKUP(PROYECTOS[[#This Row],[MUNICIPIO]],'4.CAP_ENDMNT'!B:B,'4.CAP_ENDMNT'!V:V,0,0,1)</f>
        <v>1113117949.3448403</v>
      </c>
      <c r="AJ587" s="139">
        <f>+_xlfn.XLOOKUP(PROYECTOS[[#This Row],[MUNICIPIO]],'4.CAP_ENDMNT'!B:B,'4.CAP_ENDMNT'!Y:Y,0,0,1)</f>
        <v>-623173287.21095943</v>
      </c>
      <c r="AK587"/>
      <c r="AL587"/>
      <c r="AM587"/>
    </row>
    <row r="588" spans="1:39" ht="15" customHeight="1">
      <c r="A588" s="44">
        <v>705</v>
      </c>
      <c r="B588" s="232" t="str">
        <f>+_xlfn.XLOOKUP(PROYECTOS[[#This Row],[ID_NECESIDAD]],'1.RADICADOS'!G:G,'1.RADICADOS'!H:H,0,0,1)</f>
        <v>Mejoramiento de la via terciaria que comunica la vereda El Dique y el casco urbano del municipio de Yondó</v>
      </c>
      <c r="C588" s="118">
        <f>+_xlfn.XLOOKUP(PROYECTOS[[#This Row],[ID_NECESIDAD]],'1.RADICADOS'!G:G,'1.RADICADOS'!C:C,0,0,1)*1</f>
        <v>45723</v>
      </c>
      <c r="D588" s="118" t="str">
        <f>+_xlfn.XLOOKUP(PROYECTOS[[#This Row],[ID_NECESIDAD]],'1.RADICADOS'!G:G,'1.RADICADOS'!F:F,0,0,1)</f>
        <v>Yondó</v>
      </c>
      <c r="E588" s="47" t="str">
        <f>+_xlfn.XLOOKUP(PROYECTOS[[#This Row],[MUNICIPIO]],MUNICIPIOS!A:A,MUNICIPIOS!E:E,0,0,1)</f>
        <v>Magdalena Medio</v>
      </c>
      <c r="F588" s="44">
        <f>+_xlfn.XLOOKUP(PROYECTOS[[#This Row],[MUNICIPIO]],MUNICIPIOS!A:A,MUNICIPIOS!F:F,0,0,1)</f>
        <v>-73.912445000000005</v>
      </c>
      <c r="G588" s="44">
        <f>+_xlfn.XLOOKUP(PROYECTOS[[#This Row],[MUNICIPIO]],MUNICIPIOS!A:A,MUNICIPIOS!G:G,0,0,1)</f>
        <v>7.0039600000000002</v>
      </c>
      <c r="H588" s="44">
        <f>+LOOKUP(PROYECTOS[[#This Row],[MUNICIPIO]],Table1[Municipio],Table1[PDET])</f>
        <v>0</v>
      </c>
      <c r="I588" s="45">
        <f>+LOOKUP(PROYECTOS[[#This Row],[MUNICIPIO]],Table1[Municipio],Table1[ZOMAC])</f>
        <v>0</v>
      </c>
      <c r="J588" s="34" t="str" cm="1">
        <f t="array" ref="J588">_xlfn.TEXTJOIN(", ", TRUE, IF(radicados[ID PROYECTOS]=A588, radicados[RADICADO], ""))</f>
        <v>2025010327218</v>
      </c>
      <c r="K588" s="230">
        <v>3</v>
      </c>
      <c r="L588" s="212">
        <f>+_xlfn.XLOOKUP(PROYECTOS[[#This Row],[ID_NECESIDAD]],'1.RADICADOS'!G:G,'1.RADICADOS'!J:J,0,0,1)</f>
        <v>2743656131</v>
      </c>
      <c r="M588" s="34" t="s">
        <v>396</v>
      </c>
      <c r="N588" s="40" t="s">
        <v>398</v>
      </c>
      <c r="O588" s="40" t="s">
        <v>25</v>
      </c>
      <c r="P588" s="213"/>
      <c r="Q588" s="45"/>
      <c r="R588" s="166"/>
      <c r="S588" s="166"/>
      <c r="T588" s="44">
        <f>+_xlfn.XLOOKUP(PROYECTOS[[#This Row],[MUNICIPIO]],'4.CAP_ENDMNT'!B:B,'4.CAP_ENDMNT'!C:C,0,0,1)</f>
        <v>6</v>
      </c>
      <c r="U588" s="167">
        <f>+_xlfn.XLOOKUP(PROYECTOS[[#This Row],[MUNICIPIO]],'4.CAP_ENDMNT'!B:B,'4.CAP_ENDMNT'!D:D,0,0,1)</f>
        <v>30235702409.850498</v>
      </c>
      <c r="V588" s="44">
        <f>+_xlfn.XLOOKUP(PROYECTOS[[#This Row],[MUNICIPIO]],'4.CAP_ENDMNT'!B:B,'4.CAP_ENDMNT'!E:E,0,0,1)</f>
        <v>8068276995.0799999</v>
      </c>
      <c r="W588" s="44">
        <f>+_xlfn.XLOOKUP(PROYECTOS[[#This Row],[MUNICIPIO]],'4.CAP_ENDMNT'!B:B,'4.CAP_ENDMNT'!F:F,0,0,1)</f>
        <v>22167425414.7705</v>
      </c>
      <c r="X588" s="44">
        <f>+_xlfn.XLOOKUP(PROYECTOS[[#This Row],[MUNICIPIO]],'4.CAP_ENDMNT'!B:B,'4.CAP_ENDMNT'!G:G,0,0,1)</f>
        <v>0</v>
      </c>
      <c r="Y588" s="44">
        <f>+_xlfn.XLOOKUP(PROYECTOS[[#This Row],[MUNICIPIO]],'4.CAP_ENDMNT'!B:B,'4.CAP_ENDMNT'!H:H,0,0,1)</f>
        <v>0</v>
      </c>
      <c r="Z588" s="44">
        <f>+_xlfn.XLOOKUP(PROYECTOS[[#This Row],[MUNICIPIO]],'4.CAP_ENDMNT'!B:B,'4.CAP_ENDMNT'!I:I,0,0,1)</f>
        <v>0</v>
      </c>
      <c r="AA588" s="134">
        <f>+_xlfn.XLOOKUP(PROYECTOS[[#This Row],[MUNICIPIO]],'4.CAP_ENDMNT'!B:B,'4.CAP_ENDMNT'!J:J,0,0,1)</f>
        <v>0</v>
      </c>
      <c r="AB588" s="44">
        <f>+_xlfn.XLOOKUP(PROYECTOS[[#This Row],[MUNICIPIO]],'4.CAP_ENDMNT'!B:B,'4.CAP_ENDMNT'!K:K,0,0,1)</f>
        <v>30235702409.850498</v>
      </c>
      <c r="AC588" s="44">
        <f>+_xlfn.XLOOKUP(PROYECTOS[[#This Row],[MUNICIPIO]],'4.CAP_ENDMNT'!B:B,'4.CAP_ENDMNT'!L:L,0,0,1)</f>
        <v>24188561927.880402</v>
      </c>
      <c r="AD588" s="44">
        <f>+_xlfn.XLOOKUP(PROYECTOS[[#This Row],[MUNICIPIO]],'4.CAP_ENDMNT'!B:B,'4.CAP_ENDMNT'!M:M,0,0,1)</f>
        <v>18141421445.910297</v>
      </c>
      <c r="AE588" s="134">
        <f>+_xlfn.XLOOKUP(PROYECTOS[[#This Row],[MUNICIPIO]],'4.CAP_ENDMNT'!B:B,'4.CAP_ENDMNT'!N:N,0,0,1)</f>
        <v>0</v>
      </c>
      <c r="AF588" s="134">
        <f>+_xlfn.XLOOKUP(PROYECTOS[[#This Row],[MUNICIPIO]],'4.CAP_ENDMNT'!B:B,'4.CAP_ENDMNT'!O:O,0,0,1)</f>
        <v>0.48110149713114325</v>
      </c>
      <c r="AG588" s="134">
        <f>+_xlfn.XLOOKUP(PROYECTOS[[#This Row],[MUNICIPIO]],'4.CAP_ENDMNT'!B:B,'4.CAP_ENDMNT'!P:P,0,0,1)</f>
        <v>0.8</v>
      </c>
      <c r="AH588" s="44" t="str">
        <f>+_xlfn.XLOOKUP(PROYECTOS[[#This Row],[MUNICIPIO]],'4.CAP_ENDMNT'!B:B,'4.CAP_ENDMNT'!Q:Q,0,0,1)</f>
        <v>Cumple</v>
      </c>
      <c r="AI588" s="139">
        <f>+_xlfn.XLOOKUP(PROYECTOS[[#This Row],[MUNICIPIO]],'4.CAP_ENDMNT'!B:B,'4.CAP_ENDMNT'!V:V,0,0,1)</f>
        <v>3628284289.1820598</v>
      </c>
      <c r="AJ588" s="139">
        <f>+_xlfn.XLOOKUP(PROYECTOS[[#This Row],[MUNICIPIO]],'4.CAP_ENDMNT'!B:B,'4.CAP_ENDMNT'!Y:Y,0,0,1)</f>
        <v>13348657652.092358</v>
      </c>
      <c r="AK588"/>
      <c r="AL588"/>
      <c r="AM588"/>
    </row>
    <row r="589" spans="1:39" ht="15" customHeight="1">
      <c r="A589" s="44">
        <v>706</v>
      </c>
      <c r="B589" s="232" t="str">
        <f>+_xlfn.XLOOKUP(PROYECTOS[[#This Row],[ID_NECESIDAD]],'1.RADICADOS'!G:G,'1.RADICADOS'!H:H,0,0,1)</f>
        <v>Solicitud contruccion puente peatonal sobre quebrada La Arabia (limites entre el municipio de Puerto Nare y corregimiento Puerto Garza [municipio de San Carlos] y mejoramiento instalaciones feria de ganado F1</v>
      </c>
      <c r="C589" s="118">
        <f>+_xlfn.XLOOKUP(PROYECTOS[[#This Row],[ID_NECESIDAD]],'1.RADICADOS'!G:G,'1.RADICADOS'!C:C,0,0,1)*1</f>
        <v>45833</v>
      </c>
      <c r="D589" s="118" t="str">
        <f>+_xlfn.XLOOKUP(PROYECTOS[[#This Row],[ID_NECESIDAD]],'1.RADICADOS'!G:G,'1.RADICADOS'!F:F,0,0,1)</f>
        <v>San Carlos</v>
      </c>
      <c r="E589" s="47" t="str">
        <f>+_xlfn.XLOOKUP(PROYECTOS[[#This Row],[MUNICIPIO]],MUNICIPIOS!A:A,MUNICIPIOS!E:E,0,0,1)</f>
        <v>Oriente</v>
      </c>
      <c r="F589" s="44">
        <f>+_xlfn.XLOOKUP(PROYECTOS[[#This Row],[MUNICIPIO]],MUNICIPIOS!A:A,MUNICIPIOS!F:F,0,0,1)</f>
        <v>-74.988096999999996</v>
      </c>
      <c r="G589" s="44" t="str">
        <f>+_xlfn.XLOOKUP(PROYECTOS[[#This Row],[MUNICIPIO]],MUNICIPIOS!A:A,MUNICIPIOS!G:G,0,0,1)</f>
        <v>6,187746</v>
      </c>
      <c r="H589" s="44">
        <f>+LOOKUP(PROYECTOS[[#This Row],[MUNICIPIO]],Table1[Municipio],Table1[PDET])</f>
        <v>0</v>
      </c>
      <c r="I589" s="45">
        <f>+LOOKUP(PROYECTOS[[#This Row],[MUNICIPIO]],Table1[Municipio],Table1[ZOMAC])</f>
        <v>0</v>
      </c>
      <c r="J589" s="34" t="str" cm="1">
        <f t="array" ref="J589">_xlfn.TEXTJOIN(", ", TRUE, IF(radicados[ID PROYECTOS]=A589, radicados[RADICADO], ""))</f>
        <v>2025010317243</v>
      </c>
      <c r="K589" s="230">
        <v>1</v>
      </c>
      <c r="L589" s="223"/>
      <c r="M589" s="34" t="s">
        <v>428</v>
      </c>
      <c r="N589" s="40" t="s">
        <v>398</v>
      </c>
      <c r="O589" s="40" t="s">
        <v>25</v>
      </c>
      <c r="P589" s="213"/>
      <c r="Q589" s="45"/>
      <c r="R589" s="166"/>
      <c r="S589" s="166"/>
      <c r="T589" s="44">
        <f>+_xlfn.XLOOKUP(PROYECTOS[[#This Row],[MUNICIPIO]],'4.CAP_ENDMNT'!B:B,'4.CAP_ENDMNT'!C:C,0,0,1)</f>
        <v>6</v>
      </c>
      <c r="U589" s="167">
        <f>+_xlfn.XLOOKUP(PROYECTOS[[#This Row],[MUNICIPIO]],'4.CAP_ENDMNT'!B:B,'4.CAP_ENDMNT'!D:D,0,0,1)</f>
        <v>29325876885.033001</v>
      </c>
      <c r="V589" s="44">
        <f>+_xlfn.XLOOKUP(PROYECTOS[[#This Row],[MUNICIPIO]],'4.CAP_ENDMNT'!B:B,'4.CAP_ENDMNT'!E:E,0,0,1)</f>
        <v>5835926728.4000006</v>
      </c>
      <c r="W589" s="44">
        <f>+_xlfn.XLOOKUP(PROYECTOS[[#This Row],[MUNICIPIO]],'4.CAP_ENDMNT'!B:B,'4.CAP_ENDMNT'!F:F,0,0,1)</f>
        <v>23489950156.632999</v>
      </c>
      <c r="X589" s="44">
        <f>+_xlfn.XLOOKUP(PROYECTOS[[#This Row],[MUNICIPIO]],'4.CAP_ENDMNT'!B:B,'4.CAP_ENDMNT'!G:G,0,0,1)</f>
        <v>5787068508</v>
      </c>
      <c r="Y589" s="44">
        <f>+_xlfn.XLOOKUP(PROYECTOS[[#This Row],[MUNICIPIO]],'4.CAP_ENDMNT'!B:B,'4.CAP_ENDMNT'!H:H,0,0,1)</f>
        <v>0</v>
      </c>
      <c r="Z589" s="44">
        <f>+_xlfn.XLOOKUP(PROYECTOS[[#This Row],[MUNICIPIO]],'4.CAP_ENDMNT'!B:B,'4.CAP_ENDMNT'!I:I,0,0,1)</f>
        <v>5787068508</v>
      </c>
      <c r="AA589" s="134">
        <f>+_xlfn.XLOOKUP(PROYECTOS[[#This Row],[MUNICIPIO]],'4.CAP_ENDMNT'!B:B,'4.CAP_ENDMNT'!J:J,0,0,1)</f>
        <v>0.19733658879791371</v>
      </c>
      <c r="AB589" s="44">
        <f>+_xlfn.XLOOKUP(PROYECTOS[[#This Row],[MUNICIPIO]],'4.CAP_ENDMNT'!B:B,'4.CAP_ENDMNT'!K:K,0,0,1)</f>
        <v>23538808377.033001</v>
      </c>
      <c r="AC589" s="44">
        <f>+_xlfn.XLOOKUP(PROYECTOS[[#This Row],[MUNICIPIO]],'4.CAP_ENDMNT'!B:B,'4.CAP_ENDMNT'!L:L,0,0,1)</f>
        <v>18831046701.6264</v>
      </c>
      <c r="AD589" s="44">
        <f>+_xlfn.XLOOKUP(PROYECTOS[[#This Row],[MUNICIPIO]],'4.CAP_ENDMNT'!B:B,'4.CAP_ENDMNT'!M:M,0,0,1)</f>
        <v>14123285026.219801</v>
      </c>
      <c r="AE589" s="134">
        <f>+_xlfn.XLOOKUP(PROYECTOS[[#This Row],[MUNICIPIO]],'4.CAP_ENDMNT'!B:B,'4.CAP_ENDMNT'!N:N,0,0,1)</f>
        <v>1</v>
      </c>
      <c r="AF589" s="134">
        <f>+_xlfn.XLOOKUP(PROYECTOS[[#This Row],[MUNICIPIO]],'4.CAP_ENDMNT'!B:B,'4.CAP_ENDMNT'!O:O,0,0,1)</f>
        <v>0.67595312063685153</v>
      </c>
      <c r="AG589" s="134">
        <f>+_xlfn.XLOOKUP(PROYECTOS[[#This Row],[MUNICIPIO]],'4.CAP_ENDMNT'!B:B,'4.CAP_ENDMNT'!P:P,0,0,1)</f>
        <v>0.8</v>
      </c>
      <c r="AH589" s="44" t="str">
        <f>+_xlfn.XLOOKUP(PROYECTOS[[#This Row],[MUNICIPIO]],'4.CAP_ENDMNT'!B:B,'4.CAP_ENDMNT'!Q:Q,0,0,1)</f>
        <v>Cumple</v>
      </c>
      <c r="AI589" s="139">
        <f>+_xlfn.XLOOKUP(PROYECTOS[[#This Row],[MUNICIPIO]],'4.CAP_ENDMNT'!B:B,'4.CAP_ENDMNT'!V:V,0,0,1)</f>
        <v>2824657005.2439604</v>
      </c>
      <c r="AJ589" s="139">
        <f>+_xlfn.XLOOKUP(PROYECTOS[[#This Row],[MUNICIPIO]],'4.CAP_ENDMNT'!B:B,'4.CAP_ENDMNT'!Y:Y,0,0,1)</f>
        <v>13840765080.46376</v>
      </c>
      <c r="AK589"/>
      <c r="AL589"/>
      <c r="AM589"/>
    </row>
    <row r="590" spans="1:39" ht="15" customHeight="1">
      <c r="A590" s="44">
        <v>707</v>
      </c>
      <c r="B590" s="232" t="str">
        <f>+_xlfn.XLOOKUP(PROYECTOS[[#This Row],[ID_NECESIDAD]],'1.RADICADOS'!G:G,'1.RADICADOS'!H:H,0,0,1)</f>
        <v>Presentacion proyecto puente vehicular vereda Cachumbal y Maracibo, sobre quebrada Cachumbal L 14,5 B 4,60 F3</v>
      </c>
      <c r="C590" s="118">
        <f>+_xlfn.XLOOKUP(PROYECTOS[[#This Row],[ID_NECESIDAD]],'1.RADICADOS'!G:G,'1.RADICADOS'!C:C,0,0,1)*1</f>
        <v>45842</v>
      </c>
      <c r="D590" s="118" t="str">
        <f>+_xlfn.XLOOKUP(PROYECTOS[[#This Row],[ID_NECESIDAD]],'1.RADICADOS'!G:G,'1.RADICADOS'!F:F,0,0,1)</f>
        <v>Yolombó</v>
      </c>
      <c r="E590" s="47" t="str">
        <f>+_xlfn.XLOOKUP(PROYECTOS[[#This Row],[MUNICIPIO]],MUNICIPIOS!A:A,MUNICIPIOS!E:E,0,0,1)</f>
        <v>Nordeste</v>
      </c>
      <c r="F590" s="44">
        <f>+_xlfn.XLOOKUP(PROYECTOS[[#This Row],[MUNICIPIO]],MUNICIPIOS!A:A,MUNICIPIOS!F:F,0,0,1)</f>
        <v>-75.013385</v>
      </c>
      <c r="G590" s="44">
        <f>+_xlfn.XLOOKUP(PROYECTOS[[#This Row],[MUNICIPIO]],MUNICIPIOS!A:A,MUNICIPIOS!G:G,0,0,1)</f>
        <v>6.5945109999999998</v>
      </c>
      <c r="H590" s="44">
        <f>+LOOKUP(PROYECTOS[[#This Row],[MUNICIPIO]],Table1[Municipio],Table1[PDET])</f>
        <v>0</v>
      </c>
      <c r="I590" s="45">
        <f>+LOOKUP(PROYECTOS[[#This Row],[MUNICIPIO]],Table1[Municipio],Table1[ZOMAC])</f>
        <v>0</v>
      </c>
      <c r="J590" s="34" t="str" cm="1">
        <f t="array" ref="J590">_xlfn.TEXTJOIN(", ", TRUE, IF(radicados[ID PROYECTOS]=A590, radicados[RADICADO], ""))</f>
        <v>2025010335806, 2025010433856</v>
      </c>
      <c r="K590" s="230">
        <v>3</v>
      </c>
      <c r="L590" s="212">
        <f>+_xlfn.XLOOKUP(PROYECTOS[[#This Row],[ID_NECESIDAD]],'1.RADICADOS'!G:G,'1.RADICADOS'!J:J,0,0,1)</f>
        <v>802848649</v>
      </c>
      <c r="M590" s="34" t="s">
        <v>435</v>
      </c>
      <c r="N590" s="40" t="s">
        <v>398</v>
      </c>
      <c r="O590" s="40" t="s">
        <v>25</v>
      </c>
      <c r="P590" s="213"/>
      <c r="Q590" s="45"/>
      <c r="R590" s="166"/>
      <c r="S590" s="166"/>
      <c r="T590" s="44">
        <f>+_xlfn.XLOOKUP(PROYECTOS[[#This Row],[MUNICIPIO]],'4.CAP_ENDMNT'!B:B,'4.CAP_ENDMNT'!C:C,0,0,1)</f>
        <v>6</v>
      </c>
      <c r="U590" s="167">
        <f>+_xlfn.XLOOKUP(PROYECTOS[[#This Row],[MUNICIPIO]],'4.CAP_ENDMNT'!B:B,'4.CAP_ENDMNT'!D:D,0,0,1)</f>
        <v>18632663202.9925</v>
      </c>
      <c r="V590" s="44">
        <f>+_xlfn.XLOOKUP(PROYECTOS[[#This Row],[MUNICIPIO]],'4.CAP_ENDMNT'!B:B,'4.CAP_ENDMNT'!E:E,0,0,1)</f>
        <v>4332293517.3299999</v>
      </c>
      <c r="W590" s="44">
        <f>+_xlfn.XLOOKUP(PROYECTOS[[#This Row],[MUNICIPIO]],'4.CAP_ENDMNT'!B:B,'4.CAP_ENDMNT'!F:F,0,0,1)</f>
        <v>14300369685.6625</v>
      </c>
      <c r="X590" s="44">
        <f>+_xlfn.XLOOKUP(PROYECTOS[[#This Row],[MUNICIPIO]],'4.CAP_ENDMNT'!B:B,'4.CAP_ENDMNT'!G:G,0,0,1)</f>
        <v>3970281006</v>
      </c>
      <c r="Y590" s="44">
        <f>+_xlfn.XLOOKUP(PROYECTOS[[#This Row],[MUNICIPIO]],'4.CAP_ENDMNT'!B:B,'4.CAP_ENDMNT'!H:H,0,0,1)</f>
        <v>1500000000</v>
      </c>
      <c r="Z590" s="44">
        <f>+_xlfn.XLOOKUP(PROYECTOS[[#This Row],[MUNICIPIO]],'4.CAP_ENDMNT'!B:B,'4.CAP_ENDMNT'!I:I,0,0,1)</f>
        <v>5470281006</v>
      </c>
      <c r="AA590" s="134">
        <f>+_xlfn.XLOOKUP(PROYECTOS[[#This Row],[MUNICIPIO]],'4.CAP_ENDMNT'!B:B,'4.CAP_ENDMNT'!J:J,0,0,1)</f>
        <v>0.29358556779588252</v>
      </c>
      <c r="AB590" s="44">
        <f>+_xlfn.XLOOKUP(PROYECTOS[[#This Row],[MUNICIPIO]],'4.CAP_ENDMNT'!B:B,'4.CAP_ENDMNT'!K:K,0,0,1)</f>
        <v>13162382196.9925</v>
      </c>
      <c r="AC590" s="44">
        <f>+_xlfn.XLOOKUP(PROYECTOS[[#This Row],[MUNICIPIO]],'4.CAP_ENDMNT'!B:B,'4.CAP_ENDMNT'!L:L,0,0,1)</f>
        <v>10529905757.594002</v>
      </c>
      <c r="AD590" s="44">
        <f>+_xlfn.XLOOKUP(PROYECTOS[[#This Row],[MUNICIPIO]],'4.CAP_ENDMNT'!B:B,'4.CAP_ENDMNT'!M:M,0,0,1)</f>
        <v>7897429318.1954994</v>
      </c>
      <c r="AE590" s="134">
        <f>+_xlfn.XLOOKUP(PROYECTOS[[#This Row],[MUNICIPIO]],'4.CAP_ENDMNT'!B:B,'4.CAP_ENDMNT'!N:N,0,0,1)</f>
        <v>0.72579105198531002</v>
      </c>
      <c r="AF590" s="134">
        <f>+_xlfn.XLOOKUP(PROYECTOS[[#This Row],[MUNICIPIO]],'4.CAP_ENDMNT'!B:B,'4.CAP_ENDMNT'!O:O,0,0,1)</f>
        <v>0.44683077557401057</v>
      </c>
      <c r="AG590" s="134">
        <f>+_xlfn.XLOOKUP(PROYECTOS[[#This Row],[MUNICIPIO]],'4.CAP_ENDMNT'!B:B,'4.CAP_ENDMNT'!P:P,0,0,1)</f>
        <v>0.8</v>
      </c>
      <c r="AH590" s="44" t="str">
        <f>+_xlfn.XLOOKUP(PROYECTOS[[#This Row],[MUNICIPIO]],'4.CAP_ENDMNT'!B:B,'4.CAP_ENDMNT'!Q:Q,0,0,1)</f>
        <v>Cumple</v>
      </c>
      <c r="AI590" s="139">
        <f>+_xlfn.XLOOKUP(PROYECTOS[[#This Row],[MUNICIPIO]],'4.CAP_ENDMNT'!B:B,'4.CAP_ENDMNT'!V:V,0,0,1)</f>
        <v>1579485863.6391001</v>
      </c>
      <c r="AJ590" s="139">
        <f>+_xlfn.XLOOKUP(PROYECTOS[[#This Row],[MUNICIPIO]],'4.CAP_ENDMNT'!B:B,'4.CAP_ENDMNT'!Y:Y,0,0,1)</f>
        <v>2111158837.8345985</v>
      </c>
      <c r="AK590"/>
      <c r="AL590"/>
      <c r="AM590"/>
    </row>
    <row r="591" spans="1:39" ht="15" customHeight="1">
      <c r="A591" s="44">
        <v>708</v>
      </c>
      <c r="B591" s="232" t="str">
        <f>+_xlfn.XLOOKUP(PROYECTOS[[#This Row],[ID_NECESIDAD]],'1.RADICADOS'!G:G,'1.RADICADOS'!H:H,0,0,1)</f>
        <v>Atencion a PAP Santa Bárbara ( Ruta 25) – Ye a Fredonia – Fredonia con código 25AN02, Abejorral – El Cairo – La Elvira ( Santa Bárbara) con código 56AN05-2</v>
      </c>
      <c r="C591" s="118">
        <f>+_xlfn.XLOOKUP(PROYECTOS[[#This Row],[ID_NECESIDAD]],'1.RADICADOS'!G:G,'1.RADICADOS'!C:C,0,0,1)*1</f>
        <v>45847</v>
      </c>
      <c r="D591" s="118" t="str">
        <f>+_xlfn.XLOOKUP(PROYECTOS[[#This Row],[ID_NECESIDAD]],'1.RADICADOS'!G:G,'1.RADICADOS'!F:F,0,0,1)</f>
        <v>Santa Bárbara</v>
      </c>
      <c r="E591" s="47" t="str">
        <f>+_xlfn.XLOOKUP(PROYECTOS[[#This Row],[MUNICIPIO]],MUNICIPIOS!A:A,MUNICIPIOS!E:E,0,0,1)</f>
        <v>Suroeste</v>
      </c>
      <c r="F591" s="44">
        <f>+_xlfn.XLOOKUP(PROYECTOS[[#This Row],[MUNICIPIO]],MUNICIPIOS!A:A,MUNICIPIOS!F:F,0,0,1)</f>
        <v>-75.567351000000002</v>
      </c>
      <c r="G591" s="44" t="str">
        <f>+_xlfn.XLOOKUP(PROYECTOS[[#This Row],[MUNICIPIO]],MUNICIPIOS!A:A,MUNICIPIOS!G:G,0,0,1)</f>
        <v>5,875527</v>
      </c>
      <c r="H591" s="44">
        <f>+LOOKUP(PROYECTOS[[#This Row],[MUNICIPIO]],Table1[Municipio],Table1[PDET])</f>
        <v>0</v>
      </c>
      <c r="I591" s="45">
        <f>+LOOKUP(PROYECTOS[[#This Row],[MUNICIPIO]],Table1[Municipio],Table1[ZOMAC])</f>
        <v>0</v>
      </c>
      <c r="J591" s="34" t="str" cm="1">
        <f t="array" ref="J591">_xlfn.TEXTJOIN(", ", TRUE, IF(radicados[ID PROYECTOS]=A591, radicados[RADICADO], ""))</f>
        <v>2025030202093</v>
      </c>
      <c r="K591" s="230">
        <v>1</v>
      </c>
      <c r="L591" s="212"/>
      <c r="M591" s="34" t="s">
        <v>407</v>
      </c>
      <c r="N591" s="40" t="s">
        <v>397</v>
      </c>
      <c r="O591" s="40" t="s">
        <v>56</v>
      </c>
      <c r="P591" s="213"/>
      <c r="Q591" s="45"/>
      <c r="R591" s="166"/>
      <c r="S591" s="166"/>
      <c r="T591" s="44">
        <f>+_xlfn.XLOOKUP(PROYECTOS[[#This Row],[MUNICIPIO]],'4.CAP_ENDMNT'!B:B,'4.CAP_ENDMNT'!C:C,0,0,1)</f>
        <v>6</v>
      </c>
      <c r="U591" s="167">
        <f>+_xlfn.XLOOKUP(PROYECTOS[[#This Row],[MUNICIPIO]],'4.CAP_ENDMNT'!B:B,'4.CAP_ENDMNT'!D:D,0,0,1)</f>
        <v>12109127304.486</v>
      </c>
      <c r="V591" s="44">
        <f>+_xlfn.XLOOKUP(PROYECTOS[[#This Row],[MUNICIPIO]],'4.CAP_ENDMNT'!B:B,'4.CAP_ENDMNT'!E:E,0,0,1)</f>
        <v>6485076277.8299999</v>
      </c>
      <c r="W591" s="44">
        <f>+_xlfn.XLOOKUP(PROYECTOS[[#This Row],[MUNICIPIO]],'4.CAP_ENDMNT'!B:B,'4.CAP_ENDMNT'!F:F,0,0,1)</f>
        <v>5624051026.6560001</v>
      </c>
      <c r="X591" s="44">
        <f>+_xlfn.XLOOKUP(PROYECTOS[[#This Row],[MUNICIPIO]],'4.CAP_ENDMNT'!B:B,'4.CAP_ENDMNT'!G:G,0,0,1)</f>
        <v>3662325591</v>
      </c>
      <c r="Y591" s="44">
        <f>+_xlfn.XLOOKUP(PROYECTOS[[#This Row],[MUNICIPIO]],'4.CAP_ENDMNT'!B:B,'4.CAP_ENDMNT'!H:H,0,0,1)</f>
        <v>0</v>
      </c>
      <c r="Z591" s="44">
        <f>+_xlfn.XLOOKUP(PROYECTOS[[#This Row],[MUNICIPIO]],'4.CAP_ENDMNT'!B:B,'4.CAP_ENDMNT'!I:I,0,0,1)</f>
        <v>3662325591</v>
      </c>
      <c r="AA591" s="134">
        <f>+_xlfn.XLOOKUP(PROYECTOS[[#This Row],[MUNICIPIO]],'4.CAP_ENDMNT'!B:B,'4.CAP_ENDMNT'!J:J,0,0,1)</f>
        <v>0.30244339653141139</v>
      </c>
      <c r="AB591" s="44">
        <f>+_xlfn.XLOOKUP(PROYECTOS[[#This Row],[MUNICIPIO]],'4.CAP_ENDMNT'!B:B,'4.CAP_ENDMNT'!K:K,0,0,1)</f>
        <v>8446801713.4860001</v>
      </c>
      <c r="AC591" s="44">
        <f>+_xlfn.XLOOKUP(PROYECTOS[[#This Row],[MUNICIPIO]],'4.CAP_ENDMNT'!B:B,'4.CAP_ENDMNT'!L:L,0,0,1)</f>
        <v>6757441370.7888002</v>
      </c>
      <c r="AD591" s="44">
        <f>+_xlfn.XLOOKUP(PROYECTOS[[#This Row],[MUNICIPIO]],'4.CAP_ENDMNT'!B:B,'4.CAP_ENDMNT'!M:M,0,0,1)</f>
        <v>5068081028.0915995</v>
      </c>
      <c r="AE591" s="134">
        <f>+_xlfn.XLOOKUP(PROYECTOS[[#This Row],[MUNICIPIO]],'4.CAP_ENDMNT'!B:B,'4.CAP_ENDMNT'!N:N,0,0,1)</f>
        <v>1</v>
      </c>
      <c r="AF591" s="134">
        <f>+_xlfn.XLOOKUP(PROYECTOS[[#This Row],[MUNICIPIO]],'4.CAP_ENDMNT'!B:B,'4.CAP_ENDMNT'!O:O,0,0,1)</f>
        <v>0.55253262293583549</v>
      </c>
      <c r="AG591" s="134">
        <f>+_xlfn.XLOOKUP(PROYECTOS[[#This Row],[MUNICIPIO]],'4.CAP_ENDMNT'!B:B,'4.CAP_ENDMNT'!P:P,0,0,1)</f>
        <v>0.8</v>
      </c>
      <c r="AH591" s="44" t="str">
        <f>+_xlfn.XLOOKUP(PROYECTOS[[#This Row],[MUNICIPIO]],'4.CAP_ENDMNT'!B:B,'4.CAP_ENDMNT'!Q:Q,0,0,1)</f>
        <v>Cumple</v>
      </c>
      <c r="AI591" s="139">
        <f>+_xlfn.XLOOKUP(PROYECTOS[[#This Row],[MUNICIPIO]],'4.CAP_ENDMNT'!B:B,'4.CAP_ENDMNT'!V:V,0,0,1)</f>
        <v>1013616205.61832</v>
      </c>
      <c r="AJ591" s="139">
        <f>+_xlfn.XLOOKUP(PROYECTOS[[#This Row],[MUNICIPIO]],'4.CAP_ENDMNT'!B:B,'4.CAP_ENDMNT'!Y:Y,0,0,1)</f>
        <v>5281697233.709919</v>
      </c>
      <c r="AK591"/>
      <c r="AL591"/>
      <c r="AM591"/>
    </row>
    <row r="592" spans="1:39" ht="15" customHeight="1">
      <c r="A592" s="44">
        <v>709</v>
      </c>
      <c r="B592" s="232" t="str">
        <f>+_xlfn.XLOOKUP(PROYECTOS[[#This Row],[ID_NECESIDAD]],'1.RADICADOS'!G:G,'1.RADICADOS'!H:H,0,0,1)</f>
        <v>“MEJORAMIENTO DE 3 KM VIALES MEDIANTE EL SISTEMA CONSTRUCTIVO DE PLACA HUELLA EN EL CORREDOR VÍAL EN ANDES-SANTA RITA, EN EL MUNICIPIO DE ANDES, DEPARTAMENTO DE ANTIOQUIA”.</v>
      </c>
      <c r="C592" s="118">
        <f>+_xlfn.XLOOKUP(PROYECTOS[[#This Row],[ID_NECESIDAD]],'1.RADICADOS'!G:G,'1.RADICADOS'!C:C,0,0,1)*1</f>
        <v>45848</v>
      </c>
      <c r="D592" s="118" t="str">
        <f>+_xlfn.XLOOKUP(PROYECTOS[[#This Row],[ID_NECESIDAD]],'1.RADICADOS'!G:G,'1.RADICADOS'!F:F,0,0,1)</f>
        <v>Andes</v>
      </c>
      <c r="E592" s="47" t="str">
        <f>+_xlfn.XLOOKUP(PROYECTOS[[#This Row],[MUNICIPIO]],MUNICIPIOS!A:A,MUNICIPIOS!E:E,0,0,1)</f>
        <v>Suroeste</v>
      </c>
      <c r="F592" s="44">
        <f>+_xlfn.XLOOKUP(PROYECTOS[[#This Row],[MUNICIPIO]],MUNICIPIOS!A:A,MUNICIPIOS!F:F,0,0,1)</f>
        <v>-75.878827999999999</v>
      </c>
      <c r="G592" s="44" t="str">
        <f>+_xlfn.XLOOKUP(PROYECTOS[[#This Row],[MUNICIPIO]],MUNICIPIOS!A:A,MUNICIPIOS!G:G,0,0,1)</f>
        <v>5,657194</v>
      </c>
      <c r="H592" s="44" t="e">
        <f>+LOOKUP(PROYECTOS[[#This Row],[MUNICIPIO]],Table1[Municipio],Table1[PDET])</f>
        <v>#N/A</v>
      </c>
      <c r="I592" s="45" t="e">
        <f>+LOOKUP(PROYECTOS[[#This Row],[MUNICIPIO]],Table1[Municipio],Table1[ZOMAC])</f>
        <v>#N/A</v>
      </c>
      <c r="J592" s="34" t="str" cm="1">
        <f t="array" ref="J592">_xlfn.TEXTJOIN(", ", TRUE, IF(radicados[ID PROYECTOS]=A592, radicados[RADICADO], ""))</f>
        <v>2025010345273, 2025010435497</v>
      </c>
      <c r="K592" s="230">
        <v>2</v>
      </c>
      <c r="L592" s="212">
        <f>+_xlfn.XLOOKUP(PROYECTOS[[#This Row],[ID_NECESIDAD]],'1.RADICADOS'!G:G,'1.RADICADOS'!J:J,0,0,1)</f>
        <v>6179314241</v>
      </c>
      <c r="M592" s="34" t="s">
        <v>288</v>
      </c>
      <c r="N592" s="40" t="s">
        <v>398</v>
      </c>
      <c r="O592" s="40" t="s">
        <v>25</v>
      </c>
      <c r="P592" s="213"/>
      <c r="Q592" s="45"/>
      <c r="R592" s="166"/>
      <c r="S592" s="166"/>
      <c r="T592" s="44">
        <f>+_xlfn.XLOOKUP(PROYECTOS[[#This Row],[MUNICIPIO]],'4.CAP_ENDMNT'!B:B,'4.CAP_ENDMNT'!C:C,0,0,1)</f>
        <v>6</v>
      </c>
      <c r="U592" s="167">
        <f>+_xlfn.XLOOKUP(PROYECTOS[[#This Row],[MUNICIPIO]],'4.CAP_ENDMNT'!B:B,'4.CAP_ENDMNT'!D:D,0,0,1)</f>
        <v>27843076411.630001</v>
      </c>
      <c r="V592" s="44">
        <f>+_xlfn.XLOOKUP(PROYECTOS[[#This Row],[MUNICIPIO]],'4.CAP_ENDMNT'!B:B,'4.CAP_ENDMNT'!E:E,0,0,1)</f>
        <v>11739999040.630001</v>
      </c>
      <c r="W592" s="44">
        <f>+_xlfn.XLOOKUP(PROYECTOS[[#This Row],[MUNICIPIO]],'4.CAP_ENDMNT'!B:B,'4.CAP_ENDMNT'!F:F,0,0,1)</f>
        <v>16103077371</v>
      </c>
      <c r="X592" s="44">
        <f>+_xlfn.XLOOKUP(PROYECTOS[[#This Row],[MUNICIPIO]],'4.CAP_ENDMNT'!B:B,'4.CAP_ENDMNT'!G:G,0,0,1)</f>
        <v>13999483044</v>
      </c>
      <c r="Y592" s="44">
        <f>+_xlfn.XLOOKUP(PROYECTOS[[#This Row],[MUNICIPIO]],'4.CAP_ENDMNT'!B:B,'4.CAP_ENDMNT'!H:H,0,0,1)</f>
        <v>1243354438.6800001</v>
      </c>
      <c r="Z592" s="44">
        <f>+_xlfn.XLOOKUP(PROYECTOS[[#This Row],[MUNICIPIO]],'4.CAP_ENDMNT'!B:B,'4.CAP_ENDMNT'!I:I,0,0,1)</f>
        <v>15242837482.68</v>
      </c>
      <c r="AA592" s="134">
        <f>+_xlfn.XLOOKUP(PROYECTOS[[#This Row],[MUNICIPIO]],'4.CAP_ENDMNT'!B:B,'4.CAP_ENDMNT'!J:J,0,0,1)</f>
        <v>0.54745521857322832</v>
      </c>
      <c r="AB592" s="44">
        <f>+_xlfn.XLOOKUP(PROYECTOS[[#This Row],[MUNICIPIO]],'4.CAP_ENDMNT'!B:B,'4.CAP_ENDMNT'!K:K,0,0,1)</f>
        <v>12600238928.950001</v>
      </c>
      <c r="AC592" s="44">
        <f>+_xlfn.XLOOKUP(PROYECTOS[[#This Row],[MUNICIPIO]],'4.CAP_ENDMNT'!B:B,'4.CAP_ENDMNT'!L:L,0,0,1)</f>
        <v>10080191143.160002</v>
      </c>
      <c r="AD592" s="44">
        <f>+_xlfn.XLOOKUP(PROYECTOS[[#This Row],[MUNICIPIO]],'4.CAP_ENDMNT'!B:B,'4.CAP_ENDMNT'!M:M,0,0,1)</f>
        <v>7560143357.3699999</v>
      </c>
      <c r="AE592" s="134">
        <f>+_xlfn.XLOOKUP(PROYECTOS[[#This Row],[MUNICIPIO]],'4.CAP_ENDMNT'!B:B,'4.CAP_ENDMNT'!N:N,0,0,1)</f>
        <v>0.91843025026719671</v>
      </c>
      <c r="AF592" s="134">
        <f>+_xlfn.XLOOKUP(PROYECTOS[[#This Row],[MUNICIPIO]],'4.CAP_ENDMNT'!B:B,'4.CAP_ENDMNT'!O:O,0,0,1)</f>
        <v>0.46026317160648733</v>
      </c>
      <c r="AG592" s="134">
        <f>+_xlfn.XLOOKUP(PROYECTOS[[#This Row],[MUNICIPIO]],'4.CAP_ENDMNT'!B:B,'4.CAP_ENDMNT'!P:P,0,0,1)</f>
        <v>0.8</v>
      </c>
      <c r="AH592" s="44" t="str">
        <f>+_xlfn.XLOOKUP(PROYECTOS[[#This Row],[MUNICIPIO]],'4.CAP_ENDMNT'!B:B,'4.CAP_ENDMNT'!Q:Q,0,0,1)</f>
        <v>Cumple</v>
      </c>
      <c r="AI592" s="139">
        <f>+_xlfn.XLOOKUP(PROYECTOS[[#This Row],[MUNICIPIO]],'4.CAP_ENDMNT'!B:B,'4.CAP_ENDMNT'!V:V,0,0,1)</f>
        <v>1512028671.474</v>
      </c>
      <c r="AJ592" s="139">
        <f>+_xlfn.XLOOKUP(PROYECTOS[[#This Row],[MUNICIPIO]],'4.CAP_ENDMNT'!B:B,'4.CAP_ENDMNT'!Y:Y,0,0,1)</f>
        <v>-29909877478.155998</v>
      </c>
      <c r="AK592"/>
      <c r="AL592"/>
      <c r="AM592"/>
    </row>
    <row r="593" spans="1:39" ht="15" customHeight="1">
      <c r="A593" s="44">
        <v>710</v>
      </c>
      <c r="B593" s="232" t="str">
        <f>+_xlfn.XLOOKUP(PROYECTOS[[#This Row],[ID_NECESIDAD]],'1.RADICADOS'!G:G,'1.RADICADOS'!H:H,0,0,1)</f>
        <v>"CONSTRUCCIÓN DE 1.2KM DE PACLA HUELLA, EN LAS VEREDAS LA ESPERANZA - LA VENTANA -  EL PAJUÍ Y FARALLONES, DEL MUNICIPIO DE SAN FRANCISCO"</v>
      </c>
      <c r="C593" s="118">
        <f>+_xlfn.XLOOKUP(PROYECTOS[[#This Row],[ID_NECESIDAD]],'1.RADICADOS'!G:G,'1.RADICADOS'!C:C,0,0,1)*1</f>
        <v>45849</v>
      </c>
      <c r="D593" s="118" t="str">
        <f>+_xlfn.XLOOKUP(PROYECTOS[[#This Row],[ID_NECESIDAD]],'1.RADICADOS'!G:G,'1.RADICADOS'!F:F,0,0,1)</f>
        <v>San Francisco</v>
      </c>
      <c r="E593" s="47" t="str">
        <f>+_xlfn.XLOOKUP(PROYECTOS[[#This Row],[MUNICIPIO]],MUNICIPIOS!A:A,MUNICIPIOS!E:E,0,0,1)</f>
        <v>Oriente</v>
      </c>
      <c r="F593" s="44">
        <f>+_xlfn.XLOOKUP(PROYECTOS[[#This Row],[MUNICIPIO]],MUNICIPIOS!A:A,MUNICIPIOS!F:F,0,0,1)</f>
        <v>-75.101562000000001</v>
      </c>
      <c r="G593" s="44" t="str">
        <f>+_xlfn.XLOOKUP(PROYECTOS[[#This Row],[MUNICIPIO]],MUNICIPIOS!A:A,MUNICIPIOS!G:G,0,0,1)</f>
        <v>5,963476</v>
      </c>
      <c r="H593" s="44">
        <f>+LOOKUP(PROYECTOS[[#This Row],[MUNICIPIO]],Table1[Municipio],Table1[PDET])</f>
        <v>0</v>
      </c>
      <c r="I593" s="45">
        <f>+LOOKUP(PROYECTOS[[#This Row],[MUNICIPIO]],Table1[Municipio],Table1[ZOMAC])</f>
        <v>0</v>
      </c>
      <c r="J593" s="34" t="str" cm="1">
        <f t="array" ref="J593">_xlfn.TEXTJOIN(", ", TRUE, IF(radicados[ID PROYECTOS]=A593, radicados[RADICADO], ""))</f>
        <v>2025010347596</v>
      </c>
      <c r="K593" s="230">
        <v>2</v>
      </c>
      <c r="L593" s="212">
        <f>+_xlfn.XLOOKUP(PROYECTOS[[#This Row],[ID_NECESIDAD]],'1.RADICADOS'!G:G,'1.RADICADOS'!J:J,0,0,1)</f>
        <v>2999963214.8899999</v>
      </c>
      <c r="M593" s="34" t="s">
        <v>288</v>
      </c>
      <c r="N593" s="40" t="s">
        <v>398</v>
      </c>
      <c r="O593" s="40" t="s">
        <v>25</v>
      </c>
      <c r="P593" s="213"/>
      <c r="Q593" s="45"/>
      <c r="R593" s="166"/>
      <c r="S593" s="166"/>
      <c r="T593" s="44">
        <f>+_xlfn.XLOOKUP(PROYECTOS[[#This Row],[MUNICIPIO]],'4.CAP_ENDMNT'!B:B,'4.CAP_ENDMNT'!C:C,0,0,1)</f>
        <v>6</v>
      </c>
      <c r="U593" s="167">
        <f>+_xlfn.XLOOKUP(PROYECTOS[[#This Row],[MUNICIPIO]],'4.CAP_ENDMNT'!B:B,'4.CAP_ENDMNT'!D:D,0,0,1)</f>
        <v>7763487077.335</v>
      </c>
      <c r="V593" s="44">
        <f>+_xlfn.XLOOKUP(PROYECTOS[[#This Row],[MUNICIPIO]],'4.CAP_ENDMNT'!B:B,'4.CAP_ENDMNT'!E:E,0,0,1)</f>
        <v>2329929022.3600001</v>
      </c>
      <c r="W593" s="44">
        <f>+_xlfn.XLOOKUP(PROYECTOS[[#This Row],[MUNICIPIO]],'4.CAP_ENDMNT'!B:B,'4.CAP_ENDMNT'!F:F,0,0,1)</f>
        <v>5433558054.9750004</v>
      </c>
      <c r="X593" s="44">
        <f>+_xlfn.XLOOKUP(PROYECTOS[[#This Row],[MUNICIPIO]],'4.CAP_ENDMNT'!B:B,'4.CAP_ENDMNT'!G:G,0,0,1)</f>
        <v>1217107364.4400001</v>
      </c>
      <c r="Y593" s="44">
        <f>+_xlfn.XLOOKUP(PROYECTOS[[#This Row],[MUNICIPIO]],'4.CAP_ENDMNT'!B:B,'4.CAP_ENDMNT'!H:H,0,0,1)</f>
        <v>0</v>
      </c>
      <c r="Z593" s="44">
        <f>+_xlfn.XLOOKUP(PROYECTOS[[#This Row],[MUNICIPIO]],'4.CAP_ENDMNT'!B:B,'4.CAP_ENDMNT'!I:I,0,0,1)</f>
        <v>1217107364.4400001</v>
      </c>
      <c r="AA593" s="134">
        <f>+_xlfn.XLOOKUP(PROYECTOS[[#This Row],[MUNICIPIO]],'4.CAP_ENDMNT'!B:B,'4.CAP_ENDMNT'!J:J,0,0,1)</f>
        <v>0.15677328400446064</v>
      </c>
      <c r="AB593" s="44">
        <f>+_xlfn.XLOOKUP(PROYECTOS[[#This Row],[MUNICIPIO]],'4.CAP_ENDMNT'!B:B,'4.CAP_ENDMNT'!K:K,0,0,1)</f>
        <v>6546379712.8950005</v>
      </c>
      <c r="AC593" s="44">
        <f>+_xlfn.XLOOKUP(PROYECTOS[[#This Row],[MUNICIPIO]],'4.CAP_ENDMNT'!B:B,'4.CAP_ENDMNT'!L:L,0,0,1)</f>
        <v>5237103770.3160009</v>
      </c>
      <c r="AD593" s="44">
        <f>+_xlfn.XLOOKUP(PROYECTOS[[#This Row],[MUNICIPIO]],'4.CAP_ENDMNT'!B:B,'4.CAP_ENDMNT'!M:M,0,0,1)</f>
        <v>3927827827.737</v>
      </c>
      <c r="AE593" s="134">
        <f>+_xlfn.XLOOKUP(PROYECTOS[[#This Row],[MUNICIPIO]],'4.CAP_ENDMNT'!B:B,'4.CAP_ENDMNT'!N:N,0,0,1)</f>
        <v>1</v>
      </c>
      <c r="AF593" s="134">
        <f>+_xlfn.XLOOKUP(PROYECTOS[[#This Row],[MUNICIPIO]],'4.CAP_ENDMNT'!B:B,'4.CAP_ENDMNT'!O:O,0,0,1)</f>
        <v>0.68141761997590633</v>
      </c>
      <c r="AG593" s="134">
        <f>+_xlfn.XLOOKUP(PROYECTOS[[#This Row],[MUNICIPIO]],'4.CAP_ENDMNT'!B:B,'4.CAP_ENDMNT'!P:P,0,0,1)</f>
        <v>0.8</v>
      </c>
      <c r="AH593" s="44" t="str">
        <f>+_xlfn.XLOOKUP(PROYECTOS[[#This Row],[MUNICIPIO]],'4.CAP_ENDMNT'!B:B,'4.CAP_ENDMNT'!Q:Q,0,0,1)</f>
        <v>Cumple</v>
      </c>
      <c r="AI593" s="139">
        <f>+_xlfn.XLOOKUP(PROYECTOS[[#This Row],[MUNICIPIO]],'4.CAP_ENDMNT'!B:B,'4.CAP_ENDMNT'!V:V,0,0,1)</f>
        <v>785565565.5474</v>
      </c>
      <c r="AJ593" s="139">
        <f>+_xlfn.XLOOKUP(PROYECTOS[[#This Row],[MUNICIPIO]],'4.CAP_ENDMNT'!B:B,'4.CAP_ENDMNT'!Y:Y,0,0,1)</f>
        <v>-10352204929.605598</v>
      </c>
      <c r="AK593"/>
      <c r="AL593"/>
      <c r="AM593"/>
    </row>
    <row r="594" spans="1:39" ht="15" customHeight="1">
      <c r="A594" s="44">
        <v>711</v>
      </c>
      <c r="B594" s="232" t="str">
        <f>+_xlfn.XLOOKUP(PROYECTOS[[#This Row],[ID_NECESIDAD]],'1.RADICADOS'!G:G,'1.RADICADOS'!H:H,0,0,1)</f>
        <v>Solicitud aporte recursos para finalizar la aprtura de via terciaria nueva comunidad Chado arriba JAC</v>
      </c>
      <c r="C594" s="118">
        <f>+_xlfn.XLOOKUP(PROYECTOS[[#This Row],[ID_NECESIDAD]],'1.RADICADOS'!G:G,'1.RADICADOS'!C:C,0,0,1)*1</f>
        <v>45842</v>
      </c>
      <c r="D594" s="118" t="str">
        <f>+_xlfn.XLOOKUP(PROYECTOS[[#This Row],[ID_NECESIDAD]],'1.RADICADOS'!G:G,'1.RADICADOS'!F:F,0,0,1)</f>
        <v>Mutatá</v>
      </c>
      <c r="E594" s="47" t="str">
        <f>+_xlfn.XLOOKUP(PROYECTOS[[#This Row],[MUNICIPIO]],MUNICIPIOS!A:A,MUNICIPIOS!E:E,0,0,1)</f>
        <v>Urabá</v>
      </c>
      <c r="F594" s="44">
        <f>+_xlfn.XLOOKUP(PROYECTOS[[#This Row],[MUNICIPIO]],MUNICIPIOS!A:A,MUNICIPIOS!F:F,0,0,1)</f>
        <v>-76.435874999999996</v>
      </c>
      <c r="G594" s="44" t="str">
        <f>+_xlfn.XLOOKUP(PROYECTOS[[#This Row],[MUNICIPIO]],MUNICIPIOS!A:A,MUNICIPIOS!G:G,0,0,1)</f>
        <v>7,242875</v>
      </c>
      <c r="H594" s="44">
        <f>+LOOKUP(PROYECTOS[[#This Row],[MUNICIPIO]],Table1[Municipio],Table1[PDET])</f>
        <v>1</v>
      </c>
      <c r="I594" s="45">
        <f>+LOOKUP(PROYECTOS[[#This Row],[MUNICIPIO]],Table1[Municipio],Table1[ZOMAC])</f>
        <v>1</v>
      </c>
      <c r="J594" s="34" t="str" cm="1">
        <f t="array" ref="J594">_xlfn.TEXTJOIN(", ", TRUE, IF(radicados[ID PROYECTOS]=A594, radicados[RADICADO], ""))</f>
        <v>2025010334184</v>
      </c>
      <c r="K594" s="230">
        <v>1</v>
      </c>
      <c r="L594" s="223"/>
      <c r="M594" s="34" t="s">
        <v>40</v>
      </c>
      <c r="N594" s="40" t="s">
        <v>398</v>
      </c>
      <c r="O594" s="40" t="s">
        <v>25</v>
      </c>
      <c r="P594" s="213"/>
      <c r="Q594" s="45"/>
      <c r="R594" s="166"/>
      <c r="S594" s="166"/>
      <c r="T594" s="44">
        <f>+_xlfn.XLOOKUP(PROYECTOS[[#This Row],[MUNICIPIO]],'4.CAP_ENDMNT'!B:B,'4.CAP_ENDMNT'!C:C,0,0,1)</f>
        <v>6</v>
      </c>
      <c r="U594" s="167">
        <f>+_xlfn.XLOOKUP(PROYECTOS[[#This Row],[MUNICIPIO]],'4.CAP_ENDMNT'!B:B,'4.CAP_ENDMNT'!D:D,0,0,1)</f>
        <v>16247454785.101002</v>
      </c>
      <c r="V594" s="44">
        <f>+_xlfn.XLOOKUP(PROYECTOS[[#This Row],[MUNICIPIO]],'4.CAP_ENDMNT'!B:B,'4.CAP_ENDMNT'!E:E,0,0,1)</f>
        <v>6889489895.2300005</v>
      </c>
      <c r="W594" s="44">
        <f>+_xlfn.XLOOKUP(PROYECTOS[[#This Row],[MUNICIPIO]],'4.CAP_ENDMNT'!B:B,'4.CAP_ENDMNT'!F:F,0,0,1)</f>
        <v>9357964889.8710022</v>
      </c>
      <c r="X594" s="44">
        <f>+_xlfn.XLOOKUP(PROYECTOS[[#This Row],[MUNICIPIO]],'4.CAP_ENDMNT'!B:B,'4.CAP_ENDMNT'!G:G,0,0,1)</f>
        <v>3366685790</v>
      </c>
      <c r="Y594" s="44">
        <f>+_xlfn.XLOOKUP(PROYECTOS[[#This Row],[MUNICIPIO]],'4.CAP_ENDMNT'!B:B,'4.CAP_ENDMNT'!H:H,0,0,1)</f>
        <v>1396955129.74</v>
      </c>
      <c r="Z594" s="44">
        <f>+_xlfn.XLOOKUP(PROYECTOS[[#This Row],[MUNICIPIO]],'4.CAP_ENDMNT'!B:B,'4.CAP_ENDMNT'!I:I,0,0,1)</f>
        <v>4763640919.7399998</v>
      </c>
      <c r="AA594" s="134">
        <f>+_xlfn.XLOOKUP(PROYECTOS[[#This Row],[MUNICIPIO]],'4.CAP_ENDMNT'!B:B,'4.CAP_ENDMNT'!J:J,0,0,1)</f>
        <v>0.29319305594303191</v>
      </c>
      <c r="AB594" s="44">
        <f>+_xlfn.XLOOKUP(PROYECTOS[[#This Row],[MUNICIPIO]],'4.CAP_ENDMNT'!B:B,'4.CAP_ENDMNT'!K:K,0,0,1)</f>
        <v>11483813865.361002</v>
      </c>
      <c r="AC594" s="44">
        <f>+_xlfn.XLOOKUP(PROYECTOS[[#This Row],[MUNICIPIO]],'4.CAP_ENDMNT'!B:B,'4.CAP_ENDMNT'!L:L,0,0,1)</f>
        <v>9187051092.2888012</v>
      </c>
      <c r="AD594" s="44">
        <f>+_xlfn.XLOOKUP(PROYECTOS[[#This Row],[MUNICIPIO]],'4.CAP_ENDMNT'!B:B,'4.CAP_ENDMNT'!M:M,0,0,1)</f>
        <v>6890288319.2166014</v>
      </c>
      <c r="AE594" s="134">
        <f>+_xlfn.XLOOKUP(PROYECTOS[[#This Row],[MUNICIPIO]],'4.CAP_ENDMNT'!B:B,'4.CAP_ENDMNT'!N:N,0,0,1)</f>
        <v>0.70674634102852452</v>
      </c>
      <c r="AF594" s="134">
        <f>+_xlfn.XLOOKUP(PROYECTOS[[#This Row],[MUNICIPIO]],'4.CAP_ENDMNT'!B:B,'4.CAP_ENDMNT'!O:O,0,0,1)</f>
        <v>0.70820805266444298</v>
      </c>
      <c r="AG594" s="134">
        <f>+_xlfn.XLOOKUP(PROYECTOS[[#This Row],[MUNICIPIO]],'4.CAP_ENDMNT'!B:B,'4.CAP_ENDMNT'!P:P,0,0,1)</f>
        <v>0.8</v>
      </c>
      <c r="AH594" s="44" t="str">
        <f>+_xlfn.XLOOKUP(PROYECTOS[[#This Row],[MUNICIPIO]],'4.CAP_ENDMNT'!B:B,'4.CAP_ENDMNT'!Q:Q,0,0,1)</f>
        <v>Cumple</v>
      </c>
      <c r="AI594" s="139">
        <f>+_xlfn.XLOOKUP(PROYECTOS[[#This Row],[MUNICIPIO]],'4.CAP_ENDMNT'!B:B,'4.CAP_ENDMNT'!V:V,0,0,1)</f>
        <v>1378057663.8433204</v>
      </c>
      <c r="AJ594" s="139">
        <f>+_xlfn.XLOOKUP(PROYECTOS[[#This Row],[MUNICIPIO]],'4.CAP_ENDMNT'!B:B,'4.CAP_ENDMNT'!Y:Y,0,0,1)</f>
        <v>3854847855.0599213</v>
      </c>
      <c r="AK594"/>
      <c r="AL594"/>
      <c r="AM594"/>
    </row>
    <row r="595" spans="1:39" ht="15" customHeight="1">
      <c r="A595" s="44">
        <v>712</v>
      </c>
      <c r="B595" s="232" t="str">
        <f>+_xlfn.XLOOKUP(PROYECTOS[[#This Row],[ID_NECESIDAD]],'1.RADICADOS'!G:G,'1.RADICADOS'!H:H,0,0,1)</f>
        <v>Presentancion proyecto de adecuacion y mantenimiento de la via terciaria Comunidad y Holanda</v>
      </c>
      <c r="C595" s="118">
        <f>+_xlfn.XLOOKUP(PROYECTOS[[#This Row],[ID_NECESIDAD]],'1.RADICADOS'!G:G,'1.RADICADOS'!C:C,0,0,1)*1</f>
        <v>45834</v>
      </c>
      <c r="D595" s="118" t="str">
        <f>+_xlfn.XLOOKUP(PROYECTOS[[#This Row],[ID_NECESIDAD]],'1.RADICADOS'!G:G,'1.RADICADOS'!F:F,0,0,1)</f>
        <v>Ebéjico</v>
      </c>
      <c r="E595" s="47" t="str">
        <f>+_xlfn.XLOOKUP(PROYECTOS[[#This Row],[MUNICIPIO]],MUNICIPIOS!A:A,MUNICIPIOS!E:E,0,0,1)</f>
        <v>Occidente</v>
      </c>
      <c r="F595" s="44">
        <f>+_xlfn.XLOOKUP(PROYECTOS[[#This Row],[MUNICIPIO]],MUNICIPIOS!A:A,MUNICIPIOS!F:F,0,0,1)</f>
        <v>-75.766413</v>
      </c>
      <c r="G595" s="44" t="str">
        <f>+_xlfn.XLOOKUP(PROYECTOS[[#This Row],[MUNICIPIO]],MUNICIPIOS!A:A,MUNICIPIOS!G:G,0,0,1)</f>
        <v>6,325615</v>
      </c>
      <c r="H595" s="44">
        <f>+LOOKUP(PROYECTOS[[#This Row],[MUNICIPIO]],Table1[Municipio],Table1[PDET])</f>
        <v>0</v>
      </c>
      <c r="I595" s="45">
        <f>+LOOKUP(PROYECTOS[[#This Row],[MUNICIPIO]],Table1[Municipio],Table1[ZOMAC])</f>
        <v>1</v>
      </c>
      <c r="J595" s="34" t="str" cm="1">
        <f t="array" ref="J595">_xlfn.TEXTJOIN(", ", TRUE, IF(radicados[ID PROYECTOS]=A595, radicados[RADICADO], ""))</f>
        <v>2025010321480</v>
      </c>
      <c r="K595" s="230">
        <v>3</v>
      </c>
      <c r="L595" s="212">
        <f>+_xlfn.XLOOKUP(PROYECTOS[[#This Row],[ID_NECESIDAD]],'1.RADICADOS'!G:G,'1.RADICADOS'!J:J,0,0,1)</f>
        <v>2341347501</v>
      </c>
      <c r="M595" s="34" t="s">
        <v>401</v>
      </c>
      <c r="N595" s="40" t="s">
        <v>398</v>
      </c>
      <c r="O595" s="40" t="s">
        <v>25</v>
      </c>
      <c r="P595" s="213" t="s">
        <v>1708</v>
      </c>
      <c r="Q595" s="45"/>
      <c r="R595" s="166"/>
      <c r="S595" s="166"/>
      <c r="T595" s="44">
        <f>+_xlfn.XLOOKUP(PROYECTOS[[#This Row],[MUNICIPIO]],'4.CAP_ENDMNT'!B:B,'4.CAP_ENDMNT'!C:C,0,0,1)</f>
        <v>6</v>
      </c>
      <c r="U595" s="167">
        <f>+_xlfn.XLOOKUP(PROYECTOS[[#This Row],[MUNICIPIO]],'4.CAP_ENDMNT'!B:B,'4.CAP_ENDMNT'!D:D,0,0,1)</f>
        <v>9001864307.6529999</v>
      </c>
      <c r="V595" s="44">
        <f>+_xlfn.XLOOKUP(PROYECTOS[[#This Row],[MUNICIPIO]],'4.CAP_ENDMNT'!B:B,'4.CAP_ENDMNT'!E:E,0,0,1)</f>
        <v>3627307640.0900002</v>
      </c>
      <c r="W595" s="44">
        <f>+_xlfn.XLOOKUP(PROYECTOS[[#This Row],[MUNICIPIO]],'4.CAP_ENDMNT'!B:B,'4.CAP_ENDMNT'!F:F,0,0,1)</f>
        <v>5374556667.5629997</v>
      </c>
      <c r="X595" s="44">
        <f>+_xlfn.XLOOKUP(PROYECTOS[[#This Row],[MUNICIPIO]],'4.CAP_ENDMNT'!B:B,'4.CAP_ENDMNT'!G:G,0,0,1)</f>
        <v>556835774</v>
      </c>
      <c r="Y595" s="44">
        <f>+_xlfn.XLOOKUP(PROYECTOS[[#This Row],[MUNICIPIO]],'4.CAP_ENDMNT'!B:B,'4.CAP_ENDMNT'!H:H,0,0,1)</f>
        <v>0</v>
      </c>
      <c r="Z595" s="44">
        <f>+_xlfn.XLOOKUP(PROYECTOS[[#This Row],[MUNICIPIO]],'4.CAP_ENDMNT'!B:B,'4.CAP_ENDMNT'!I:I,0,0,1)</f>
        <v>556835774</v>
      </c>
      <c r="AA595" s="134">
        <f>+_xlfn.XLOOKUP(PROYECTOS[[#This Row],[MUNICIPIO]],'4.CAP_ENDMNT'!B:B,'4.CAP_ENDMNT'!J:J,0,0,1)</f>
        <v>6.1857827997540693E-2</v>
      </c>
      <c r="AB595" s="44">
        <f>+_xlfn.XLOOKUP(PROYECTOS[[#This Row],[MUNICIPIO]],'4.CAP_ENDMNT'!B:B,'4.CAP_ENDMNT'!K:K,0,0,1)</f>
        <v>8445028533.6529999</v>
      </c>
      <c r="AC595" s="44">
        <f>+_xlfn.XLOOKUP(PROYECTOS[[#This Row],[MUNICIPIO]],'4.CAP_ENDMNT'!B:B,'4.CAP_ENDMNT'!L:L,0,0,1)</f>
        <v>6756022826.9224005</v>
      </c>
      <c r="AD595" s="44">
        <f>+_xlfn.XLOOKUP(PROYECTOS[[#This Row],[MUNICIPIO]],'4.CAP_ENDMNT'!B:B,'4.CAP_ENDMNT'!M:M,0,0,1)</f>
        <v>5067017120.1918001</v>
      </c>
      <c r="AE595" s="134">
        <f>+_xlfn.XLOOKUP(PROYECTOS[[#This Row],[MUNICIPIO]],'4.CAP_ENDMNT'!B:B,'4.CAP_ENDMNT'!N:N,0,0,1)</f>
        <v>1</v>
      </c>
      <c r="AF595" s="134">
        <f>+_xlfn.XLOOKUP(PROYECTOS[[#This Row],[MUNICIPIO]],'4.CAP_ENDMNT'!B:B,'4.CAP_ENDMNT'!O:O,0,0,1)</f>
        <v>0.55157730220974377</v>
      </c>
      <c r="AG595" s="134">
        <f>+_xlfn.XLOOKUP(PROYECTOS[[#This Row],[MUNICIPIO]],'4.CAP_ENDMNT'!B:B,'4.CAP_ENDMNT'!P:P,0,0,1)</f>
        <v>0.8</v>
      </c>
      <c r="AH595" s="44" t="str">
        <f>+_xlfn.XLOOKUP(PROYECTOS[[#This Row],[MUNICIPIO]],'4.CAP_ENDMNT'!B:B,'4.CAP_ENDMNT'!Q:Q,0,0,1)</f>
        <v>Cumple</v>
      </c>
      <c r="AI595" s="139">
        <f>+_xlfn.XLOOKUP(PROYECTOS[[#This Row],[MUNICIPIO]],'4.CAP_ENDMNT'!B:B,'4.CAP_ENDMNT'!V:V,0,0,1)</f>
        <v>1013403424.0383601</v>
      </c>
      <c r="AJ595" s="139">
        <f>+_xlfn.XLOOKUP(PROYECTOS[[#This Row],[MUNICIPIO]],'4.CAP_ENDMNT'!B:B,'4.CAP_ENDMNT'!Y:Y,0,0,1)</f>
        <v>3739073043.2301598</v>
      </c>
      <c r="AK595"/>
      <c r="AL595"/>
      <c r="AM595"/>
    </row>
    <row r="596" spans="1:39" ht="15" customHeight="1">
      <c r="A596" s="44">
        <v>713</v>
      </c>
      <c r="B596" s="232" t="str">
        <f>+_xlfn.XLOOKUP(PROYECTOS[[#This Row],[ID_NECESIDAD]],'1.RADICADOS'!G:G,'1.RADICADOS'!H:H,0,0,1)</f>
        <v>Peticion Construccion placahuella JAC vereda Casanova</v>
      </c>
      <c r="C596" s="118">
        <f>+_xlfn.XLOOKUP(PROYECTOS[[#This Row],[ID_NECESIDAD]],'1.RADICADOS'!G:G,'1.RADICADOS'!C:C,0,0,1)*1</f>
        <v>45842</v>
      </c>
      <c r="D596" s="118" t="str">
        <f>+_xlfn.XLOOKUP(PROYECTOS[[#This Row],[ID_NECESIDAD]],'1.RADICADOS'!G:G,'1.RADICADOS'!F:F,0,0,1)</f>
        <v>Turbo</v>
      </c>
      <c r="E596" s="47" t="str">
        <f>+_xlfn.XLOOKUP(PROYECTOS[[#This Row],[MUNICIPIO]],MUNICIPIOS!A:A,MUNICIPIOS!E:E,0,0,1)</f>
        <v>Urabá</v>
      </c>
      <c r="F596" s="44">
        <f>+_xlfn.XLOOKUP(PROYECTOS[[#This Row],[MUNICIPIO]],MUNICIPIOS!A:A,MUNICIPIOS!F:F,0,0,1)</f>
        <v>-76.728858000000002</v>
      </c>
      <c r="G596" s="44">
        <f>+_xlfn.XLOOKUP(PROYECTOS[[#This Row],[MUNICIPIO]],MUNICIPIOS!A:A,MUNICIPIOS!G:G,0,0,1)</f>
        <v>8.0899289999999997</v>
      </c>
      <c r="H596" s="44">
        <f>+LOOKUP(PROYECTOS[[#This Row],[MUNICIPIO]],Table1[Municipio],Table1[PDET])</f>
        <v>0</v>
      </c>
      <c r="I596" s="45">
        <f>+LOOKUP(PROYECTOS[[#This Row],[MUNICIPIO]],Table1[Municipio],Table1[ZOMAC])</f>
        <v>0</v>
      </c>
      <c r="J596" s="34" t="str" cm="1">
        <f t="array" ref="J596">_xlfn.TEXTJOIN(", ", TRUE, IF(radicados[ID PROYECTOS]=A596, radicados[RADICADO], ""))</f>
        <v>2025010335225</v>
      </c>
      <c r="K596" s="230">
        <v>1</v>
      </c>
      <c r="L596" s="212"/>
      <c r="M596" s="34" t="s">
        <v>288</v>
      </c>
      <c r="N596" s="40" t="s">
        <v>398</v>
      </c>
      <c r="O596" s="40" t="s">
        <v>25</v>
      </c>
      <c r="P596" s="213" t="s">
        <v>1685</v>
      </c>
      <c r="Q596" s="45"/>
      <c r="R596" s="166"/>
      <c r="S596" s="166"/>
      <c r="T596" s="44">
        <f>+_xlfn.XLOOKUP(PROYECTOS[[#This Row],[MUNICIPIO]],'4.CAP_ENDMNT'!B:B,'4.CAP_ENDMNT'!C:C,0,0,1)</f>
        <v>5</v>
      </c>
      <c r="U596" s="167">
        <f>+_xlfn.XLOOKUP(PROYECTOS[[#This Row],[MUNICIPIO]],'4.CAP_ENDMNT'!B:B,'4.CAP_ENDMNT'!D:D,0,0,1)</f>
        <v>57277943756.629501</v>
      </c>
      <c r="V596" s="44">
        <f>+_xlfn.XLOOKUP(PROYECTOS[[#This Row],[MUNICIPIO]],'4.CAP_ENDMNT'!B:B,'4.CAP_ENDMNT'!E:E,0,0,1)</f>
        <v>34159399600.959999</v>
      </c>
      <c r="W596" s="44">
        <f>+_xlfn.XLOOKUP(PROYECTOS[[#This Row],[MUNICIPIO]],'4.CAP_ENDMNT'!B:B,'4.CAP_ENDMNT'!F:F,0,0,1)</f>
        <v>23118544155.669502</v>
      </c>
      <c r="X596" s="44">
        <f>+_xlfn.XLOOKUP(PROYECTOS[[#This Row],[MUNICIPIO]],'4.CAP_ENDMNT'!B:B,'4.CAP_ENDMNT'!G:G,0,0,1)</f>
        <v>3450000000</v>
      </c>
      <c r="Y596" s="44">
        <f>+_xlfn.XLOOKUP(PROYECTOS[[#This Row],[MUNICIPIO]],'4.CAP_ENDMNT'!B:B,'4.CAP_ENDMNT'!H:H,0,0,1)</f>
        <v>21452083665</v>
      </c>
      <c r="Z596" s="44">
        <f>+_xlfn.XLOOKUP(PROYECTOS[[#This Row],[MUNICIPIO]],'4.CAP_ENDMNT'!B:B,'4.CAP_ENDMNT'!I:I,0,0,1)</f>
        <v>24902083665</v>
      </c>
      <c r="AA596" s="134">
        <f>+_xlfn.XLOOKUP(PROYECTOS[[#This Row],[MUNICIPIO]],'4.CAP_ENDMNT'!B:B,'4.CAP_ENDMNT'!J:J,0,0,1)</f>
        <v>0.43475868775610099</v>
      </c>
      <c r="AB596" s="44">
        <f>+_xlfn.XLOOKUP(PROYECTOS[[#This Row],[MUNICIPIO]],'4.CAP_ENDMNT'!B:B,'4.CAP_ENDMNT'!K:K,0,0,1)</f>
        <v>32375860091.629501</v>
      </c>
      <c r="AC596" s="44">
        <f>+_xlfn.XLOOKUP(PROYECTOS[[#This Row],[MUNICIPIO]],'4.CAP_ENDMNT'!B:B,'4.CAP_ENDMNT'!L:L,0,0,1)</f>
        <v>25900688073.303604</v>
      </c>
      <c r="AD596" s="44">
        <f>+_xlfn.XLOOKUP(PROYECTOS[[#This Row],[MUNICIPIO]],'4.CAP_ENDMNT'!B:B,'4.CAP_ENDMNT'!M:M,0,0,1)</f>
        <v>19425516054.977699</v>
      </c>
      <c r="AE596" s="134">
        <f>+_xlfn.XLOOKUP(PROYECTOS[[#This Row],[MUNICIPIO]],'4.CAP_ENDMNT'!B:B,'4.CAP_ENDMNT'!N:N,0,0,1)</f>
        <v>0.13854262343712995</v>
      </c>
      <c r="AF596" s="134">
        <f>+_xlfn.XLOOKUP(PROYECTOS[[#This Row],[MUNICIPIO]],'4.CAP_ENDMNT'!B:B,'4.CAP_ENDMNT'!O:O,0,0,1)</f>
        <v>0.87015152665365447</v>
      </c>
      <c r="AG596" s="134">
        <f>+_xlfn.XLOOKUP(PROYECTOS[[#This Row],[MUNICIPIO]],'4.CAP_ENDMNT'!B:B,'4.CAP_ENDMNT'!P:P,0,0,1)</f>
        <v>0.8</v>
      </c>
      <c r="AH596" s="44" t="str">
        <f>+_xlfn.XLOOKUP(PROYECTOS[[#This Row],[MUNICIPIO]],'4.CAP_ENDMNT'!B:B,'4.CAP_ENDMNT'!Q:Q,0,0,1)</f>
        <v>Incumple</v>
      </c>
      <c r="AI596" s="139">
        <f>+_xlfn.XLOOKUP(PROYECTOS[[#This Row],[MUNICIPIO]],'4.CAP_ENDMNT'!B:B,'4.CAP_ENDMNT'!V:V,0,0,1)</f>
        <v>3885103210.9955401</v>
      </c>
      <c r="AJ596" s="139">
        <f>+_xlfn.XLOOKUP(PROYECTOS[[#This Row],[MUNICIPIO]],'4.CAP_ENDMNT'!B:B,'4.CAP_ENDMNT'!Y:Y,0,0,1)</f>
        <v>-114052861009.72676</v>
      </c>
      <c r="AK596"/>
      <c r="AL596"/>
      <c r="AM596"/>
    </row>
    <row r="597" spans="1:39" ht="15" customHeight="1">
      <c r="A597" s="44">
        <v>714</v>
      </c>
      <c r="B597" s="232" t="str">
        <f>+_xlfn.XLOOKUP(PROYECTOS[[#This Row],[ID_NECESIDAD]],'1.RADICADOS'!G:G,'1.RADICADOS'!H:H,0,0,1)</f>
        <v>Peticion Construccion placahuella JAC vereda Manuel Cuello</v>
      </c>
      <c r="C597" s="118">
        <f>+_xlfn.XLOOKUP(PROYECTOS[[#This Row],[ID_NECESIDAD]],'1.RADICADOS'!G:G,'1.RADICADOS'!C:C,0,0,1)*1</f>
        <v>45842</v>
      </c>
      <c r="D597" s="118" t="str">
        <f>+_xlfn.XLOOKUP(PROYECTOS[[#This Row],[ID_NECESIDAD]],'1.RADICADOS'!G:G,'1.RADICADOS'!F:F,0,0,1)</f>
        <v>Turbo</v>
      </c>
      <c r="E597" s="47" t="str">
        <f>+_xlfn.XLOOKUP(PROYECTOS[[#This Row],[MUNICIPIO]],MUNICIPIOS!A:A,MUNICIPIOS!E:E,0,0,1)</f>
        <v>Urabá</v>
      </c>
      <c r="F597" s="44">
        <f>+_xlfn.XLOOKUP(PROYECTOS[[#This Row],[MUNICIPIO]],MUNICIPIOS!A:A,MUNICIPIOS!F:F,0,0,1)</f>
        <v>-76.728858000000002</v>
      </c>
      <c r="G597" s="44">
        <f>+_xlfn.XLOOKUP(PROYECTOS[[#This Row],[MUNICIPIO]],MUNICIPIOS!A:A,MUNICIPIOS!G:G,0,0,1)</f>
        <v>8.0899289999999997</v>
      </c>
      <c r="H597" s="44">
        <f>+LOOKUP(PROYECTOS[[#This Row],[MUNICIPIO]],Table1[Municipio],Table1[PDET])</f>
        <v>0</v>
      </c>
      <c r="I597" s="45">
        <f>+LOOKUP(PROYECTOS[[#This Row],[MUNICIPIO]],Table1[Municipio],Table1[ZOMAC])</f>
        <v>0</v>
      </c>
      <c r="J597" s="34" t="str" cm="1">
        <f t="array" ref="J597">_xlfn.TEXTJOIN(", ", TRUE, IF(radicados[ID PROYECTOS]=A597, radicados[RADICADO], ""))</f>
        <v>2025010335241</v>
      </c>
      <c r="K597" s="45">
        <v>1</v>
      </c>
      <c r="L597" s="36"/>
      <c r="M597" s="34" t="s">
        <v>288</v>
      </c>
      <c r="N597" s="40" t="s">
        <v>398</v>
      </c>
      <c r="O597" s="40" t="s">
        <v>25</v>
      </c>
      <c r="P597" s="213" t="s">
        <v>1685</v>
      </c>
      <c r="Q597" s="45"/>
      <c r="R597" s="166"/>
      <c r="S597" s="166"/>
      <c r="T597" s="44">
        <f>+_xlfn.XLOOKUP(PROYECTOS[[#This Row],[MUNICIPIO]],'4.CAP_ENDMNT'!B:B,'4.CAP_ENDMNT'!C:C,0,0,1)</f>
        <v>5</v>
      </c>
      <c r="U597" s="167">
        <f>+_xlfn.XLOOKUP(PROYECTOS[[#This Row],[MUNICIPIO]],'4.CAP_ENDMNT'!B:B,'4.CAP_ENDMNT'!D:D,0,0,1)</f>
        <v>57277943756.629501</v>
      </c>
      <c r="V597" s="44">
        <f>+_xlfn.XLOOKUP(PROYECTOS[[#This Row],[MUNICIPIO]],'4.CAP_ENDMNT'!B:B,'4.CAP_ENDMNT'!E:E,0,0,1)</f>
        <v>34159399600.959999</v>
      </c>
      <c r="W597" s="44">
        <f>+_xlfn.XLOOKUP(PROYECTOS[[#This Row],[MUNICIPIO]],'4.CAP_ENDMNT'!B:B,'4.CAP_ENDMNT'!F:F,0,0,1)</f>
        <v>23118544155.669502</v>
      </c>
      <c r="X597" s="44">
        <f>+_xlfn.XLOOKUP(PROYECTOS[[#This Row],[MUNICIPIO]],'4.CAP_ENDMNT'!B:B,'4.CAP_ENDMNT'!G:G,0,0,1)</f>
        <v>3450000000</v>
      </c>
      <c r="Y597" s="44">
        <f>+_xlfn.XLOOKUP(PROYECTOS[[#This Row],[MUNICIPIO]],'4.CAP_ENDMNT'!B:B,'4.CAP_ENDMNT'!H:H,0,0,1)</f>
        <v>21452083665</v>
      </c>
      <c r="Z597" s="44">
        <f>+_xlfn.XLOOKUP(PROYECTOS[[#This Row],[MUNICIPIO]],'4.CAP_ENDMNT'!B:B,'4.CAP_ENDMNT'!I:I,0,0,1)</f>
        <v>24902083665</v>
      </c>
      <c r="AA597" s="134">
        <f>+_xlfn.XLOOKUP(PROYECTOS[[#This Row],[MUNICIPIO]],'4.CAP_ENDMNT'!B:B,'4.CAP_ENDMNT'!J:J,0,0,1)</f>
        <v>0.43475868775610099</v>
      </c>
      <c r="AB597" s="140">
        <f>+_xlfn.XLOOKUP(PROYECTOS[[#This Row],[MUNICIPIO]],'4.CAP_ENDMNT'!B:B,'4.CAP_ENDMNT'!K:K,0,0,1)</f>
        <v>32375860091.629501</v>
      </c>
      <c r="AC597" s="140">
        <f>+_xlfn.XLOOKUP(PROYECTOS[[#This Row],[MUNICIPIO]],'4.CAP_ENDMNT'!B:B,'4.CAP_ENDMNT'!L:L,0,0,1)</f>
        <v>25900688073.303604</v>
      </c>
      <c r="AD597" s="140">
        <f>+_xlfn.XLOOKUP(PROYECTOS[[#This Row],[MUNICIPIO]],'4.CAP_ENDMNT'!B:B,'4.CAP_ENDMNT'!M:M,0,0,1)</f>
        <v>19425516054.977699</v>
      </c>
      <c r="AE597" s="134">
        <f>+_xlfn.XLOOKUP(PROYECTOS[[#This Row],[MUNICIPIO]],'4.CAP_ENDMNT'!B:B,'4.CAP_ENDMNT'!N:N,0,0,1)</f>
        <v>0.13854262343712995</v>
      </c>
      <c r="AF597" s="134">
        <f>+_xlfn.XLOOKUP(PROYECTOS[[#This Row],[MUNICIPIO]],'4.CAP_ENDMNT'!B:B,'4.CAP_ENDMNT'!O:O,0,0,1)</f>
        <v>0.87015152665365447</v>
      </c>
      <c r="AG597" s="134">
        <f>+_xlfn.XLOOKUP(PROYECTOS[[#This Row],[MUNICIPIO]],'4.CAP_ENDMNT'!B:B,'4.CAP_ENDMNT'!P:P,0,0,1)</f>
        <v>0.8</v>
      </c>
      <c r="AH597" s="44" t="str">
        <f>+_xlfn.XLOOKUP(PROYECTOS[[#This Row],[MUNICIPIO]],'4.CAP_ENDMNT'!B:B,'4.CAP_ENDMNT'!Q:Q,0,0,1)</f>
        <v>Incumple</v>
      </c>
      <c r="AI597" s="139">
        <f>+_xlfn.XLOOKUP(PROYECTOS[[#This Row],[MUNICIPIO]],'4.CAP_ENDMNT'!B:B,'4.CAP_ENDMNT'!V:V,0,0,1)</f>
        <v>3885103210.9955401</v>
      </c>
      <c r="AJ597" s="139">
        <f>+_xlfn.XLOOKUP(PROYECTOS[[#This Row],[MUNICIPIO]],'4.CAP_ENDMNT'!B:B,'4.CAP_ENDMNT'!Y:Y,0,0,1)</f>
        <v>-114052861009.72676</v>
      </c>
      <c r="AK597"/>
      <c r="AL597"/>
      <c r="AM597"/>
    </row>
    <row r="598" spans="1:39" ht="15" customHeight="1">
      <c r="A598" s="44">
        <v>715</v>
      </c>
      <c r="B598" s="232" t="str">
        <f>+_xlfn.XLOOKUP(PROYECTOS[[#This Row],[ID_NECESIDAD]],'1.RADICADOS'!G:G,'1.RADICADOS'!H:H,0,0,1)</f>
        <v>Solicitud de inversión para el mejoramiento integral de vías rurales en la Vereda Panorama, Carepa, Antioquia. JAC</v>
      </c>
      <c r="C598" s="118">
        <f>+_xlfn.XLOOKUP(PROYECTOS[[#This Row],[ID_NECESIDAD]],'1.RADICADOS'!G:G,'1.RADICADOS'!C:C,0,0,1)*1</f>
        <v>45855</v>
      </c>
      <c r="D598" s="118" t="str">
        <f>+_xlfn.XLOOKUP(PROYECTOS[[#This Row],[ID_NECESIDAD]],'1.RADICADOS'!G:G,'1.RADICADOS'!F:F,0,0,1)</f>
        <v>Carepa</v>
      </c>
      <c r="E598" s="47" t="str">
        <f>+_xlfn.XLOOKUP(PROYECTOS[[#This Row],[MUNICIPIO]],MUNICIPIOS!A:A,MUNICIPIOS!E:E,0,0,1)</f>
        <v>Urabá</v>
      </c>
      <c r="F598" s="44">
        <f>+_xlfn.XLOOKUP(PROYECTOS[[#This Row],[MUNICIPIO]],MUNICIPIOS!A:A,MUNICIPIOS!F:F,0,0,1)</f>
        <v>-76.652652000000003</v>
      </c>
      <c r="G598" s="44" t="str">
        <f>+_xlfn.XLOOKUP(PROYECTOS[[#This Row],[MUNICIPIO]],MUNICIPIOS!A:A,MUNICIPIOS!G:G,0,0,1)</f>
        <v>7,755148</v>
      </c>
      <c r="H598" s="44">
        <f>+LOOKUP(PROYECTOS[[#This Row],[MUNICIPIO]],Table1[Municipio],Table1[PDET])</f>
        <v>1</v>
      </c>
      <c r="I598" s="45">
        <f>+LOOKUP(PROYECTOS[[#This Row],[MUNICIPIO]],Table1[Municipio],Table1[ZOMAC])</f>
        <v>1</v>
      </c>
      <c r="J598" s="34" t="str" cm="1">
        <f t="array" ref="J598">_xlfn.TEXTJOIN(", ", TRUE, IF(radicados[ID PROYECTOS]=A598, radicados[RADICADO], ""))</f>
        <v>2025010358886</v>
      </c>
      <c r="K598" s="45">
        <v>1</v>
      </c>
      <c r="L598" s="36"/>
      <c r="M598" s="34" t="s">
        <v>288</v>
      </c>
      <c r="N598" s="40" t="s">
        <v>398</v>
      </c>
      <c r="O598" s="40" t="s">
        <v>25</v>
      </c>
      <c r="P598" s="238" t="s">
        <v>1715</v>
      </c>
      <c r="Q598" s="45"/>
      <c r="R598" s="166"/>
      <c r="S598" s="166"/>
      <c r="T598" s="44">
        <f>+_xlfn.XLOOKUP(PROYECTOS[[#This Row],[MUNICIPIO]],'4.CAP_ENDMNT'!B:B,'4.CAP_ENDMNT'!C:C,0,0,1)</f>
        <v>6</v>
      </c>
      <c r="U598" s="167">
        <f>+_xlfn.XLOOKUP(PROYECTOS[[#This Row],[MUNICIPIO]],'4.CAP_ENDMNT'!B:B,'4.CAP_ENDMNT'!D:D,0,0,1)</f>
        <v>31551501799.776001</v>
      </c>
      <c r="V598" s="44">
        <f>+_xlfn.XLOOKUP(PROYECTOS[[#This Row],[MUNICIPIO]],'4.CAP_ENDMNT'!B:B,'4.CAP_ENDMNT'!E:E,0,0,1)</f>
        <v>12896901947.809999</v>
      </c>
      <c r="W598" s="44">
        <f>+_xlfn.XLOOKUP(PROYECTOS[[#This Row],[MUNICIPIO]],'4.CAP_ENDMNT'!B:B,'4.CAP_ENDMNT'!F:F,0,0,1)</f>
        <v>18654599851.966003</v>
      </c>
      <c r="X598" s="44">
        <f>+_xlfn.XLOOKUP(PROYECTOS[[#This Row],[MUNICIPIO]],'4.CAP_ENDMNT'!B:B,'4.CAP_ENDMNT'!G:G,0,0,1)</f>
        <v>4320802475</v>
      </c>
      <c r="Y598" s="44">
        <f>+_xlfn.XLOOKUP(PROYECTOS[[#This Row],[MUNICIPIO]],'4.CAP_ENDMNT'!B:B,'4.CAP_ENDMNT'!H:H,0,0,1)</f>
        <v>2118562934.45</v>
      </c>
      <c r="Z598" s="44">
        <f>+_xlfn.XLOOKUP(PROYECTOS[[#This Row],[MUNICIPIO]],'4.CAP_ENDMNT'!B:B,'4.CAP_ENDMNT'!I:I,0,0,1)</f>
        <v>6439365409.4499998</v>
      </c>
      <c r="AA598" s="134">
        <f>+_xlfn.XLOOKUP(PROYECTOS[[#This Row],[MUNICIPIO]],'4.CAP_ENDMNT'!B:B,'4.CAP_ENDMNT'!J:J,0,0,1)</f>
        <v>0.20409061509381832</v>
      </c>
      <c r="AB598" s="44">
        <f>+_xlfn.XLOOKUP(PROYECTOS[[#This Row],[MUNICIPIO]],'4.CAP_ENDMNT'!B:B,'4.CAP_ENDMNT'!K:K,0,0,1)</f>
        <v>25112136390.326</v>
      </c>
      <c r="AC598" s="44">
        <f>+_xlfn.XLOOKUP(PROYECTOS[[#This Row],[MUNICIPIO]],'4.CAP_ENDMNT'!B:B,'4.CAP_ENDMNT'!L:L,0,0,1)</f>
        <v>20089709112.260799</v>
      </c>
      <c r="AD598" s="44">
        <f>+_xlfn.XLOOKUP(PROYECTOS[[#This Row],[MUNICIPIO]],'4.CAP_ENDMNT'!B:B,'4.CAP_ENDMNT'!M:M,0,0,1)</f>
        <v>15067281834.195601</v>
      </c>
      <c r="AE598" s="134">
        <f>+_xlfn.XLOOKUP(PROYECTOS[[#This Row],[MUNICIPIO]],'4.CAP_ENDMNT'!B:B,'4.CAP_ENDMNT'!N:N,0,0,1)</f>
        <v>0.67099818076158058</v>
      </c>
      <c r="AF598" s="134">
        <f>+_xlfn.XLOOKUP(PROYECTOS[[#This Row],[MUNICIPIO]],'4.CAP_ENDMNT'!B:B,'4.CAP_ENDMNT'!O:O,0,0,1)</f>
        <v>0.60103296352987046</v>
      </c>
      <c r="AG598" s="134">
        <f>+_xlfn.XLOOKUP(PROYECTOS[[#This Row],[MUNICIPIO]],'4.CAP_ENDMNT'!B:B,'4.CAP_ENDMNT'!P:P,0,0,1)</f>
        <v>0.8</v>
      </c>
      <c r="AH598" s="44" t="str">
        <f>+_xlfn.XLOOKUP(PROYECTOS[[#This Row],[MUNICIPIO]],'4.CAP_ENDMNT'!B:B,'4.CAP_ENDMNT'!Q:Q,0,0,1)</f>
        <v>Cumple</v>
      </c>
      <c r="AI598" s="139">
        <f>+_xlfn.XLOOKUP(PROYECTOS[[#This Row],[MUNICIPIO]],'4.CAP_ENDMNT'!B:B,'4.CAP_ENDMNT'!V:V,0,0,1)</f>
        <v>3013456366.8391204</v>
      </c>
      <c r="AJ598" s="139">
        <f>+_xlfn.XLOOKUP(PROYECTOS[[#This Row],[MUNICIPIO]],'4.CAP_ENDMNT'!B:B,'4.CAP_ENDMNT'!Y:Y,0,0,1)</f>
        <v>10290788523.034721</v>
      </c>
      <c r="AK598"/>
      <c r="AL598"/>
      <c r="AM598"/>
    </row>
    <row r="599" spans="1:39" ht="15" customHeight="1">
      <c r="A599" s="44">
        <v>716</v>
      </c>
      <c r="B599" s="232" t="str">
        <f>+_xlfn.XLOOKUP(PROYECTOS[[#This Row],[ID_NECESIDAD]],'1.RADICADOS'!G:G,'1.RADICADOS'!H:H,0,0,1)</f>
        <v>Presentacion proyecto de inversion denominado "Mejoramiento de la via terciaria que conduce al corregimiento de La Danta" 3km</v>
      </c>
      <c r="C599" s="118">
        <f>+_xlfn.XLOOKUP(PROYECTOS[[#This Row],[ID_NECESIDAD]],'1.RADICADOS'!G:G,'1.RADICADOS'!C:C,0,0,1)*1</f>
        <v>45860</v>
      </c>
      <c r="D599" s="118" t="str">
        <f>+_xlfn.XLOOKUP(PROYECTOS[[#This Row],[ID_NECESIDAD]],'1.RADICADOS'!G:G,'1.RADICADOS'!F:F,0,0,1)</f>
        <v>Sonsón</v>
      </c>
      <c r="E599" s="47" t="str">
        <f>+_xlfn.XLOOKUP(PROYECTOS[[#This Row],[MUNICIPIO]],MUNICIPIOS!A:A,MUNICIPIOS!E:E,0,0,1)</f>
        <v>Oriente</v>
      </c>
      <c r="F599" s="47" t="e" cm="1">
        <f t="array" ref="F599">+_xlfn.XLOOKUP(PROYECTOS[[#This Row],[MUNICIPIO]],Table1[Municipio],MUNICIPIOS!F:F,0,0,1)</f>
        <v>#VALUE!</v>
      </c>
      <c r="G599" s="47" t="str">
        <f>+LOOKUP(PROYECTOS[[#This Row],[MUNICIPIO]],Table1[Municipio],Table1[Latitud])</f>
        <v>6,149903</v>
      </c>
      <c r="H599" s="44">
        <f>+LOOKUP(PROYECTOS[[#This Row],[MUNICIPIO]],Table1[Municipio],Table1[PDET])</f>
        <v>0</v>
      </c>
      <c r="I599" s="45">
        <f>+LOOKUP(PROYECTOS[[#This Row],[MUNICIPIO]],Table1[Municipio],Table1[ZOMAC])</f>
        <v>0</v>
      </c>
      <c r="J599" s="34" t="str" cm="1">
        <f t="array" ref="J599">_xlfn.TEXTJOIN(", ", TRUE, IF(radicados[ID PROYECTOS]=A599, radicados[RADICADO], ""))</f>
        <v>2025010370756</v>
      </c>
      <c r="K599" s="45">
        <v>3</v>
      </c>
      <c r="L599" s="212">
        <f>+_xlfn.XLOOKUP(PROYECTOS[[#This Row],[ID_NECESIDAD]],'1.RADICADOS'!G:G,'1.RADICADOS'!J:J,0,0,1)</f>
        <v>20215139616</v>
      </c>
      <c r="M599" s="34" t="s">
        <v>401</v>
      </c>
      <c r="N599" s="40" t="s">
        <v>398</v>
      </c>
      <c r="O599" s="40" t="s">
        <v>25</v>
      </c>
      <c r="P599" s="33" t="s">
        <v>1720</v>
      </c>
      <c r="Q599" s="45"/>
      <c r="R599" s="166"/>
      <c r="S599" s="166"/>
      <c r="T599" s="44">
        <f>+_xlfn.XLOOKUP(PROYECTOS[[#This Row],[MUNICIPIO]],'4.CAP_ENDMNT'!B:B,'4.CAP_ENDMNT'!C:C,0,0,1)</f>
        <v>5</v>
      </c>
      <c r="U599" s="167">
        <f>+_xlfn.XLOOKUP(PROYECTOS[[#This Row],[MUNICIPIO]],'4.CAP_ENDMNT'!B:B,'4.CAP_ENDMNT'!D:D,0,0,1)</f>
        <v>35695767669.016502</v>
      </c>
      <c r="V599" s="44">
        <f>+_xlfn.XLOOKUP(PROYECTOS[[#This Row],[MUNICIPIO]],'4.CAP_ENDMNT'!B:B,'4.CAP_ENDMNT'!E:E,0,0,1)</f>
        <v>13532488388.23</v>
      </c>
      <c r="W599" s="44">
        <f>+_xlfn.XLOOKUP(PROYECTOS[[#This Row],[MUNICIPIO]],'4.CAP_ENDMNT'!B:B,'4.CAP_ENDMNT'!F:F,0,0,1)</f>
        <v>22163279280.786503</v>
      </c>
      <c r="X599" s="44">
        <f>+_xlfn.XLOOKUP(PROYECTOS[[#This Row],[MUNICIPIO]],'4.CAP_ENDMNT'!B:B,'4.CAP_ENDMNT'!G:G,0,0,1)</f>
        <v>1067761948</v>
      </c>
      <c r="Y599" s="44">
        <f>+_xlfn.XLOOKUP(PROYECTOS[[#This Row],[MUNICIPIO]],'4.CAP_ENDMNT'!B:B,'4.CAP_ENDMNT'!H:H,0,0,1)</f>
        <v>4932032890</v>
      </c>
      <c r="Z599" s="44">
        <f>+_xlfn.XLOOKUP(PROYECTOS[[#This Row],[MUNICIPIO]],'4.CAP_ENDMNT'!B:B,'4.CAP_ENDMNT'!I:I,0,0,1)</f>
        <v>5999794838</v>
      </c>
      <c r="AA599" s="134">
        <f>+_xlfn.XLOOKUP(PROYECTOS[[#This Row],[MUNICIPIO]],'4.CAP_ENDMNT'!B:B,'4.CAP_ENDMNT'!J:J,0,0,1)</f>
        <v>0.16808140655867587</v>
      </c>
      <c r="AB599" s="44">
        <f>+_xlfn.XLOOKUP(PROYECTOS[[#This Row],[MUNICIPIO]],'4.CAP_ENDMNT'!B:B,'4.CAP_ENDMNT'!K:K,0,0,1)</f>
        <v>29695972831.016502</v>
      </c>
      <c r="AC599" s="44">
        <f>+_xlfn.XLOOKUP(PROYECTOS[[#This Row],[MUNICIPIO]],'4.CAP_ENDMNT'!B:B,'4.CAP_ENDMNT'!L:L,0,0,1)</f>
        <v>23756778264.813202</v>
      </c>
      <c r="AD599" s="44">
        <f>+_xlfn.XLOOKUP(PROYECTOS[[#This Row],[MUNICIPIO]],'4.CAP_ENDMNT'!B:B,'4.CAP_ENDMNT'!M:M,0,0,1)</f>
        <v>17817583698.609901</v>
      </c>
      <c r="AE599" s="134">
        <f>+_xlfn.XLOOKUP(PROYECTOS[[#This Row],[MUNICIPIO]],'4.CAP_ENDMNT'!B:B,'4.CAP_ENDMNT'!N:N,0,0,1)</f>
        <v>0.17796640999076777</v>
      </c>
      <c r="AF599" s="134">
        <f>+_xlfn.XLOOKUP(PROYECTOS[[#This Row],[MUNICIPIO]],'4.CAP_ENDMNT'!B:B,'4.CAP_ENDMNT'!O:O,0,0,1)</f>
        <v>0.4016729815979605</v>
      </c>
      <c r="AG599" s="134">
        <f>+_xlfn.XLOOKUP(PROYECTOS[[#This Row],[MUNICIPIO]],'4.CAP_ENDMNT'!B:B,'4.CAP_ENDMNT'!P:P,0,0,1)</f>
        <v>0.8</v>
      </c>
      <c r="AH599" s="44" t="str">
        <f>+_xlfn.XLOOKUP(PROYECTOS[[#This Row],[MUNICIPIO]],'4.CAP_ENDMNT'!B:B,'4.CAP_ENDMNT'!Q:Q,0,0,1)</f>
        <v>Cumple</v>
      </c>
      <c r="AI599" s="139">
        <f>+_xlfn.XLOOKUP(PROYECTOS[[#This Row],[MUNICIPIO]],'4.CAP_ENDMNT'!B:B,'4.CAP_ENDMNT'!V:V,0,0,1)</f>
        <v>3563516739.7219806</v>
      </c>
      <c r="AJ599" s="139">
        <f>+_xlfn.XLOOKUP(PROYECTOS[[#This Row],[MUNICIPIO]],'4.CAP_ENDMNT'!B:B,'4.CAP_ENDMNT'!Y:Y,0,0,1)</f>
        <v>-46557238264.668121</v>
      </c>
      <c r="AK599"/>
      <c r="AL599"/>
      <c r="AM599"/>
    </row>
    <row r="600" spans="1:39" ht="15" customHeight="1">
      <c r="A600" s="44">
        <v>717</v>
      </c>
      <c r="B600" s="232" t="str">
        <f>+_xlfn.XLOOKUP(PROYECTOS[[#This Row],[ID_NECESIDAD]],'1.RADICADOS'!G:G,'1.RADICADOS'!H:H,0,0,1)</f>
        <v>Presentacion proyecto mejoramiento y recuperacion vial conexion cabecera municipal y centro poblado Otramina 1km</v>
      </c>
      <c r="C600" s="118">
        <f>+_xlfn.XLOOKUP(PROYECTOS[[#This Row],[ID_NECESIDAD]],'1.RADICADOS'!G:G,'1.RADICADOS'!C:C,0,0,1)*1</f>
        <v>45862</v>
      </c>
      <c r="D600" s="118" t="str">
        <f>+_xlfn.XLOOKUP(PROYECTOS[[#This Row],[ID_NECESIDAD]],'1.RADICADOS'!G:G,'1.RADICADOS'!F:F,0,0,1)</f>
        <v>Titiribí</v>
      </c>
      <c r="E600" s="47" t="str">
        <f>+_xlfn.XLOOKUP(PROYECTOS[[#This Row],[MUNICIPIO]],MUNICIPIOS!A:A,MUNICIPIOS!E:E,0,0,1)</f>
        <v>Suroeste</v>
      </c>
      <c r="F600" s="47" t="e" cm="1">
        <f t="array" ref="F600">+_xlfn.XLOOKUP(PROYECTOS[[#This Row],[MUNICIPIO]],Table1[Municipio],MUNICIPIOS!F:F,0,0,1)</f>
        <v>#VALUE!</v>
      </c>
      <c r="G600" s="47" t="str">
        <f>+LOOKUP(PROYECTOS[[#This Row],[MUNICIPIO]],Table1[Municipio],Table1[Latitud])</f>
        <v>6,149903</v>
      </c>
      <c r="H600" s="44">
        <f>+LOOKUP(PROYECTOS[[#This Row],[MUNICIPIO]],Table1[Municipio],Table1[PDET])</f>
        <v>0</v>
      </c>
      <c r="I600" s="45">
        <f>+LOOKUP(PROYECTOS[[#This Row],[MUNICIPIO]],Table1[Municipio],Table1[ZOMAC])</f>
        <v>0</v>
      </c>
      <c r="J600" s="34" t="str" cm="1">
        <f t="array" ref="J600">_xlfn.TEXTJOIN(", ", TRUE, IF(radicados[ID PROYECTOS]=A600, radicados[RADICADO], ""))</f>
        <v>2025050730967</v>
      </c>
      <c r="K600" s="45">
        <v>3</v>
      </c>
      <c r="L600" s="212">
        <f>+_xlfn.XLOOKUP(PROYECTOS[[#This Row],[ID_NECESIDAD]],'1.RADICADOS'!G:G,'1.RADICADOS'!J:J,0,0,1)</f>
        <v>8785417143</v>
      </c>
      <c r="M600" s="34" t="s">
        <v>396</v>
      </c>
      <c r="N600" s="40" t="s">
        <v>398</v>
      </c>
      <c r="O600" s="40" t="s">
        <v>25</v>
      </c>
      <c r="P600" s="213" t="s">
        <v>1724</v>
      </c>
      <c r="Q600" s="45"/>
      <c r="R600" s="166"/>
      <c r="S600" s="166"/>
      <c r="T600" s="44">
        <f>+_xlfn.XLOOKUP(PROYECTOS[[#This Row],[MUNICIPIO]],'4.CAP_ENDMNT'!B:B,'4.CAP_ENDMNT'!C:C,0,0,1)</f>
        <v>6</v>
      </c>
      <c r="U600" s="167">
        <f>+_xlfn.XLOOKUP(PROYECTOS[[#This Row],[MUNICIPIO]],'4.CAP_ENDMNT'!B:B,'4.CAP_ENDMNT'!D:D,0,0,1)</f>
        <v>11592686445.107998</v>
      </c>
      <c r="V600" s="44">
        <f>+_xlfn.XLOOKUP(PROYECTOS[[#This Row],[MUNICIPIO]],'4.CAP_ENDMNT'!B:B,'4.CAP_ENDMNT'!E:E,0,0,1)</f>
        <v>5670743725.9899998</v>
      </c>
      <c r="W600" s="44">
        <f>+_xlfn.XLOOKUP(PROYECTOS[[#This Row],[MUNICIPIO]],'4.CAP_ENDMNT'!B:B,'4.CAP_ENDMNT'!F:F,0,0,1)</f>
        <v>5921942719.1179981</v>
      </c>
      <c r="X600" s="44">
        <f>+_xlfn.XLOOKUP(PROYECTOS[[#This Row],[MUNICIPIO]],'4.CAP_ENDMNT'!B:B,'4.CAP_ENDMNT'!G:G,0,0,1)</f>
        <v>1149558272.3800001</v>
      </c>
      <c r="Y600" s="44">
        <f>+_xlfn.XLOOKUP(PROYECTOS[[#This Row],[MUNICIPIO]],'4.CAP_ENDMNT'!B:B,'4.CAP_ENDMNT'!H:H,0,0,1)</f>
        <v>1133660976</v>
      </c>
      <c r="Z600" s="44">
        <f>+_xlfn.XLOOKUP(PROYECTOS[[#This Row],[MUNICIPIO]],'4.CAP_ENDMNT'!B:B,'4.CAP_ENDMNT'!I:I,0,0,1)</f>
        <v>2283219248.3800001</v>
      </c>
      <c r="AA600" s="134">
        <f>+_xlfn.XLOOKUP(PROYECTOS[[#This Row],[MUNICIPIO]],'4.CAP_ENDMNT'!B:B,'4.CAP_ENDMNT'!J:J,0,0,1)</f>
        <v>0.19695342052001213</v>
      </c>
      <c r="AB600" s="44">
        <f>+_xlfn.XLOOKUP(PROYECTOS[[#This Row],[MUNICIPIO]],'4.CAP_ENDMNT'!B:B,'4.CAP_ENDMNT'!K:K,0,0,1)</f>
        <v>9309467196.7279968</v>
      </c>
      <c r="AC600" s="44">
        <f>+_xlfn.XLOOKUP(PROYECTOS[[#This Row],[MUNICIPIO]],'4.CAP_ENDMNT'!B:B,'4.CAP_ENDMNT'!L:L,0,0,1)</f>
        <v>7447573757.3823977</v>
      </c>
      <c r="AD600" s="44">
        <f>+_xlfn.XLOOKUP(PROYECTOS[[#This Row],[MUNICIPIO]],'4.CAP_ENDMNT'!B:B,'4.CAP_ENDMNT'!M:M,0,0,1)</f>
        <v>5585680318.0367975</v>
      </c>
      <c r="AE600" s="134">
        <f>+_xlfn.XLOOKUP(PROYECTOS[[#This Row],[MUNICIPIO]],'4.CAP_ENDMNT'!B:B,'4.CAP_ENDMNT'!N:N,0,0,1)</f>
        <v>0.50348133373334159</v>
      </c>
      <c r="AF600" s="134">
        <f>+_xlfn.XLOOKUP(PROYECTOS[[#This Row],[MUNICIPIO]],'4.CAP_ENDMNT'!B:B,'4.CAP_ENDMNT'!O:O,0,0,1)</f>
        <v>0.69203788539600963</v>
      </c>
      <c r="AG600" s="134">
        <f>+_xlfn.XLOOKUP(PROYECTOS[[#This Row],[MUNICIPIO]],'4.CAP_ENDMNT'!B:B,'4.CAP_ENDMNT'!P:P,0,0,1)</f>
        <v>0.8</v>
      </c>
      <c r="AH600" s="44" t="str">
        <f>+_xlfn.XLOOKUP(PROYECTOS[[#This Row],[MUNICIPIO]],'4.CAP_ENDMNT'!B:B,'4.CAP_ENDMNT'!Q:Q,0,0,1)</f>
        <v>Cumple</v>
      </c>
      <c r="AI600" s="139">
        <f>+_xlfn.XLOOKUP(PROYECTOS[[#This Row],[MUNICIPIO]],'4.CAP_ENDMNT'!B:B,'4.CAP_ENDMNT'!V:V,0,0,1)</f>
        <v>1117136063.6073596</v>
      </c>
      <c r="AJ600" s="139">
        <f>+_xlfn.XLOOKUP(PROYECTOS[[#This Row],[MUNICIPIO]],'4.CAP_ENDMNT'!B:B,'4.CAP_ENDMNT'!Y:Y,0,0,1)</f>
        <v>-9756872913.3558426</v>
      </c>
      <c r="AK600"/>
      <c r="AL600"/>
      <c r="AM600"/>
    </row>
    <row r="601" spans="1:39" ht="15" customHeight="1">
      <c r="A601" s="44">
        <v>718</v>
      </c>
      <c r="B601" s="232" t="str">
        <f>+_xlfn.XLOOKUP(PROYECTOS[[#This Row],[ID_NECESIDAD]],'1.RADICADOS'!G:G,'1.RADICADOS'!H:H,0,0,1)</f>
        <v>Solicitud recursos para el proyecto de construccion, rehabilitacion y renovacion de andesnes y obras complementarias</v>
      </c>
      <c r="C601" s="118">
        <f>+_xlfn.XLOOKUP(PROYECTOS[[#This Row],[ID_NECESIDAD]],'1.RADICADOS'!G:G,'1.RADICADOS'!C:C,0,0,1)*1</f>
        <v>45462</v>
      </c>
      <c r="D601" s="118" t="str">
        <f>+_xlfn.XLOOKUP(PROYECTOS[[#This Row],[ID_NECESIDAD]],'1.RADICADOS'!G:G,'1.RADICADOS'!F:F,0,0,1)</f>
        <v>La Ceja</v>
      </c>
      <c r="E601" s="47" t="str">
        <f>+_xlfn.XLOOKUP(PROYECTOS[[#This Row],[MUNICIPIO]],MUNICIPIOS!A:A,MUNICIPIOS!E:E,0,0,1)</f>
        <v>Oriente</v>
      </c>
      <c r="F601" s="47" t="e" cm="1">
        <f t="array" ref="F601">+_xlfn.XLOOKUP(PROYECTOS[[#This Row],[MUNICIPIO]],Table1[Municipio],MUNICIPIOS!F:F,0,0,1)</f>
        <v>#VALUE!</v>
      </c>
      <c r="G601" s="47" t="str">
        <f>+LOOKUP(PROYECTOS[[#This Row],[MUNICIPIO]],Table1[Municipio],Table1[Latitud])</f>
        <v>6,028062</v>
      </c>
      <c r="H601" s="44">
        <f>+LOOKUP(PROYECTOS[[#This Row],[MUNICIPIO]],Table1[Municipio],Table1[PDET])</f>
        <v>0</v>
      </c>
      <c r="I601" s="45">
        <f>+LOOKUP(PROYECTOS[[#This Row],[MUNICIPIO]],Table1[Municipio],Table1[ZOMAC])</f>
        <v>0</v>
      </c>
      <c r="J601" s="34" t="str" cm="1">
        <f t="array" ref="J601">_xlfn.TEXTJOIN(", ", TRUE, IF(radicados[ID PROYECTOS]=A601, radicados[RADICADO], ""))</f>
        <v>2024010273806</v>
      </c>
      <c r="K601" s="45">
        <v>2</v>
      </c>
      <c r="L601" s="212">
        <f>+_xlfn.XLOOKUP(PROYECTOS[[#This Row],[ID_NECESIDAD]],'1.RADICADOS'!G:G,'1.RADICADOS'!J:J,0,0,1)</f>
        <v>3004468997</v>
      </c>
      <c r="M601" s="34" t="s">
        <v>707</v>
      </c>
      <c r="N601" s="40" t="s">
        <v>394</v>
      </c>
      <c r="O601" s="40" t="s">
        <v>18</v>
      </c>
      <c r="P601" s="213" t="s">
        <v>1729</v>
      </c>
      <c r="Q601" s="45"/>
      <c r="R601" s="166"/>
      <c r="S601" s="166"/>
      <c r="T601" s="44">
        <f>+_xlfn.XLOOKUP(PROYECTOS[[#This Row],[MUNICIPIO]],'4.CAP_ENDMNT'!B:B,'4.CAP_ENDMNT'!C:C,0,0,1)</f>
        <v>2</v>
      </c>
      <c r="U601" s="167">
        <f>+_xlfn.XLOOKUP(PROYECTOS[[#This Row],[MUNICIPIO]],'4.CAP_ENDMNT'!B:B,'4.CAP_ENDMNT'!D:D,0,0,1)</f>
        <v>102691614388.099</v>
      </c>
      <c r="V601" s="44">
        <f>+_xlfn.XLOOKUP(PROYECTOS[[#This Row],[MUNICIPIO]],'4.CAP_ENDMNT'!B:B,'4.CAP_ENDMNT'!E:E,0,0,1)</f>
        <v>29123622287.32</v>
      </c>
      <c r="W601" s="44">
        <f>+_xlfn.XLOOKUP(PROYECTOS[[#This Row],[MUNICIPIO]],'4.CAP_ENDMNT'!B:B,'4.CAP_ENDMNT'!F:F,0,0,1)</f>
        <v>73567992100.778992</v>
      </c>
      <c r="X601" s="44">
        <f>+_xlfn.XLOOKUP(PROYECTOS[[#This Row],[MUNICIPIO]],'4.CAP_ENDMNT'!B:B,'4.CAP_ENDMNT'!G:G,0,0,1)</f>
        <v>5166195556</v>
      </c>
      <c r="Y601" s="44">
        <f>+_xlfn.XLOOKUP(PROYECTOS[[#This Row],[MUNICIPIO]],'4.CAP_ENDMNT'!B:B,'4.CAP_ENDMNT'!H:H,0,0,1)</f>
        <v>27283390599</v>
      </c>
      <c r="Z601" s="44">
        <f>+_xlfn.XLOOKUP(PROYECTOS[[#This Row],[MUNICIPIO]],'4.CAP_ENDMNT'!B:B,'4.CAP_ENDMNT'!I:I,0,0,1)</f>
        <v>32449586155</v>
      </c>
      <c r="AA601" s="134">
        <f>+_xlfn.XLOOKUP(PROYECTOS[[#This Row],[MUNICIPIO]],'4.CAP_ENDMNT'!B:B,'4.CAP_ENDMNT'!J:J,0,0,1)</f>
        <v>0.3159906127521217</v>
      </c>
      <c r="AB601" s="44">
        <f>+_xlfn.XLOOKUP(PROYECTOS[[#This Row],[MUNICIPIO]],'4.CAP_ENDMNT'!B:B,'4.CAP_ENDMNT'!K:K,0,0,1)</f>
        <v>70242028233.098999</v>
      </c>
      <c r="AC601" s="44">
        <f>+_xlfn.XLOOKUP(PROYECTOS[[#This Row],[MUNICIPIO]],'4.CAP_ENDMNT'!B:B,'4.CAP_ENDMNT'!L:L,0,0,1)</f>
        <v>56193622586.479202</v>
      </c>
      <c r="AD601" s="44">
        <f>+_xlfn.XLOOKUP(PROYECTOS[[#This Row],[MUNICIPIO]],'4.CAP_ENDMNT'!B:B,'4.CAP_ENDMNT'!M:M,0,0,1)</f>
        <v>42145216939.859398</v>
      </c>
      <c r="AE601" s="134">
        <f>+_xlfn.XLOOKUP(PROYECTOS[[#This Row],[MUNICIPIO]],'4.CAP_ENDMNT'!B:B,'4.CAP_ENDMNT'!N:N,0,0,1)</f>
        <v>0.15920682412783146</v>
      </c>
      <c r="AF601" s="134">
        <f>+_xlfn.XLOOKUP(PROYECTOS[[#This Row],[MUNICIPIO]],'4.CAP_ENDMNT'!B:B,'4.CAP_ENDMNT'!O:O,0,0,1)</f>
        <v>0.28977187660096981</v>
      </c>
      <c r="AG601" s="134">
        <f>+_xlfn.XLOOKUP(PROYECTOS[[#This Row],[MUNICIPIO]],'4.CAP_ENDMNT'!B:B,'4.CAP_ENDMNT'!P:P,0,0,1)</f>
        <v>0.7</v>
      </c>
      <c r="AH601" s="44" t="str">
        <f>+_xlfn.XLOOKUP(PROYECTOS[[#This Row],[MUNICIPIO]],'4.CAP_ENDMNT'!B:B,'4.CAP_ENDMNT'!Q:Q,0,0,1)</f>
        <v>Cumple</v>
      </c>
      <c r="AI601" s="139">
        <f>+_xlfn.XLOOKUP(PROYECTOS[[#This Row],[MUNICIPIO]],'4.CAP_ENDMNT'!B:B,'4.CAP_ENDMNT'!V:V,0,0,1)</f>
        <v>8429043387.97188</v>
      </c>
      <c r="AJ601" s="139">
        <f>+_xlfn.XLOOKUP(PROYECTOS[[#This Row],[MUNICIPIO]],'4.CAP_ENDMNT'!B:B,'4.CAP_ENDMNT'!Y:Y,0,0,1)</f>
        <v>45609749252.831276</v>
      </c>
      <c r="AK601"/>
      <c r="AL601"/>
      <c r="AM601"/>
    </row>
    <row r="602" spans="1:39" ht="15" customHeight="1">
      <c r="A602" s="44">
        <v>719</v>
      </c>
      <c r="B602" s="232" t="str">
        <f>+_xlfn.XLOOKUP(PROYECTOS[[#This Row],[ID_NECESIDAD]],'1.RADICADOS'!G:G,'1.RADICADOS'!H:H,0,0,1)</f>
        <v>Presentacion proyecto de mejoramiento de la red vial en el casco urbano y los corregimientos de Buchado y San Antonio de Padua mediante construccion de 1.0 km de vias peatonales</v>
      </c>
      <c r="C602" s="118">
        <f>+_xlfn.XLOOKUP(PROYECTOS[[#This Row],[ID_NECESIDAD]],'1.RADICADOS'!G:G,'1.RADICADOS'!C:C,0,0,1)*1</f>
        <v>45874</v>
      </c>
      <c r="D602" s="118" t="str">
        <f>+_xlfn.XLOOKUP(PROYECTOS[[#This Row],[ID_NECESIDAD]],'1.RADICADOS'!G:G,'1.RADICADOS'!F:F,0,0,1)</f>
        <v>Vigía del Fuerte</v>
      </c>
      <c r="E602" s="47" t="str">
        <f>+_xlfn.XLOOKUP(PROYECTOS[[#This Row],[MUNICIPIO]],MUNICIPIOS!A:A,MUNICIPIOS!E:E,0,0,1)</f>
        <v>Urabá</v>
      </c>
      <c r="F602" s="47" t="e" cm="1">
        <f t="array" ref="F602">+_xlfn.XLOOKUP(PROYECTOS[[#This Row],[MUNICIPIO]],Table1[Municipio],MUNICIPIOS!F:F,0,0,1)</f>
        <v>#VALUE!</v>
      </c>
      <c r="G602" s="47" t="str">
        <f>+LOOKUP(PROYECTOS[[#This Row],[MUNICIPIO]],Table1[Municipio],Table1[Latitud])</f>
        <v>6,149903</v>
      </c>
      <c r="H602" s="44">
        <f>+LOOKUP(PROYECTOS[[#This Row],[MUNICIPIO]],Table1[Municipio],Table1[PDET])</f>
        <v>0</v>
      </c>
      <c r="I602" s="45">
        <f>+LOOKUP(PROYECTOS[[#This Row],[MUNICIPIO]],Table1[Municipio],Table1[ZOMAC])</f>
        <v>0</v>
      </c>
      <c r="J602" s="34" t="str" cm="1">
        <f t="array" ref="J602">_xlfn.TEXTJOIN(", ", TRUE, IF(radicados[ID PROYECTOS]=A602, radicados[RADICADO], ""))</f>
        <v>2025010399835</v>
      </c>
      <c r="K602" s="45">
        <v>3</v>
      </c>
      <c r="L602" s="212">
        <f>+_xlfn.XLOOKUP(PROYECTOS[[#This Row],[ID_NECESIDAD]],'1.RADICADOS'!G:G,'1.RADICADOS'!J:J,0,0,1)</f>
        <v>4318551080</v>
      </c>
      <c r="M602" s="34" t="s">
        <v>707</v>
      </c>
      <c r="N602" s="40" t="s">
        <v>394</v>
      </c>
      <c r="O602" s="40" t="s">
        <v>18</v>
      </c>
      <c r="P602" s="213" t="s">
        <v>1732</v>
      </c>
      <c r="Q602" s="45"/>
      <c r="R602" s="166"/>
      <c r="S602" s="166"/>
      <c r="T602" s="44">
        <f>+_xlfn.XLOOKUP(PROYECTOS[[#This Row],[MUNICIPIO]],'4.CAP_ENDMNT'!B:B,'4.CAP_ENDMNT'!C:C,0,0,1)</f>
        <v>6</v>
      </c>
      <c r="U602" s="167">
        <f>+_xlfn.XLOOKUP(PROYECTOS[[#This Row],[MUNICIPIO]],'4.CAP_ENDMNT'!B:B,'4.CAP_ENDMNT'!D:D,0,0,1)</f>
        <v>18943215673.273502</v>
      </c>
      <c r="V602" s="44">
        <f>+_xlfn.XLOOKUP(PROYECTOS[[#This Row],[MUNICIPIO]],'4.CAP_ENDMNT'!B:B,'4.CAP_ENDMNT'!E:E,0,0,1)</f>
        <v>6022595389.6999998</v>
      </c>
      <c r="W602" s="44">
        <f>+_xlfn.XLOOKUP(PROYECTOS[[#This Row],[MUNICIPIO]],'4.CAP_ENDMNT'!B:B,'4.CAP_ENDMNT'!F:F,0,0,1)</f>
        <v>12920620283.573502</v>
      </c>
      <c r="X602" s="44">
        <f>+_xlfn.XLOOKUP(PROYECTOS[[#This Row],[MUNICIPIO]],'4.CAP_ENDMNT'!B:B,'4.CAP_ENDMNT'!G:G,0,0,1)</f>
        <v>4570267145</v>
      </c>
      <c r="Y602" s="44">
        <f>+_xlfn.XLOOKUP(PROYECTOS[[#This Row],[MUNICIPIO]],'4.CAP_ENDMNT'!B:B,'4.CAP_ENDMNT'!H:H,0,0,1)</f>
        <v>0</v>
      </c>
      <c r="Z602" s="44">
        <f>+_xlfn.XLOOKUP(PROYECTOS[[#This Row],[MUNICIPIO]],'4.CAP_ENDMNT'!B:B,'4.CAP_ENDMNT'!I:I,0,0,1)</f>
        <v>4570267145</v>
      </c>
      <c r="AA602" s="134">
        <f>+_xlfn.XLOOKUP(PROYECTOS[[#This Row],[MUNICIPIO]],'4.CAP_ENDMNT'!B:B,'4.CAP_ENDMNT'!J:J,0,0,1)</f>
        <v>0.24126142170508424</v>
      </c>
      <c r="AB602" s="44">
        <f>+_xlfn.XLOOKUP(PROYECTOS[[#This Row],[MUNICIPIO]],'4.CAP_ENDMNT'!B:B,'4.CAP_ENDMNT'!K:K,0,0,1)</f>
        <v>14372948528.273502</v>
      </c>
      <c r="AC602" s="44">
        <f>+_xlfn.XLOOKUP(PROYECTOS[[#This Row],[MUNICIPIO]],'4.CAP_ENDMNT'!B:B,'4.CAP_ENDMNT'!L:L,0,0,1)</f>
        <v>11498358822.618803</v>
      </c>
      <c r="AD602" s="44">
        <f>+_xlfn.XLOOKUP(PROYECTOS[[#This Row],[MUNICIPIO]],'4.CAP_ENDMNT'!B:B,'4.CAP_ENDMNT'!M:M,0,0,1)</f>
        <v>8623769116.9641018</v>
      </c>
      <c r="AE602" s="134">
        <f>+_xlfn.XLOOKUP(PROYECTOS[[#This Row],[MUNICIPIO]],'4.CAP_ENDMNT'!B:B,'4.CAP_ENDMNT'!N:N,0,0,1)</f>
        <v>1</v>
      </c>
      <c r="AF602" s="134">
        <f>+_xlfn.XLOOKUP(PROYECTOS[[#This Row],[MUNICIPIO]],'4.CAP_ENDMNT'!B:B,'4.CAP_ENDMNT'!O:O,0,0,1)</f>
        <v>0.63532752805182191</v>
      </c>
      <c r="AG602" s="134">
        <f>+_xlfn.XLOOKUP(PROYECTOS[[#This Row],[MUNICIPIO]],'4.CAP_ENDMNT'!B:B,'4.CAP_ENDMNT'!P:P,0,0,1)</f>
        <v>0.8</v>
      </c>
      <c r="AH602" s="44" t="str">
        <f>+_xlfn.XLOOKUP(PROYECTOS[[#This Row],[MUNICIPIO]],'4.CAP_ENDMNT'!B:B,'4.CAP_ENDMNT'!Q:Q,0,0,1)</f>
        <v>Cumple</v>
      </c>
      <c r="AI602" s="139">
        <f>+_xlfn.XLOOKUP(PROYECTOS[[#This Row],[MUNICIPIO]],'4.CAP_ENDMNT'!B:B,'4.CAP_ENDMNT'!V:V,0,0,1)</f>
        <v>1724753823.3928204</v>
      </c>
      <c r="AJ602" s="139">
        <f>+_xlfn.XLOOKUP(PROYECTOS[[#This Row],[MUNICIPIO]],'4.CAP_ENDMNT'!B:B,'4.CAP_ENDMNT'!Y:Y,0,0,1)</f>
        <v>-14051852500.643078</v>
      </c>
      <c r="AK602"/>
      <c r="AL602"/>
      <c r="AM602"/>
    </row>
    <row r="603" spans="1:39" ht="15" customHeight="1">
      <c r="A603" s="44">
        <v>720</v>
      </c>
      <c r="B603" s="232" t="str">
        <f>+_xlfn.XLOOKUP(PROYECTOS[[#This Row],[ID_NECESIDAD]],'1.RADICADOS'!G:G,'1.RADICADOS'!H:H,0,0,1)</f>
        <v>Presentacion proyecto de mejoramiento vias urbanas mediante la pavimentacion en concreto rigido 1 km</v>
      </c>
      <c r="C603" s="118">
        <f>+_xlfn.XLOOKUP(PROYECTOS[[#This Row],[ID_NECESIDAD]],'1.RADICADOS'!G:G,'1.RADICADOS'!C:C,0,0,1)*1</f>
        <v>45874</v>
      </c>
      <c r="D603" s="118" t="str">
        <f>+_xlfn.XLOOKUP(PROYECTOS[[#This Row],[ID_NECESIDAD]],'1.RADICADOS'!G:G,'1.RADICADOS'!F:F,0,0,1)</f>
        <v>Vigía del Fuerte</v>
      </c>
      <c r="E603" s="47" t="str">
        <f>+_xlfn.XLOOKUP(PROYECTOS[[#This Row],[MUNICIPIO]],MUNICIPIOS!A:A,MUNICIPIOS!E:E,0,0,1)</f>
        <v>Urabá</v>
      </c>
      <c r="F603" s="47" t="e" cm="1">
        <f t="array" ref="F603">+_xlfn.XLOOKUP(PROYECTOS[[#This Row],[MUNICIPIO]],Table1[Municipio],MUNICIPIOS!F:F,0,0,1)</f>
        <v>#VALUE!</v>
      </c>
      <c r="G603" s="47" t="str">
        <f>+LOOKUP(PROYECTOS[[#This Row],[MUNICIPIO]],Table1[Municipio],Table1[Latitud])</f>
        <v>6,149903</v>
      </c>
      <c r="H603" s="44">
        <f>+LOOKUP(PROYECTOS[[#This Row],[MUNICIPIO]],Table1[Municipio],Table1[PDET])</f>
        <v>0</v>
      </c>
      <c r="I603" s="45">
        <f>+LOOKUP(PROYECTOS[[#This Row],[MUNICIPIO]],Table1[Municipio],Table1[ZOMAC])</f>
        <v>0</v>
      </c>
      <c r="J603" s="34" t="str" cm="1">
        <f t="array" ref="J603">_xlfn.TEXTJOIN(", ", TRUE, IF(radicados[ID PROYECTOS]=A603, radicados[RADICADO], ""))</f>
        <v>2025010399830</v>
      </c>
      <c r="K603" s="45">
        <v>3</v>
      </c>
      <c r="L603" s="212">
        <f>+_xlfn.XLOOKUP(PROYECTOS[[#This Row],[ID_NECESIDAD]],'1.RADICADOS'!G:G,'1.RADICADOS'!J:J,0,0,1)</f>
        <v>7119271325</v>
      </c>
      <c r="M603" s="34" t="s">
        <v>401</v>
      </c>
      <c r="N603" s="40" t="s">
        <v>394</v>
      </c>
      <c r="O603" s="40" t="s">
        <v>18</v>
      </c>
      <c r="P603" s="33" t="s">
        <v>1734</v>
      </c>
      <c r="Q603" s="45"/>
      <c r="R603" s="166"/>
      <c r="S603" s="166"/>
      <c r="T603" s="44">
        <f>+_xlfn.XLOOKUP(PROYECTOS[[#This Row],[MUNICIPIO]],'4.CAP_ENDMNT'!B:B,'4.CAP_ENDMNT'!C:C,0,0,1)</f>
        <v>6</v>
      </c>
      <c r="U603" s="167">
        <f>+_xlfn.XLOOKUP(PROYECTOS[[#This Row],[MUNICIPIO]],'4.CAP_ENDMNT'!B:B,'4.CAP_ENDMNT'!D:D,0,0,1)</f>
        <v>18943215673.273502</v>
      </c>
      <c r="V603" s="44">
        <f>+_xlfn.XLOOKUP(PROYECTOS[[#This Row],[MUNICIPIO]],'4.CAP_ENDMNT'!B:B,'4.CAP_ENDMNT'!E:E,0,0,1)</f>
        <v>6022595389.6999998</v>
      </c>
      <c r="W603" s="44">
        <f>+_xlfn.XLOOKUP(PROYECTOS[[#This Row],[MUNICIPIO]],'4.CAP_ENDMNT'!B:B,'4.CAP_ENDMNT'!F:F,0,0,1)</f>
        <v>12920620283.573502</v>
      </c>
      <c r="X603" s="44">
        <f>+_xlfn.XLOOKUP(PROYECTOS[[#This Row],[MUNICIPIO]],'4.CAP_ENDMNT'!B:B,'4.CAP_ENDMNT'!G:G,0,0,1)</f>
        <v>4570267145</v>
      </c>
      <c r="Y603" s="44">
        <f>+_xlfn.XLOOKUP(PROYECTOS[[#This Row],[MUNICIPIO]],'4.CAP_ENDMNT'!B:B,'4.CAP_ENDMNT'!H:H,0,0,1)</f>
        <v>0</v>
      </c>
      <c r="Z603" s="44">
        <f>+_xlfn.XLOOKUP(PROYECTOS[[#This Row],[MUNICIPIO]],'4.CAP_ENDMNT'!B:B,'4.CAP_ENDMNT'!I:I,0,0,1)</f>
        <v>4570267145</v>
      </c>
      <c r="AA603" s="134">
        <f>+_xlfn.XLOOKUP(PROYECTOS[[#This Row],[MUNICIPIO]],'4.CAP_ENDMNT'!B:B,'4.CAP_ENDMNT'!J:J,0,0,1)</f>
        <v>0.24126142170508424</v>
      </c>
      <c r="AB603" s="44">
        <f>+_xlfn.XLOOKUP(PROYECTOS[[#This Row],[MUNICIPIO]],'4.CAP_ENDMNT'!B:B,'4.CAP_ENDMNT'!K:K,0,0,1)</f>
        <v>14372948528.273502</v>
      </c>
      <c r="AC603" s="44">
        <f>+_xlfn.XLOOKUP(PROYECTOS[[#This Row],[MUNICIPIO]],'4.CAP_ENDMNT'!B:B,'4.CAP_ENDMNT'!L:L,0,0,1)</f>
        <v>11498358822.618803</v>
      </c>
      <c r="AD603" s="44">
        <f>+_xlfn.XLOOKUP(PROYECTOS[[#This Row],[MUNICIPIO]],'4.CAP_ENDMNT'!B:B,'4.CAP_ENDMNT'!M:M,0,0,1)</f>
        <v>8623769116.9641018</v>
      </c>
      <c r="AE603" s="134">
        <f>+_xlfn.XLOOKUP(PROYECTOS[[#This Row],[MUNICIPIO]],'4.CAP_ENDMNT'!B:B,'4.CAP_ENDMNT'!N:N,0,0,1)</f>
        <v>1</v>
      </c>
      <c r="AF603" s="134">
        <f>+_xlfn.XLOOKUP(PROYECTOS[[#This Row],[MUNICIPIO]],'4.CAP_ENDMNT'!B:B,'4.CAP_ENDMNT'!O:O,0,0,1)</f>
        <v>0.63532752805182191</v>
      </c>
      <c r="AG603" s="134">
        <f>+_xlfn.XLOOKUP(PROYECTOS[[#This Row],[MUNICIPIO]],'4.CAP_ENDMNT'!B:B,'4.CAP_ENDMNT'!P:P,0,0,1)</f>
        <v>0.8</v>
      </c>
      <c r="AH603" s="44" t="str">
        <f>+_xlfn.XLOOKUP(PROYECTOS[[#This Row],[MUNICIPIO]],'4.CAP_ENDMNT'!B:B,'4.CAP_ENDMNT'!Q:Q,0,0,1)</f>
        <v>Cumple</v>
      </c>
      <c r="AI603" s="139">
        <f>+_xlfn.XLOOKUP(PROYECTOS[[#This Row],[MUNICIPIO]],'4.CAP_ENDMNT'!B:B,'4.CAP_ENDMNT'!V:V,0,0,1)</f>
        <v>1724753823.3928204</v>
      </c>
      <c r="AJ603" s="139">
        <f>+_xlfn.XLOOKUP(PROYECTOS[[#This Row],[MUNICIPIO]],'4.CAP_ENDMNT'!B:B,'4.CAP_ENDMNT'!Y:Y,0,0,1)</f>
        <v>-14051852500.643078</v>
      </c>
      <c r="AK603"/>
      <c r="AL603"/>
      <c r="AM603"/>
    </row>
    <row r="604" spans="1:39" ht="15" customHeight="1">
      <c r="A604" s="44">
        <v>721</v>
      </c>
      <c r="B604" s="232" t="str">
        <f>+_xlfn.XLOOKUP(PROYECTOS[[#This Row],[ID_NECESIDAD]],'1.RADICADOS'!G:G,'1.RADICADOS'!H:H,0,0,1)</f>
        <v>Mejoramiento con pavimento rígido para la integración de barrios de esperanza y vida en el casco urbano del distrito de turbo, Antioquia 15.85 KM</v>
      </c>
      <c r="C604" s="118">
        <f>+_xlfn.XLOOKUP(PROYECTOS[[#This Row],[ID_NECESIDAD]],'1.RADICADOS'!G:G,'1.RADICADOS'!C:C,0,0,1)*1</f>
        <v>45789</v>
      </c>
      <c r="D604" s="118" t="str">
        <f>+_xlfn.XLOOKUP(PROYECTOS[[#This Row],[ID_NECESIDAD]],'1.RADICADOS'!G:G,'1.RADICADOS'!F:F,0,0,1)</f>
        <v>Turbo</v>
      </c>
      <c r="E604" s="47" t="str">
        <f>+_xlfn.XLOOKUP(PROYECTOS[[#This Row],[MUNICIPIO]],MUNICIPIOS!A:A,MUNICIPIOS!E:E,0,0,1)</f>
        <v>Urabá</v>
      </c>
      <c r="F604" s="47" t="e" cm="1">
        <f t="array" ref="F604">+_xlfn.XLOOKUP(PROYECTOS[[#This Row],[MUNICIPIO]],Table1[Municipio],MUNICIPIOS!F:F,0,0,1)</f>
        <v>#VALUE!</v>
      </c>
      <c r="G604" s="47" t="str">
        <f>+LOOKUP(PROYECTOS[[#This Row],[MUNICIPIO]],Table1[Municipio],Table1[Latitud])</f>
        <v>6,149903</v>
      </c>
      <c r="H604" s="44">
        <f>+LOOKUP(PROYECTOS[[#This Row],[MUNICIPIO]],Table1[Municipio],Table1[PDET])</f>
        <v>0</v>
      </c>
      <c r="I604" s="45">
        <f>+LOOKUP(PROYECTOS[[#This Row],[MUNICIPIO]],Table1[Municipio],Table1[ZOMAC])</f>
        <v>0</v>
      </c>
      <c r="J604" s="34" t="str" cm="1">
        <f t="array" ref="J604">_xlfn.TEXTJOIN(", ", TRUE, IF(radicados[ID PROYECTOS]=A604, radicados[RADICADO], ""))</f>
        <v>2025010233278</v>
      </c>
      <c r="K604" s="45">
        <v>3</v>
      </c>
      <c r="L604" s="212">
        <f>+_xlfn.XLOOKUP(PROYECTOS[[#This Row],[ID_NECESIDAD]],'1.RADICADOS'!G:G,'1.RADICADOS'!J:J,0,0,1)</f>
        <v>51587565204</v>
      </c>
      <c r="M604" s="34" t="s">
        <v>401</v>
      </c>
      <c r="N604" s="40" t="s">
        <v>394</v>
      </c>
      <c r="O604" s="40" t="s">
        <v>18</v>
      </c>
      <c r="P604" s="33" t="s">
        <v>1740</v>
      </c>
      <c r="Q604" s="45"/>
      <c r="R604" s="166"/>
      <c r="S604" s="166"/>
      <c r="T604" s="44">
        <f>+_xlfn.XLOOKUP(PROYECTOS[[#This Row],[MUNICIPIO]],'4.CAP_ENDMNT'!B:B,'4.CAP_ENDMNT'!C:C,0,0,1)</f>
        <v>5</v>
      </c>
      <c r="U604" s="167">
        <f>+_xlfn.XLOOKUP(PROYECTOS[[#This Row],[MUNICIPIO]],'4.CAP_ENDMNT'!B:B,'4.CAP_ENDMNT'!D:D,0,0,1)</f>
        <v>57277943756.629501</v>
      </c>
      <c r="V604" s="44">
        <f>+_xlfn.XLOOKUP(PROYECTOS[[#This Row],[MUNICIPIO]],'4.CAP_ENDMNT'!B:B,'4.CAP_ENDMNT'!E:E,0,0,1)</f>
        <v>34159399600.959999</v>
      </c>
      <c r="W604" s="44">
        <f>+_xlfn.XLOOKUP(PROYECTOS[[#This Row],[MUNICIPIO]],'4.CAP_ENDMNT'!B:B,'4.CAP_ENDMNT'!F:F,0,0,1)</f>
        <v>23118544155.669502</v>
      </c>
      <c r="X604" s="44">
        <f>+_xlfn.XLOOKUP(PROYECTOS[[#This Row],[MUNICIPIO]],'4.CAP_ENDMNT'!B:B,'4.CAP_ENDMNT'!G:G,0,0,1)</f>
        <v>3450000000</v>
      </c>
      <c r="Y604" s="44">
        <f>+_xlfn.XLOOKUP(PROYECTOS[[#This Row],[MUNICIPIO]],'4.CAP_ENDMNT'!B:B,'4.CAP_ENDMNT'!H:H,0,0,1)</f>
        <v>21452083665</v>
      </c>
      <c r="Z604" s="44">
        <f>+_xlfn.XLOOKUP(PROYECTOS[[#This Row],[MUNICIPIO]],'4.CAP_ENDMNT'!B:B,'4.CAP_ENDMNT'!I:I,0,0,1)</f>
        <v>24902083665</v>
      </c>
      <c r="AA604" s="134">
        <f>+_xlfn.XLOOKUP(PROYECTOS[[#This Row],[MUNICIPIO]],'4.CAP_ENDMNT'!B:B,'4.CAP_ENDMNT'!J:J,0,0,1)</f>
        <v>0.43475868775610099</v>
      </c>
      <c r="AB604" s="44">
        <f>+_xlfn.XLOOKUP(PROYECTOS[[#This Row],[MUNICIPIO]],'4.CAP_ENDMNT'!B:B,'4.CAP_ENDMNT'!K:K,0,0,1)</f>
        <v>32375860091.629501</v>
      </c>
      <c r="AC604" s="44">
        <f>+_xlfn.XLOOKUP(PROYECTOS[[#This Row],[MUNICIPIO]],'4.CAP_ENDMNT'!B:B,'4.CAP_ENDMNT'!L:L,0,0,1)</f>
        <v>25900688073.303604</v>
      </c>
      <c r="AD604" s="44">
        <f>+_xlfn.XLOOKUP(PROYECTOS[[#This Row],[MUNICIPIO]],'4.CAP_ENDMNT'!B:B,'4.CAP_ENDMNT'!M:M,0,0,1)</f>
        <v>19425516054.977699</v>
      </c>
      <c r="AE604" s="134">
        <f>+_xlfn.XLOOKUP(PROYECTOS[[#This Row],[MUNICIPIO]],'4.CAP_ENDMNT'!B:B,'4.CAP_ENDMNT'!N:N,0,0,1)</f>
        <v>0.13854262343712995</v>
      </c>
      <c r="AF604" s="134">
        <f>+_xlfn.XLOOKUP(PROYECTOS[[#This Row],[MUNICIPIO]],'4.CAP_ENDMNT'!B:B,'4.CAP_ENDMNT'!O:O,0,0,1)</f>
        <v>0.87015152665365447</v>
      </c>
      <c r="AG604" s="134">
        <f>+_xlfn.XLOOKUP(PROYECTOS[[#This Row],[MUNICIPIO]],'4.CAP_ENDMNT'!B:B,'4.CAP_ENDMNT'!P:P,0,0,1)</f>
        <v>0.8</v>
      </c>
      <c r="AH604" s="44" t="str">
        <f>+_xlfn.XLOOKUP(PROYECTOS[[#This Row],[MUNICIPIO]],'4.CAP_ENDMNT'!B:B,'4.CAP_ENDMNT'!Q:Q,0,0,1)</f>
        <v>Incumple</v>
      </c>
      <c r="AI604" s="139">
        <f>+_xlfn.XLOOKUP(PROYECTOS[[#This Row],[MUNICIPIO]],'4.CAP_ENDMNT'!B:B,'4.CAP_ENDMNT'!V:V,0,0,1)</f>
        <v>3885103210.9955401</v>
      </c>
      <c r="AJ604" s="139">
        <f>+_xlfn.XLOOKUP(PROYECTOS[[#This Row],[MUNICIPIO]],'4.CAP_ENDMNT'!B:B,'4.CAP_ENDMNT'!Y:Y,0,0,1)</f>
        <v>-114052861009.72676</v>
      </c>
      <c r="AK604"/>
      <c r="AL604"/>
      <c r="AM604"/>
    </row>
    <row r="605" spans="1:39" ht="15" customHeight="1">
      <c r="A605" s="44">
        <v>722</v>
      </c>
      <c r="B605" s="232" t="str">
        <f>+_xlfn.XLOOKUP(PROYECTOS[[#This Row],[ID_NECESIDAD]],'1.RADICADOS'!G:G,'1.RADICADOS'!H:H,0,0,1)</f>
        <v>Construcción de pavimento en concreto rígido en la calle 59 (chiguiros), barrios 24 de diciembre - villa Carmen del corregimiento de currulao del distrito de Turbo Antioquia</v>
      </c>
      <c r="C605" s="118">
        <f>+_xlfn.XLOOKUP(PROYECTOS[[#This Row],[ID_NECESIDAD]],'1.RADICADOS'!G:G,'1.RADICADOS'!C:C,0,0,1)*1</f>
        <v>45789</v>
      </c>
      <c r="D605" s="118" t="str">
        <f>+_xlfn.XLOOKUP(PROYECTOS[[#This Row],[ID_NECESIDAD]],'1.RADICADOS'!G:G,'1.RADICADOS'!F:F,0,0,1)</f>
        <v>Turbo</v>
      </c>
      <c r="E605" s="47" t="str">
        <f>+_xlfn.XLOOKUP(PROYECTOS[[#This Row],[MUNICIPIO]],MUNICIPIOS!A:A,MUNICIPIOS!E:E,0,0,1)</f>
        <v>Urabá</v>
      </c>
      <c r="F605" s="47" t="e" cm="1">
        <f t="array" ref="F605">+_xlfn.XLOOKUP(PROYECTOS[[#This Row],[MUNICIPIO]],Table1[Municipio],MUNICIPIOS!F:F,0,0,1)</f>
        <v>#VALUE!</v>
      </c>
      <c r="G605" s="47" t="str">
        <f>+LOOKUP(PROYECTOS[[#This Row],[MUNICIPIO]],Table1[Municipio],Table1[Latitud])</f>
        <v>6,149903</v>
      </c>
      <c r="H605" s="44">
        <f>+LOOKUP(PROYECTOS[[#This Row],[MUNICIPIO]],Table1[Municipio],Table1[PDET])</f>
        <v>0</v>
      </c>
      <c r="I605" s="45">
        <f>+LOOKUP(PROYECTOS[[#This Row],[MUNICIPIO]],Table1[Municipio],Table1[ZOMAC])</f>
        <v>0</v>
      </c>
      <c r="J605" s="34" t="str" cm="1">
        <f t="array" ref="J605">_xlfn.TEXTJOIN(", ", TRUE, IF(radicados[ID PROYECTOS]=A605, radicados[RADICADO], ""))</f>
        <v>2025010234385</v>
      </c>
      <c r="K605" s="45">
        <v>1</v>
      </c>
      <c r="L605" s="212">
        <f>+_xlfn.XLOOKUP(PROYECTOS[[#This Row],[ID_NECESIDAD]],'1.RADICADOS'!G:G,'1.RADICADOS'!J:J,0,0,1)</f>
        <v>4552024794</v>
      </c>
      <c r="M605" s="34" t="s">
        <v>401</v>
      </c>
      <c r="N605" s="40" t="s">
        <v>394</v>
      </c>
      <c r="O605" s="40" t="s">
        <v>18</v>
      </c>
      <c r="P605" s="33" t="s">
        <v>1742</v>
      </c>
      <c r="Q605" s="45"/>
      <c r="R605" s="166"/>
      <c r="S605" s="166"/>
      <c r="T605" s="44">
        <f>+_xlfn.XLOOKUP(PROYECTOS[[#This Row],[MUNICIPIO]],'4.CAP_ENDMNT'!B:B,'4.CAP_ENDMNT'!C:C,0,0,1)</f>
        <v>5</v>
      </c>
      <c r="U605" s="167">
        <f>+_xlfn.XLOOKUP(PROYECTOS[[#This Row],[MUNICIPIO]],'4.CAP_ENDMNT'!B:B,'4.CAP_ENDMNT'!D:D,0,0,1)</f>
        <v>57277943756.629501</v>
      </c>
      <c r="V605" s="44">
        <f>+_xlfn.XLOOKUP(PROYECTOS[[#This Row],[MUNICIPIO]],'4.CAP_ENDMNT'!B:B,'4.CAP_ENDMNT'!E:E,0,0,1)</f>
        <v>34159399600.959999</v>
      </c>
      <c r="W605" s="44">
        <f>+_xlfn.XLOOKUP(PROYECTOS[[#This Row],[MUNICIPIO]],'4.CAP_ENDMNT'!B:B,'4.CAP_ENDMNT'!F:F,0,0,1)</f>
        <v>23118544155.669502</v>
      </c>
      <c r="X605" s="44">
        <f>+_xlfn.XLOOKUP(PROYECTOS[[#This Row],[MUNICIPIO]],'4.CAP_ENDMNT'!B:B,'4.CAP_ENDMNT'!G:G,0,0,1)</f>
        <v>3450000000</v>
      </c>
      <c r="Y605" s="44">
        <f>+_xlfn.XLOOKUP(PROYECTOS[[#This Row],[MUNICIPIO]],'4.CAP_ENDMNT'!B:B,'4.CAP_ENDMNT'!H:H,0,0,1)</f>
        <v>21452083665</v>
      </c>
      <c r="Z605" s="44">
        <f>+_xlfn.XLOOKUP(PROYECTOS[[#This Row],[MUNICIPIO]],'4.CAP_ENDMNT'!B:B,'4.CAP_ENDMNT'!I:I,0,0,1)</f>
        <v>24902083665</v>
      </c>
      <c r="AA605" s="134">
        <f>+_xlfn.XLOOKUP(PROYECTOS[[#This Row],[MUNICIPIO]],'4.CAP_ENDMNT'!B:B,'4.CAP_ENDMNT'!J:J,0,0,1)</f>
        <v>0.43475868775610099</v>
      </c>
      <c r="AB605" s="44">
        <f>+_xlfn.XLOOKUP(PROYECTOS[[#This Row],[MUNICIPIO]],'4.CAP_ENDMNT'!B:B,'4.CAP_ENDMNT'!K:K,0,0,1)</f>
        <v>32375860091.629501</v>
      </c>
      <c r="AC605" s="44">
        <f>+_xlfn.XLOOKUP(PROYECTOS[[#This Row],[MUNICIPIO]],'4.CAP_ENDMNT'!B:B,'4.CAP_ENDMNT'!L:L,0,0,1)</f>
        <v>25900688073.303604</v>
      </c>
      <c r="AD605" s="44">
        <f>+_xlfn.XLOOKUP(PROYECTOS[[#This Row],[MUNICIPIO]],'4.CAP_ENDMNT'!B:B,'4.CAP_ENDMNT'!M:M,0,0,1)</f>
        <v>19425516054.977699</v>
      </c>
      <c r="AE605" s="134">
        <f>+_xlfn.XLOOKUP(PROYECTOS[[#This Row],[MUNICIPIO]],'4.CAP_ENDMNT'!B:B,'4.CAP_ENDMNT'!N:N,0,0,1)</f>
        <v>0.13854262343712995</v>
      </c>
      <c r="AF605" s="134">
        <f>+_xlfn.XLOOKUP(PROYECTOS[[#This Row],[MUNICIPIO]],'4.CAP_ENDMNT'!B:B,'4.CAP_ENDMNT'!O:O,0,0,1)</f>
        <v>0.87015152665365447</v>
      </c>
      <c r="AG605" s="134">
        <f>+_xlfn.XLOOKUP(PROYECTOS[[#This Row],[MUNICIPIO]],'4.CAP_ENDMNT'!B:B,'4.CAP_ENDMNT'!P:P,0,0,1)</f>
        <v>0.8</v>
      </c>
      <c r="AH605" s="44" t="str">
        <f>+_xlfn.XLOOKUP(PROYECTOS[[#This Row],[MUNICIPIO]],'4.CAP_ENDMNT'!B:B,'4.CAP_ENDMNT'!Q:Q,0,0,1)</f>
        <v>Incumple</v>
      </c>
      <c r="AI605" s="139">
        <f>+_xlfn.XLOOKUP(PROYECTOS[[#This Row],[MUNICIPIO]],'4.CAP_ENDMNT'!B:B,'4.CAP_ENDMNT'!V:V,0,0,1)</f>
        <v>3885103210.9955401</v>
      </c>
      <c r="AJ605" s="139">
        <f>+_xlfn.XLOOKUP(PROYECTOS[[#This Row],[MUNICIPIO]],'4.CAP_ENDMNT'!B:B,'4.CAP_ENDMNT'!Y:Y,0,0,1)</f>
        <v>-114052861009.72676</v>
      </c>
      <c r="AK605"/>
      <c r="AL605"/>
      <c r="AM605"/>
    </row>
    <row r="606" spans="1:39" ht="15" customHeight="1">
      <c r="A606" s="44">
        <v>723</v>
      </c>
      <c r="B606" s="232" t="str">
        <f>+_xlfn.XLOOKUP(PROYECTOS[[#This Row],[ID_NECESIDAD]],'1.RADICADOS'!G:G,'1.RADICADOS'!H:H,0,0,1)</f>
        <v>Proyecto placa huella via Dojura sector El Coco 2km</v>
      </c>
      <c r="C606" s="118">
        <f>+_xlfn.XLOOKUP(PROYECTOS[[#This Row],[ID_NECESIDAD]],'1.RADICADOS'!G:G,'1.RADICADOS'!C:C,0,0,1)*1</f>
        <v>45786</v>
      </c>
      <c r="D606" s="118" t="str">
        <f>+_xlfn.XLOOKUP(PROYECTOS[[#This Row],[ID_NECESIDAD]],'1.RADICADOS'!G:G,'1.RADICADOS'!F:F,0,0,1)</f>
        <v>Chigorodó</v>
      </c>
      <c r="E606" s="47" t="str">
        <f>+_xlfn.XLOOKUP(PROYECTOS[[#This Row],[MUNICIPIO]],MUNICIPIOS!A:A,MUNICIPIOS!E:E,0,0,1)</f>
        <v>Urabá</v>
      </c>
      <c r="F606" s="47" t="e" cm="1">
        <f t="array" ref="F606">+_xlfn.XLOOKUP(PROYECTOS[[#This Row],[MUNICIPIO]],Table1[Municipio],MUNICIPIOS!F:F,0,0,1)</f>
        <v>#VALUE!</v>
      </c>
      <c r="G606" s="47" t="str">
        <f>+LOOKUP(PROYECTOS[[#This Row],[MUNICIPIO]],Table1[Municipio],Table1[Latitud])</f>
        <v>7,074703</v>
      </c>
      <c r="H606" s="44">
        <f>+LOOKUP(PROYECTOS[[#This Row],[MUNICIPIO]],Table1[Municipio],Table1[PDET])</f>
        <v>1</v>
      </c>
      <c r="I606" s="45">
        <f>+LOOKUP(PROYECTOS[[#This Row],[MUNICIPIO]],Table1[Municipio],Table1[ZOMAC])</f>
        <v>1</v>
      </c>
      <c r="J606" s="34" t="str" cm="1">
        <f t="array" ref="J606">_xlfn.TEXTJOIN(", ", TRUE, IF(radicados[ID PROYECTOS]=A606, radicados[RADICADO], ""))</f>
        <v>2025010231188</v>
      </c>
      <c r="K606" s="45">
        <v>3</v>
      </c>
      <c r="L606" s="212">
        <f>+_xlfn.XLOOKUP(PROYECTOS[[#This Row],[ID_NECESIDAD]],'1.RADICADOS'!G:G,'1.RADICADOS'!J:J,0,0,1)</f>
        <v>2203977113</v>
      </c>
      <c r="M606" s="34" t="s">
        <v>288</v>
      </c>
      <c r="N606" s="40" t="s">
        <v>398</v>
      </c>
      <c r="O606" s="40" t="s">
        <v>25</v>
      </c>
      <c r="P606" s="213"/>
      <c r="Q606" s="45"/>
      <c r="R606" s="166"/>
      <c r="S606" s="166"/>
      <c r="T606" s="44">
        <f>+_xlfn.XLOOKUP(PROYECTOS[[#This Row],[MUNICIPIO]],'4.CAP_ENDMNT'!B:B,'4.CAP_ENDMNT'!C:C,0,0,1)</f>
        <v>6</v>
      </c>
      <c r="U606" s="167">
        <f>+_xlfn.XLOOKUP(PROYECTOS[[#This Row],[MUNICIPIO]],'4.CAP_ENDMNT'!B:B,'4.CAP_ENDMNT'!D:D,0,0,1)</f>
        <v>31480625713.601501</v>
      </c>
      <c r="V606" s="44">
        <f>+_xlfn.XLOOKUP(PROYECTOS[[#This Row],[MUNICIPIO]],'4.CAP_ENDMNT'!B:B,'4.CAP_ENDMNT'!E:E,0,0,1)</f>
        <v>12012746210.970001</v>
      </c>
      <c r="W606" s="44">
        <f>+_xlfn.XLOOKUP(PROYECTOS[[#This Row],[MUNICIPIO]],'4.CAP_ENDMNT'!B:B,'4.CAP_ENDMNT'!F:F,0,0,1)</f>
        <v>19467879502.6315</v>
      </c>
      <c r="X606" s="44">
        <f>+_xlfn.XLOOKUP(PROYECTOS[[#This Row],[MUNICIPIO]],'4.CAP_ENDMNT'!B:B,'4.CAP_ENDMNT'!G:G,0,0,1)</f>
        <v>990257688</v>
      </c>
      <c r="Y606" s="44">
        <f>+_xlfn.XLOOKUP(PROYECTOS[[#This Row],[MUNICIPIO]],'4.CAP_ENDMNT'!B:B,'4.CAP_ENDMNT'!H:H,0,0,1)</f>
        <v>4241046406.5999999</v>
      </c>
      <c r="Z606" s="44">
        <f>+_xlfn.XLOOKUP(PROYECTOS[[#This Row],[MUNICIPIO]],'4.CAP_ENDMNT'!B:B,'4.CAP_ENDMNT'!I:I,0,0,1)</f>
        <v>5231304094.6000004</v>
      </c>
      <c r="AA606" s="134">
        <f>+_xlfn.XLOOKUP(PROYECTOS[[#This Row],[MUNICIPIO]],'4.CAP_ENDMNT'!B:B,'4.CAP_ENDMNT'!J:J,0,0,1)</f>
        <v>0.16617535312647125</v>
      </c>
      <c r="AB606" s="44">
        <f>+_xlfn.XLOOKUP(PROYECTOS[[#This Row],[MUNICIPIO]],'4.CAP_ENDMNT'!B:B,'4.CAP_ENDMNT'!K:K,0,0,1)</f>
        <v>26249321619.001503</v>
      </c>
      <c r="AC606" s="44">
        <f>+_xlfn.XLOOKUP(PROYECTOS[[#This Row],[MUNICIPIO]],'4.CAP_ENDMNT'!B:B,'4.CAP_ENDMNT'!L:L,0,0,1)</f>
        <v>20999457295.201202</v>
      </c>
      <c r="AD606" s="44">
        <f>+_xlfn.XLOOKUP(PROYECTOS[[#This Row],[MUNICIPIO]],'4.CAP_ENDMNT'!B:B,'4.CAP_ENDMNT'!M:M,0,0,1)</f>
        <v>15749592971.400902</v>
      </c>
      <c r="AE606" s="134">
        <f>+_xlfn.XLOOKUP(PROYECTOS[[#This Row],[MUNICIPIO]],'4.CAP_ENDMNT'!B:B,'4.CAP_ENDMNT'!N:N,0,0,1)</f>
        <v>0.18929461375074541</v>
      </c>
      <c r="AF606" s="134">
        <f>+_xlfn.XLOOKUP(PROYECTOS[[#This Row],[MUNICIPIO]],'4.CAP_ENDMNT'!B:B,'4.CAP_ENDMNT'!O:O,0,0,1)</f>
        <v>0.57128723877428544</v>
      </c>
      <c r="AG606" s="134">
        <f>+_xlfn.XLOOKUP(PROYECTOS[[#This Row],[MUNICIPIO]],'4.CAP_ENDMNT'!B:B,'4.CAP_ENDMNT'!P:P,0,0,1)</f>
        <v>0.8</v>
      </c>
      <c r="AH606" s="44" t="str">
        <f>+_xlfn.XLOOKUP(PROYECTOS[[#This Row],[MUNICIPIO]],'4.CAP_ENDMNT'!B:B,'4.CAP_ENDMNT'!Q:Q,0,0,1)</f>
        <v>Cumple</v>
      </c>
      <c r="AI606" s="139">
        <f>+_xlfn.XLOOKUP(PROYECTOS[[#This Row],[MUNICIPIO]],'4.CAP_ENDMNT'!B:B,'4.CAP_ENDMNT'!V:V,0,0,1)</f>
        <v>3149918594.2801805</v>
      </c>
      <c r="AJ606" s="139">
        <f>+_xlfn.XLOOKUP(PROYECTOS[[#This Row],[MUNICIPIO]],'4.CAP_ENDMNT'!B:B,'4.CAP_ENDMNT'!Y:Y,0,0,1)</f>
        <v>-159577103574.2489</v>
      </c>
      <c r="AK606"/>
      <c r="AL606"/>
      <c r="AM606"/>
    </row>
    <row r="607" spans="1:39" ht="15" customHeight="1">
      <c r="A607" s="44">
        <v>724</v>
      </c>
      <c r="B607" s="232" t="str">
        <f>+_xlfn.XLOOKUP(PROYECTOS[[#This Row],[ID_NECESIDAD]],'1.RADICADOS'!G:G,'1.RADICADOS'!H:H,0,0,1)</f>
        <v>Placa huella vereda Chorros Blancos, Yarumal - Antioquia</v>
      </c>
      <c r="C607" s="118">
        <f>+_xlfn.XLOOKUP(PROYECTOS[[#This Row],[ID_NECESIDAD]],'1.RADICADOS'!G:G,'1.RADICADOS'!C:C,0,0,1)*1</f>
        <v>45799</v>
      </c>
      <c r="D607" s="118" t="str">
        <f>+_xlfn.XLOOKUP(PROYECTOS[[#This Row],[ID_NECESIDAD]],'1.RADICADOS'!G:G,'1.RADICADOS'!F:F,0,0,1)</f>
        <v>Yarumal</v>
      </c>
      <c r="E607" s="47" t="str">
        <f>+_xlfn.XLOOKUP(PROYECTOS[[#This Row],[MUNICIPIO]],MUNICIPIOS!A:A,MUNICIPIOS!E:E,0,0,1)</f>
        <v>Norte</v>
      </c>
      <c r="F607" s="47" t="e" cm="1">
        <f t="array" ref="F607">+_xlfn.XLOOKUP(PROYECTOS[[#This Row],[MUNICIPIO]],Table1[Municipio],MUNICIPIOS!F:F,0,0,1)</f>
        <v>#VALUE!</v>
      </c>
      <c r="G607" s="47" t="str">
        <f>+LOOKUP(PROYECTOS[[#This Row],[MUNICIPIO]],Table1[Municipio],Table1[Latitud])</f>
        <v>6,149903</v>
      </c>
      <c r="H607" s="44">
        <f>+LOOKUP(PROYECTOS[[#This Row],[MUNICIPIO]],Table1[Municipio],Table1[PDET])</f>
        <v>0</v>
      </c>
      <c r="I607" s="45">
        <f>+LOOKUP(PROYECTOS[[#This Row],[MUNICIPIO]],Table1[Municipio],Table1[ZOMAC])</f>
        <v>0</v>
      </c>
      <c r="J607" s="34" t="str" cm="1">
        <f t="array" ref="J607">_xlfn.TEXTJOIN(", ", TRUE, IF(radicados[ID PROYECTOS]=A607, radicados[RADICADO], ""))</f>
        <v>2025010254649</v>
      </c>
      <c r="K607" s="45">
        <v>1</v>
      </c>
      <c r="L607" s="212">
        <f>+_xlfn.XLOOKUP(PROYECTOS[[#This Row],[ID_NECESIDAD]],'1.RADICADOS'!G:G,'1.RADICADOS'!J:J,0,0,1)</f>
        <v>0</v>
      </c>
      <c r="M607" s="34" t="s">
        <v>288</v>
      </c>
      <c r="N607" s="40" t="s">
        <v>398</v>
      </c>
      <c r="O607" s="40" t="s">
        <v>25</v>
      </c>
      <c r="P607" s="213" t="s">
        <v>1745</v>
      </c>
      <c r="Q607" s="45"/>
      <c r="R607" s="166"/>
      <c r="S607" s="166"/>
      <c r="T607" s="44">
        <f>+_xlfn.XLOOKUP(PROYECTOS[[#This Row],[MUNICIPIO]],'4.CAP_ENDMNT'!B:B,'4.CAP_ENDMNT'!C:C,0,0,1)</f>
        <v>5</v>
      </c>
      <c r="U607" s="167">
        <f>+_xlfn.XLOOKUP(PROYECTOS[[#This Row],[MUNICIPIO]],'4.CAP_ENDMNT'!B:B,'4.CAP_ENDMNT'!D:D,0,0,1)</f>
        <v>36204719778.619003</v>
      </c>
      <c r="V607" s="44">
        <f>+_xlfn.XLOOKUP(PROYECTOS[[#This Row],[MUNICIPIO]],'4.CAP_ENDMNT'!B:B,'4.CAP_ENDMNT'!E:E,0,0,1)</f>
        <v>11082623753.610001</v>
      </c>
      <c r="W607" s="44">
        <f>+_xlfn.XLOOKUP(PROYECTOS[[#This Row],[MUNICIPIO]],'4.CAP_ENDMNT'!B:B,'4.CAP_ENDMNT'!F:F,0,0,1)</f>
        <v>25122096025.009003</v>
      </c>
      <c r="X607" s="44">
        <f>+_xlfn.XLOOKUP(PROYECTOS[[#This Row],[MUNICIPIO]],'4.CAP_ENDMNT'!B:B,'4.CAP_ENDMNT'!G:G,0,0,1)</f>
        <v>1291156679</v>
      </c>
      <c r="Y607" s="44">
        <f>+_xlfn.XLOOKUP(PROYECTOS[[#This Row],[MUNICIPIO]],'4.CAP_ENDMNT'!B:B,'4.CAP_ENDMNT'!H:H,0,0,1)</f>
        <v>12320355879.07</v>
      </c>
      <c r="Z607" s="44">
        <f>+_xlfn.XLOOKUP(PROYECTOS[[#This Row],[MUNICIPIO]],'4.CAP_ENDMNT'!B:B,'4.CAP_ENDMNT'!I:I,0,0,1)</f>
        <v>13611512558.07</v>
      </c>
      <c r="AA607" s="134">
        <f>+_xlfn.XLOOKUP(PROYECTOS[[#This Row],[MUNICIPIO]],'4.CAP_ENDMNT'!B:B,'4.CAP_ENDMNT'!J:J,0,0,1)</f>
        <v>0.37595961635113639</v>
      </c>
      <c r="AB607" s="44">
        <f>+_xlfn.XLOOKUP(PROYECTOS[[#This Row],[MUNICIPIO]],'4.CAP_ENDMNT'!B:B,'4.CAP_ENDMNT'!K:K,0,0,1)</f>
        <v>22593207220.549004</v>
      </c>
      <c r="AC607" s="44">
        <f>+_xlfn.XLOOKUP(PROYECTOS[[#This Row],[MUNICIPIO]],'4.CAP_ENDMNT'!B:B,'4.CAP_ENDMNT'!L:L,0,0,1)</f>
        <v>18074565776.439205</v>
      </c>
      <c r="AD607" s="44">
        <f>+_xlfn.XLOOKUP(PROYECTOS[[#This Row],[MUNICIPIO]],'4.CAP_ENDMNT'!B:B,'4.CAP_ENDMNT'!M:M,0,0,1)</f>
        <v>13555924332.329401</v>
      </c>
      <c r="AE607" s="134">
        <f>+_xlfn.XLOOKUP(PROYECTOS[[#This Row],[MUNICIPIO]],'4.CAP_ENDMNT'!B:B,'4.CAP_ENDMNT'!N:N,0,0,1)</f>
        <v>9.4857692963336279E-2</v>
      </c>
      <c r="AF607" s="134">
        <f>+_xlfn.XLOOKUP(PROYECTOS[[#This Row],[MUNICIPIO]],'4.CAP_ENDMNT'!B:B,'4.CAP_ENDMNT'!O:O,0,0,1)</f>
        <v>0.39053077044629697</v>
      </c>
      <c r="AG607" s="134">
        <f>+_xlfn.XLOOKUP(PROYECTOS[[#This Row],[MUNICIPIO]],'4.CAP_ENDMNT'!B:B,'4.CAP_ENDMNT'!P:P,0,0,1)</f>
        <v>0.8</v>
      </c>
      <c r="AH607" s="44" t="str">
        <f>+_xlfn.XLOOKUP(PROYECTOS[[#This Row],[MUNICIPIO]],'4.CAP_ENDMNT'!B:B,'4.CAP_ENDMNT'!Q:Q,0,0,1)</f>
        <v>Cumple</v>
      </c>
      <c r="AI607" s="139">
        <f>+_xlfn.XLOOKUP(PROYECTOS[[#This Row],[MUNICIPIO]],'4.CAP_ENDMNT'!B:B,'4.CAP_ENDMNT'!V:V,0,0,1)</f>
        <v>2711184866.4658804</v>
      </c>
      <c r="AJ607" s="139">
        <f>+_xlfn.XLOOKUP(PROYECTOS[[#This Row],[MUNICIPIO]],'4.CAP_ENDMNT'!B:B,'4.CAP_ENDMNT'!Y:Y,0,0,1)</f>
        <v>-192411827505.20471</v>
      </c>
      <c r="AK607"/>
      <c r="AL607"/>
      <c r="AM607"/>
    </row>
    <row r="608" spans="1:39" ht="15" customHeight="1">
      <c r="A608" s="44">
        <v>725</v>
      </c>
      <c r="B608" s="232" t="str">
        <f>+_xlfn.XLOOKUP(PROYECTOS[[#This Row],[ID_NECESIDAD]],'1.RADICADOS'!G:G,'1.RADICADOS'!H:H,0,0,1)</f>
        <v>Peticion atención de puentes con problemas estructurales graves en las veredas Carretero, Sabaletas y La Toscana, municipio de Fredonia</v>
      </c>
      <c r="C608" s="118">
        <f>+_xlfn.XLOOKUP(PROYECTOS[[#This Row],[ID_NECESIDAD]],'1.RADICADOS'!G:G,'1.RADICADOS'!C:C,0,0,1)*1</f>
        <v>45839</v>
      </c>
      <c r="D608" s="118" t="str">
        <f>+_xlfn.XLOOKUP(PROYECTOS[[#This Row],[ID_NECESIDAD]],'1.RADICADOS'!G:G,'1.RADICADOS'!F:F,0,0,1)</f>
        <v>Fredonia</v>
      </c>
      <c r="E608" s="47" t="str">
        <f>+_xlfn.XLOOKUP(PROYECTOS[[#This Row],[MUNICIPIO]],MUNICIPIOS!A:A,MUNICIPIOS!E:E,0,0,1)</f>
        <v>Suroeste</v>
      </c>
      <c r="F608" s="47" t="e" cm="1">
        <f t="array" ref="F608">+_xlfn.XLOOKUP(PROYECTOS[[#This Row],[MUNICIPIO]],Table1[Municipio],MUNICIPIOS!F:F,0,0,1)</f>
        <v>#VALUE!</v>
      </c>
      <c r="G608" s="47" t="str">
        <f>+LOOKUP(PROYECTOS[[#This Row],[MUNICIPIO]],Table1[Municipio],Table1[Latitud])</f>
        <v>6,136871</v>
      </c>
      <c r="H608" s="44">
        <f>+LOOKUP(PROYECTOS[[#This Row],[MUNICIPIO]],Table1[Municipio],Table1[PDET])</f>
        <v>0</v>
      </c>
      <c r="I608" s="45">
        <f>+LOOKUP(PROYECTOS[[#This Row],[MUNICIPIO]],Table1[Municipio],Table1[ZOMAC])</f>
        <v>0</v>
      </c>
      <c r="J608" s="34" t="str" cm="1">
        <f t="array" ref="J608">_xlfn.TEXTJOIN(", ", TRUE, IF(radicados[ID PROYECTOS]=A608, radicados[RADICADO], ""))</f>
        <v>2025010325800</v>
      </c>
      <c r="K608" s="45">
        <v>1</v>
      </c>
      <c r="L608" s="212">
        <f>+_xlfn.XLOOKUP(PROYECTOS[[#This Row],[ID_NECESIDAD]],'1.RADICADOS'!G:G,'1.RADICADOS'!J:J,0,0,1)</f>
        <v>0</v>
      </c>
      <c r="M608" s="34" t="s">
        <v>407</v>
      </c>
      <c r="N608" s="40" t="s">
        <v>398</v>
      </c>
      <c r="O608" s="40" t="s">
        <v>25</v>
      </c>
      <c r="P608" s="33" t="s">
        <v>1747</v>
      </c>
      <c r="Q608" s="45"/>
      <c r="R608" s="166"/>
      <c r="S608" s="166"/>
      <c r="T608" s="44">
        <f>+_xlfn.XLOOKUP(PROYECTOS[[#This Row],[MUNICIPIO]],'4.CAP_ENDMNT'!B:B,'4.CAP_ENDMNT'!C:C,0,0,1)</f>
        <v>6</v>
      </c>
      <c r="U608" s="167">
        <f>+_xlfn.XLOOKUP(PROYECTOS[[#This Row],[MUNICIPIO]],'4.CAP_ENDMNT'!B:B,'4.CAP_ENDMNT'!D:D,0,0,1)</f>
        <v>17515986067.273998</v>
      </c>
      <c r="V608" s="44">
        <f>+_xlfn.XLOOKUP(PROYECTOS[[#This Row],[MUNICIPIO]],'4.CAP_ENDMNT'!B:B,'4.CAP_ENDMNT'!E:E,0,0,1)</f>
        <v>8346764868.3600006</v>
      </c>
      <c r="W608" s="44">
        <f>+_xlfn.XLOOKUP(PROYECTOS[[#This Row],[MUNICIPIO]],'4.CAP_ENDMNT'!B:B,'4.CAP_ENDMNT'!F:F,0,0,1)</f>
        <v>9169221198.9139977</v>
      </c>
      <c r="X608" s="44">
        <f>+_xlfn.XLOOKUP(PROYECTOS[[#This Row],[MUNICIPIO]],'4.CAP_ENDMNT'!B:B,'4.CAP_ENDMNT'!G:G,0,0,1)</f>
        <v>0</v>
      </c>
      <c r="Y608" s="44">
        <f>+_xlfn.XLOOKUP(PROYECTOS[[#This Row],[MUNICIPIO]],'4.CAP_ENDMNT'!B:B,'4.CAP_ENDMNT'!H:H,0,0,1)</f>
        <v>6328650461</v>
      </c>
      <c r="Z608" s="44">
        <f>+_xlfn.XLOOKUP(PROYECTOS[[#This Row],[MUNICIPIO]],'4.CAP_ENDMNT'!B:B,'4.CAP_ENDMNT'!I:I,0,0,1)</f>
        <v>6328650461</v>
      </c>
      <c r="AA608" s="134">
        <f>+_xlfn.XLOOKUP(PROYECTOS[[#This Row],[MUNICIPIO]],'4.CAP_ENDMNT'!B:B,'4.CAP_ENDMNT'!J:J,0,0,1)</f>
        <v>0.36130711891945022</v>
      </c>
      <c r="AB608" s="44">
        <f>+_xlfn.XLOOKUP(PROYECTOS[[#This Row],[MUNICIPIO]],'4.CAP_ENDMNT'!B:B,'4.CAP_ENDMNT'!K:K,0,0,1)</f>
        <v>11187335606.273998</v>
      </c>
      <c r="AC608" s="44">
        <f>+_xlfn.XLOOKUP(PROYECTOS[[#This Row],[MUNICIPIO]],'4.CAP_ENDMNT'!B:B,'4.CAP_ENDMNT'!L:L,0,0,1)</f>
        <v>8949868485.0191994</v>
      </c>
      <c r="AD608" s="44">
        <f>+_xlfn.XLOOKUP(PROYECTOS[[#This Row],[MUNICIPIO]],'4.CAP_ENDMNT'!B:B,'4.CAP_ENDMNT'!M:M,0,0,1)</f>
        <v>6712401363.7643986</v>
      </c>
      <c r="AE608" s="134">
        <f>+_xlfn.XLOOKUP(PROYECTOS[[#This Row],[MUNICIPIO]],'4.CAP_ENDMNT'!B:B,'4.CAP_ENDMNT'!N:N,0,0,1)</f>
        <v>0</v>
      </c>
      <c r="AF608" s="134">
        <f>+_xlfn.XLOOKUP(PROYECTOS[[#This Row],[MUNICIPIO]],'4.CAP_ENDMNT'!B:B,'4.CAP_ENDMNT'!O:O,0,0,1)</f>
        <v>0.67376313277740918</v>
      </c>
      <c r="AG608" s="134">
        <f>+_xlfn.XLOOKUP(PROYECTOS[[#This Row],[MUNICIPIO]],'4.CAP_ENDMNT'!B:B,'4.CAP_ENDMNT'!P:P,0,0,1)</f>
        <v>0.8</v>
      </c>
      <c r="AH608" s="44" t="str">
        <f>+_xlfn.XLOOKUP(PROYECTOS[[#This Row],[MUNICIPIO]],'4.CAP_ENDMNT'!B:B,'4.CAP_ENDMNT'!Q:Q,0,0,1)</f>
        <v>Cumple</v>
      </c>
      <c r="AI608" s="139">
        <f>+_xlfn.XLOOKUP(PROYECTOS[[#This Row],[MUNICIPIO]],'4.CAP_ENDMNT'!B:B,'4.CAP_ENDMNT'!V:V,0,0,1)</f>
        <v>1342480272.7528799</v>
      </c>
      <c r="AJ608" s="139">
        <f>+_xlfn.XLOOKUP(PROYECTOS[[#This Row],[MUNICIPIO]],'4.CAP_ENDMNT'!B:B,'4.CAP_ENDMNT'!Y:Y,0,0,1)</f>
        <v>3280962216.5172787</v>
      </c>
      <c r="AK608"/>
      <c r="AL608"/>
      <c r="AM608"/>
    </row>
    <row r="609" spans="1:39" ht="15" customHeight="1">
      <c r="A609" s="44">
        <v>726</v>
      </c>
      <c r="B609" s="232" t="str">
        <f>+_xlfn.XLOOKUP(PROYECTOS[[#This Row],[ID_NECESIDAD]],'1.RADICADOS'!G:G,'1.RADICADOS'!H:H,0,0,1)</f>
        <v>Presentacion proyecto placa huella vereda Bocas de Don Juan N2 (1.24 km)</v>
      </c>
      <c r="C609" s="118">
        <f>+_xlfn.XLOOKUP(PROYECTOS[[#This Row],[ID_NECESIDAD]],'1.RADICADOS'!G:G,'1.RADICADOS'!C:C,0,0,1)*1</f>
        <v>45839</v>
      </c>
      <c r="D609" s="118" t="str">
        <f>+_xlfn.XLOOKUP(PROYECTOS[[#This Row],[ID_NECESIDAD]],'1.RADICADOS'!G:G,'1.RADICADOS'!F:F,0,0,1)</f>
        <v>Yondó</v>
      </c>
      <c r="E609" s="47" t="str">
        <f>+_xlfn.XLOOKUP(PROYECTOS[[#This Row],[MUNICIPIO]],MUNICIPIOS!A:A,MUNICIPIOS!E:E,0,0,1)</f>
        <v>Magdalena Medio</v>
      </c>
      <c r="F609" s="47" t="e" cm="1">
        <f t="array" ref="F609">+_xlfn.XLOOKUP(PROYECTOS[[#This Row],[MUNICIPIO]],Table1[Municipio],MUNICIPIOS!F:F,0,0,1)</f>
        <v>#VALUE!</v>
      </c>
      <c r="G609" s="47" t="str">
        <f>+LOOKUP(PROYECTOS[[#This Row],[MUNICIPIO]],Table1[Municipio],Table1[Latitud])</f>
        <v>6,149903</v>
      </c>
      <c r="H609" s="44">
        <f>+LOOKUP(PROYECTOS[[#This Row],[MUNICIPIO]],Table1[Municipio],Table1[PDET])</f>
        <v>0</v>
      </c>
      <c r="I609" s="45">
        <f>+LOOKUP(PROYECTOS[[#This Row],[MUNICIPIO]],Table1[Municipio],Table1[ZOMAC])</f>
        <v>0</v>
      </c>
      <c r="J609" s="34" t="str" cm="1">
        <f t="array" ref="J609">_xlfn.TEXTJOIN(", ", TRUE, IF(radicados[ID PROYECTOS]=A609, radicados[RADICADO], ""))</f>
        <v>2025010326137</v>
      </c>
      <c r="K609" s="45">
        <v>3</v>
      </c>
      <c r="L609" s="212">
        <f>+_xlfn.XLOOKUP(PROYECTOS[[#This Row],[ID_NECESIDAD]],'1.RADICADOS'!G:G,'1.RADICADOS'!J:J,0,0,1)</f>
        <v>3741210157</v>
      </c>
      <c r="M609" s="34" t="s">
        <v>288</v>
      </c>
      <c r="N609" s="40" t="s">
        <v>398</v>
      </c>
      <c r="O609" s="40" t="s">
        <v>25</v>
      </c>
      <c r="P609" s="213" t="s">
        <v>1750</v>
      </c>
      <c r="Q609" s="45"/>
      <c r="R609" s="166"/>
      <c r="S609" s="166"/>
      <c r="T609" s="44">
        <f>+_xlfn.XLOOKUP(PROYECTOS[[#This Row],[MUNICIPIO]],'4.CAP_ENDMNT'!B:B,'4.CAP_ENDMNT'!C:C,0,0,1)</f>
        <v>6</v>
      </c>
      <c r="U609" s="167">
        <f>+_xlfn.XLOOKUP(PROYECTOS[[#This Row],[MUNICIPIO]],'4.CAP_ENDMNT'!B:B,'4.CAP_ENDMNT'!D:D,0,0,1)</f>
        <v>30235702409.850498</v>
      </c>
      <c r="V609" s="44">
        <f>+_xlfn.XLOOKUP(PROYECTOS[[#This Row],[MUNICIPIO]],'4.CAP_ENDMNT'!B:B,'4.CAP_ENDMNT'!E:E,0,0,1)</f>
        <v>8068276995.0799999</v>
      </c>
      <c r="W609" s="44">
        <f>+_xlfn.XLOOKUP(PROYECTOS[[#This Row],[MUNICIPIO]],'4.CAP_ENDMNT'!B:B,'4.CAP_ENDMNT'!F:F,0,0,1)</f>
        <v>22167425414.7705</v>
      </c>
      <c r="X609" s="44">
        <f>+_xlfn.XLOOKUP(PROYECTOS[[#This Row],[MUNICIPIO]],'4.CAP_ENDMNT'!B:B,'4.CAP_ENDMNT'!G:G,0,0,1)</f>
        <v>0</v>
      </c>
      <c r="Y609" s="44">
        <f>+_xlfn.XLOOKUP(PROYECTOS[[#This Row],[MUNICIPIO]],'4.CAP_ENDMNT'!B:B,'4.CAP_ENDMNT'!H:H,0,0,1)</f>
        <v>0</v>
      </c>
      <c r="Z609" s="44">
        <f>+_xlfn.XLOOKUP(PROYECTOS[[#This Row],[MUNICIPIO]],'4.CAP_ENDMNT'!B:B,'4.CAP_ENDMNT'!I:I,0,0,1)</f>
        <v>0</v>
      </c>
      <c r="AA609" s="134">
        <f>+_xlfn.XLOOKUP(PROYECTOS[[#This Row],[MUNICIPIO]],'4.CAP_ENDMNT'!B:B,'4.CAP_ENDMNT'!J:J,0,0,1)</f>
        <v>0</v>
      </c>
      <c r="AB609" s="44">
        <f>+_xlfn.XLOOKUP(PROYECTOS[[#This Row],[MUNICIPIO]],'4.CAP_ENDMNT'!B:B,'4.CAP_ENDMNT'!K:K,0,0,1)</f>
        <v>30235702409.850498</v>
      </c>
      <c r="AC609" s="44">
        <f>+_xlfn.XLOOKUP(PROYECTOS[[#This Row],[MUNICIPIO]],'4.CAP_ENDMNT'!B:B,'4.CAP_ENDMNT'!L:L,0,0,1)</f>
        <v>24188561927.880402</v>
      </c>
      <c r="AD609" s="44">
        <f>+_xlfn.XLOOKUP(PROYECTOS[[#This Row],[MUNICIPIO]],'4.CAP_ENDMNT'!B:B,'4.CAP_ENDMNT'!M:M,0,0,1)</f>
        <v>18141421445.910297</v>
      </c>
      <c r="AE609" s="134">
        <f>+_xlfn.XLOOKUP(PROYECTOS[[#This Row],[MUNICIPIO]],'4.CAP_ENDMNT'!B:B,'4.CAP_ENDMNT'!N:N,0,0,1)</f>
        <v>0</v>
      </c>
      <c r="AF609" s="134">
        <f>+_xlfn.XLOOKUP(PROYECTOS[[#This Row],[MUNICIPIO]],'4.CAP_ENDMNT'!B:B,'4.CAP_ENDMNT'!O:O,0,0,1)</f>
        <v>0.48110149713114325</v>
      </c>
      <c r="AG609" s="134">
        <f>+_xlfn.XLOOKUP(PROYECTOS[[#This Row],[MUNICIPIO]],'4.CAP_ENDMNT'!B:B,'4.CAP_ENDMNT'!P:P,0,0,1)</f>
        <v>0.8</v>
      </c>
      <c r="AH609" s="44" t="str">
        <f>+_xlfn.XLOOKUP(PROYECTOS[[#This Row],[MUNICIPIO]],'4.CAP_ENDMNT'!B:B,'4.CAP_ENDMNT'!Q:Q,0,0,1)</f>
        <v>Cumple</v>
      </c>
      <c r="AI609" s="139">
        <f>+_xlfn.XLOOKUP(PROYECTOS[[#This Row],[MUNICIPIO]],'4.CAP_ENDMNT'!B:B,'4.CAP_ENDMNT'!V:V,0,0,1)</f>
        <v>3628284289.1820598</v>
      </c>
      <c r="AJ609" s="139">
        <f>+_xlfn.XLOOKUP(PROYECTOS[[#This Row],[MUNICIPIO]],'4.CAP_ENDMNT'!B:B,'4.CAP_ENDMNT'!Y:Y,0,0,1)</f>
        <v>13348657652.092358</v>
      </c>
      <c r="AK609"/>
      <c r="AL609"/>
      <c r="AM609"/>
    </row>
    <row r="610" spans="1:39" ht="15" customHeight="1">
      <c r="A610" s="44">
        <v>727</v>
      </c>
      <c r="B610" s="232" t="str">
        <f>+_xlfn.XLOOKUP(PROYECTOS[[#This Row],[ID_NECESIDAD]],'1.RADICADOS'!G:G,'1.RADICADOS'!H:H,0,0,1)</f>
        <v>Solicitud intervencion via Monasterio Padres Benedictinos JAC PARTE 1</v>
      </c>
      <c r="C610" s="118">
        <f>+_xlfn.XLOOKUP(PROYECTOS[[#This Row],[ID_NECESIDAD]],'1.RADICADOS'!G:G,'1.RADICADOS'!C:C,0,0,1)*1</f>
        <v>45835</v>
      </c>
      <c r="D610" s="118" t="str">
        <f>+_xlfn.XLOOKUP(PROYECTOS[[#This Row],[ID_NECESIDAD]],'1.RADICADOS'!G:G,'1.RADICADOS'!F:F,0,0,1)</f>
        <v>San Vicente Ferrer</v>
      </c>
      <c r="E610" s="47" t="str">
        <f>+_xlfn.XLOOKUP(PROYECTOS[[#This Row],[MUNICIPIO]],MUNICIPIOS!A:A,MUNICIPIOS!E:E,0,0,1)</f>
        <v>Oriente</v>
      </c>
      <c r="F610" s="47" t="e" cm="1">
        <f t="array" ref="F610">+_xlfn.XLOOKUP(PROYECTOS[[#This Row],[MUNICIPIO]],Table1[Municipio],MUNICIPIOS!F:F,0,0,1)</f>
        <v>#VALUE!</v>
      </c>
      <c r="G610" s="47" t="str">
        <f>+LOOKUP(PROYECTOS[[#This Row],[MUNICIPIO]],Table1[Municipio],Table1[Latitud])</f>
        <v>6,149903</v>
      </c>
      <c r="H610" s="44">
        <f>+LOOKUP(PROYECTOS[[#This Row],[MUNICIPIO]],Table1[Municipio],Table1[PDET])</f>
        <v>0</v>
      </c>
      <c r="I610" s="45">
        <f>+LOOKUP(PROYECTOS[[#This Row],[MUNICIPIO]],Table1[Municipio],Table1[ZOMAC])</f>
        <v>0</v>
      </c>
      <c r="J610" s="34" t="str" cm="1">
        <f t="array" ref="J610">_xlfn.TEXTJOIN(", ", TRUE, IF(radicados[ID PROYECTOS]=A610, radicados[RADICADO], ""))</f>
        <v>2025010324175, 2025010307765</v>
      </c>
      <c r="K610" s="45">
        <v>1</v>
      </c>
      <c r="L610" s="223"/>
      <c r="M610" s="34" t="s">
        <v>288</v>
      </c>
      <c r="N610" s="40" t="s">
        <v>398</v>
      </c>
      <c r="O610" s="40" t="s">
        <v>25</v>
      </c>
      <c r="P610" s="213" t="s">
        <v>1752</v>
      </c>
      <c r="Q610" s="45"/>
      <c r="R610" s="166"/>
      <c r="S610" s="166"/>
      <c r="T610" s="44">
        <f>+_xlfn.XLOOKUP(PROYECTOS[[#This Row],[MUNICIPIO]],'4.CAP_ENDMNT'!B:B,'4.CAP_ENDMNT'!C:C,0,0,1)</f>
        <v>6</v>
      </c>
      <c r="U610" s="167">
        <f>+_xlfn.XLOOKUP(PROYECTOS[[#This Row],[MUNICIPIO]],'4.CAP_ENDMNT'!B:B,'4.CAP_ENDMNT'!D:D,0,0,1)</f>
        <v>18910688140.249004</v>
      </c>
      <c r="V610" s="44">
        <f>+_xlfn.XLOOKUP(PROYECTOS[[#This Row],[MUNICIPIO]],'4.CAP_ENDMNT'!B:B,'4.CAP_ENDMNT'!E:E,0,0,1)</f>
        <v>5456011434.4000006</v>
      </c>
      <c r="W610" s="44">
        <f>+_xlfn.XLOOKUP(PROYECTOS[[#This Row],[MUNICIPIO]],'4.CAP_ENDMNT'!B:B,'4.CAP_ENDMNT'!F:F,0,0,1)</f>
        <v>13454676705.849003</v>
      </c>
      <c r="X610" s="44">
        <f>+_xlfn.XLOOKUP(PROYECTOS[[#This Row],[MUNICIPIO]],'4.CAP_ENDMNT'!B:B,'4.CAP_ENDMNT'!G:G,0,0,1)</f>
        <v>5580933878</v>
      </c>
      <c r="Y610" s="44">
        <f>+_xlfn.XLOOKUP(PROYECTOS[[#This Row],[MUNICIPIO]],'4.CAP_ENDMNT'!B:B,'4.CAP_ENDMNT'!H:H,0,0,1)</f>
        <v>4737487939</v>
      </c>
      <c r="Z610" s="44">
        <f>+_xlfn.XLOOKUP(PROYECTOS[[#This Row],[MUNICIPIO]],'4.CAP_ENDMNT'!B:B,'4.CAP_ENDMNT'!I:I,0,0,1)</f>
        <v>10318421817</v>
      </c>
      <c r="AA610" s="134">
        <f>+_xlfn.XLOOKUP(PROYECTOS[[#This Row],[MUNICIPIO]],'4.CAP_ENDMNT'!B:B,'4.CAP_ENDMNT'!J:J,0,0,1)</f>
        <v>0.5456396795544709</v>
      </c>
      <c r="AB610" s="44">
        <f>+_xlfn.XLOOKUP(PROYECTOS[[#This Row],[MUNICIPIO]],'4.CAP_ENDMNT'!B:B,'4.CAP_ENDMNT'!K:K,0,0,1)</f>
        <v>8592266323.2490044</v>
      </c>
      <c r="AC610" s="44">
        <f>+_xlfn.XLOOKUP(PROYECTOS[[#This Row],[MUNICIPIO]],'4.CAP_ENDMNT'!B:B,'4.CAP_ENDMNT'!L:L,0,0,1)</f>
        <v>6873813058.5992041</v>
      </c>
      <c r="AD610" s="44">
        <f>+_xlfn.XLOOKUP(PROYECTOS[[#This Row],[MUNICIPIO]],'4.CAP_ENDMNT'!B:B,'4.CAP_ENDMNT'!M:M,0,0,1)</f>
        <v>5155359793.9494028</v>
      </c>
      <c r="AE610" s="134">
        <f>+_xlfn.XLOOKUP(PROYECTOS[[#This Row],[MUNICIPIO]],'4.CAP_ENDMNT'!B:B,'4.CAP_ENDMNT'!N:N,0,0,1)</f>
        <v>0.54087087899480857</v>
      </c>
      <c r="AF610" s="134">
        <f>+_xlfn.XLOOKUP(PROYECTOS[[#This Row],[MUNICIPIO]],'4.CAP_ENDMNT'!B:B,'4.CAP_ENDMNT'!O:O,0,0,1)</f>
        <v>0.45745893515208286</v>
      </c>
      <c r="AG610" s="134">
        <f>+_xlfn.XLOOKUP(PROYECTOS[[#This Row],[MUNICIPIO]],'4.CAP_ENDMNT'!B:B,'4.CAP_ENDMNT'!P:P,0,0,1)</f>
        <v>0.8</v>
      </c>
      <c r="AH610" s="44" t="str">
        <f>+_xlfn.XLOOKUP(PROYECTOS[[#This Row],[MUNICIPIO]],'4.CAP_ENDMNT'!B:B,'4.CAP_ENDMNT'!Q:Q,0,0,1)</f>
        <v>Cumple</v>
      </c>
      <c r="AI610" s="139">
        <f>+_xlfn.XLOOKUP(PROYECTOS[[#This Row],[MUNICIPIO]],'4.CAP_ENDMNT'!B:B,'4.CAP_ENDMNT'!V:V,0,0,1)</f>
        <v>1031071958.7898806</v>
      </c>
      <c r="AJ610" s="139">
        <f>+_xlfn.XLOOKUP(PROYECTOS[[#This Row],[MUNICIPIO]],'4.CAP_ENDMNT'!B:B,'4.CAP_ENDMNT'!Y:Y,0,0,1)</f>
        <v>-1865703790.2607164</v>
      </c>
      <c r="AK610"/>
      <c r="AL610"/>
      <c r="AM610"/>
    </row>
    <row r="611" spans="1:39" ht="15" customHeight="1">
      <c r="A611" s="44">
        <v>728</v>
      </c>
      <c r="B611" s="232" t="str">
        <f>+_xlfn.XLOOKUP(PROYECTOS[[#This Row],[ID_NECESIDAD]],'1.RADICADOS'!G:G,'1.RADICADOS'!H:H,0,0,1)</f>
        <v>Solicitud construccion placahuellas vereda La Toyosa (100 m) JAC</v>
      </c>
      <c r="C611" s="118">
        <f>+_xlfn.XLOOKUP(PROYECTOS[[#This Row],[ID_NECESIDAD]],'1.RADICADOS'!G:G,'1.RADICADOS'!C:C,0,0,1)*1</f>
        <v>45839</v>
      </c>
      <c r="D611" s="118" t="str">
        <f>+_xlfn.XLOOKUP(PROYECTOS[[#This Row],[ID_NECESIDAD]],'1.RADICADOS'!G:G,'1.RADICADOS'!F:F,0,0,1)</f>
        <v>Arboletes</v>
      </c>
      <c r="E611" s="47" t="str">
        <f>+_xlfn.XLOOKUP(PROYECTOS[[#This Row],[MUNICIPIO]],MUNICIPIOS!A:A,MUNICIPIOS!E:E,0,0,1)</f>
        <v>Urabá</v>
      </c>
      <c r="F611" s="47" t="e" cm="1">
        <f t="array" ref="F611">+_xlfn.XLOOKUP(PROYECTOS[[#This Row],[MUNICIPIO]],Table1[Municipio],MUNICIPIOS!F:F,0,0,1)</f>
        <v>#VALUE!</v>
      </c>
      <c r="G611" s="47" t="str">
        <f>+LOOKUP(PROYECTOS[[#This Row],[MUNICIPIO]],Table1[Municipio],Table1[Latitud])</f>
        <v>7,074703</v>
      </c>
      <c r="H611" s="44">
        <f>+LOOKUP(PROYECTOS[[#This Row],[MUNICIPIO]],Table1[Municipio],Table1[PDET])</f>
        <v>1</v>
      </c>
      <c r="I611" s="45">
        <f>+LOOKUP(PROYECTOS[[#This Row],[MUNICIPIO]],Table1[Municipio],Table1[ZOMAC])</f>
        <v>1</v>
      </c>
      <c r="J611" s="34" t="str" cm="1">
        <f t="array" ref="J611">_xlfn.TEXTJOIN(", ", TRUE, IF(radicados[ID PROYECTOS]=A611, radicados[RADICADO], ""))</f>
        <v>2025010326814</v>
      </c>
      <c r="K611" s="45">
        <v>1</v>
      </c>
      <c r="L611" s="189"/>
      <c r="M611" s="34" t="s">
        <v>288</v>
      </c>
      <c r="N611" s="40" t="s">
        <v>398</v>
      </c>
      <c r="O611" s="40" t="s">
        <v>25</v>
      </c>
      <c r="P611" s="213" t="s">
        <v>1752</v>
      </c>
      <c r="Q611" s="45"/>
      <c r="R611" s="166"/>
      <c r="S611" s="166"/>
      <c r="T611" s="44">
        <f>+_xlfn.XLOOKUP(PROYECTOS[[#This Row],[MUNICIPIO]],'4.CAP_ENDMNT'!B:B,'4.CAP_ENDMNT'!C:C,0,0,1)</f>
        <v>6</v>
      </c>
      <c r="U611" s="167">
        <f>+_xlfn.XLOOKUP(PROYECTOS[[#This Row],[MUNICIPIO]],'4.CAP_ENDMNT'!B:B,'4.CAP_ENDMNT'!D:D,0,0,1)</f>
        <v>19782037469.424</v>
      </c>
      <c r="V611" s="44">
        <f>+_xlfn.XLOOKUP(PROYECTOS[[#This Row],[MUNICIPIO]],'4.CAP_ENDMNT'!B:B,'4.CAP_ENDMNT'!E:E,0,0,1)</f>
        <v>6224691780.3400002</v>
      </c>
      <c r="W611" s="44">
        <f>+_xlfn.XLOOKUP(PROYECTOS[[#This Row],[MUNICIPIO]],'4.CAP_ENDMNT'!B:B,'4.CAP_ENDMNT'!F:F,0,0,1)</f>
        <v>13557345689.084</v>
      </c>
      <c r="X611" s="44">
        <f>+_xlfn.XLOOKUP(PROYECTOS[[#This Row],[MUNICIPIO]],'4.CAP_ENDMNT'!B:B,'4.CAP_ENDMNT'!G:G,0,0,1)</f>
        <v>5530076291</v>
      </c>
      <c r="Y611" s="44">
        <f>+_xlfn.XLOOKUP(PROYECTOS[[#This Row],[MUNICIPIO]],'4.CAP_ENDMNT'!B:B,'4.CAP_ENDMNT'!H:H,0,0,1)</f>
        <v>135075758</v>
      </c>
      <c r="Z611" s="44">
        <f>+_xlfn.XLOOKUP(PROYECTOS[[#This Row],[MUNICIPIO]],'4.CAP_ENDMNT'!B:B,'4.CAP_ENDMNT'!I:I,0,0,1)</f>
        <v>5665152049</v>
      </c>
      <c r="AA611" s="134">
        <f>+_xlfn.XLOOKUP(PROYECTOS[[#This Row],[MUNICIPIO]],'4.CAP_ENDMNT'!B:B,'4.CAP_ENDMNT'!J:J,0,0,1)</f>
        <v>0.28637859258715448</v>
      </c>
      <c r="AB611" s="44">
        <f>+_xlfn.XLOOKUP(PROYECTOS[[#This Row],[MUNICIPIO]],'4.CAP_ENDMNT'!B:B,'4.CAP_ENDMNT'!K:K,0,0,1)</f>
        <v>14116885420.424</v>
      </c>
      <c r="AC611" s="44">
        <f>+_xlfn.XLOOKUP(PROYECTOS[[#This Row],[MUNICIPIO]],'4.CAP_ENDMNT'!B:B,'4.CAP_ENDMNT'!L:L,0,0,1)</f>
        <v>11293508336.339201</v>
      </c>
      <c r="AD611" s="44">
        <f>+_xlfn.XLOOKUP(PROYECTOS[[#This Row],[MUNICIPIO]],'4.CAP_ENDMNT'!B:B,'4.CAP_ENDMNT'!M:M,0,0,1)</f>
        <v>8470131252.2543993</v>
      </c>
      <c r="AE611" s="134">
        <f>+_xlfn.XLOOKUP(PROYECTOS[[#This Row],[MUNICIPIO]],'4.CAP_ENDMNT'!B:B,'4.CAP_ENDMNT'!N:N,0,0,1)</f>
        <v>0.97615672856938707</v>
      </c>
      <c r="AF611" s="134">
        <f>+_xlfn.XLOOKUP(PROYECTOS[[#This Row],[MUNICIPIO]],'4.CAP_ENDMNT'!B:B,'4.CAP_ENDMNT'!O:O,0,0,1)</f>
        <v>0.63121490876418529</v>
      </c>
      <c r="AG611" s="134">
        <f>+_xlfn.XLOOKUP(PROYECTOS[[#This Row],[MUNICIPIO]],'4.CAP_ENDMNT'!B:B,'4.CAP_ENDMNT'!P:P,0,0,1)</f>
        <v>0.8</v>
      </c>
      <c r="AH611" s="44" t="str">
        <f>+_xlfn.XLOOKUP(PROYECTOS[[#This Row],[MUNICIPIO]],'4.CAP_ENDMNT'!B:B,'4.CAP_ENDMNT'!Q:Q,0,0,1)</f>
        <v>Cumple</v>
      </c>
      <c r="AI611" s="139">
        <f>+_xlfn.XLOOKUP(PROYECTOS[[#This Row],[MUNICIPIO]],'4.CAP_ENDMNT'!B:B,'4.CAP_ENDMNT'!V:V,0,0,1)</f>
        <v>1694026250.4508801</v>
      </c>
      <c r="AJ611" s="139">
        <f>+_xlfn.XLOOKUP(PROYECTOS[[#This Row],[MUNICIPIO]],'4.CAP_ENDMNT'!B:B,'4.CAP_ENDMNT'!Y:Y,0,0,1)</f>
        <v>-28540377224.29472</v>
      </c>
      <c r="AK611"/>
      <c r="AL611"/>
      <c r="AM611"/>
    </row>
    <row r="612" spans="1:39" ht="15" customHeight="1">
      <c r="A612" s="44">
        <v>729</v>
      </c>
      <c r="B612" s="232" t="str">
        <f>+_xlfn.XLOOKUP(PROYECTOS[[#This Row],[ID_NECESIDAD]],'1.RADICADOS'!G:G,'1.RADICADOS'!H:H,0,0,1)</f>
        <v>Solicitud construccion placa huella vereda Siete Hermana corregimiento La Candelaria (120 m) JAC</v>
      </c>
      <c r="C612" s="118">
        <f>+_xlfn.XLOOKUP(PROYECTOS[[#This Row],[ID_NECESIDAD]],'1.RADICADOS'!G:G,'1.RADICADOS'!C:C,0,0,1)*1</f>
        <v>45839</v>
      </c>
      <c r="D612" s="118" t="str">
        <f>+_xlfn.XLOOKUP(PROYECTOS[[#This Row],[ID_NECESIDAD]],'1.RADICADOS'!G:G,'1.RADICADOS'!F:F,0,0,1)</f>
        <v>Arboletes</v>
      </c>
      <c r="E612" s="47" t="str">
        <f>+_xlfn.XLOOKUP(PROYECTOS[[#This Row],[MUNICIPIO]],MUNICIPIOS!A:A,MUNICIPIOS!E:E,0,0,1)</f>
        <v>Urabá</v>
      </c>
      <c r="F612" s="47" t="e" cm="1">
        <f t="array" ref="F612">+_xlfn.XLOOKUP(PROYECTOS[[#This Row],[MUNICIPIO]],Table1[Municipio],MUNICIPIOS!F:F,0,0,1)</f>
        <v>#VALUE!</v>
      </c>
      <c r="G612" s="47" t="str">
        <f>+LOOKUP(PROYECTOS[[#This Row],[MUNICIPIO]],Table1[Municipio],Table1[Latitud])</f>
        <v>7,074703</v>
      </c>
      <c r="H612" s="44">
        <f>+LOOKUP(PROYECTOS[[#This Row],[MUNICIPIO]],Table1[Municipio],Table1[PDET])</f>
        <v>1</v>
      </c>
      <c r="I612" s="45">
        <f>+LOOKUP(PROYECTOS[[#This Row],[MUNICIPIO]],Table1[Municipio],Table1[ZOMAC])</f>
        <v>1</v>
      </c>
      <c r="J612" s="34" t="str" cm="1">
        <f t="array" ref="J612">_xlfn.TEXTJOIN(", ", TRUE, IF(radicados[ID PROYECTOS]=A612, radicados[RADICADO], ""))</f>
        <v>2025010326957</v>
      </c>
      <c r="K612" s="45">
        <v>1</v>
      </c>
      <c r="L612" s="189"/>
      <c r="M612" s="34" t="s">
        <v>288</v>
      </c>
      <c r="N612" s="40" t="s">
        <v>398</v>
      </c>
      <c r="O612" s="40" t="s">
        <v>25</v>
      </c>
      <c r="P612" s="213" t="s">
        <v>1752</v>
      </c>
      <c r="Q612" s="45"/>
      <c r="R612" s="166"/>
      <c r="S612" s="166"/>
      <c r="T612" s="44">
        <f>+_xlfn.XLOOKUP(PROYECTOS[[#This Row],[MUNICIPIO]],'4.CAP_ENDMNT'!B:B,'4.CAP_ENDMNT'!C:C,0,0,1)</f>
        <v>6</v>
      </c>
      <c r="U612" s="167">
        <f>+_xlfn.XLOOKUP(PROYECTOS[[#This Row],[MUNICIPIO]],'4.CAP_ENDMNT'!B:B,'4.CAP_ENDMNT'!D:D,0,0,1)</f>
        <v>19782037469.424</v>
      </c>
      <c r="V612" s="44">
        <f>+_xlfn.XLOOKUP(PROYECTOS[[#This Row],[MUNICIPIO]],'4.CAP_ENDMNT'!B:B,'4.CAP_ENDMNT'!E:E,0,0,1)</f>
        <v>6224691780.3400002</v>
      </c>
      <c r="W612" s="44">
        <f>+_xlfn.XLOOKUP(PROYECTOS[[#This Row],[MUNICIPIO]],'4.CAP_ENDMNT'!B:B,'4.CAP_ENDMNT'!F:F,0,0,1)</f>
        <v>13557345689.084</v>
      </c>
      <c r="X612" s="44">
        <f>+_xlfn.XLOOKUP(PROYECTOS[[#This Row],[MUNICIPIO]],'4.CAP_ENDMNT'!B:B,'4.CAP_ENDMNT'!G:G,0,0,1)</f>
        <v>5530076291</v>
      </c>
      <c r="Y612" s="44">
        <f>+_xlfn.XLOOKUP(PROYECTOS[[#This Row],[MUNICIPIO]],'4.CAP_ENDMNT'!B:B,'4.CAP_ENDMNT'!H:H,0,0,1)</f>
        <v>135075758</v>
      </c>
      <c r="Z612" s="44">
        <f>+_xlfn.XLOOKUP(PROYECTOS[[#This Row],[MUNICIPIO]],'4.CAP_ENDMNT'!B:B,'4.CAP_ENDMNT'!I:I,0,0,1)</f>
        <v>5665152049</v>
      </c>
      <c r="AA612" s="134">
        <f>+_xlfn.XLOOKUP(PROYECTOS[[#This Row],[MUNICIPIO]],'4.CAP_ENDMNT'!B:B,'4.CAP_ENDMNT'!J:J,0,0,1)</f>
        <v>0.28637859258715448</v>
      </c>
      <c r="AB612" s="44">
        <f>+_xlfn.XLOOKUP(PROYECTOS[[#This Row],[MUNICIPIO]],'4.CAP_ENDMNT'!B:B,'4.CAP_ENDMNT'!K:K,0,0,1)</f>
        <v>14116885420.424</v>
      </c>
      <c r="AC612" s="44">
        <f>+_xlfn.XLOOKUP(PROYECTOS[[#This Row],[MUNICIPIO]],'4.CAP_ENDMNT'!B:B,'4.CAP_ENDMNT'!L:L,0,0,1)</f>
        <v>11293508336.339201</v>
      </c>
      <c r="AD612" s="44">
        <f>+_xlfn.XLOOKUP(PROYECTOS[[#This Row],[MUNICIPIO]],'4.CAP_ENDMNT'!B:B,'4.CAP_ENDMNT'!M:M,0,0,1)</f>
        <v>8470131252.2543993</v>
      </c>
      <c r="AE612" s="134">
        <f>+_xlfn.XLOOKUP(PROYECTOS[[#This Row],[MUNICIPIO]],'4.CAP_ENDMNT'!B:B,'4.CAP_ENDMNT'!N:N,0,0,1)</f>
        <v>0.97615672856938707</v>
      </c>
      <c r="AF612" s="134">
        <f>+_xlfn.XLOOKUP(PROYECTOS[[#This Row],[MUNICIPIO]],'4.CAP_ENDMNT'!B:B,'4.CAP_ENDMNT'!O:O,0,0,1)</f>
        <v>0.63121490876418529</v>
      </c>
      <c r="AG612" s="134">
        <f>+_xlfn.XLOOKUP(PROYECTOS[[#This Row],[MUNICIPIO]],'4.CAP_ENDMNT'!B:B,'4.CAP_ENDMNT'!P:P,0,0,1)</f>
        <v>0.8</v>
      </c>
      <c r="AH612" s="44" t="str">
        <f>+_xlfn.XLOOKUP(PROYECTOS[[#This Row],[MUNICIPIO]],'4.CAP_ENDMNT'!B:B,'4.CAP_ENDMNT'!Q:Q,0,0,1)</f>
        <v>Cumple</v>
      </c>
      <c r="AI612" s="139">
        <f>+_xlfn.XLOOKUP(PROYECTOS[[#This Row],[MUNICIPIO]],'4.CAP_ENDMNT'!B:B,'4.CAP_ENDMNT'!V:V,0,0,1)</f>
        <v>1694026250.4508801</v>
      </c>
      <c r="AJ612" s="139">
        <f>+_xlfn.XLOOKUP(PROYECTOS[[#This Row],[MUNICIPIO]],'4.CAP_ENDMNT'!B:B,'4.CAP_ENDMNT'!Y:Y,0,0,1)</f>
        <v>-28540377224.29472</v>
      </c>
      <c r="AK612"/>
      <c r="AL612"/>
      <c r="AM612"/>
    </row>
    <row r="613" spans="1:39" ht="15" customHeight="1">
      <c r="A613" s="44">
        <v>730</v>
      </c>
      <c r="B613" s="232" t="str">
        <f>+_xlfn.XLOOKUP(PROYECTOS[[#This Row],[ID_NECESIDAD]],'1.RADICADOS'!G:G,'1.RADICADOS'!H:H,0,0,1)</f>
        <v>Solicitud cofinanciacion proyecto construccion placahuella en el resguardo indigena Chontadural Canero 1,045 km</v>
      </c>
      <c r="C613" s="118">
        <f>+_xlfn.XLOOKUP(PROYECTOS[[#This Row],[ID_NECESIDAD]],'1.RADICADOS'!G:G,'1.RADICADOS'!C:C,0,0,1)*1</f>
        <v>45840</v>
      </c>
      <c r="D613" s="118" t="str">
        <f>+_xlfn.XLOOKUP(PROYECTOS[[#This Row],[ID_NECESIDAD]],'1.RADICADOS'!G:G,'1.RADICADOS'!F:F,0,0,1)</f>
        <v>Mutatá</v>
      </c>
      <c r="E613" s="47" t="str">
        <f>+_xlfn.XLOOKUP(PROYECTOS[[#This Row],[MUNICIPIO]],MUNICIPIOS!A:A,MUNICIPIOS!E:E,0,0,1)</f>
        <v>Urabá</v>
      </c>
      <c r="F613" s="47" t="e" cm="1">
        <f t="array" ref="F613">+_xlfn.XLOOKUP(PROYECTOS[[#This Row],[MUNICIPIO]],Table1[Municipio],MUNICIPIOS!F:F,0,0,1)</f>
        <v>#VALUE!</v>
      </c>
      <c r="G613" s="47" t="str">
        <f>+LOOKUP(PROYECTOS[[#This Row],[MUNICIPIO]],Table1[Municipio],Table1[Latitud])</f>
        <v>7,242875</v>
      </c>
      <c r="H613" s="44">
        <f>+LOOKUP(PROYECTOS[[#This Row],[MUNICIPIO]],Table1[Municipio],Table1[PDET])</f>
        <v>1</v>
      </c>
      <c r="I613" s="45">
        <f>+LOOKUP(PROYECTOS[[#This Row],[MUNICIPIO]],Table1[Municipio],Table1[ZOMAC])</f>
        <v>1</v>
      </c>
      <c r="J613" s="34" t="str" cm="1">
        <f t="array" ref="J613">_xlfn.TEXTJOIN(", ", TRUE, IF(radicados[ID PROYECTOS]=A613, radicados[RADICADO], ""))</f>
        <v>2025010328409</v>
      </c>
      <c r="K613" s="45">
        <v>3</v>
      </c>
      <c r="L613" s="212">
        <f>+_xlfn.XLOOKUP(PROYECTOS[[#This Row],[ID_NECESIDAD]],'1.RADICADOS'!G:G,'1.RADICADOS'!J:J,0,0,1)</f>
        <v>1849793053</v>
      </c>
      <c r="M613" s="34" t="s">
        <v>288</v>
      </c>
      <c r="N613" s="40" t="s">
        <v>398</v>
      </c>
      <c r="O613" s="40" t="s">
        <v>25</v>
      </c>
      <c r="P613" s="213"/>
      <c r="Q613" s="45"/>
      <c r="R613" s="166"/>
      <c r="S613" s="166"/>
      <c r="T613" s="44">
        <f>+_xlfn.XLOOKUP(PROYECTOS[[#This Row],[MUNICIPIO]],'4.CAP_ENDMNT'!B:B,'4.CAP_ENDMNT'!C:C,0,0,1)</f>
        <v>6</v>
      </c>
      <c r="U613" s="167">
        <f>+_xlfn.XLOOKUP(PROYECTOS[[#This Row],[MUNICIPIO]],'4.CAP_ENDMNT'!B:B,'4.CAP_ENDMNT'!D:D,0,0,1)</f>
        <v>16247454785.101002</v>
      </c>
      <c r="V613" s="44">
        <f>+_xlfn.XLOOKUP(PROYECTOS[[#This Row],[MUNICIPIO]],'4.CAP_ENDMNT'!B:B,'4.CAP_ENDMNT'!E:E,0,0,1)</f>
        <v>6889489895.2300005</v>
      </c>
      <c r="W613" s="44">
        <f>+_xlfn.XLOOKUP(PROYECTOS[[#This Row],[MUNICIPIO]],'4.CAP_ENDMNT'!B:B,'4.CAP_ENDMNT'!F:F,0,0,1)</f>
        <v>9357964889.8710022</v>
      </c>
      <c r="X613" s="44">
        <f>+_xlfn.XLOOKUP(PROYECTOS[[#This Row],[MUNICIPIO]],'4.CAP_ENDMNT'!B:B,'4.CAP_ENDMNT'!G:G,0,0,1)</f>
        <v>3366685790</v>
      </c>
      <c r="Y613" s="44">
        <f>+_xlfn.XLOOKUP(PROYECTOS[[#This Row],[MUNICIPIO]],'4.CAP_ENDMNT'!B:B,'4.CAP_ENDMNT'!H:H,0,0,1)</f>
        <v>1396955129.74</v>
      </c>
      <c r="Z613" s="44">
        <f>+_xlfn.XLOOKUP(PROYECTOS[[#This Row],[MUNICIPIO]],'4.CAP_ENDMNT'!B:B,'4.CAP_ENDMNT'!I:I,0,0,1)</f>
        <v>4763640919.7399998</v>
      </c>
      <c r="AA613" s="134">
        <f>+_xlfn.XLOOKUP(PROYECTOS[[#This Row],[MUNICIPIO]],'4.CAP_ENDMNT'!B:B,'4.CAP_ENDMNT'!J:J,0,0,1)</f>
        <v>0.29319305594303191</v>
      </c>
      <c r="AB613" s="44">
        <f>+_xlfn.XLOOKUP(PROYECTOS[[#This Row],[MUNICIPIO]],'4.CAP_ENDMNT'!B:B,'4.CAP_ENDMNT'!K:K,0,0,1)</f>
        <v>11483813865.361002</v>
      </c>
      <c r="AC613" s="44">
        <f>+_xlfn.XLOOKUP(PROYECTOS[[#This Row],[MUNICIPIO]],'4.CAP_ENDMNT'!B:B,'4.CAP_ENDMNT'!L:L,0,0,1)</f>
        <v>9187051092.2888012</v>
      </c>
      <c r="AD613" s="44">
        <f>+_xlfn.XLOOKUP(PROYECTOS[[#This Row],[MUNICIPIO]],'4.CAP_ENDMNT'!B:B,'4.CAP_ENDMNT'!M:M,0,0,1)</f>
        <v>6890288319.2166014</v>
      </c>
      <c r="AE613" s="134">
        <f>+_xlfn.XLOOKUP(PROYECTOS[[#This Row],[MUNICIPIO]],'4.CAP_ENDMNT'!B:B,'4.CAP_ENDMNT'!N:N,0,0,1)</f>
        <v>0.70674634102852452</v>
      </c>
      <c r="AF613" s="134">
        <f>+_xlfn.XLOOKUP(PROYECTOS[[#This Row],[MUNICIPIO]],'4.CAP_ENDMNT'!B:B,'4.CAP_ENDMNT'!O:O,0,0,1)</f>
        <v>0.70820805266444298</v>
      </c>
      <c r="AG613" s="134">
        <f>+_xlfn.XLOOKUP(PROYECTOS[[#This Row],[MUNICIPIO]],'4.CAP_ENDMNT'!B:B,'4.CAP_ENDMNT'!P:P,0,0,1)</f>
        <v>0.8</v>
      </c>
      <c r="AH613" s="44" t="str">
        <f>+_xlfn.XLOOKUP(PROYECTOS[[#This Row],[MUNICIPIO]],'4.CAP_ENDMNT'!B:B,'4.CAP_ENDMNT'!Q:Q,0,0,1)</f>
        <v>Cumple</v>
      </c>
      <c r="AI613" s="139">
        <f>+_xlfn.XLOOKUP(PROYECTOS[[#This Row],[MUNICIPIO]],'4.CAP_ENDMNT'!B:B,'4.CAP_ENDMNT'!V:V,0,0,1)</f>
        <v>1378057663.8433204</v>
      </c>
      <c r="AJ613" s="139">
        <f>+_xlfn.XLOOKUP(PROYECTOS[[#This Row],[MUNICIPIO]],'4.CAP_ENDMNT'!B:B,'4.CAP_ENDMNT'!Y:Y,0,0,1)</f>
        <v>3854847855.0599213</v>
      </c>
      <c r="AK613"/>
      <c r="AL613"/>
      <c r="AM613"/>
    </row>
    <row r="614" spans="1:39" ht="15" customHeight="1">
      <c r="A614" s="44">
        <v>731</v>
      </c>
      <c r="B614" s="232" t="str">
        <f>+_xlfn.XLOOKUP(PROYECTOS[[#This Row],[ID_NECESIDAD]],'1.RADICADOS'!G:G,'1.RADICADOS'!H:H,0,0,1)</f>
        <v>Solicitud construccion placa huella vereda Las Mercedes JAC</v>
      </c>
      <c r="C614" s="118">
        <f>+_xlfn.XLOOKUP(PROYECTOS[[#This Row],[ID_NECESIDAD]],'1.RADICADOS'!G:G,'1.RADICADOS'!C:C,0,0,1)*1</f>
        <v>45840</v>
      </c>
      <c r="D614" s="118" t="str">
        <f>+_xlfn.XLOOKUP(PROYECTOS[[#This Row],[ID_NECESIDAD]],'1.RADICADOS'!G:G,'1.RADICADOS'!F:F,0,0,1)</f>
        <v>Turbo</v>
      </c>
      <c r="E614" s="47" t="str">
        <f>+_xlfn.XLOOKUP(PROYECTOS[[#This Row],[MUNICIPIO]],MUNICIPIOS!A:A,MUNICIPIOS!E:E,0,0,1)</f>
        <v>Urabá</v>
      </c>
      <c r="F614" s="47" t="e" cm="1">
        <f t="array" ref="F614">+_xlfn.XLOOKUP(PROYECTOS[[#This Row],[MUNICIPIO]],Table1[Municipio],MUNICIPIOS!F:F,0,0,1)</f>
        <v>#VALUE!</v>
      </c>
      <c r="G614" s="47" t="str">
        <f>+LOOKUP(PROYECTOS[[#This Row],[MUNICIPIO]],Table1[Municipio],Table1[Latitud])</f>
        <v>6,149903</v>
      </c>
      <c r="H614" s="44">
        <f>+LOOKUP(PROYECTOS[[#This Row],[MUNICIPIO]],Table1[Municipio],Table1[PDET])</f>
        <v>0</v>
      </c>
      <c r="I614" s="45">
        <f>+LOOKUP(PROYECTOS[[#This Row],[MUNICIPIO]],Table1[Municipio],Table1[ZOMAC])</f>
        <v>0</v>
      </c>
      <c r="J614" s="34" t="str" cm="1">
        <f t="array" ref="J614">_xlfn.TEXTJOIN(", ", TRUE, IF(radicados[ID PROYECTOS]=A614, radicados[RADICADO], ""))</f>
        <v>2025010329648</v>
      </c>
      <c r="K614" s="45">
        <v>1</v>
      </c>
      <c r="L614" s="189"/>
      <c r="M614" s="34" t="s">
        <v>288</v>
      </c>
      <c r="N614" s="40" t="s">
        <v>398</v>
      </c>
      <c r="O614" s="40" t="s">
        <v>25</v>
      </c>
      <c r="P614" s="213" t="s">
        <v>1752</v>
      </c>
      <c r="Q614" s="45"/>
      <c r="R614" s="166"/>
      <c r="S614" s="166"/>
      <c r="T614" s="44">
        <f>+_xlfn.XLOOKUP(PROYECTOS[[#This Row],[MUNICIPIO]],'4.CAP_ENDMNT'!B:B,'4.CAP_ENDMNT'!C:C,0,0,1)</f>
        <v>5</v>
      </c>
      <c r="U614" s="167">
        <f>+_xlfn.XLOOKUP(PROYECTOS[[#This Row],[MUNICIPIO]],'4.CAP_ENDMNT'!B:B,'4.CAP_ENDMNT'!D:D,0,0,1)</f>
        <v>57277943756.629501</v>
      </c>
      <c r="V614" s="44">
        <f>+_xlfn.XLOOKUP(PROYECTOS[[#This Row],[MUNICIPIO]],'4.CAP_ENDMNT'!B:B,'4.CAP_ENDMNT'!E:E,0,0,1)</f>
        <v>34159399600.959999</v>
      </c>
      <c r="W614" s="44">
        <f>+_xlfn.XLOOKUP(PROYECTOS[[#This Row],[MUNICIPIO]],'4.CAP_ENDMNT'!B:B,'4.CAP_ENDMNT'!F:F,0,0,1)</f>
        <v>23118544155.669502</v>
      </c>
      <c r="X614" s="44">
        <f>+_xlfn.XLOOKUP(PROYECTOS[[#This Row],[MUNICIPIO]],'4.CAP_ENDMNT'!B:B,'4.CAP_ENDMNT'!G:G,0,0,1)</f>
        <v>3450000000</v>
      </c>
      <c r="Y614" s="44">
        <f>+_xlfn.XLOOKUP(PROYECTOS[[#This Row],[MUNICIPIO]],'4.CAP_ENDMNT'!B:B,'4.CAP_ENDMNT'!H:H,0,0,1)</f>
        <v>21452083665</v>
      </c>
      <c r="Z614" s="44">
        <f>+_xlfn.XLOOKUP(PROYECTOS[[#This Row],[MUNICIPIO]],'4.CAP_ENDMNT'!B:B,'4.CAP_ENDMNT'!I:I,0,0,1)</f>
        <v>24902083665</v>
      </c>
      <c r="AA614" s="134">
        <f>+_xlfn.XLOOKUP(PROYECTOS[[#This Row],[MUNICIPIO]],'4.CAP_ENDMNT'!B:B,'4.CAP_ENDMNT'!J:J,0,0,1)</f>
        <v>0.43475868775610099</v>
      </c>
      <c r="AB614" s="44">
        <f>+_xlfn.XLOOKUP(PROYECTOS[[#This Row],[MUNICIPIO]],'4.CAP_ENDMNT'!B:B,'4.CAP_ENDMNT'!K:K,0,0,1)</f>
        <v>32375860091.629501</v>
      </c>
      <c r="AC614" s="44">
        <f>+_xlfn.XLOOKUP(PROYECTOS[[#This Row],[MUNICIPIO]],'4.CAP_ENDMNT'!B:B,'4.CAP_ENDMNT'!L:L,0,0,1)</f>
        <v>25900688073.303604</v>
      </c>
      <c r="AD614" s="44">
        <f>+_xlfn.XLOOKUP(PROYECTOS[[#This Row],[MUNICIPIO]],'4.CAP_ENDMNT'!B:B,'4.CAP_ENDMNT'!M:M,0,0,1)</f>
        <v>19425516054.977699</v>
      </c>
      <c r="AE614" s="134">
        <f>+_xlfn.XLOOKUP(PROYECTOS[[#This Row],[MUNICIPIO]],'4.CAP_ENDMNT'!B:B,'4.CAP_ENDMNT'!N:N,0,0,1)</f>
        <v>0.13854262343712995</v>
      </c>
      <c r="AF614" s="134">
        <f>+_xlfn.XLOOKUP(PROYECTOS[[#This Row],[MUNICIPIO]],'4.CAP_ENDMNT'!B:B,'4.CAP_ENDMNT'!O:O,0,0,1)</f>
        <v>0.87015152665365447</v>
      </c>
      <c r="AG614" s="134">
        <f>+_xlfn.XLOOKUP(PROYECTOS[[#This Row],[MUNICIPIO]],'4.CAP_ENDMNT'!B:B,'4.CAP_ENDMNT'!P:P,0,0,1)</f>
        <v>0.8</v>
      </c>
      <c r="AH614" s="44" t="str">
        <f>+_xlfn.XLOOKUP(PROYECTOS[[#This Row],[MUNICIPIO]],'4.CAP_ENDMNT'!B:B,'4.CAP_ENDMNT'!Q:Q,0,0,1)</f>
        <v>Incumple</v>
      </c>
      <c r="AI614" s="139">
        <f>+_xlfn.XLOOKUP(PROYECTOS[[#This Row],[MUNICIPIO]],'4.CAP_ENDMNT'!B:B,'4.CAP_ENDMNT'!V:V,0,0,1)</f>
        <v>3885103210.9955401</v>
      </c>
      <c r="AJ614" s="139">
        <f>+_xlfn.XLOOKUP(PROYECTOS[[#This Row],[MUNICIPIO]],'4.CAP_ENDMNT'!B:B,'4.CAP_ENDMNT'!Y:Y,0,0,1)</f>
        <v>-114052861009.72676</v>
      </c>
      <c r="AK614"/>
      <c r="AL614"/>
      <c r="AM614"/>
    </row>
    <row r="615" spans="1:39" ht="15" customHeight="1">
      <c r="A615" s="44">
        <v>732</v>
      </c>
      <c r="B615" s="232" t="str">
        <f>+_xlfn.XLOOKUP(PROYECTOS[[#This Row],[ID_NECESIDAD]],'1.RADICADOS'!G:G,'1.RADICADOS'!H:H,0,0,1)</f>
        <v>Solicitud construccion placa huella vereda San Pablo Tulapa JAC</v>
      </c>
      <c r="C615" s="118">
        <f>+_xlfn.XLOOKUP(PROYECTOS[[#This Row],[ID_NECESIDAD]],'1.RADICADOS'!G:G,'1.RADICADOS'!C:C,0,0,1)*1</f>
        <v>45840</v>
      </c>
      <c r="D615" s="118" t="str">
        <f>+_xlfn.XLOOKUP(PROYECTOS[[#This Row],[ID_NECESIDAD]],'1.RADICADOS'!G:G,'1.RADICADOS'!F:F,0,0,1)</f>
        <v>Turbo</v>
      </c>
      <c r="E615" s="47" t="str">
        <f>+_xlfn.XLOOKUP(PROYECTOS[[#This Row],[MUNICIPIO]],MUNICIPIOS!A:A,MUNICIPIOS!E:E,0,0,1)</f>
        <v>Urabá</v>
      </c>
      <c r="F615" s="47" t="e" cm="1">
        <f t="array" ref="F615">+_xlfn.XLOOKUP(PROYECTOS[[#This Row],[MUNICIPIO]],Table1[Municipio],MUNICIPIOS!F:F,0,0,1)</f>
        <v>#VALUE!</v>
      </c>
      <c r="G615" s="47" t="str">
        <f>+LOOKUP(PROYECTOS[[#This Row],[MUNICIPIO]],Table1[Municipio],Table1[Latitud])</f>
        <v>6,149903</v>
      </c>
      <c r="H615" s="44">
        <f>+LOOKUP(PROYECTOS[[#This Row],[MUNICIPIO]],Table1[Municipio],Table1[PDET])</f>
        <v>0</v>
      </c>
      <c r="I615" s="45">
        <f>+LOOKUP(PROYECTOS[[#This Row],[MUNICIPIO]],Table1[Municipio],Table1[ZOMAC])</f>
        <v>0</v>
      </c>
      <c r="J615" s="34" t="str" cm="1">
        <f t="array" ref="J615">_xlfn.TEXTJOIN(", ", TRUE, IF(radicados[ID PROYECTOS]=A615, radicados[RADICADO], ""))</f>
        <v>2025010329702</v>
      </c>
      <c r="K615" s="45">
        <v>1</v>
      </c>
      <c r="L615" s="189"/>
      <c r="M615" s="34" t="s">
        <v>288</v>
      </c>
      <c r="N615" s="40" t="s">
        <v>398</v>
      </c>
      <c r="O615" s="40" t="s">
        <v>25</v>
      </c>
      <c r="P615" s="213" t="s">
        <v>1752</v>
      </c>
      <c r="Q615" s="45"/>
      <c r="R615" s="166"/>
      <c r="S615" s="166"/>
      <c r="T615" s="44">
        <f>+_xlfn.XLOOKUP(PROYECTOS[[#This Row],[MUNICIPIO]],'4.CAP_ENDMNT'!B:B,'4.CAP_ENDMNT'!C:C,0,0,1)</f>
        <v>5</v>
      </c>
      <c r="U615" s="167">
        <f>+_xlfn.XLOOKUP(PROYECTOS[[#This Row],[MUNICIPIO]],'4.CAP_ENDMNT'!B:B,'4.CAP_ENDMNT'!D:D,0,0,1)</f>
        <v>57277943756.629501</v>
      </c>
      <c r="V615" s="44">
        <f>+_xlfn.XLOOKUP(PROYECTOS[[#This Row],[MUNICIPIO]],'4.CAP_ENDMNT'!B:B,'4.CAP_ENDMNT'!E:E,0,0,1)</f>
        <v>34159399600.959999</v>
      </c>
      <c r="W615" s="44">
        <f>+_xlfn.XLOOKUP(PROYECTOS[[#This Row],[MUNICIPIO]],'4.CAP_ENDMNT'!B:B,'4.CAP_ENDMNT'!F:F,0,0,1)</f>
        <v>23118544155.669502</v>
      </c>
      <c r="X615" s="44">
        <f>+_xlfn.XLOOKUP(PROYECTOS[[#This Row],[MUNICIPIO]],'4.CAP_ENDMNT'!B:B,'4.CAP_ENDMNT'!G:G,0,0,1)</f>
        <v>3450000000</v>
      </c>
      <c r="Y615" s="44">
        <f>+_xlfn.XLOOKUP(PROYECTOS[[#This Row],[MUNICIPIO]],'4.CAP_ENDMNT'!B:B,'4.CAP_ENDMNT'!H:H,0,0,1)</f>
        <v>21452083665</v>
      </c>
      <c r="Z615" s="44">
        <f>+_xlfn.XLOOKUP(PROYECTOS[[#This Row],[MUNICIPIO]],'4.CAP_ENDMNT'!B:B,'4.CAP_ENDMNT'!I:I,0,0,1)</f>
        <v>24902083665</v>
      </c>
      <c r="AA615" s="134">
        <f>+_xlfn.XLOOKUP(PROYECTOS[[#This Row],[MUNICIPIO]],'4.CAP_ENDMNT'!B:B,'4.CAP_ENDMNT'!J:J,0,0,1)</f>
        <v>0.43475868775610099</v>
      </c>
      <c r="AB615" s="44">
        <f>+_xlfn.XLOOKUP(PROYECTOS[[#This Row],[MUNICIPIO]],'4.CAP_ENDMNT'!B:B,'4.CAP_ENDMNT'!K:K,0,0,1)</f>
        <v>32375860091.629501</v>
      </c>
      <c r="AC615" s="44">
        <f>+_xlfn.XLOOKUP(PROYECTOS[[#This Row],[MUNICIPIO]],'4.CAP_ENDMNT'!B:B,'4.CAP_ENDMNT'!L:L,0,0,1)</f>
        <v>25900688073.303604</v>
      </c>
      <c r="AD615" s="44">
        <f>+_xlfn.XLOOKUP(PROYECTOS[[#This Row],[MUNICIPIO]],'4.CAP_ENDMNT'!B:B,'4.CAP_ENDMNT'!M:M,0,0,1)</f>
        <v>19425516054.977699</v>
      </c>
      <c r="AE615" s="134">
        <f>+_xlfn.XLOOKUP(PROYECTOS[[#This Row],[MUNICIPIO]],'4.CAP_ENDMNT'!B:B,'4.CAP_ENDMNT'!N:N,0,0,1)</f>
        <v>0.13854262343712995</v>
      </c>
      <c r="AF615" s="134">
        <f>+_xlfn.XLOOKUP(PROYECTOS[[#This Row],[MUNICIPIO]],'4.CAP_ENDMNT'!B:B,'4.CAP_ENDMNT'!O:O,0,0,1)</f>
        <v>0.87015152665365447</v>
      </c>
      <c r="AG615" s="134">
        <f>+_xlfn.XLOOKUP(PROYECTOS[[#This Row],[MUNICIPIO]],'4.CAP_ENDMNT'!B:B,'4.CAP_ENDMNT'!P:P,0,0,1)</f>
        <v>0.8</v>
      </c>
      <c r="AH615" s="44" t="str">
        <f>+_xlfn.XLOOKUP(PROYECTOS[[#This Row],[MUNICIPIO]],'4.CAP_ENDMNT'!B:B,'4.CAP_ENDMNT'!Q:Q,0,0,1)</f>
        <v>Incumple</v>
      </c>
      <c r="AI615" s="139">
        <f>+_xlfn.XLOOKUP(PROYECTOS[[#This Row],[MUNICIPIO]],'4.CAP_ENDMNT'!B:B,'4.CAP_ENDMNT'!V:V,0,0,1)</f>
        <v>3885103210.9955401</v>
      </c>
      <c r="AJ615" s="139">
        <f>+_xlfn.XLOOKUP(PROYECTOS[[#This Row],[MUNICIPIO]],'4.CAP_ENDMNT'!B:B,'4.CAP_ENDMNT'!Y:Y,0,0,1)</f>
        <v>-114052861009.72676</v>
      </c>
      <c r="AK615"/>
      <c r="AL615"/>
      <c r="AM615"/>
    </row>
    <row r="616" spans="1:39" ht="15" customHeight="1">
      <c r="A616" s="44">
        <v>733</v>
      </c>
      <c r="B616" s="232" t="str">
        <f>+_xlfn.XLOOKUP(PROYECTOS[[#This Row],[ID_NECESIDAD]],'1.RADICADOS'!G:G,'1.RADICADOS'!H:H,0,0,1)</f>
        <v>Solicitud construccion placa huella vereda Mono Macho corregimiento Puerto Bello JAC</v>
      </c>
      <c r="C616" s="118">
        <f>+_xlfn.XLOOKUP(PROYECTOS[[#This Row],[ID_NECESIDAD]],'1.RADICADOS'!G:G,'1.RADICADOS'!C:C,0,0,1)*1</f>
        <v>45840</v>
      </c>
      <c r="D616" s="118" t="str">
        <f>+_xlfn.XLOOKUP(PROYECTOS[[#This Row],[ID_NECESIDAD]],'1.RADICADOS'!G:G,'1.RADICADOS'!F:F,0,0,1)</f>
        <v>Turbo</v>
      </c>
      <c r="E616" s="47" t="str">
        <f>+_xlfn.XLOOKUP(PROYECTOS[[#This Row],[MUNICIPIO]],MUNICIPIOS!A:A,MUNICIPIOS!E:E,0,0,1)</f>
        <v>Urabá</v>
      </c>
      <c r="F616" s="47" t="e" cm="1">
        <f t="array" ref="F616">+_xlfn.XLOOKUP(PROYECTOS[[#This Row],[MUNICIPIO]],Table1[Municipio],MUNICIPIOS!F:F,0,0,1)</f>
        <v>#VALUE!</v>
      </c>
      <c r="G616" s="47" t="str">
        <f>+LOOKUP(PROYECTOS[[#This Row],[MUNICIPIO]],Table1[Municipio],Table1[Latitud])</f>
        <v>6,149903</v>
      </c>
      <c r="H616" s="44">
        <f>+LOOKUP(PROYECTOS[[#This Row],[MUNICIPIO]],Table1[Municipio],Table1[PDET])</f>
        <v>0</v>
      </c>
      <c r="I616" s="45">
        <f>+LOOKUP(PROYECTOS[[#This Row],[MUNICIPIO]],Table1[Municipio],Table1[ZOMAC])</f>
        <v>0</v>
      </c>
      <c r="J616" s="34" t="str" cm="1">
        <f t="array" ref="J616">_xlfn.TEXTJOIN(", ", TRUE, IF(radicados[ID PROYECTOS]=A616, radicados[RADICADO], ""))</f>
        <v>2025010329822</v>
      </c>
      <c r="K616" s="45">
        <v>1</v>
      </c>
      <c r="L616" s="189"/>
      <c r="M616" s="34" t="s">
        <v>288</v>
      </c>
      <c r="N616" s="40" t="s">
        <v>398</v>
      </c>
      <c r="O616" s="40" t="s">
        <v>25</v>
      </c>
      <c r="P616" s="213" t="s">
        <v>1752</v>
      </c>
      <c r="Q616" s="45"/>
      <c r="R616" s="166"/>
      <c r="S616" s="166"/>
      <c r="T616" s="44">
        <f>+_xlfn.XLOOKUP(PROYECTOS[[#This Row],[MUNICIPIO]],'4.CAP_ENDMNT'!B:B,'4.CAP_ENDMNT'!C:C,0,0,1)</f>
        <v>5</v>
      </c>
      <c r="U616" s="167">
        <f>+_xlfn.XLOOKUP(PROYECTOS[[#This Row],[MUNICIPIO]],'4.CAP_ENDMNT'!B:B,'4.CAP_ENDMNT'!D:D,0,0,1)</f>
        <v>57277943756.629501</v>
      </c>
      <c r="V616" s="44">
        <f>+_xlfn.XLOOKUP(PROYECTOS[[#This Row],[MUNICIPIO]],'4.CAP_ENDMNT'!B:B,'4.CAP_ENDMNT'!E:E,0,0,1)</f>
        <v>34159399600.959999</v>
      </c>
      <c r="W616" s="44">
        <f>+_xlfn.XLOOKUP(PROYECTOS[[#This Row],[MUNICIPIO]],'4.CAP_ENDMNT'!B:B,'4.CAP_ENDMNT'!F:F,0,0,1)</f>
        <v>23118544155.669502</v>
      </c>
      <c r="X616" s="44">
        <f>+_xlfn.XLOOKUP(PROYECTOS[[#This Row],[MUNICIPIO]],'4.CAP_ENDMNT'!B:B,'4.CAP_ENDMNT'!G:G,0,0,1)</f>
        <v>3450000000</v>
      </c>
      <c r="Y616" s="44">
        <f>+_xlfn.XLOOKUP(PROYECTOS[[#This Row],[MUNICIPIO]],'4.CAP_ENDMNT'!B:B,'4.CAP_ENDMNT'!H:H,0,0,1)</f>
        <v>21452083665</v>
      </c>
      <c r="Z616" s="44">
        <f>+_xlfn.XLOOKUP(PROYECTOS[[#This Row],[MUNICIPIO]],'4.CAP_ENDMNT'!B:B,'4.CAP_ENDMNT'!I:I,0,0,1)</f>
        <v>24902083665</v>
      </c>
      <c r="AA616" s="134">
        <f>+_xlfn.XLOOKUP(PROYECTOS[[#This Row],[MUNICIPIO]],'4.CAP_ENDMNT'!B:B,'4.CAP_ENDMNT'!J:J,0,0,1)</f>
        <v>0.43475868775610099</v>
      </c>
      <c r="AB616" s="44">
        <f>+_xlfn.XLOOKUP(PROYECTOS[[#This Row],[MUNICIPIO]],'4.CAP_ENDMNT'!B:B,'4.CAP_ENDMNT'!K:K,0,0,1)</f>
        <v>32375860091.629501</v>
      </c>
      <c r="AC616" s="44">
        <f>+_xlfn.XLOOKUP(PROYECTOS[[#This Row],[MUNICIPIO]],'4.CAP_ENDMNT'!B:B,'4.CAP_ENDMNT'!L:L,0,0,1)</f>
        <v>25900688073.303604</v>
      </c>
      <c r="AD616" s="44">
        <f>+_xlfn.XLOOKUP(PROYECTOS[[#This Row],[MUNICIPIO]],'4.CAP_ENDMNT'!B:B,'4.CAP_ENDMNT'!M:M,0,0,1)</f>
        <v>19425516054.977699</v>
      </c>
      <c r="AE616" s="134">
        <f>+_xlfn.XLOOKUP(PROYECTOS[[#This Row],[MUNICIPIO]],'4.CAP_ENDMNT'!B:B,'4.CAP_ENDMNT'!N:N,0,0,1)</f>
        <v>0.13854262343712995</v>
      </c>
      <c r="AF616" s="134">
        <f>+_xlfn.XLOOKUP(PROYECTOS[[#This Row],[MUNICIPIO]],'4.CAP_ENDMNT'!B:B,'4.CAP_ENDMNT'!O:O,0,0,1)</f>
        <v>0.87015152665365447</v>
      </c>
      <c r="AG616" s="134">
        <f>+_xlfn.XLOOKUP(PROYECTOS[[#This Row],[MUNICIPIO]],'4.CAP_ENDMNT'!B:B,'4.CAP_ENDMNT'!P:P,0,0,1)</f>
        <v>0.8</v>
      </c>
      <c r="AH616" s="44" t="str">
        <f>+_xlfn.XLOOKUP(PROYECTOS[[#This Row],[MUNICIPIO]],'4.CAP_ENDMNT'!B:B,'4.CAP_ENDMNT'!Q:Q,0,0,1)</f>
        <v>Incumple</v>
      </c>
      <c r="AI616" s="139">
        <f>+_xlfn.XLOOKUP(PROYECTOS[[#This Row],[MUNICIPIO]],'4.CAP_ENDMNT'!B:B,'4.CAP_ENDMNT'!V:V,0,0,1)</f>
        <v>3885103210.9955401</v>
      </c>
      <c r="AJ616" s="139">
        <f>+_xlfn.XLOOKUP(PROYECTOS[[#This Row],[MUNICIPIO]],'4.CAP_ENDMNT'!B:B,'4.CAP_ENDMNT'!Y:Y,0,0,1)</f>
        <v>-114052861009.72676</v>
      </c>
      <c r="AK616"/>
      <c r="AL616"/>
      <c r="AM616"/>
    </row>
    <row r="617" spans="1:39" ht="15" customHeight="1">
      <c r="A617" s="44">
        <v>734</v>
      </c>
      <c r="B617" s="232" t="str">
        <f>+_xlfn.XLOOKUP(PROYECTOS[[#This Row],[ID_NECESIDAD]],'1.RADICADOS'!G:G,'1.RADICADOS'!H:H,0,0,1)</f>
        <v>Solicitud construccion placa huella vereda Toribio Medio, corregimiento Pueblo Bello JAC</v>
      </c>
      <c r="C617" s="118">
        <f>+_xlfn.XLOOKUP(PROYECTOS[[#This Row],[ID_NECESIDAD]],'1.RADICADOS'!G:G,'1.RADICADOS'!C:C,0,0,1)*1</f>
        <v>45840</v>
      </c>
      <c r="D617" s="118" t="str">
        <f>+_xlfn.XLOOKUP(PROYECTOS[[#This Row],[ID_NECESIDAD]],'1.RADICADOS'!G:G,'1.RADICADOS'!F:F,0,0,1)</f>
        <v>Turbo</v>
      </c>
      <c r="E617" s="47" t="str">
        <f>+_xlfn.XLOOKUP(PROYECTOS[[#This Row],[MUNICIPIO]],MUNICIPIOS!A:A,MUNICIPIOS!E:E,0,0,1)</f>
        <v>Urabá</v>
      </c>
      <c r="F617" s="47" t="e" cm="1">
        <f t="array" ref="F617">+_xlfn.XLOOKUP(PROYECTOS[[#This Row],[MUNICIPIO]],Table1[Municipio],MUNICIPIOS!F:F,0,0,1)</f>
        <v>#VALUE!</v>
      </c>
      <c r="G617" s="47" t="str">
        <f>+LOOKUP(PROYECTOS[[#This Row],[MUNICIPIO]],Table1[Municipio],Table1[Latitud])</f>
        <v>6,149903</v>
      </c>
      <c r="H617" s="44">
        <f>+LOOKUP(PROYECTOS[[#This Row],[MUNICIPIO]],Table1[Municipio],Table1[PDET])</f>
        <v>0</v>
      </c>
      <c r="I617" s="45">
        <f>+LOOKUP(PROYECTOS[[#This Row],[MUNICIPIO]],Table1[Municipio],Table1[ZOMAC])</f>
        <v>0</v>
      </c>
      <c r="J617" s="34" t="str" cm="1">
        <f t="array" ref="J617">_xlfn.TEXTJOIN(", ", TRUE, IF(radicados[ID PROYECTOS]=A617, radicados[RADICADO], ""))</f>
        <v>2025010329873</v>
      </c>
      <c r="K617" s="45">
        <v>1</v>
      </c>
      <c r="L617" s="189"/>
      <c r="M617" s="34" t="s">
        <v>288</v>
      </c>
      <c r="N617" s="40" t="s">
        <v>398</v>
      </c>
      <c r="O617" s="40" t="s">
        <v>25</v>
      </c>
      <c r="P617" s="213" t="s">
        <v>1752</v>
      </c>
      <c r="Q617" s="45"/>
      <c r="R617" s="166"/>
      <c r="S617" s="166"/>
      <c r="T617" s="44">
        <f>+_xlfn.XLOOKUP(PROYECTOS[[#This Row],[MUNICIPIO]],'4.CAP_ENDMNT'!B:B,'4.CAP_ENDMNT'!C:C,0,0,1)</f>
        <v>5</v>
      </c>
      <c r="U617" s="167">
        <f>+_xlfn.XLOOKUP(PROYECTOS[[#This Row],[MUNICIPIO]],'4.CAP_ENDMNT'!B:B,'4.CAP_ENDMNT'!D:D,0,0,1)</f>
        <v>57277943756.629501</v>
      </c>
      <c r="V617" s="44">
        <f>+_xlfn.XLOOKUP(PROYECTOS[[#This Row],[MUNICIPIO]],'4.CAP_ENDMNT'!B:B,'4.CAP_ENDMNT'!E:E,0,0,1)</f>
        <v>34159399600.959999</v>
      </c>
      <c r="W617" s="44">
        <f>+_xlfn.XLOOKUP(PROYECTOS[[#This Row],[MUNICIPIO]],'4.CAP_ENDMNT'!B:B,'4.CAP_ENDMNT'!F:F,0,0,1)</f>
        <v>23118544155.669502</v>
      </c>
      <c r="X617" s="44">
        <f>+_xlfn.XLOOKUP(PROYECTOS[[#This Row],[MUNICIPIO]],'4.CAP_ENDMNT'!B:B,'4.CAP_ENDMNT'!G:G,0,0,1)</f>
        <v>3450000000</v>
      </c>
      <c r="Y617" s="44">
        <f>+_xlfn.XLOOKUP(PROYECTOS[[#This Row],[MUNICIPIO]],'4.CAP_ENDMNT'!B:B,'4.CAP_ENDMNT'!H:H,0,0,1)</f>
        <v>21452083665</v>
      </c>
      <c r="Z617" s="44">
        <f>+_xlfn.XLOOKUP(PROYECTOS[[#This Row],[MUNICIPIO]],'4.CAP_ENDMNT'!B:B,'4.CAP_ENDMNT'!I:I,0,0,1)</f>
        <v>24902083665</v>
      </c>
      <c r="AA617" s="134">
        <f>+_xlfn.XLOOKUP(PROYECTOS[[#This Row],[MUNICIPIO]],'4.CAP_ENDMNT'!B:B,'4.CAP_ENDMNT'!J:J,0,0,1)</f>
        <v>0.43475868775610099</v>
      </c>
      <c r="AB617" s="44">
        <f>+_xlfn.XLOOKUP(PROYECTOS[[#This Row],[MUNICIPIO]],'4.CAP_ENDMNT'!B:B,'4.CAP_ENDMNT'!K:K,0,0,1)</f>
        <v>32375860091.629501</v>
      </c>
      <c r="AC617" s="44">
        <f>+_xlfn.XLOOKUP(PROYECTOS[[#This Row],[MUNICIPIO]],'4.CAP_ENDMNT'!B:B,'4.CAP_ENDMNT'!L:L,0,0,1)</f>
        <v>25900688073.303604</v>
      </c>
      <c r="AD617" s="44">
        <f>+_xlfn.XLOOKUP(PROYECTOS[[#This Row],[MUNICIPIO]],'4.CAP_ENDMNT'!B:B,'4.CAP_ENDMNT'!M:M,0,0,1)</f>
        <v>19425516054.977699</v>
      </c>
      <c r="AE617" s="134">
        <f>+_xlfn.XLOOKUP(PROYECTOS[[#This Row],[MUNICIPIO]],'4.CAP_ENDMNT'!B:B,'4.CAP_ENDMNT'!N:N,0,0,1)</f>
        <v>0.13854262343712995</v>
      </c>
      <c r="AF617" s="134">
        <f>+_xlfn.XLOOKUP(PROYECTOS[[#This Row],[MUNICIPIO]],'4.CAP_ENDMNT'!B:B,'4.CAP_ENDMNT'!O:O,0,0,1)</f>
        <v>0.87015152665365447</v>
      </c>
      <c r="AG617" s="134">
        <f>+_xlfn.XLOOKUP(PROYECTOS[[#This Row],[MUNICIPIO]],'4.CAP_ENDMNT'!B:B,'4.CAP_ENDMNT'!P:P,0,0,1)</f>
        <v>0.8</v>
      </c>
      <c r="AH617" s="44" t="str">
        <f>+_xlfn.XLOOKUP(PROYECTOS[[#This Row],[MUNICIPIO]],'4.CAP_ENDMNT'!B:B,'4.CAP_ENDMNT'!Q:Q,0,0,1)</f>
        <v>Incumple</v>
      </c>
      <c r="AI617" s="139">
        <f>+_xlfn.XLOOKUP(PROYECTOS[[#This Row],[MUNICIPIO]],'4.CAP_ENDMNT'!B:B,'4.CAP_ENDMNT'!V:V,0,0,1)</f>
        <v>3885103210.9955401</v>
      </c>
      <c r="AJ617" s="139">
        <f>+_xlfn.XLOOKUP(PROYECTOS[[#This Row],[MUNICIPIO]],'4.CAP_ENDMNT'!B:B,'4.CAP_ENDMNT'!Y:Y,0,0,1)</f>
        <v>-114052861009.72676</v>
      </c>
      <c r="AK617"/>
      <c r="AL617"/>
      <c r="AM617"/>
    </row>
    <row r="618" spans="1:39" ht="15" customHeight="1">
      <c r="A618" s="44">
        <v>735</v>
      </c>
      <c r="B618" s="232" t="str">
        <f>+_xlfn.XLOOKUP(PROYECTOS[[#This Row],[ID_NECESIDAD]],'1.RADICADOS'!G:G,'1.RADICADOS'!H:H,0,0,1)</f>
        <v>Subsanacion proyecto Placahuella via vereda Quebradona</v>
      </c>
      <c r="C618" s="118">
        <f>+_xlfn.XLOOKUP(PROYECTOS[[#This Row],[ID_NECESIDAD]],'1.RADICADOS'!G:G,'1.RADICADOS'!C:C,0,0,1)*1</f>
        <v>45848</v>
      </c>
      <c r="D618" s="118" t="str">
        <f>+_xlfn.XLOOKUP(PROYECTOS[[#This Row],[ID_NECESIDAD]],'1.RADICADOS'!G:G,'1.RADICADOS'!F:F,0,0,1)</f>
        <v>Granada</v>
      </c>
      <c r="E618" s="47" t="str">
        <f>+_xlfn.XLOOKUP(PROYECTOS[[#This Row],[MUNICIPIO]],MUNICIPIOS!A:A,MUNICIPIOS!E:E,0,0,1)</f>
        <v>Oriente</v>
      </c>
      <c r="F618" s="47" t="e" cm="1">
        <f t="array" ref="F618">+_xlfn.XLOOKUP(PROYECTOS[[#This Row],[MUNICIPIO]],Table1[Municipio],MUNICIPIOS!F:F,0,0,1)</f>
        <v>#VALUE!</v>
      </c>
      <c r="G618" s="47" t="str">
        <f>+LOOKUP(PROYECTOS[[#This Row],[MUNICIPIO]],Table1[Municipio],Table1[Latitud])</f>
        <v>6,142892</v>
      </c>
      <c r="H618" s="44">
        <f>+LOOKUP(PROYECTOS[[#This Row],[MUNICIPIO]],Table1[Municipio],Table1[PDET])</f>
        <v>0</v>
      </c>
      <c r="I618" s="45">
        <f>+LOOKUP(PROYECTOS[[#This Row],[MUNICIPIO]],Table1[Municipio],Table1[ZOMAC])</f>
        <v>1</v>
      </c>
      <c r="J618" s="34" t="str" cm="1">
        <f t="array" ref="J618">_xlfn.TEXTJOIN(", ", TRUE, IF(radicados[ID PROYECTOS]=A618, radicados[RADICADO], ""))</f>
        <v>2025010347598</v>
      </c>
      <c r="K618" s="45">
        <v>3</v>
      </c>
      <c r="L618" s="212">
        <f>+_xlfn.XLOOKUP(PROYECTOS[[#This Row],[ID_NECESIDAD]],'1.RADICADOS'!G:G,'1.RADICADOS'!J:J,0,0,1)</f>
        <v>3924812656</v>
      </c>
      <c r="M618" s="34" t="s">
        <v>288</v>
      </c>
      <c r="N618" s="40" t="s">
        <v>398</v>
      </c>
      <c r="O618" s="40" t="s">
        <v>25</v>
      </c>
      <c r="P618" s="213"/>
      <c r="Q618" s="45">
        <v>1</v>
      </c>
      <c r="R618" s="43" t="s">
        <v>922</v>
      </c>
      <c r="S618" s="43" t="s">
        <v>1618</v>
      </c>
      <c r="T618" s="44">
        <f>+_xlfn.XLOOKUP(PROYECTOS[[#This Row],[MUNICIPIO]],'4.CAP_ENDMNT'!B:B,'4.CAP_ENDMNT'!C:C,0,0,1)</f>
        <v>6</v>
      </c>
      <c r="U618" s="167">
        <f>+_xlfn.XLOOKUP(PROYECTOS[[#This Row],[MUNICIPIO]],'4.CAP_ENDMNT'!B:B,'4.CAP_ENDMNT'!D:D,0,0,1)</f>
        <v>9100976268.0305004</v>
      </c>
      <c r="V618" s="44">
        <f>+_xlfn.XLOOKUP(PROYECTOS[[#This Row],[MUNICIPIO]],'4.CAP_ENDMNT'!B:B,'4.CAP_ENDMNT'!E:E,0,0,1)</f>
        <v>3221460794.1700001</v>
      </c>
      <c r="W618" s="44">
        <f>+_xlfn.XLOOKUP(PROYECTOS[[#This Row],[MUNICIPIO]],'4.CAP_ENDMNT'!B:B,'4.CAP_ENDMNT'!F:F,0,0,1)</f>
        <v>5879515473.8605003</v>
      </c>
      <c r="X618" s="44">
        <f>+_xlfn.XLOOKUP(PROYECTOS[[#This Row],[MUNICIPIO]],'4.CAP_ENDMNT'!B:B,'4.CAP_ENDMNT'!G:G,0,0,1)</f>
        <v>1026722956</v>
      </c>
      <c r="Y618" s="44">
        <f>+_xlfn.XLOOKUP(PROYECTOS[[#This Row],[MUNICIPIO]],'4.CAP_ENDMNT'!B:B,'4.CAP_ENDMNT'!H:H,0,0,1)</f>
        <v>190000000</v>
      </c>
      <c r="Z618" s="44">
        <f>+_xlfn.XLOOKUP(PROYECTOS[[#This Row],[MUNICIPIO]],'4.CAP_ENDMNT'!B:B,'4.CAP_ENDMNT'!I:I,0,0,1)</f>
        <v>1216722956</v>
      </c>
      <c r="AA618" s="134">
        <f>+_xlfn.XLOOKUP(PROYECTOS[[#This Row],[MUNICIPIO]],'4.CAP_ENDMNT'!B:B,'4.CAP_ENDMNT'!J:J,0,0,1)</f>
        <v>0.13369147662477152</v>
      </c>
      <c r="AB618" s="44">
        <f>+_xlfn.XLOOKUP(PROYECTOS[[#This Row],[MUNICIPIO]],'4.CAP_ENDMNT'!B:B,'4.CAP_ENDMNT'!K:K,0,0,1)</f>
        <v>7884253312.0305004</v>
      </c>
      <c r="AC618" s="44">
        <f>+_xlfn.XLOOKUP(PROYECTOS[[#This Row],[MUNICIPIO]],'4.CAP_ENDMNT'!B:B,'4.CAP_ENDMNT'!L:L,0,0,1)</f>
        <v>6307402649.6244011</v>
      </c>
      <c r="AD618" s="44">
        <f>+_xlfn.XLOOKUP(PROYECTOS[[#This Row],[MUNICIPIO]],'4.CAP_ENDMNT'!B:B,'4.CAP_ENDMNT'!M:M,0,0,1)</f>
        <v>4730551987.2182999</v>
      </c>
      <c r="AE618" s="134">
        <f>+_xlfn.XLOOKUP(PROYECTOS[[#This Row],[MUNICIPIO]],'4.CAP_ENDMNT'!B:B,'4.CAP_ENDMNT'!N:N,0,0,1)</f>
        <v>0.84384284108140062</v>
      </c>
      <c r="AF618" s="134">
        <f>+_xlfn.XLOOKUP(PROYECTOS[[#This Row],[MUNICIPIO]],'4.CAP_ENDMNT'!B:B,'4.CAP_ENDMNT'!O:O,0,0,1)</f>
        <v>0.65864601932480682</v>
      </c>
      <c r="AG618" s="134">
        <f>+_xlfn.XLOOKUP(PROYECTOS[[#This Row],[MUNICIPIO]],'4.CAP_ENDMNT'!B:B,'4.CAP_ENDMNT'!P:P,0,0,1)</f>
        <v>0.8</v>
      </c>
      <c r="AH618" s="44" t="str">
        <f>+_xlfn.XLOOKUP(PROYECTOS[[#This Row],[MUNICIPIO]],'4.CAP_ENDMNT'!B:B,'4.CAP_ENDMNT'!Q:Q,0,0,1)</f>
        <v>Cumple</v>
      </c>
      <c r="AI618" s="139">
        <f>+_xlfn.XLOOKUP(PROYECTOS[[#This Row],[MUNICIPIO]],'4.CAP_ENDMNT'!B:B,'4.CAP_ENDMNT'!V:V,0,0,1)</f>
        <v>946110397.44366002</v>
      </c>
      <c r="AJ618" s="139">
        <f>+_xlfn.XLOOKUP(PROYECTOS[[#This Row],[MUNICIPIO]],'4.CAP_ENDMNT'!B:B,'4.CAP_ENDMNT'!Y:Y,0,0,1)</f>
        <v>-37054965217.338043</v>
      </c>
      <c r="AK618"/>
      <c r="AL618"/>
      <c r="AM618"/>
    </row>
    <row r="619" spans="1:39" ht="15" customHeight="1">
      <c r="A619" s="44">
        <v>736</v>
      </c>
      <c r="B619" s="232" t="str">
        <f>+_xlfn.XLOOKUP(PROYECTOS[[#This Row],[ID_NECESIDAD]],'1.RADICADOS'!G:G,'1.RADICADOS'!H:H,0,0,1)</f>
        <v>Solicitud cofinanciacion construccion placahuella en la vereda San Juancito CONVENIO MATERIALES</v>
      </c>
      <c r="C619" s="118">
        <f>+_xlfn.XLOOKUP(PROYECTOS[[#This Row],[ID_NECESIDAD]],'1.RADICADOS'!G:G,'1.RADICADOS'!C:C,0,0,1)*1</f>
        <v>45849</v>
      </c>
      <c r="D619" s="118" t="str">
        <f>+_xlfn.XLOOKUP(PROYECTOS[[#This Row],[ID_NECESIDAD]],'1.RADICADOS'!G:G,'1.RADICADOS'!F:F,0,0,1)</f>
        <v>San Pedro de Urabá</v>
      </c>
      <c r="E619" s="47" t="str">
        <f>+_xlfn.XLOOKUP(PROYECTOS[[#This Row],[MUNICIPIO]],MUNICIPIOS!A:A,MUNICIPIOS!E:E,0,0,1)</f>
        <v>Urabá</v>
      </c>
      <c r="F619" s="47" t="e" cm="1">
        <f t="array" ref="F619">+_xlfn.XLOOKUP(PROYECTOS[[#This Row],[MUNICIPIO]],Table1[Municipio],MUNICIPIOS!F:F,0,0,1)</f>
        <v>#VALUE!</v>
      </c>
      <c r="G619" s="47" t="str">
        <f>+LOOKUP(PROYECTOS[[#This Row],[MUNICIPIO]],Table1[Municipio],Table1[Latitud])</f>
        <v>6,149903</v>
      </c>
      <c r="H619" s="44">
        <f>+LOOKUP(PROYECTOS[[#This Row],[MUNICIPIO]],Table1[Municipio],Table1[PDET])</f>
        <v>0</v>
      </c>
      <c r="I619" s="45">
        <f>+LOOKUP(PROYECTOS[[#This Row],[MUNICIPIO]],Table1[Municipio],Table1[ZOMAC])</f>
        <v>0</v>
      </c>
      <c r="J619" s="34" t="str" cm="1">
        <f t="array" ref="J619">_xlfn.TEXTJOIN(", ", TRUE, IF(radicados[ID PROYECTOS]=A619, radicados[RADICADO], ""))</f>
        <v>2025010347602</v>
      </c>
      <c r="K619" s="45">
        <v>2</v>
      </c>
      <c r="L619" s="212">
        <f>+_xlfn.XLOOKUP(PROYECTOS[[#This Row],[ID_NECESIDAD]],'1.RADICADOS'!G:G,'1.RADICADOS'!J:J,0,0,1)</f>
        <v>197756957</v>
      </c>
      <c r="M619" s="34" t="s">
        <v>288</v>
      </c>
      <c r="N619" s="40" t="s">
        <v>398</v>
      </c>
      <c r="O619" s="40" t="s">
        <v>25</v>
      </c>
      <c r="P619" s="213" t="s">
        <v>1768</v>
      </c>
      <c r="Q619" s="45"/>
      <c r="R619" s="166"/>
      <c r="S619" s="166"/>
      <c r="T619" s="44">
        <f>+_xlfn.XLOOKUP(PROYECTOS[[#This Row],[MUNICIPIO]],'4.CAP_ENDMNT'!B:B,'4.CAP_ENDMNT'!C:C,0,0,1)</f>
        <v>6</v>
      </c>
      <c r="U619" s="167">
        <f>+_xlfn.XLOOKUP(PROYECTOS[[#This Row],[MUNICIPIO]],'4.CAP_ENDMNT'!B:B,'4.CAP_ENDMNT'!D:D,0,0,1)</f>
        <v>19508372714.52</v>
      </c>
      <c r="V619" s="44">
        <f>+_xlfn.XLOOKUP(PROYECTOS[[#This Row],[MUNICIPIO]],'4.CAP_ENDMNT'!B:B,'4.CAP_ENDMNT'!E:E,0,0,1)</f>
        <v>5389834315.5</v>
      </c>
      <c r="W619" s="44">
        <f>+_xlfn.XLOOKUP(PROYECTOS[[#This Row],[MUNICIPIO]],'4.CAP_ENDMNT'!B:B,'4.CAP_ENDMNT'!F:F,0,0,1)</f>
        <v>14118538399.02</v>
      </c>
      <c r="X619" s="44">
        <f>+_xlfn.XLOOKUP(PROYECTOS[[#This Row],[MUNICIPIO]],'4.CAP_ENDMNT'!B:B,'4.CAP_ENDMNT'!G:G,0,0,1)</f>
        <v>2594281047</v>
      </c>
      <c r="Y619" s="44">
        <f>+_xlfn.XLOOKUP(PROYECTOS[[#This Row],[MUNICIPIO]],'4.CAP_ENDMNT'!B:B,'4.CAP_ENDMNT'!H:H,0,0,1)</f>
        <v>1833333333</v>
      </c>
      <c r="Z619" s="44">
        <f>+_xlfn.XLOOKUP(PROYECTOS[[#This Row],[MUNICIPIO]],'4.CAP_ENDMNT'!B:B,'4.CAP_ENDMNT'!I:I,0,0,1)</f>
        <v>4427614380</v>
      </c>
      <c r="AA619" s="134">
        <f>+_xlfn.XLOOKUP(PROYECTOS[[#This Row],[MUNICIPIO]],'4.CAP_ENDMNT'!B:B,'4.CAP_ENDMNT'!J:J,0,0,1)</f>
        <v>0.22695969801235882</v>
      </c>
      <c r="AB619" s="44">
        <f>+_xlfn.XLOOKUP(PROYECTOS[[#This Row],[MUNICIPIO]],'4.CAP_ENDMNT'!B:B,'4.CAP_ENDMNT'!K:K,0,0,1)</f>
        <v>15080758334.52</v>
      </c>
      <c r="AC619" s="44">
        <f>+_xlfn.XLOOKUP(PROYECTOS[[#This Row],[MUNICIPIO]],'4.CAP_ENDMNT'!B:B,'4.CAP_ENDMNT'!L:L,0,0,1)</f>
        <v>12064606667.616001</v>
      </c>
      <c r="AD619" s="44">
        <f>+_xlfn.XLOOKUP(PROYECTOS[[#This Row],[MUNICIPIO]],'4.CAP_ENDMNT'!B:B,'4.CAP_ENDMNT'!M:M,0,0,1)</f>
        <v>9048455000.7119999</v>
      </c>
      <c r="AE619" s="134">
        <f>+_xlfn.XLOOKUP(PROYECTOS[[#This Row],[MUNICIPIO]],'4.CAP_ENDMNT'!B:B,'4.CAP_ENDMNT'!N:N,0,0,1)</f>
        <v>0.58593202215591322</v>
      </c>
      <c r="AF619" s="134">
        <f>+_xlfn.XLOOKUP(PROYECTOS[[#This Row],[MUNICIPIO]],'4.CAP_ENDMNT'!B:B,'4.CAP_ENDMNT'!O:O,0,0,1)</f>
        <v>0.58851112900500024</v>
      </c>
      <c r="AG619" s="134">
        <f>+_xlfn.XLOOKUP(PROYECTOS[[#This Row],[MUNICIPIO]],'4.CAP_ENDMNT'!B:B,'4.CAP_ENDMNT'!P:P,0,0,1)</f>
        <v>0.8</v>
      </c>
      <c r="AH619" s="44" t="str">
        <f>+_xlfn.XLOOKUP(PROYECTOS[[#This Row],[MUNICIPIO]],'4.CAP_ENDMNT'!B:B,'4.CAP_ENDMNT'!Q:Q,0,0,1)</f>
        <v>Cumple</v>
      </c>
      <c r="AI619" s="139">
        <f>+_xlfn.XLOOKUP(PROYECTOS[[#This Row],[MUNICIPIO]],'4.CAP_ENDMNT'!B:B,'4.CAP_ENDMNT'!V:V,0,0,1)</f>
        <v>1809691000.1424</v>
      </c>
      <c r="AJ619" s="139">
        <f>+_xlfn.XLOOKUP(PROYECTOS[[#This Row],[MUNICIPIO]],'4.CAP_ENDMNT'!B:B,'4.CAP_ENDMNT'!Y:Y,0,0,1)</f>
        <v>-12348843887.145599</v>
      </c>
      <c r="AK619"/>
      <c r="AL619"/>
      <c r="AM619"/>
    </row>
    <row r="620" spans="1:39" ht="15" customHeight="1">
      <c r="A620" s="44">
        <v>737</v>
      </c>
      <c r="B620" s="232" t="str">
        <f>+_xlfn.XLOOKUP(PROYECTOS[[#This Row],[ID_NECESIDAD]],'1.RADICADOS'!G:G,'1.RADICADOS'!H:H,0,0,1)</f>
        <v>Solicitud apoyo construccion de placa huella y muro de contencion en gaviones en vereda La Maria</v>
      </c>
      <c r="C620" s="118">
        <f>+_xlfn.XLOOKUP(PROYECTOS[[#This Row],[ID_NECESIDAD]],'1.RADICADOS'!G:G,'1.RADICADOS'!C:C,0,0,1)*1</f>
        <v>45849</v>
      </c>
      <c r="D620" s="118" t="str">
        <f>+_xlfn.XLOOKUP(PROYECTOS[[#This Row],[ID_NECESIDAD]],'1.RADICADOS'!G:G,'1.RADICADOS'!F:F,0,0,1)</f>
        <v>Amalfi</v>
      </c>
      <c r="E620" s="47" t="str">
        <f>+_xlfn.XLOOKUP(PROYECTOS[[#This Row],[MUNICIPIO]],MUNICIPIOS!A:A,MUNICIPIOS!E:E,0,0,1)</f>
        <v>Nordeste</v>
      </c>
      <c r="F620" s="47" t="e" cm="1">
        <f t="array" ref="F620">+_xlfn.XLOOKUP(PROYECTOS[[#This Row],[MUNICIPIO]],Table1[Municipio],MUNICIPIOS!F:F,0,0,1)</f>
        <v>#VALUE!</v>
      </c>
      <c r="G620" s="47" t="e">
        <f>+LOOKUP(PROYECTOS[[#This Row],[MUNICIPIO]],Table1[Municipio],Table1[Latitud])</f>
        <v>#N/A</v>
      </c>
      <c r="H620" s="44" t="e">
        <f>+LOOKUP(PROYECTOS[[#This Row],[MUNICIPIO]],Table1[Municipio],Table1[PDET])</f>
        <v>#N/A</v>
      </c>
      <c r="I620" s="45" t="e">
        <f>+LOOKUP(PROYECTOS[[#This Row],[MUNICIPIO]],Table1[Municipio],Table1[ZOMAC])</f>
        <v>#N/A</v>
      </c>
      <c r="J620" s="34" t="str" cm="1">
        <f t="array" ref="J620">_xlfn.TEXTJOIN(", ", TRUE, IF(radicados[ID PROYECTOS]=A620, radicados[RADICADO], ""))</f>
        <v>2025010348838</v>
      </c>
      <c r="K620" s="45">
        <v>1</v>
      </c>
      <c r="L620" s="189"/>
      <c r="M620" s="34" t="s">
        <v>288</v>
      </c>
      <c r="N620" s="40" t="s">
        <v>398</v>
      </c>
      <c r="O620" s="40" t="s">
        <v>25</v>
      </c>
      <c r="P620" s="213"/>
      <c r="Q620" s="45"/>
      <c r="R620" s="166"/>
      <c r="S620" s="166"/>
      <c r="T620" s="44">
        <f>+_xlfn.XLOOKUP(PROYECTOS[[#This Row],[MUNICIPIO]],'4.CAP_ENDMNT'!B:B,'4.CAP_ENDMNT'!C:C,0,0,1)</f>
        <v>6</v>
      </c>
      <c r="U620" s="167">
        <f>+_xlfn.XLOOKUP(PROYECTOS[[#This Row],[MUNICIPIO]],'4.CAP_ENDMNT'!B:B,'4.CAP_ENDMNT'!D:D,0,0,1)</f>
        <v>15844230778.251999</v>
      </c>
      <c r="V620" s="44">
        <f>+_xlfn.XLOOKUP(PROYECTOS[[#This Row],[MUNICIPIO]],'4.CAP_ENDMNT'!B:B,'4.CAP_ENDMNT'!E:E,0,0,1)</f>
        <v>8497967637.5100002</v>
      </c>
      <c r="W620" s="44">
        <f>+_xlfn.XLOOKUP(PROYECTOS[[#This Row],[MUNICIPIO]],'4.CAP_ENDMNT'!B:B,'4.CAP_ENDMNT'!F:F,0,0,1)</f>
        <v>7346263140.7419987</v>
      </c>
      <c r="X620" s="44">
        <f>+_xlfn.XLOOKUP(PROYECTOS[[#This Row],[MUNICIPIO]],'4.CAP_ENDMNT'!B:B,'4.CAP_ENDMNT'!G:G,0,0,1)</f>
        <v>0</v>
      </c>
      <c r="Y620" s="44">
        <f>+_xlfn.XLOOKUP(PROYECTOS[[#This Row],[MUNICIPIO]],'4.CAP_ENDMNT'!B:B,'4.CAP_ENDMNT'!H:H,0,0,1)</f>
        <v>7918633450</v>
      </c>
      <c r="Z620" s="44">
        <f>+_xlfn.XLOOKUP(PROYECTOS[[#This Row],[MUNICIPIO]],'4.CAP_ENDMNT'!B:B,'4.CAP_ENDMNT'!I:I,0,0,1)</f>
        <v>7918633450</v>
      </c>
      <c r="AA620" s="134">
        <f>+_xlfn.XLOOKUP(PROYECTOS[[#This Row],[MUNICIPIO]],'4.CAP_ENDMNT'!B:B,'4.CAP_ENDMNT'!J:J,0,0,1)</f>
        <v>0.49978023930762366</v>
      </c>
      <c r="AB620" s="44">
        <f>+_xlfn.XLOOKUP(PROYECTOS[[#This Row],[MUNICIPIO]],'4.CAP_ENDMNT'!B:B,'4.CAP_ENDMNT'!K:K,0,0,1)</f>
        <v>7925597328.2519989</v>
      </c>
      <c r="AC620" s="44">
        <f>+_xlfn.XLOOKUP(PROYECTOS[[#This Row],[MUNICIPIO]],'4.CAP_ENDMNT'!B:B,'4.CAP_ENDMNT'!L:L,0,0,1)</f>
        <v>6340477862.6015997</v>
      </c>
      <c r="AD620" s="44">
        <f>+_xlfn.XLOOKUP(PROYECTOS[[#This Row],[MUNICIPIO]],'4.CAP_ENDMNT'!B:B,'4.CAP_ENDMNT'!M:M,0,0,1)</f>
        <v>4755358396.9511995</v>
      </c>
      <c r="AE620" s="134">
        <f>+_xlfn.XLOOKUP(PROYECTOS[[#This Row],[MUNICIPIO]],'4.CAP_ENDMNT'!B:B,'4.CAP_ENDMNT'!N:N,0,0,1)</f>
        <v>0</v>
      </c>
      <c r="AF620" s="134">
        <f>+_xlfn.XLOOKUP(PROYECTOS[[#This Row],[MUNICIPIO]],'4.CAP_ENDMNT'!B:B,'4.CAP_ENDMNT'!O:O,0,0,1)</f>
        <v>0.78459127310588017</v>
      </c>
      <c r="AG620" s="134">
        <f>+_xlfn.XLOOKUP(PROYECTOS[[#This Row],[MUNICIPIO]],'4.CAP_ENDMNT'!B:B,'4.CAP_ENDMNT'!P:P,0,0,1)</f>
        <v>0.8</v>
      </c>
      <c r="AH620" s="44" t="str">
        <f>+_xlfn.XLOOKUP(PROYECTOS[[#This Row],[MUNICIPIO]],'4.CAP_ENDMNT'!B:B,'4.CAP_ENDMNT'!Q:Q,0,0,1)</f>
        <v>Riesgo</v>
      </c>
      <c r="AI620" s="139">
        <f>+_xlfn.XLOOKUP(PROYECTOS[[#This Row],[MUNICIPIO]],'4.CAP_ENDMNT'!B:B,'4.CAP_ENDMNT'!V:V,0,0,1)</f>
        <v>951071679.39023995</v>
      </c>
      <c r="AJ620" s="139">
        <f>+_xlfn.XLOOKUP(PROYECTOS[[#This Row],[MUNICIPIO]],'4.CAP_ENDMNT'!B:B,'4.CAP_ENDMNT'!Y:Y,0,0,1)</f>
        <v>5706430076.3414392</v>
      </c>
      <c r="AK620"/>
      <c r="AL620"/>
      <c r="AM620"/>
    </row>
    <row r="621" spans="1:39" ht="15" customHeight="1">
      <c r="A621" s="44">
        <v>738</v>
      </c>
      <c r="B621" s="232" t="str">
        <f>+_xlfn.XLOOKUP(PROYECTOS[[#This Row],[ID_NECESIDAD]],'1.RADICADOS'!G:G,'1.RADICADOS'!H:H,0,0,1)</f>
        <v>Solicitud construccion placahuella tramos Las Coles, La Caturrera, La Entrada a la Escuela y La Cancha 300 mts JAC</v>
      </c>
      <c r="C621" s="118">
        <f>+_xlfn.XLOOKUP(PROYECTOS[[#This Row],[ID_NECESIDAD]],'1.RADICADOS'!G:G,'1.RADICADOS'!C:C,0,0,1)*1</f>
        <v>45867</v>
      </c>
      <c r="D621" s="118" t="str">
        <f>+_xlfn.XLOOKUP(PROYECTOS[[#This Row],[ID_NECESIDAD]],'1.RADICADOS'!G:G,'1.RADICADOS'!F:F,0,0,1)</f>
        <v>Ebéjico</v>
      </c>
      <c r="E621" s="47" t="str">
        <f>+_xlfn.XLOOKUP(PROYECTOS[[#This Row],[MUNICIPIO]],MUNICIPIOS!A:A,MUNICIPIOS!E:E,0,0,1)</f>
        <v>Occidente</v>
      </c>
      <c r="F621" s="47" t="e" cm="1">
        <f t="array" ref="F621">+_xlfn.XLOOKUP(PROYECTOS[[#This Row],[MUNICIPIO]],Table1[Municipio],MUNICIPIOS!F:F,0,0,1)</f>
        <v>#VALUE!</v>
      </c>
      <c r="G621" s="47" t="str">
        <f>+LOOKUP(PROYECTOS[[#This Row],[MUNICIPIO]],Table1[Municipio],Table1[Latitud])</f>
        <v>6,394348</v>
      </c>
      <c r="H621" s="44">
        <f>+LOOKUP(PROYECTOS[[#This Row],[MUNICIPIO]],Table1[Municipio],Table1[PDET])</f>
        <v>0</v>
      </c>
      <c r="I621" s="45">
        <f>+LOOKUP(PROYECTOS[[#This Row],[MUNICIPIO]],Table1[Municipio],Table1[ZOMAC])</f>
        <v>1</v>
      </c>
      <c r="J621" s="34" t="str" cm="1">
        <f t="array" ref="J621">_xlfn.TEXTJOIN(", ", TRUE, IF(radicados[ID PROYECTOS]=A621, radicados[RADICADO], ""))</f>
        <v>2025010385894</v>
      </c>
      <c r="K621" s="45">
        <v>1</v>
      </c>
      <c r="L621" s="189"/>
      <c r="M621" s="34" t="s">
        <v>288</v>
      </c>
      <c r="N621" s="40" t="s">
        <v>398</v>
      </c>
      <c r="O621" s="40" t="s">
        <v>25</v>
      </c>
      <c r="P621" s="213" t="s">
        <v>1752</v>
      </c>
      <c r="Q621" s="45"/>
      <c r="R621" s="166"/>
      <c r="S621" s="166"/>
      <c r="T621" s="44">
        <f>+_xlfn.XLOOKUP(PROYECTOS[[#This Row],[MUNICIPIO]],'4.CAP_ENDMNT'!B:B,'4.CAP_ENDMNT'!C:C,0,0,1)</f>
        <v>6</v>
      </c>
      <c r="U621" s="167">
        <f>+_xlfn.XLOOKUP(PROYECTOS[[#This Row],[MUNICIPIO]],'4.CAP_ENDMNT'!B:B,'4.CAP_ENDMNT'!D:D,0,0,1)</f>
        <v>9001864307.6529999</v>
      </c>
      <c r="V621" s="44">
        <f>+_xlfn.XLOOKUP(PROYECTOS[[#This Row],[MUNICIPIO]],'4.CAP_ENDMNT'!B:B,'4.CAP_ENDMNT'!E:E,0,0,1)</f>
        <v>3627307640.0900002</v>
      </c>
      <c r="W621" s="44">
        <f>+_xlfn.XLOOKUP(PROYECTOS[[#This Row],[MUNICIPIO]],'4.CAP_ENDMNT'!B:B,'4.CAP_ENDMNT'!F:F,0,0,1)</f>
        <v>5374556667.5629997</v>
      </c>
      <c r="X621" s="44">
        <f>+_xlfn.XLOOKUP(PROYECTOS[[#This Row],[MUNICIPIO]],'4.CAP_ENDMNT'!B:B,'4.CAP_ENDMNT'!G:G,0,0,1)</f>
        <v>556835774</v>
      </c>
      <c r="Y621" s="44">
        <f>+_xlfn.XLOOKUP(PROYECTOS[[#This Row],[MUNICIPIO]],'4.CAP_ENDMNT'!B:B,'4.CAP_ENDMNT'!H:H,0,0,1)</f>
        <v>0</v>
      </c>
      <c r="Z621" s="44">
        <f>+_xlfn.XLOOKUP(PROYECTOS[[#This Row],[MUNICIPIO]],'4.CAP_ENDMNT'!B:B,'4.CAP_ENDMNT'!I:I,0,0,1)</f>
        <v>556835774</v>
      </c>
      <c r="AA621" s="134">
        <f>+_xlfn.XLOOKUP(PROYECTOS[[#This Row],[MUNICIPIO]],'4.CAP_ENDMNT'!B:B,'4.CAP_ENDMNT'!J:J,0,0,1)</f>
        <v>6.1857827997540693E-2</v>
      </c>
      <c r="AB621" s="44">
        <f>+_xlfn.XLOOKUP(PROYECTOS[[#This Row],[MUNICIPIO]],'4.CAP_ENDMNT'!B:B,'4.CAP_ENDMNT'!K:K,0,0,1)</f>
        <v>8445028533.6529999</v>
      </c>
      <c r="AC621" s="44">
        <f>+_xlfn.XLOOKUP(PROYECTOS[[#This Row],[MUNICIPIO]],'4.CAP_ENDMNT'!B:B,'4.CAP_ENDMNT'!L:L,0,0,1)</f>
        <v>6756022826.9224005</v>
      </c>
      <c r="AD621" s="44">
        <f>+_xlfn.XLOOKUP(PROYECTOS[[#This Row],[MUNICIPIO]],'4.CAP_ENDMNT'!B:B,'4.CAP_ENDMNT'!M:M,0,0,1)</f>
        <v>5067017120.1918001</v>
      </c>
      <c r="AE621" s="134">
        <f>+_xlfn.XLOOKUP(PROYECTOS[[#This Row],[MUNICIPIO]],'4.CAP_ENDMNT'!B:B,'4.CAP_ENDMNT'!N:N,0,0,1)</f>
        <v>1</v>
      </c>
      <c r="AF621" s="134">
        <f>+_xlfn.XLOOKUP(PROYECTOS[[#This Row],[MUNICIPIO]],'4.CAP_ENDMNT'!B:B,'4.CAP_ENDMNT'!O:O,0,0,1)</f>
        <v>0.55157730220974377</v>
      </c>
      <c r="AG621" s="134">
        <f>+_xlfn.XLOOKUP(PROYECTOS[[#This Row],[MUNICIPIO]],'4.CAP_ENDMNT'!B:B,'4.CAP_ENDMNT'!P:P,0,0,1)</f>
        <v>0.8</v>
      </c>
      <c r="AH621" s="44" t="str">
        <f>+_xlfn.XLOOKUP(PROYECTOS[[#This Row],[MUNICIPIO]],'4.CAP_ENDMNT'!B:B,'4.CAP_ENDMNT'!Q:Q,0,0,1)</f>
        <v>Cumple</v>
      </c>
      <c r="AI621" s="139">
        <f>+_xlfn.XLOOKUP(PROYECTOS[[#This Row],[MUNICIPIO]],'4.CAP_ENDMNT'!B:B,'4.CAP_ENDMNT'!V:V,0,0,1)</f>
        <v>1013403424.0383601</v>
      </c>
      <c r="AJ621" s="139">
        <f>+_xlfn.XLOOKUP(PROYECTOS[[#This Row],[MUNICIPIO]],'4.CAP_ENDMNT'!B:B,'4.CAP_ENDMNT'!Y:Y,0,0,1)</f>
        <v>3739073043.2301598</v>
      </c>
      <c r="AK621"/>
      <c r="AL621"/>
      <c r="AM621"/>
    </row>
    <row r="622" spans="1:39" ht="15" customHeight="1">
      <c r="A622" s="44">
        <v>739</v>
      </c>
      <c r="B622" s="232" t="str">
        <f>+_xlfn.XLOOKUP(PROYECTOS[[#This Row],[ID_NECESIDAD]],'1.RADICADOS'!G:G,'1.RADICADOS'!H:H,0,0,1)</f>
        <v>Solcitud apoyo construccion pavimentacion rigida 6,3 km via Giraldo - Cuajaron</v>
      </c>
      <c r="C622" s="118">
        <f>+_xlfn.XLOOKUP(PROYECTOS[[#This Row],[ID_NECESIDAD]],'1.RADICADOS'!G:G,'1.RADICADOS'!C:C,0,0,1)*1</f>
        <v>45883</v>
      </c>
      <c r="D622" s="118" t="str">
        <f>+_xlfn.XLOOKUP(PROYECTOS[[#This Row],[ID_NECESIDAD]],'1.RADICADOS'!G:G,'1.RADICADOS'!F:F,0,0,1)</f>
        <v>Giraldo</v>
      </c>
      <c r="E622" s="47" t="str">
        <f>+_xlfn.XLOOKUP(PROYECTOS[[#This Row],[MUNICIPIO]],MUNICIPIOS!A:A,MUNICIPIOS!E:E,0,0,1)</f>
        <v>Occidente</v>
      </c>
      <c r="F622" s="47" t="e" cm="1">
        <f t="array" ref="F622">+_xlfn.XLOOKUP(PROYECTOS[[#This Row],[MUNICIPIO]],Table1[Municipio],MUNICIPIOS!F:F,0,0,1)</f>
        <v>#VALUE!</v>
      </c>
      <c r="G622" s="47" t="str">
        <f>+LOOKUP(PROYECTOS[[#This Row],[MUNICIPIO]],Table1[Municipio],Table1[Latitud])</f>
        <v>6,136871</v>
      </c>
      <c r="H622" s="44">
        <f>+LOOKUP(PROYECTOS[[#This Row],[MUNICIPIO]],Table1[Municipio],Table1[PDET])</f>
        <v>0</v>
      </c>
      <c r="I622" s="45">
        <f>+LOOKUP(PROYECTOS[[#This Row],[MUNICIPIO]],Table1[Municipio],Table1[ZOMAC])</f>
        <v>0</v>
      </c>
      <c r="J622" s="34" t="str" cm="1">
        <f t="array" ref="J622">_xlfn.TEXTJOIN(", ", TRUE, IF(radicados[ID PROYECTOS]=A622, radicados[RADICADO], ""))</f>
        <v>2025010419327</v>
      </c>
      <c r="K622" s="45">
        <v>3</v>
      </c>
      <c r="L622" s="212">
        <f>+_xlfn.XLOOKUP(PROYECTOS[[#This Row],[ID_NECESIDAD]],'1.RADICADOS'!G:G,'1.RADICADOS'!J:J,0,0,1)</f>
        <v>15799411458</v>
      </c>
      <c r="M622" s="34" t="s">
        <v>401</v>
      </c>
      <c r="N622" s="40" t="s">
        <v>398</v>
      </c>
      <c r="O622" s="40" t="s">
        <v>25</v>
      </c>
      <c r="P622" s="213" t="s">
        <v>1773</v>
      </c>
      <c r="Q622" s="45"/>
      <c r="R622" s="166"/>
      <c r="S622" s="166"/>
      <c r="T622" s="44">
        <f>+_xlfn.XLOOKUP(PROYECTOS[[#This Row],[MUNICIPIO]],'4.CAP_ENDMNT'!B:B,'4.CAP_ENDMNT'!C:C,0,0,1)</f>
        <v>6</v>
      </c>
      <c r="U622" s="167">
        <f>+_xlfn.XLOOKUP(PROYECTOS[[#This Row],[MUNICIPIO]],'4.CAP_ENDMNT'!B:B,'4.CAP_ENDMNT'!D:D,0,0,1)</f>
        <v>10996307821.845001</v>
      </c>
      <c r="V622" s="44">
        <f>+_xlfn.XLOOKUP(PROYECTOS[[#This Row],[MUNICIPIO]],'4.CAP_ENDMNT'!B:B,'4.CAP_ENDMNT'!E:E,0,0,1)</f>
        <v>3830082733.7800002</v>
      </c>
      <c r="W622" s="44">
        <f>+_xlfn.XLOOKUP(PROYECTOS[[#This Row],[MUNICIPIO]],'4.CAP_ENDMNT'!B:B,'4.CAP_ENDMNT'!F:F,0,0,1)</f>
        <v>7166225088.0650005</v>
      </c>
      <c r="X622" s="44">
        <f>+_xlfn.XLOOKUP(PROYECTOS[[#This Row],[MUNICIPIO]],'4.CAP_ENDMNT'!B:B,'4.CAP_ENDMNT'!G:G,0,0,1)</f>
        <v>1182597765.4299998</v>
      </c>
      <c r="Y622" s="44">
        <f>+_xlfn.XLOOKUP(PROYECTOS[[#This Row],[MUNICIPIO]],'4.CAP_ENDMNT'!B:B,'4.CAP_ENDMNT'!H:H,0,0,1)</f>
        <v>0</v>
      </c>
      <c r="Z622" s="44">
        <f>+_xlfn.XLOOKUP(PROYECTOS[[#This Row],[MUNICIPIO]],'4.CAP_ENDMNT'!B:B,'4.CAP_ENDMNT'!I:I,0,0,1)</f>
        <v>1182597765.4299998</v>
      </c>
      <c r="AA622" s="134">
        <f>+_xlfn.XLOOKUP(PROYECTOS[[#This Row],[MUNICIPIO]],'4.CAP_ENDMNT'!B:B,'4.CAP_ENDMNT'!J:J,0,0,1)</f>
        <v>0.10754498551601833</v>
      </c>
      <c r="AB622" s="44">
        <f>+_xlfn.XLOOKUP(PROYECTOS[[#This Row],[MUNICIPIO]],'4.CAP_ENDMNT'!B:B,'4.CAP_ENDMNT'!K:K,0,0,1)</f>
        <v>9813710056.4150009</v>
      </c>
      <c r="AC622" s="44">
        <f>+_xlfn.XLOOKUP(PROYECTOS[[#This Row],[MUNICIPIO]],'4.CAP_ENDMNT'!B:B,'4.CAP_ENDMNT'!L:L,0,0,1)</f>
        <v>7850968045.1320009</v>
      </c>
      <c r="AD622" s="44">
        <f>+_xlfn.XLOOKUP(PROYECTOS[[#This Row],[MUNICIPIO]],'4.CAP_ENDMNT'!B:B,'4.CAP_ENDMNT'!M:M,0,0,1)</f>
        <v>5888226033.849</v>
      </c>
      <c r="AE622" s="134">
        <f>+_xlfn.XLOOKUP(PROYECTOS[[#This Row],[MUNICIPIO]],'4.CAP_ENDMNT'!B:B,'4.CAP_ENDMNT'!N:N,0,0,1)</f>
        <v>1</v>
      </c>
      <c r="AF622" s="134">
        <f>+_xlfn.XLOOKUP(PROYECTOS[[#This Row],[MUNICIPIO]],'4.CAP_ENDMNT'!B:B,'4.CAP_ENDMNT'!O:O,0,0,1)</f>
        <v>0.53885751046750907</v>
      </c>
      <c r="AG622" s="134">
        <f>+_xlfn.XLOOKUP(PROYECTOS[[#This Row],[MUNICIPIO]],'4.CAP_ENDMNT'!B:B,'4.CAP_ENDMNT'!P:P,0,0,1)</f>
        <v>0.8</v>
      </c>
      <c r="AH622" s="44" t="str">
        <f>+_xlfn.XLOOKUP(PROYECTOS[[#This Row],[MUNICIPIO]],'4.CAP_ENDMNT'!B:B,'4.CAP_ENDMNT'!Q:Q,0,0,1)</f>
        <v>Cumple</v>
      </c>
      <c r="AI622" s="139">
        <f>+_xlfn.XLOOKUP(PROYECTOS[[#This Row],[MUNICIPIO]],'4.CAP_ENDMNT'!B:B,'4.CAP_ENDMNT'!V:V,0,0,1)</f>
        <v>1177645206.7697999</v>
      </c>
      <c r="AJ622" s="139">
        <f>+_xlfn.XLOOKUP(PROYECTOS[[#This Row],[MUNICIPIO]],'4.CAP_ENDMNT'!B:B,'4.CAP_ENDMNT'!Y:Y,0,0,1)</f>
        <v>-1314426917695.3811</v>
      </c>
      <c r="AK622"/>
      <c r="AL622"/>
      <c r="AM622"/>
    </row>
    <row r="623" spans="1:39" ht="15" customHeight="1">
      <c r="A623" s="44">
        <v>740</v>
      </c>
      <c r="B623" s="232" t="str">
        <f>+_xlfn.XLOOKUP(PROYECTOS[[#This Row],[ID_NECESIDAD]],'1.RADICADOS'!G:G,'1.RADICADOS'!H:H,0,0,1)</f>
        <v>Solicitud mejoramiento de la via terciaria que conduce al corregimiento de la Danta</v>
      </c>
      <c r="C623" s="118">
        <f>+_xlfn.XLOOKUP(PROYECTOS[[#This Row],[ID_NECESIDAD]],'1.RADICADOS'!G:G,'1.RADICADOS'!C:C,0,0,1)*1</f>
        <v>45880</v>
      </c>
      <c r="D623" s="118" t="str">
        <f>+_xlfn.XLOOKUP(PROYECTOS[[#This Row],[ID_NECESIDAD]],'1.RADICADOS'!G:G,'1.RADICADOS'!F:F,0,0,1)</f>
        <v>Sonsón</v>
      </c>
      <c r="E623" s="47" t="str">
        <f>+_xlfn.XLOOKUP(PROYECTOS[[#This Row],[MUNICIPIO]],MUNICIPIOS!A:A,MUNICIPIOS!E:E,0,0,1)</f>
        <v>Oriente</v>
      </c>
      <c r="F623" s="47" t="e" cm="1">
        <f t="array" ref="F623">+_xlfn.XLOOKUP(PROYECTOS[[#This Row],[MUNICIPIO]],Table1[Municipio],MUNICIPIOS!F:F,0,0,1)</f>
        <v>#VALUE!</v>
      </c>
      <c r="G623" s="47" t="str">
        <f>+LOOKUP(PROYECTOS[[#This Row],[MUNICIPIO]],Table1[Municipio],Table1[Latitud])</f>
        <v>6,149903</v>
      </c>
      <c r="H623" s="44">
        <f>+LOOKUP(PROYECTOS[[#This Row],[MUNICIPIO]],Table1[Municipio],Table1[PDET])</f>
        <v>0</v>
      </c>
      <c r="I623" s="45">
        <f>+LOOKUP(PROYECTOS[[#This Row],[MUNICIPIO]],Table1[Municipio],Table1[ZOMAC])</f>
        <v>0</v>
      </c>
      <c r="J623" s="34" t="str" cm="1">
        <f t="array" ref="J623">_xlfn.TEXTJOIN(", ", TRUE, IF(radicados[ID PROYECTOS]=A623, radicados[RADICADO], ""))</f>
        <v>2025010408660</v>
      </c>
      <c r="K623" s="45">
        <v>3</v>
      </c>
      <c r="L623" s="212">
        <f>+_xlfn.XLOOKUP(PROYECTOS[[#This Row],[ID_NECESIDAD]],'1.RADICADOS'!G:G,'1.RADICADOS'!J:J,0,0,1)</f>
        <v>19084264653</v>
      </c>
      <c r="M623" s="34" t="s">
        <v>401</v>
      </c>
      <c r="N623" s="40" t="s">
        <v>398</v>
      </c>
      <c r="O623" s="40" t="s">
        <v>25</v>
      </c>
      <c r="P623" s="213"/>
      <c r="Q623" s="45"/>
      <c r="R623" s="166"/>
      <c r="S623" s="166"/>
      <c r="T623" s="44">
        <f>+_xlfn.XLOOKUP(PROYECTOS[[#This Row],[MUNICIPIO]],'4.CAP_ENDMNT'!B:B,'4.CAP_ENDMNT'!C:C,0,0,1)</f>
        <v>5</v>
      </c>
      <c r="U623" s="167">
        <f>+_xlfn.XLOOKUP(PROYECTOS[[#This Row],[MUNICIPIO]],'4.CAP_ENDMNT'!B:B,'4.CAP_ENDMNT'!D:D,0,0,1)</f>
        <v>35695767669.016502</v>
      </c>
      <c r="V623" s="44">
        <f>+_xlfn.XLOOKUP(PROYECTOS[[#This Row],[MUNICIPIO]],'4.CAP_ENDMNT'!B:B,'4.CAP_ENDMNT'!E:E,0,0,1)</f>
        <v>13532488388.23</v>
      </c>
      <c r="W623" s="44">
        <f>+_xlfn.XLOOKUP(PROYECTOS[[#This Row],[MUNICIPIO]],'4.CAP_ENDMNT'!B:B,'4.CAP_ENDMNT'!F:F,0,0,1)</f>
        <v>22163279280.786503</v>
      </c>
      <c r="X623" s="44">
        <f>+_xlfn.XLOOKUP(PROYECTOS[[#This Row],[MUNICIPIO]],'4.CAP_ENDMNT'!B:B,'4.CAP_ENDMNT'!G:G,0,0,1)</f>
        <v>1067761948</v>
      </c>
      <c r="Y623" s="44">
        <f>+_xlfn.XLOOKUP(PROYECTOS[[#This Row],[MUNICIPIO]],'4.CAP_ENDMNT'!B:B,'4.CAP_ENDMNT'!H:H,0,0,1)</f>
        <v>4932032890</v>
      </c>
      <c r="Z623" s="44">
        <f>+_xlfn.XLOOKUP(PROYECTOS[[#This Row],[MUNICIPIO]],'4.CAP_ENDMNT'!B:B,'4.CAP_ENDMNT'!I:I,0,0,1)</f>
        <v>5999794838</v>
      </c>
      <c r="AA623" s="134">
        <f>+_xlfn.XLOOKUP(PROYECTOS[[#This Row],[MUNICIPIO]],'4.CAP_ENDMNT'!B:B,'4.CAP_ENDMNT'!J:J,0,0,1)</f>
        <v>0.16808140655867587</v>
      </c>
      <c r="AB623" s="44">
        <f>+_xlfn.XLOOKUP(PROYECTOS[[#This Row],[MUNICIPIO]],'4.CAP_ENDMNT'!B:B,'4.CAP_ENDMNT'!K:K,0,0,1)</f>
        <v>29695972831.016502</v>
      </c>
      <c r="AC623" s="44">
        <f>+_xlfn.XLOOKUP(PROYECTOS[[#This Row],[MUNICIPIO]],'4.CAP_ENDMNT'!B:B,'4.CAP_ENDMNT'!L:L,0,0,1)</f>
        <v>23756778264.813202</v>
      </c>
      <c r="AD623" s="44">
        <f>+_xlfn.XLOOKUP(PROYECTOS[[#This Row],[MUNICIPIO]],'4.CAP_ENDMNT'!B:B,'4.CAP_ENDMNT'!M:M,0,0,1)</f>
        <v>17817583698.609901</v>
      </c>
      <c r="AE623" s="134">
        <f>+_xlfn.XLOOKUP(PROYECTOS[[#This Row],[MUNICIPIO]],'4.CAP_ENDMNT'!B:B,'4.CAP_ENDMNT'!N:N,0,0,1)</f>
        <v>0.17796640999076777</v>
      </c>
      <c r="AF623" s="134">
        <f>+_xlfn.XLOOKUP(PROYECTOS[[#This Row],[MUNICIPIO]],'4.CAP_ENDMNT'!B:B,'4.CAP_ENDMNT'!O:O,0,0,1)</f>
        <v>0.4016729815979605</v>
      </c>
      <c r="AG623" s="134">
        <f>+_xlfn.XLOOKUP(PROYECTOS[[#This Row],[MUNICIPIO]],'4.CAP_ENDMNT'!B:B,'4.CAP_ENDMNT'!P:P,0,0,1)</f>
        <v>0.8</v>
      </c>
      <c r="AH623" s="44" t="str">
        <f>+_xlfn.XLOOKUP(PROYECTOS[[#This Row],[MUNICIPIO]],'4.CAP_ENDMNT'!B:B,'4.CAP_ENDMNT'!Q:Q,0,0,1)</f>
        <v>Cumple</v>
      </c>
      <c r="AI623" s="139">
        <f>+_xlfn.XLOOKUP(PROYECTOS[[#This Row],[MUNICIPIO]],'4.CAP_ENDMNT'!B:B,'4.CAP_ENDMNT'!V:V,0,0,1)</f>
        <v>3563516739.7219806</v>
      </c>
      <c r="AJ623" s="139">
        <f>+_xlfn.XLOOKUP(PROYECTOS[[#This Row],[MUNICIPIO]],'4.CAP_ENDMNT'!B:B,'4.CAP_ENDMNT'!Y:Y,0,0,1)</f>
        <v>-46557238264.668121</v>
      </c>
      <c r="AK623"/>
      <c r="AL623"/>
      <c r="AM623"/>
    </row>
    <row r="624" spans="1:39" ht="15" customHeight="1">
      <c r="A624" s="44">
        <v>741</v>
      </c>
      <c r="B624" s="232" t="str">
        <f>+_xlfn.XLOOKUP(PROYECTOS[[#This Row],[ID_NECESIDAD]],'1.RADICADOS'!G:G,'1.RADICADOS'!H:H,0,0,1)</f>
        <v>Solicitud reconstruccion puente vereda Mazorcal entre El Carmen de Viboral y La Union</v>
      </c>
      <c r="C624" s="118">
        <f>+_xlfn.XLOOKUP(PROYECTOS[[#This Row],[ID_NECESIDAD]],'1.RADICADOS'!G:G,'1.RADICADOS'!C:C,0,0,1)*1</f>
        <v>45849</v>
      </c>
      <c r="D624" s="118" t="str">
        <f>+_xlfn.XLOOKUP(PROYECTOS[[#This Row],[ID_NECESIDAD]],'1.RADICADOS'!G:G,'1.RADICADOS'!F:F,0,0,1)</f>
        <v>El Carmen de Viboral</v>
      </c>
      <c r="E624" s="47" t="str">
        <f>+_xlfn.XLOOKUP(PROYECTOS[[#This Row],[MUNICIPIO]],MUNICIPIOS!A:A,MUNICIPIOS!E:E,0,0,1)</f>
        <v>Oriente</v>
      </c>
      <c r="F624" s="47" t="e" cm="1">
        <f t="array" ref="F624">+_xlfn.XLOOKUP(PROYECTOS[[#This Row],[MUNICIPIO]],Table1[Municipio],MUNICIPIOS!F:F,0,0,1)</f>
        <v>#VALUE!</v>
      </c>
      <c r="G624" s="47" t="str">
        <f>+LOOKUP(PROYECTOS[[#This Row],[MUNICIPIO]],Table1[Municipio],Table1[Latitud])</f>
        <v>6,082885</v>
      </c>
      <c r="H624" s="44">
        <f>+LOOKUP(PROYECTOS[[#This Row],[MUNICIPIO]],Table1[Municipio],Table1[PDET])</f>
        <v>0</v>
      </c>
      <c r="I624" s="45">
        <f>+LOOKUP(PROYECTOS[[#This Row],[MUNICIPIO]],Table1[Municipio],Table1[ZOMAC])</f>
        <v>0</v>
      </c>
      <c r="J624" s="34" t="str" cm="1">
        <f t="array" ref="J624">_xlfn.TEXTJOIN(", ", TRUE, IF(radicados[ID PROYECTOS]=A624, radicados[RADICADO], ""))</f>
        <v>2025010350033</v>
      </c>
      <c r="K624" s="45">
        <v>1</v>
      </c>
      <c r="L624" s="212">
        <f>+_xlfn.XLOOKUP(PROYECTOS[[#This Row],[ID_NECESIDAD]],'1.RADICADOS'!G:G,'1.RADICADOS'!J:J,0,0,1)</f>
        <v>0</v>
      </c>
      <c r="M624" s="34" t="s">
        <v>435</v>
      </c>
      <c r="N624" s="40" t="s">
        <v>398</v>
      </c>
      <c r="O624" s="40" t="s">
        <v>25</v>
      </c>
      <c r="P624" s="33" t="s">
        <v>1780</v>
      </c>
      <c r="Q624" s="45"/>
      <c r="R624" s="166"/>
      <c r="S624" s="166"/>
      <c r="T624" s="44">
        <f>+_xlfn.XLOOKUP(PROYECTOS[[#This Row],[MUNICIPIO]],'4.CAP_ENDMNT'!B:B,'4.CAP_ENDMNT'!C:C,0,0,1)</f>
        <v>3</v>
      </c>
      <c r="U624" s="167">
        <f>+_xlfn.XLOOKUP(PROYECTOS[[#This Row],[MUNICIPIO]],'4.CAP_ENDMNT'!B:B,'4.CAP_ENDMNT'!D:D,0,0,1)</f>
        <v>70430942311.208496</v>
      </c>
      <c r="V624" s="44">
        <f>+_xlfn.XLOOKUP(PROYECTOS[[#This Row],[MUNICIPIO]],'4.CAP_ENDMNT'!B:B,'4.CAP_ENDMNT'!E:E,0,0,1)</f>
        <v>29041990033.869999</v>
      </c>
      <c r="W624" s="44">
        <f>+_xlfn.XLOOKUP(PROYECTOS[[#This Row],[MUNICIPIO]],'4.CAP_ENDMNT'!B:B,'4.CAP_ENDMNT'!F:F,0,0,1)</f>
        <v>41388952277.338501</v>
      </c>
      <c r="X624" s="44">
        <f>+_xlfn.XLOOKUP(PROYECTOS[[#This Row],[MUNICIPIO]],'4.CAP_ENDMNT'!B:B,'4.CAP_ENDMNT'!G:G,0,0,1)</f>
        <v>14609948257</v>
      </c>
      <c r="Y624" s="44">
        <f>+_xlfn.XLOOKUP(PROYECTOS[[#This Row],[MUNICIPIO]],'4.CAP_ENDMNT'!B:B,'4.CAP_ENDMNT'!H:H,0,0,1)</f>
        <v>2802411494.09375</v>
      </c>
      <c r="Z624" s="44">
        <f>+_xlfn.XLOOKUP(PROYECTOS[[#This Row],[MUNICIPIO]],'4.CAP_ENDMNT'!B:B,'4.CAP_ENDMNT'!I:I,0,0,1)</f>
        <v>17412359751.09375</v>
      </c>
      <c r="AA624" s="134">
        <f>+_xlfn.XLOOKUP(PROYECTOS[[#This Row],[MUNICIPIO]],'4.CAP_ENDMNT'!B:B,'4.CAP_ENDMNT'!J:J,0,0,1)</f>
        <v>0.24722599442379914</v>
      </c>
      <c r="AB624" s="44">
        <f>+_xlfn.XLOOKUP(PROYECTOS[[#This Row],[MUNICIPIO]],'4.CAP_ENDMNT'!B:B,'4.CAP_ENDMNT'!K:K,0,0,1)</f>
        <v>53018582560.114746</v>
      </c>
      <c r="AC624" s="44">
        <f>+_xlfn.XLOOKUP(PROYECTOS[[#This Row],[MUNICIPIO]],'4.CAP_ENDMNT'!B:B,'4.CAP_ENDMNT'!L:L,0,0,1)</f>
        <v>42414866048.091797</v>
      </c>
      <c r="AD624" s="44">
        <f>+_xlfn.XLOOKUP(PROYECTOS[[#This Row],[MUNICIPIO]],'4.CAP_ENDMNT'!B:B,'4.CAP_ENDMNT'!M:M,0,0,1)</f>
        <v>31811149536.068848</v>
      </c>
      <c r="AE624" s="134">
        <f>+_xlfn.XLOOKUP(PROYECTOS[[#This Row],[MUNICIPIO]],'4.CAP_ENDMNT'!B:B,'4.CAP_ENDMNT'!N:N,0,0,1)</f>
        <v>0.83905619145516919</v>
      </c>
      <c r="AF624" s="134">
        <f>+_xlfn.XLOOKUP(PROYECTOS[[#This Row],[MUNICIPIO]],'4.CAP_ENDMNT'!B:B,'4.CAP_ENDMNT'!O:O,0,0,1)</f>
        <v>0.45782837875910809</v>
      </c>
      <c r="AG624" s="134">
        <f>+_xlfn.XLOOKUP(PROYECTOS[[#This Row],[MUNICIPIO]],'4.CAP_ENDMNT'!B:B,'4.CAP_ENDMNT'!P:P,0,0,1)</f>
        <v>0.7</v>
      </c>
      <c r="AH624" s="44" t="str">
        <f>+_xlfn.XLOOKUP(PROYECTOS[[#This Row],[MUNICIPIO]],'4.CAP_ENDMNT'!B:B,'4.CAP_ENDMNT'!Q:Q,0,0,1)</f>
        <v>Cumple</v>
      </c>
      <c r="AI624" s="139">
        <f>+_xlfn.XLOOKUP(PROYECTOS[[#This Row],[MUNICIPIO]],'4.CAP_ENDMNT'!B:B,'4.CAP_ENDMNT'!V:V,0,0,1)</f>
        <v>6362229907.2137699</v>
      </c>
      <c r="AJ624" s="139">
        <f>+_xlfn.XLOOKUP(PROYECTOS[[#This Row],[MUNICIPIO]],'4.CAP_ENDMNT'!B:B,'4.CAP_ENDMNT'!Y:Y,0,0,1)</f>
        <v>28993841225.282616</v>
      </c>
      <c r="AK624"/>
      <c r="AL624"/>
      <c r="AM624"/>
    </row>
    <row r="625" spans="1:39" ht="15" customHeight="1">
      <c r="A625" s="44">
        <v>742</v>
      </c>
      <c r="B625" s="232" t="str">
        <f>+_xlfn.XLOOKUP(PROYECTOS[[#This Row],[ID_NECESIDAD]],'1.RADICADOS'!G:G,'1.RADICADOS'!H:H,0,0,1)</f>
        <v>Solicitud priorizacion puntos criticos</v>
      </c>
      <c r="C625" s="118">
        <f>+_xlfn.XLOOKUP(PROYECTOS[[#This Row],[ID_NECESIDAD]],'1.RADICADOS'!G:G,'1.RADICADOS'!C:C,0,0,1)*1</f>
        <v>45861</v>
      </c>
      <c r="D625" s="118" t="str">
        <f>+_xlfn.XLOOKUP(PROYECTOS[[#This Row],[ID_NECESIDAD]],'1.RADICADOS'!G:G,'1.RADICADOS'!F:F,0,0,1)</f>
        <v>Dabeiba</v>
      </c>
      <c r="E625" s="47" t="str">
        <f>+_xlfn.XLOOKUP(PROYECTOS[[#This Row],[MUNICIPIO]],MUNICIPIOS!A:A,MUNICIPIOS!E:E,0,0,1)</f>
        <v>Occidente</v>
      </c>
      <c r="F625" s="47" t="e" cm="1">
        <f t="array" ref="F625">+_xlfn.XLOOKUP(PROYECTOS[[#This Row],[MUNICIPIO]],Table1[Municipio],MUNICIPIOS!F:F,0,0,1)</f>
        <v>#VALUE!</v>
      </c>
      <c r="G625" s="47" t="str">
        <f>+LOOKUP(PROYECTOS[[#This Row],[MUNICIPIO]],Table1[Municipio],Table1[Latitud])</f>
        <v>6,394348</v>
      </c>
      <c r="H625" s="44">
        <f>+LOOKUP(PROYECTOS[[#This Row],[MUNICIPIO]],Table1[Municipio],Table1[PDET])</f>
        <v>0</v>
      </c>
      <c r="I625" s="45">
        <f>+LOOKUP(PROYECTOS[[#This Row],[MUNICIPIO]],Table1[Municipio],Table1[ZOMAC])</f>
        <v>1</v>
      </c>
      <c r="J625" s="34" t="str" cm="1">
        <f t="array" ref="J625">_xlfn.TEXTJOIN(", ", TRUE, IF(radicados[ID PROYECTOS]=A625, radicados[RADICADO], ""))</f>
        <v>2025010375043</v>
      </c>
      <c r="K625" s="45">
        <v>2</v>
      </c>
      <c r="L625" s="212">
        <f>+_xlfn.XLOOKUP(PROYECTOS[[#This Row],[ID_NECESIDAD]],'1.RADICADOS'!G:G,'1.RADICADOS'!J:J,0,0,1)</f>
        <v>543000000</v>
      </c>
      <c r="M625" s="34" t="s">
        <v>407</v>
      </c>
      <c r="N625" s="40" t="s">
        <v>398</v>
      </c>
      <c r="O625" s="40" t="s">
        <v>25</v>
      </c>
      <c r="P625" s="33" t="s">
        <v>1781</v>
      </c>
      <c r="Q625" s="45"/>
      <c r="R625" s="166"/>
      <c r="S625" s="166"/>
      <c r="T625" s="44">
        <f>+_xlfn.XLOOKUP(PROYECTOS[[#This Row],[MUNICIPIO]],'4.CAP_ENDMNT'!B:B,'4.CAP_ENDMNT'!C:C,0,0,1)</f>
        <v>6</v>
      </c>
      <c r="U625" s="167">
        <f>+_xlfn.XLOOKUP(PROYECTOS[[#This Row],[MUNICIPIO]],'4.CAP_ENDMNT'!B:B,'4.CAP_ENDMNT'!D:D,0,0,1)</f>
        <v>24612921465.534</v>
      </c>
      <c r="V625" s="44">
        <f>+_xlfn.XLOOKUP(PROYECTOS[[#This Row],[MUNICIPIO]],'4.CAP_ENDMNT'!B:B,'4.CAP_ENDMNT'!E:E,0,0,1)</f>
        <v>6692367651.6599998</v>
      </c>
      <c r="W625" s="44">
        <f>+_xlfn.XLOOKUP(PROYECTOS[[#This Row],[MUNICIPIO]],'4.CAP_ENDMNT'!B:B,'4.CAP_ENDMNT'!F:F,0,0,1)</f>
        <v>17920553813.874001</v>
      </c>
      <c r="X625" s="44">
        <f>+_xlfn.XLOOKUP(PROYECTOS[[#This Row],[MUNICIPIO]],'4.CAP_ENDMNT'!B:B,'4.CAP_ENDMNT'!G:G,0,0,1)</f>
        <v>830923107</v>
      </c>
      <c r="Y625" s="44">
        <f>+_xlfn.XLOOKUP(PROYECTOS[[#This Row],[MUNICIPIO]],'4.CAP_ENDMNT'!B:B,'4.CAP_ENDMNT'!H:H,0,0,1)</f>
        <v>8409573820</v>
      </c>
      <c r="Z625" s="44">
        <f>+_xlfn.XLOOKUP(PROYECTOS[[#This Row],[MUNICIPIO]],'4.CAP_ENDMNT'!B:B,'4.CAP_ENDMNT'!I:I,0,0,1)</f>
        <v>9240496927</v>
      </c>
      <c r="AA625" s="134">
        <f>+_xlfn.XLOOKUP(PROYECTOS[[#This Row],[MUNICIPIO]],'4.CAP_ENDMNT'!B:B,'4.CAP_ENDMNT'!J:J,0,0,1)</f>
        <v>0.37543275551176097</v>
      </c>
      <c r="AB625" s="44">
        <f>+_xlfn.XLOOKUP(PROYECTOS[[#This Row],[MUNICIPIO]],'4.CAP_ENDMNT'!B:B,'4.CAP_ENDMNT'!K:K,0,0,1)</f>
        <v>15372424538.534</v>
      </c>
      <c r="AC625" s="44">
        <f>+_xlfn.XLOOKUP(PROYECTOS[[#This Row],[MUNICIPIO]],'4.CAP_ENDMNT'!B:B,'4.CAP_ENDMNT'!L:L,0,0,1)</f>
        <v>12297939630.827202</v>
      </c>
      <c r="AD625" s="44">
        <f>+_xlfn.XLOOKUP(PROYECTOS[[#This Row],[MUNICIPIO]],'4.CAP_ENDMNT'!B:B,'4.CAP_ENDMNT'!M:M,0,0,1)</f>
        <v>9223454723.1203995</v>
      </c>
      <c r="AE625" s="134">
        <f>+_xlfn.XLOOKUP(PROYECTOS[[#This Row],[MUNICIPIO]],'4.CAP_ENDMNT'!B:B,'4.CAP_ENDMNT'!N:N,0,0,1)</f>
        <v>8.9921907183596203E-2</v>
      </c>
      <c r="AF625" s="134">
        <f>+_xlfn.XLOOKUP(PROYECTOS[[#This Row],[MUNICIPIO]],'4.CAP_ENDMNT'!B:B,'4.CAP_ENDMNT'!O:O,0,0,1)</f>
        <v>0.49254696748300181</v>
      </c>
      <c r="AG625" s="134">
        <f>+_xlfn.XLOOKUP(PROYECTOS[[#This Row],[MUNICIPIO]],'4.CAP_ENDMNT'!B:B,'4.CAP_ENDMNT'!P:P,0,0,1)</f>
        <v>0.8</v>
      </c>
      <c r="AH625" s="44" t="str">
        <f>+_xlfn.XLOOKUP(PROYECTOS[[#This Row],[MUNICIPIO]],'4.CAP_ENDMNT'!B:B,'4.CAP_ENDMNT'!Q:Q,0,0,1)</f>
        <v>Cumple</v>
      </c>
      <c r="AI625" s="139">
        <f>+_xlfn.XLOOKUP(PROYECTOS[[#This Row],[MUNICIPIO]],'4.CAP_ENDMNT'!B:B,'4.CAP_ENDMNT'!V:V,0,0,1)</f>
        <v>1844690944.6240799</v>
      </c>
      <c r="AJ625" s="139">
        <f>+_xlfn.XLOOKUP(PROYECTOS[[#This Row],[MUNICIPIO]],'4.CAP_ENDMNT'!B:B,'4.CAP_ENDMNT'!Y:Y,0,0,1)</f>
        <v>10069545667.74448</v>
      </c>
      <c r="AK625"/>
      <c r="AL625"/>
      <c r="AM625"/>
    </row>
    <row r="626" spans="1:39" ht="15" customHeight="1">
      <c r="A626" s="44">
        <v>743</v>
      </c>
      <c r="B626" s="232" t="str">
        <f>+_xlfn.XLOOKUP(PROYECTOS[[#This Row],[ID_NECESIDAD]],'1.RADICADOS'!G:G,'1.RADICADOS'!H:H,0,0,1)</f>
        <v>Presentacion punto critico vereda El Carmen</v>
      </c>
      <c r="C626" s="118">
        <f>+_xlfn.XLOOKUP(PROYECTOS[[#This Row],[ID_NECESIDAD]],'1.RADICADOS'!G:G,'1.RADICADOS'!C:C,0,0,1)*1</f>
        <v>45873</v>
      </c>
      <c r="D626" s="118" t="str">
        <f>+_xlfn.XLOOKUP(PROYECTOS[[#This Row],[ID_NECESIDAD]],'1.RADICADOS'!G:G,'1.RADICADOS'!F:F,0,0,1)</f>
        <v>El Retiro</v>
      </c>
      <c r="E626" s="47" t="str">
        <f>+_xlfn.XLOOKUP(PROYECTOS[[#This Row],[MUNICIPIO]],MUNICIPIOS!A:A,MUNICIPIOS!E:E,0,0,1)</f>
        <v>Oriente</v>
      </c>
      <c r="F626" s="47" t="e" cm="1">
        <f t="array" ref="F626">+_xlfn.XLOOKUP(PROYECTOS[[#This Row],[MUNICIPIO]],Table1[Municipio],MUNICIPIOS!F:F,0,0,1)</f>
        <v>#VALUE!</v>
      </c>
      <c r="G626" s="47" t="str">
        <f>+LOOKUP(PROYECTOS[[#This Row],[MUNICIPIO]],Table1[Municipio],Table1[Latitud])</f>
        <v>6,062454</v>
      </c>
      <c r="H626" s="44">
        <f>+LOOKUP(PROYECTOS[[#This Row],[MUNICIPIO]],Table1[Municipio],Table1[PDET])</f>
        <v>0</v>
      </c>
      <c r="I626" s="45">
        <f>+LOOKUP(PROYECTOS[[#This Row],[MUNICIPIO]],Table1[Municipio],Table1[ZOMAC])</f>
        <v>0</v>
      </c>
      <c r="J626" s="34" t="str" cm="1">
        <f t="array" ref="J626">_xlfn.TEXTJOIN(", ", TRUE, IF(radicados[ID PROYECTOS]=A626, radicados[RADICADO], ""))</f>
        <v>2025010397658</v>
      </c>
      <c r="K626" s="45">
        <v>2</v>
      </c>
      <c r="L626" s="212">
        <f>+_xlfn.XLOOKUP(PROYECTOS[[#This Row],[ID_NECESIDAD]],'1.RADICADOS'!G:G,'1.RADICADOS'!J:J,0,0,1)</f>
        <v>876299586</v>
      </c>
      <c r="M626" s="34" t="s">
        <v>407</v>
      </c>
      <c r="N626" s="40" t="s">
        <v>398</v>
      </c>
      <c r="O626" s="40" t="s">
        <v>25</v>
      </c>
      <c r="P626" s="33" t="s">
        <v>1782</v>
      </c>
      <c r="Q626" s="45"/>
      <c r="R626" s="166"/>
      <c r="S626" s="166"/>
      <c r="T626" s="44">
        <f>+_xlfn.XLOOKUP(PROYECTOS[[#This Row],[MUNICIPIO]],'4.CAP_ENDMNT'!B:B,'4.CAP_ENDMNT'!C:C,0,0,1)</f>
        <v>3</v>
      </c>
      <c r="U626" s="167">
        <f>+_xlfn.XLOOKUP(PROYECTOS[[#This Row],[MUNICIPIO]],'4.CAP_ENDMNT'!B:B,'4.CAP_ENDMNT'!D:D,0,0,1)</f>
        <v>69187005609.695007</v>
      </c>
      <c r="V626" s="44">
        <f>+_xlfn.XLOOKUP(PROYECTOS[[#This Row],[MUNICIPIO]],'4.CAP_ENDMNT'!B:B,'4.CAP_ENDMNT'!E:E,0,0,1)</f>
        <v>24929217109.209999</v>
      </c>
      <c r="W626" s="44">
        <f>+_xlfn.XLOOKUP(PROYECTOS[[#This Row],[MUNICIPIO]],'4.CAP_ENDMNT'!B:B,'4.CAP_ENDMNT'!F:F,0,0,1)</f>
        <v>44257788500.485008</v>
      </c>
      <c r="X626" s="44">
        <f>+_xlfn.XLOOKUP(PROYECTOS[[#This Row],[MUNICIPIO]],'4.CAP_ENDMNT'!B:B,'4.CAP_ENDMNT'!G:G,0,0,1)</f>
        <v>0</v>
      </c>
      <c r="Y626" s="44">
        <f>+_xlfn.XLOOKUP(PROYECTOS[[#This Row],[MUNICIPIO]],'4.CAP_ENDMNT'!B:B,'4.CAP_ENDMNT'!H:H,0,0,1)</f>
        <v>0</v>
      </c>
      <c r="Z626" s="44">
        <f>+_xlfn.XLOOKUP(PROYECTOS[[#This Row],[MUNICIPIO]],'4.CAP_ENDMNT'!B:B,'4.CAP_ENDMNT'!I:I,0,0,1)</f>
        <v>0</v>
      </c>
      <c r="AA626" s="134">
        <f>+_xlfn.XLOOKUP(PROYECTOS[[#This Row],[MUNICIPIO]],'4.CAP_ENDMNT'!B:B,'4.CAP_ENDMNT'!J:J,0,0,1)</f>
        <v>0</v>
      </c>
      <c r="AB626" s="44">
        <f>+_xlfn.XLOOKUP(PROYECTOS[[#This Row],[MUNICIPIO]],'4.CAP_ENDMNT'!B:B,'4.CAP_ENDMNT'!K:K,0,0,1)</f>
        <v>69187005609.695007</v>
      </c>
      <c r="AC626" s="44">
        <f>+_xlfn.XLOOKUP(PROYECTOS[[#This Row],[MUNICIPIO]],'4.CAP_ENDMNT'!B:B,'4.CAP_ENDMNT'!L:L,0,0,1)</f>
        <v>55349604487.756012</v>
      </c>
      <c r="AD626" s="44">
        <f>+_xlfn.XLOOKUP(PROYECTOS[[#This Row],[MUNICIPIO]],'4.CAP_ENDMNT'!B:B,'4.CAP_ENDMNT'!M:M,0,0,1)</f>
        <v>41512203365.817001</v>
      </c>
      <c r="AE626" s="134">
        <f>+_xlfn.XLOOKUP(PROYECTOS[[#This Row],[MUNICIPIO]],'4.CAP_ENDMNT'!B:B,'4.CAP_ENDMNT'!N:N,0,0,1)</f>
        <v>0</v>
      </c>
      <c r="AF626" s="134">
        <f>+_xlfn.XLOOKUP(PROYECTOS[[#This Row],[MUNICIPIO]],'4.CAP_ENDMNT'!B:B,'4.CAP_ENDMNT'!O:O,0,0,1)</f>
        <v>0.36680132048521774</v>
      </c>
      <c r="AG626" s="134">
        <f>+_xlfn.XLOOKUP(PROYECTOS[[#This Row],[MUNICIPIO]],'4.CAP_ENDMNT'!B:B,'4.CAP_ENDMNT'!P:P,0,0,1)</f>
        <v>0.7</v>
      </c>
      <c r="AH626" s="44" t="str">
        <f>+_xlfn.XLOOKUP(PROYECTOS[[#This Row],[MUNICIPIO]],'4.CAP_ENDMNT'!B:B,'4.CAP_ENDMNT'!Q:Q,0,0,1)</f>
        <v>Cumple</v>
      </c>
      <c r="AI626" s="139">
        <f>+_xlfn.XLOOKUP(PROYECTOS[[#This Row],[MUNICIPIO]],'4.CAP_ENDMNT'!B:B,'4.CAP_ENDMNT'!V:V,0,0,1)</f>
        <v>8302440673.1634007</v>
      </c>
      <c r="AJ626" s="139">
        <f>+_xlfn.XLOOKUP(PROYECTOS[[#This Row],[MUNICIPIO]],'4.CAP_ENDMNT'!B:B,'4.CAP_ENDMNT'!Y:Y,0,0,1)</f>
        <v>9066808020.9804001</v>
      </c>
      <c r="AK626"/>
      <c r="AL626"/>
      <c r="AM626"/>
    </row>
    <row r="627" spans="1:39" ht="15" customHeight="1">
      <c r="A627" s="44">
        <v>745</v>
      </c>
      <c r="B627" s="232" t="str">
        <f>+_xlfn.XLOOKUP(PROYECTOS[[#This Row],[ID_NECESIDAD]],'1.RADICADOS'!G:G,'1.RADICADOS'!H:H,0,0,1)</f>
        <v>Presentacion de estudios y diseños para construccion de puente sobre la quebrada La Pulgarina para conexion de la carrera 49 y calle 44</v>
      </c>
      <c r="C627" s="118">
        <f>+_xlfn.XLOOKUP(PROYECTOS[[#This Row],[ID_NECESIDAD]],'1.RADICADOS'!G:G,'1.RADICADOS'!C:C,0,0,1)*1</f>
        <v>45875</v>
      </c>
      <c r="D627" s="118" t="str">
        <f>+_xlfn.XLOOKUP(PROYECTOS[[#This Row],[ID_NECESIDAD]],'1.RADICADOS'!G:G,'1.RADICADOS'!F:F,0,0,1)</f>
        <v>San Pedro de los Milagros</v>
      </c>
      <c r="E627" s="47" t="str">
        <f>+_xlfn.XLOOKUP(PROYECTOS[[#This Row],[MUNICIPIO]],MUNICIPIOS!A:A,MUNICIPIOS!E:E,0,0,1)</f>
        <v>Norte</v>
      </c>
      <c r="F627" s="47" t="e" cm="1">
        <f t="array" ref="F627">+_xlfn.XLOOKUP(PROYECTOS[[#This Row],[MUNICIPIO]],Table1[Municipio],MUNICIPIOS!F:F,0,0,1)</f>
        <v>#VALUE!</v>
      </c>
      <c r="G627" s="47" t="str">
        <f>+LOOKUP(PROYECTOS[[#This Row],[MUNICIPIO]],Table1[Municipio],Table1[Latitud])</f>
        <v>6,149903</v>
      </c>
      <c r="H627" s="44">
        <f>+LOOKUP(PROYECTOS[[#This Row],[MUNICIPIO]],Table1[Municipio],Table1[PDET])</f>
        <v>0</v>
      </c>
      <c r="I627" s="45">
        <f>+LOOKUP(PROYECTOS[[#This Row],[MUNICIPIO]],Table1[Municipio],Table1[ZOMAC])</f>
        <v>0</v>
      </c>
      <c r="J627" s="34" t="str" cm="1">
        <f t="array" ref="J627">_xlfn.TEXTJOIN(", ", TRUE, IF(radicados[ID PROYECTOS]=A627, radicados[RADICADO], ""))</f>
        <v>2025010402996</v>
      </c>
      <c r="K627" s="45">
        <v>3</v>
      </c>
      <c r="L627" s="212">
        <f>+_xlfn.XLOOKUP(PROYECTOS[[#This Row],[ID_NECESIDAD]],'1.RADICADOS'!G:G,'1.RADICADOS'!J:J,0,0,1)</f>
        <v>2724134640</v>
      </c>
      <c r="M627" s="34" t="s">
        <v>435</v>
      </c>
      <c r="N627" s="40" t="s">
        <v>394</v>
      </c>
      <c r="O627" s="40" t="s">
        <v>18</v>
      </c>
      <c r="P627" s="33" t="s">
        <v>1784</v>
      </c>
      <c r="Q627" s="45"/>
      <c r="R627" s="166"/>
      <c r="S627" s="166"/>
      <c r="T627" s="44">
        <f>+_xlfn.XLOOKUP(PROYECTOS[[#This Row],[MUNICIPIO]],'4.CAP_ENDMNT'!B:B,'4.CAP_ENDMNT'!C:C,0,0,1)</f>
        <v>6</v>
      </c>
      <c r="U627" s="167">
        <f>+_xlfn.XLOOKUP(PROYECTOS[[#This Row],[MUNICIPIO]],'4.CAP_ENDMNT'!B:B,'4.CAP_ENDMNT'!D:D,0,0,1)</f>
        <v>31632055796.696003</v>
      </c>
      <c r="V627" s="44">
        <f>+_xlfn.XLOOKUP(PROYECTOS[[#This Row],[MUNICIPIO]],'4.CAP_ENDMNT'!B:B,'4.CAP_ENDMNT'!E:E,0,0,1)</f>
        <v>14204097707.720001</v>
      </c>
      <c r="W627" s="44">
        <f>+_xlfn.XLOOKUP(PROYECTOS[[#This Row],[MUNICIPIO]],'4.CAP_ENDMNT'!B:B,'4.CAP_ENDMNT'!F:F,0,0,1)</f>
        <v>17427958088.976002</v>
      </c>
      <c r="X627" s="44">
        <f>+_xlfn.XLOOKUP(PROYECTOS[[#This Row],[MUNICIPIO]],'4.CAP_ENDMNT'!B:B,'4.CAP_ENDMNT'!G:G,0,0,1)</f>
        <v>6063106860</v>
      </c>
      <c r="Y627" s="44">
        <f>+_xlfn.XLOOKUP(PROYECTOS[[#This Row],[MUNICIPIO]],'4.CAP_ENDMNT'!B:B,'4.CAP_ENDMNT'!H:H,0,0,1)</f>
        <v>5275762021</v>
      </c>
      <c r="Z627" s="44">
        <f>+_xlfn.XLOOKUP(PROYECTOS[[#This Row],[MUNICIPIO]],'4.CAP_ENDMNT'!B:B,'4.CAP_ENDMNT'!I:I,0,0,1)</f>
        <v>11338868881</v>
      </c>
      <c r="AA627" s="134">
        <f>+_xlfn.XLOOKUP(PROYECTOS[[#This Row],[MUNICIPIO]],'4.CAP_ENDMNT'!B:B,'4.CAP_ENDMNT'!J:J,0,0,1)</f>
        <v>0.35846133282884368</v>
      </c>
      <c r="AB627" s="44">
        <f>+_xlfn.XLOOKUP(PROYECTOS[[#This Row],[MUNICIPIO]],'4.CAP_ENDMNT'!B:B,'4.CAP_ENDMNT'!K:K,0,0,1)</f>
        <v>20293186915.696003</v>
      </c>
      <c r="AC627" s="44">
        <f>+_xlfn.XLOOKUP(PROYECTOS[[#This Row],[MUNICIPIO]],'4.CAP_ENDMNT'!B:B,'4.CAP_ENDMNT'!L:L,0,0,1)</f>
        <v>16234549532.556803</v>
      </c>
      <c r="AD627" s="44">
        <f>+_xlfn.XLOOKUP(PROYECTOS[[#This Row],[MUNICIPIO]],'4.CAP_ENDMNT'!B:B,'4.CAP_ENDMNT'!M:M,0,0,1)</f>
        <v>12175912149.417601</v>
      </c>
      <c r="AE627" s="134">
        <f>+_xlfn.XLOOKUP(PROYECTOS[[#This Row],[MUNICIPIO]],'4.CAP_ENDMNT'!B:B,'4.CAP_ENDMNT'!N:N,0,0,1)</f>
        <v>0.53471884397214064</v>
      </c>
      <c r="AF627" s="134">
        <f>+_xlfn.XLOOKUP(PROYECTOS[[#This Row],[MUNICIPIO]],'4.CAP_ENDMNT'!B:B,'4.CAP_ENDMNT'!O:O,0,0,1)</f>
        <v>0.58208884880898415</v>
      </c>
      <c r="AG627" s="134">
        <f>+_xlfn.XLOOKUP(PROYECTOS[[#This Row],[MUNICIPIO]],'4.CAP_ENDMNT'!B:B,'4.CAP_ENDMNT'!P:P,0,0,1)</f>
        <v>0.8</v>
      </c>
      <c r="AH627" s="44" t="str">
        <f>+_xlfn.XLOOKUP(PROYECTOS[[#This Row],[MUNICIPIO]],'4.CAP_ENDMNT'!B:B,'4.CAP_ENDMNT'!Q:Q,0,0,1)</f>
        <v>Cumple</v>
      </c>
      <c r="AI627" s="139">
        <f>+_xlfn.XLOOKUP(PROYECTOS[[#This Row],[MUNICIPIO]],'4.CAP_ENDMNT'!B:B,'4.CAP_ENDMNT'!V:V,0,0,1)</f>
        <v>2435182429.8835201</v>
      </c>
      <c r="AJ627" s="139">
        <f>+_xlfn.XLOOKUP(PROYECTOS[[#This Row],[MUNICIPIO]],'4.CAP_ENDMNT'!B:B,'4.CAP_ENDMNT'!Y:Y,0,0,1)</f>
        <v>1934959939.3011208</v>
      </c>
      <c r="AK627"/>
      <c r="AL627"/>
      <c r="AM627"/>
    </row>
    <row r="628" spans="1:39" ht="15" customHeight="1">
      <c r="A628" s="44">
        <v>746</v>
      </c>
      <c r="B628" s="232" t="str">
        <f>+_xlfn.XLOOKUP(PROYECTOS[[#This Row],[ID_NECESIDAD]],'1.RADICADOS'!G:G,'1.RADICADOS'!H:H,0,0,1)</f>
        <v>Presentacion proyecto construccion de puente vehicular y obras complementarias sobre quebrada El Salado sector Calicanto</v>
      </c>
      <c r="C628" s="118">
        <f>+_xlfn.XLOOKUP(PROYECTOS[[#This Row],[ID_NECESIDAD]],'1.RADICADOS'!G:G,'1.RADICADOS'!C:C,0,0,1)*1</f>
        <v>45881</v>
      </c>
      <c r="D628" s="118" t="str">
        <f>+_xlfn.XLOOKUP(PROYECTOS[[#This Row],[ID_NECESIDAD]],'1.RADICADOS'!G:G,'1.RADICADOS'!F:F,0,0,1)</f>
        <v>San Vicente Ferrer</v>
      </c>
      <c r="E628" s="47" t="str">
        <f>+_xlfn.XLOOKUP(PROYECTOS[[#This Row],[MUNICIPIO]],MUNICIPIOS!A:A,MUNICIPIOS!E:E,0,0,1)</f>
        <v>Oriente</v>
      </c>
      <c r="F628" s="47" t="e" cm="1">
        <f t="array" ref="F628">+_xlfn.XLOOKUP(PROYECTOS[[#This Row],[MUNICIPIO]],Table1[Municipio],MUNICIPIOS!F:F,0,0,1)</f>
        <v>#VALUE!</v>
      </c>
      <c r="G628" s="47" t="str">
        <f>+LOOKUP(PROYECTOS[[#This Row],[MUNICIPIO]],Table1[Municipio],Table1[Latitud])</f>
        <v>6,149903</v>
      </c>
      <c r="H628" s="44">
        <f>+LOOKUP(PROYECTOS[[#This Row],[MUNICIPIO]],Table1[Municipio],Table1[PDET])</f>
        <v>0</v>
      </c>
      <c r="I628" s="45">
        <f>+LOOKUP(PROYECTOS[[#This Row],[MUNICIPIO]],Table1[Municipio],Table1[ZOMAC])</f>
        <v>0</v>
      </c>
      <c r="J628" s="34" t="str" cm="1">
        <f t="array" ref="J628">_xlfn.TEXTJOIN(", ", TRUE, IF(radicados[ID PROYECTOS]=A628, radicados[RADICADO], ""))</f>
        <v>2025010415016</v>
      </c>
      <c r="K628" s="45">
        <v>3</v>
      </c>
      <c r="L628" s="212">
        <f>+_xlfn.XLOOKUP(PROYECTOS[[#This Row],[ID_NECESIDAD]],'1.RADICADOS'!G:G,'1.RADICADOS'!J:J,0,0,1)</f>
        <v>335272874</v>
      </c>
      <c r="M628" s="34" t="s">
        <v>435</v>
      </c>
      <c r="N628" s="40" t="s">
        <v>394</v>
      </c>
      <c r="O628" s="40" t="s">
        <v>18</v>
      </c>
      <c r="P628" s="33" t="s">
        <v>1785</v>
      </c>
      <c r="Q628" s="45"/>
      <c r="R628" s="166"/>
      <c r="S628" s="166"/>
      <c r="T628" s="44">
        <f>+_xlfn.XLOOKUP(PROYECTOS[[#This Row],[MUNICIPIO]],'4.CAP_ENDMNT'!B:B,'4.CAP_ENDMNT'!C:C,0,0,1)</f>
        <v>6</v>
      </c>
      <c r="U628" s="167">
        <f>+_xlfn.XLOOKUP(PROYECTOS[[#This Row],[MUNICIPIO]],'4.CAP_ENDMNT'!B:B,'4.CAP_ENDMNT'!D:D,0,0,1)</f>
        <v>18910688140.249004</v>
      </c>
      <c r="V628" s="44">
        <f>+_xlfn.XLOOKUP(PROYECTOS[[#This Row],[MUNICIPIO]],'4.CAP_ENDMNT'!B:B,'4.CAP_ENDMNT'!E:E,0,0,1)</f>
        <v>5456011434.4000006</v>
      </c>
      <c r="W628" s="44">
        <f>+_xlfn.XLOOKUP(PROYECTOS[[#This Row],[MUNICIPIO]],'4.CAP_ENDMNT'!B:B,'4.CAP_ENDMNT'!F:F,0,0,1)</f>
        <v>13454676705.849003</v>
      </c>
      <c r="X628" s="44">
        <f>+_xlfn.XLOOKUP(PROYECTOS[[#This Row],[MUNICIPIO]],'4.CAP_ENDMNT'!B:B,'4.CAP_ENDMNT'!G:G,0,0,1)</f>
        <v>5580933878</v>
      </c>
      <c r="Y628" s="44">
        <f>+_xlfn.XLOOKUP(PROYECTOS[[#This Row],[MUNICIPIO]],'4.CAP_ENDMNT'!B:B,'4.CAP_ENDMNT'!H:H,0,0,1)</f>
        <v>4737487939</v>
      </c>
      <c r="Z628" s="44">
        <f>+_xlfn.XLOOKUP(PROYECTOS[[#This Row],[MUNICIPIO]],'4.CAP_ENDMNT'!B:B,'4.CAP_ENDMNT'!I:I,0,0,1)</f>
        <v>10318421817</v>
      </c>
      <c r="AA628" s="134">
        <f>+_xlfn.XLOOKUP(PROYECTOS[[#This Row],[MUNICIPIO]],'4.CAP_ENDMNT'!B:B,'4.CAP_ENDMNT'!J:J,0,0,1)</f>
        <v>0.5456396795544709</v>
      </c>
      <c r="AB628" s="44">
        <f>+_xlfn.XLOOKUP(PROYECTOS[[#This Row],[MUNICIPIO]],'4.CAP_ENDMNT'!B:B,'4.CAP_ENDMNT'!K:K,0,0,1)</f>
        <v>8592266323.2490044</v>
      </c>
      <c r="AC628" s="44">
        <f>+_xlfn.XLOOKUP(PROYECTOS[[#This Row],[MUNICIPIO]],'4.CAP_ENDMNT'!B:B,'4.CAP_ENDMNT'!L:L,0,0,1)</f>
        <v>6873813058.5992041</v>
      </c>
      <c r="AD628" s="44">
        <f>+_xlfn.XLOOKUP(PROYECTOS[[#This Row],[MUNICIPIO]],'4.CAP_ENDMNT'!B:B,'4.CAP_ENDMNT'!M:M,0,0,1)</f>
        <v>5155359793.9494028</v>
      </c>
      <c r="AE628" s="134">
        <f>+_xlfn.XLOOKUP(PROYECTOS[[#This Row],[MUNICIPIO]],'4.CAP_ENDMNT'!B:B,'4.CAP_ENDMNT'!N:N,0,0,1)</f>
        <v>0.54087087899480857</v>
      </c>
      <c r="AF628" s="134">
        <f>+_xlfn.XLOOKUP(PROYECTOS[[#This Row],[MUNICIPIO]],'4.CAP_ENDMNT'!B:B,'4.CAP_ENDMNT'!O:O,0,0,1)</f>
        <v>0.45745893515208286</v>
      </c>
      <c r="AG628" s="134">
        <f>+_xlfn.XLOOKUP(PROYECTOS[[#This Row],[MUNICIPIO]],'4.CAP_ENDMNT'!B:B,'4.CAP_ENDMNT'!P:P,0,0,1)</f>
        <v>0.8</v>
      </c>
      <c r="AH628" s="44" t="str">
        <f>+_xlfn.XLOOKUP(PROYECTOS[[#This Row],[MUNICIPIO]],'4.CAP_ENDMNT'!B:B,'4.CAP_ENDMNT'!Q:Q,0,0,1)</f>
        <v>Cumple</v>
      </c>
      <c r="AI628" s="139">
        <f>+_xlfn.XLOOKUP(PROYECTOS[[#This Row],[MUNICIPIO]],'4.CAP_ENDMNT'!B:B,'4.CAP_ENDMNT'!V:V,0,0,1)</f>
        <v>1031071958.7898806</v>
      </c>
      <c r="AJ628" s="139">
        <f>+_xlfn.XLOOKUP(PROYECTOS[[#This Row],[MUNICIPIO]],'4.CAP_ENDMNT'!B:B,'4.CAP_ENDMNT'!Y:Y,0,0,1)</f>
        <v>-1865703790.2607164</v>
      </c>
      <c r="AK628"/>
      <c r="AL628"/>
      <c r="AM628"/>
    </row>
    <row r="629" spans="1:39" ht="15" customHeight="1">
      <c r="A629" s="44">
        <v>747</v>
      </c>
      <c r="B629" s="239" t="s">
        <v>1787</v>
      </c>
      <c r="C629" s="118">
        <f>+_xlfn.XLOOKUP(PROYECTOS[[#This Row],[ID_NECESIDAD]],'1.RADICADOS'!G:G,'1.RADICADOS'!C:C,0,0,1)*1</f>
        <v>45891</v>
      </c>
      <c r="D629" s="118" t="str">
        <f>+_xlfn.XLOOKUP(PROYECTOS[[#This Row],[ID_NECESIDAD]],'1.RADICADOS'!G:G,'1.RADICADOS'!F:F,0,0,1)</f>
        <v>Tarazá</v>
      </c>
      <c r="E629" s="47" t="str">
        <f>+_xlfn.XLOOKUP(PROYECTOS[[#This Row],[MUNICIPIO]],MUNICIPIOS!A:A,MUNICIPIOS!E:E,0,0,1)</f>
        <v>Bajo Cauca</v>
      </c>
      <c r="F629" s="47" t="e" cm="1">
        <f t="array" ref="F629">+_xlfn.XLOOKUP(PROYECTOS[[#This Row],[MUNICIPIO]],Table1[Municipio],MUNICIPIOS!F:F,0,0,1)</f>
        <v>#VALUE!</v>
      </c>
      <c r="G629" s="47" t="str">
        <f>+LOOKUP(PROYECTOS[[#This Row],[MUNICIPIO]],Table1[Municipio],Table1[Latitud])</f>
        <v>6,149903</v>
      </c>
      <c r="H629" s="44">
        <f>+LOOKUP(PROYECTOS[[#This Row],[MUNICIPIO]],Table1[Municipio],Table1[PDET])</f>
        <v>0</v>
      </c>
      <c r="I629" s="45">
        <f>+LOOKUP(PROYECTOS[[#This Row],[MUNICIPIO]],Table1[Municipio],Table1[ZOMAC])</f>
        <v>0</v>
      </c>
      <c r="J629" s="34" t="str" cm="1">
        <f t="array" ref="J629">_xlfn.TEXTJOIN(", ", TRUE, IF(radicados[ID PROYECTOS]=A629, radicados[RADICADO], ""))</f>
        <v>0</v>
      </c>
      <c r="K629" s="45">
        <v>3</v>
      </c>
      <c r="L629" s="212">
        <f>+_xlfn.XLOOKUP(PROYECTOS[[#This Row],[ID_NECESIDAD]],'1.RADICADOS'!G:G,'1.RADICADOS'!J:J,0,0,1)</f>
        <v>3222313981</v>
      </c>
      <c r="M629" s="34" t="s">
        <v>407</v>
      </c>
      <c r="N629" s="40" t="s">
        <v>398</v>
      </c>
      <c r="O629" s="40" t="s">
        <v>25</v>
      </c>
      <c r="P629" s="213" t="s">
        <v>1788</v>
      </c>
      <c r="Q629" s="45"/>
      <c r="R629" s="166"/>
      <c r="S629" s="166"/>
      <c r="T629" s="44">
        <f>+_xlfn.XLOOKUP(PROYECTOS[[#This Row],[MUNICIPIO]],'4.CAP_ENDMNT'!B:B,'4.CAP_ENDMNT'!C:C,0,0,1)</f>
        <v>6</v>
      </c>
      <c r="U629" s="167">
        <f>+_xlfn.XLOOKUP(PROYECTOS[[#This Row],[MUNICIPIO]],'4.CAP_ENDMNT'!B:B,'4.CAP_ENDMNT'!D:D,0,0,1)</f>
        <v>12386294028.284</v>
      </c>
      <c r="V629" s="44">
        <f>+_xlfn.XLOOKUP(PROYECTOS[[#This Row],[MUNICIPIO]],'4.CAP_ENDMNT'!B:B,'4.CAP_ENDMNT'!E:E,0,0,1)</f>
        <v>5371610026.9800005</v>
      </c>
      <c r="W629" s="44">
        <f>+_xlfn.XLOOKUP(PROYECTOS[[#This Row],[MUNICIPIO]],'4.CAP_ENDMNT'!B:B,'4.CAP_ENDMNT'!F:F,0,0,1)</f>
        <v>7014684001.3039999</v>
      </c>
      <c r="X629" s="44">
        <f>+_xlfn.XLOOKUP(PROYECTOS[[#This Row],[MUNICIPIO]],'4.CAP_ENDMNT'!B:B,'4.CAP_ENDMNT'!G:G,0,0,1)</f>
        <v>1476389847</v>
      </c>
      <c r="Y629" s="44">
        <f>+_xlfn.XLOOKUP(PROYECTOS[[#This Row],[MUNICIPIO]],'4.CAP_ENDMNT'!B:B,'4.CAP_ENDMNT'!H:H,0,0,1)</f>
        <v>1615533927.0799999</v>
      </c>
      <c r="Z629" s="44">
        <f>+_xlfn.XLOOKUP(PROYECTOS[[#This Row],[MUNICIPIO]],'4.CAP_ENDMNT'!B:B,'4.CAP_ENDMNT'!I:I,0,0,1)</f>
        <v>3091923774.0799999</v>
      </c>
      <c r="AA629" s="134">
        <f>+_xlfn.XLOOKUP(PROYECTOS[[#This Row],[MUNICIPIO]],'4.CAP_ENDMNT'!B:B,'4.CAP_ENDMNT'!J:J,0,0,1)</f>
        <v>0.24962460660304184</v>
      </c>
      <c r="AB629" s="44">
        <f>+_xlfn.XLOOKUP(PROYECTOS[[#This Row],[MUNICIPIO]],'4.CAP_ENDMNT'!B:B,'4.CAP_ENDMNT'!K:K,0,0,1)</f>
        <v>9294370254.2040005</v>
      </c>
      <c r="AC629" s="44">
        <f>+_xlfn.XLOOKUP(PROYECTOS[[#This Row],[MUNICIPIO]],'4.CAP_ENDMNT'!B:B,'4.CAP_ENDMNT'!L:L,0,0,1)</f>
        <v>7435496203.3632011</v>
      </c>
      <c r="AD629" s="44">
        <f>+_xlfn.XLOOKUP(PROYECTOS[[#This Row],[MUNICIPIO]],'4.CAP_ENDMNT'!B:B,'4.CAP_ENDMNT'!M:M,0,0,1)</f>
        <v>5576622152.5223999</v>
      </c>
      <c r="AE629" s="134">
        <f>+_xlfn.XLOOKUP(PROYECTOS[[#This Row],[MUNICIPIO]],'4.CAP_ENDMNT'!B:B,'4.CAP_ENDMNT'!N:N,0,0,1)</f>
        <v>0.47749878550589397</v>
      </c>
      <c r="AF629" s="134">
        <f>+_xlfn.XLOOKUP(PROYECTOS[[#This Row],[MUNICIPIO]],'4.CAP_ENDMNT'!B:B,'4.CAP_ENDMNT'!O:O,0,0,1)</f>
        <v>0.88953529502502671</v>
      </c>
      <c r="AG629" s="134">
        <f>+_xlfn.XLOOKUP(PROYECTOS[[#This Row],[MUNICIPIO]],'4.CAP_ENDMNT'!B:B,'4.CAP_ENDMNT'!P:P,0,0,1)</f>
        <v>0.8</v>
      </c>
      <c r="AH629" s="44" t="str">
        <f>+_xlfn.XLOOKUP(PROYECTOS[[#This Row],[MUNICIPIO]],'4.CAP_ENDMNT'!B:B,'4.CAP_ENDMNT'!Q:Q,0,0,1)</f>
        <v>Incumple</v>
      </c>
      <c r="AI629" s="139">
        <f>+_xlfn.XLOOKUP(PROYECTOS[[#This Row],[MUNICIPIO]],'4.CAP_ENDMNT'!B:B,'4.CAP_ENDMNT'!V:V,0,0,1)</f>
        <v>1115324430.5044801</v>
      </c>
      <c r="AJ629" s="139">
        <f>+_xlfn.XLOOKUP(PROYECTOS[[#This Row],[MUNICIPIO]],'4.CAP_ENDMNT'!B:B,'4.CAP_ENDMNT'!Y:Y,0,0,1)</f>
        <v>-530367397.97311974</v>
      </c>
      <c r="AK629"/>
      <c r="AL629"/>
      <c r="AM629"/>
    </row>
    <row r="630" spans="1:39" ht="15" customHeight="1">
      <c r="A630" s="261">
        <v>748</v>
      </c>
      <c r="B630" s="232" t="str">
        <f>+_xlfn.XLOOKUP(PROYECTOS[[#This Row],[ID_NECESIDAD]],'1.RADICADOS'!G:G,'1.RADICADOS'!H:H,0,0,1)</f>
        <v>PAVIMENTACION DE LA VIA DEL TRAYECTO GIRARDOTA, LIMONAR, LA HOLANDA Y EL ESPINAL HASTA SAN PEDRO DE LOS MILAGROS</v>
      </c>
      <c r="C630" s="118">
        <f>+_xlfn.XLOOKUP(PROYECTOS[[#This Row],[ID_NECESIDAD]],'1.RADICADOS'!G:G,'1.RADICADOS'!C:C,0,0,1)*1</f>
        <v>45796</v>
      </c>
      <c r="D630" s="118" t="str">
        <f>+_xlfn.XLOOKUP(PROYECTOS[[#This Row],[ID_NECESIDAD]],'1.RADICADOS'!G:G,'1.RADICADOS'!F:F,0,0,1)</f>
        <v>San Pedro de los Milagros</v>
      </c>
      <c r="E630" s="257" t="str">
        <f>+_xlfn.XLOOKUP(PROYECTOS[[#This Row],[MUNICIPIO]],MUNICIPIOS!A:A,MUNICIPIOS!E:E,0,0,1)</f>
        <v>Norte</v>
      </c>
      <c r="F630" s="257" t="e" cm="1">
        <f t="array" ref="F630">+_xlfn.XLOOKUP(PROYECTOS[[#This Row],[MUNICIPIO]],Table1[Municipio],MUNICIPIOS!F:F,0,0,1)</f>
        <v>#VALUE!</v>
      </c>
      <c r="G630" s="257" t="str">
        <f>+LOOKUP(PROYECTOS[[#This Row],[MUNICIPIO]],Table1[Municipio],Table1[Latitud])</f>
        <v>6,149903</v>
      </c>
      <c r="H630" s="258">
        <f>+LOOKUP(PROYECTOS[[#This Row],[MUNICIPIO]],Table1[Municipio],Table1[PDET])</f>
        <v>0</v>
      </c>
      <c r="I630" s="259">
        <f>+LOOKUP(PROYECTOS[[#This Row],[MUNICIPIO]],Table1[Municipio],Table1[ZOMAC])</f>
        <v>0</v>
      </c>
      <c r="J630" s="260" t="str" cm="1">
        <f t="array" ref="J630">_xlfn.TEXTJOIN(", ", TRUE, IF(radicados[ID PROYECTOS]=A630, radicados[RADICADO], ""))</f>
        <v>2025010246874</v>
      </c>
      <c r="K630" s="240">
        <v>1</v>
      </c>
      <c r="L630" s="212"/>
      <c r="M630" s="246" t="s">
        <v>396</v>
      </c>
      <c r="N630" s="205" t="s">
        <v>398</v>
      </c>
      <c r="O630" s="205" t="s">
        <v>25</v>
      </c>
      <c r="P630" s="246" t="s">
        <v>1790</v>
      </c>
      <c r="Q630" s="45"/>
      <c r="R630" s="166"/>
      <c r="S630" s="166"/>
      <c r="T630" s="258">
        <f>+_xlfn.XLOOKUP(PROYECTOS[[#This Row],[MUNICIPIO]],'4.CAP_ENDMNT'!B:B,'4.CAP_ENDMNT'!C:C,0,0,1)</f>
        <v>6</v>
      </c>
      <c r="U630" s="167">
        <f>+_xlfn.XLOOKUP(PROYECTOS[[#This Row],[MUNICIPIO]],'4.CAP_ENDMNT'!B:B,'4.CAP_ENDMNT'!D:D,0,0,1)</f>
        <v>31632055796.696003</v>
      </c>
      <c r="V630" s="258">
        <f>+_xlfn.XLOOKUP(PROYECTOS[[#This Row],[MUNICIPIO]],'4.CAP_ENDMNT'!B:B,'4.CAP_ENDMNT'!E:E,0,0,1)</f>
        <v>14204097707.720001</v>
      </c>
      <c r="W630" s="258">
        <f>+_xlfn.XLOOKUP(PROYECTOS[[#This Row],[MUNICIPIO]],'4.CAP_ENDMNT'!B:B,'4.CAP_ENDMNT'!F:F,0,0,1)</f>
        <v>17427958088.976002</v>
      </c>
      <c r="X630" s="258">
        <f>+_xlfn.XLOOKUP(PROYECTOS[[#This Row],[MUNICIPIO]],'4.CAP_ENDMNT'!B:B,'4.CAP_ENDMNT'!G:G,0,0,1)</f>
        <v>6063106860</v>
      </c>
      <c r="Y630" s="258">
        <f>+_xlfn.XLOOKUP(PROYECTOS[[#This Row],[MUNICIPIO]],'4.CAP_ENDMNT'!B:B,'4.CAP_ENDMNT'!H:H,0,0,1)</f>
        <v>5275762021</v>
      </c>
      <c r="Z630" s="258">
        <f>+_xlfn.XLOOKUP(PROYECTOS[[#This Row],[MUNICIPIO]],'4.CAP_ENDMNT'!B:B,'4.CAP_ENDMNT'!I:I,0,0,1)</f>
        <v>11338868881</v>
      </c>
      <c r="AA630" s="134">
        <f>+_xlfn.XLOOKUP(PROYECTOS[[#This Row],[MUNICIPIO]],'4.CAP_ENDMNT'!B:B,'4.CAP_ENDMNT'!J:J,0,0,1)</f>
        <v>0.35846133282884368</v>
      </c>
      <c r="AB630" s="258">
        <f>+_xlfn.XLOOKUP(PROYECTOS[[#This Row],[MUNICIPIO]],'4.CAP_ENDMNT'!B:B,'4.CAP_ENDMNT'!K:K,0,0,1)</f>
        <v>20293186915.696003</v>
      </c>
      <c r="AC630" s="258">
        <f>+_xlfn.XLOOKUP(PROYECTOS[[#This Row],[MUNICIPIO]],'4.CAP_ENDMNT'!B:B,'4.CAP_ENDMNT'!L:L,0,0,1)</f>
        <v>16234549532.556803</v>
      </c>
      <c r="AD630" s="258">
        <f>+_xlfn.XLOOKUP(PROYECTOS[[#This Row],[MUNICIPIO]],'4.CAP_ENDMNT'!B:B,'4.CAP_ENDMNT'!M:M,0,0,1)</f>
        <v>12175912149.417601</v>
      </c>
      <c r="AE630" s="134">
        <f>+_xlfn.XLOOKUP(PROYECTOS[[#This Row],[MUNICIPIO]],'4.CAP_ENDMNT'!B:B,'4.CAP_ENDMNT'!N:N,0,0,1)</f>
        <v>0.53471884397214064</v>
      </c>
      <c r="AF630" s="134">
        <f>+_xlfn.XLOOKUP(PROYECTOS[[#This Row],[MUNICIPIO]],'4.CAP_ENDMNT'!B:B,'4.CAP_ENDMNT'!O:O,0,0,1)</f>
        <v>0.58208884880898415</v>
      </c>
      <c r="AG630" s="134">
        <f>+_xlfn.XLOOKUP(PROYECTOS[[#This Row],[MUNICIPIO]],'4.CAP_ENDMNT'!B:B,'4.CAP_ENDMNT'!P:P,0,0,1)</f>
        <v>0.8</v>
      </c>
      <c r="AH630" s="258" t="str">
        <f>+_xlfn.XLOOKUP(PROYECTOS[[#This Row],[MUNICIPIO]],'4.CAP_ENDMNT'!B:B,'4.CAP_ENDMNT'!Q:Q,0,0,1)</f>
        <v>Cumple</v>
      </c>
      <c r="AI630" s="139">
        <f>+_xlfn.XLOOKUP(PROYECTOS[[#This Row],[MUNICIPIO]],'4.CAP_ENDMNT'!B:B,'4.CAP_ENDMNT'!V:V,0,0,1)</f>
        <v>2435182429.8835201</v>
      </c>
      <c r="AJ630" s="139">
        <f>+_xlfn.XLOOKUP(PROYECTOS[[#This Row],[MUNICIPIO]],'4.CAP_ENDMNT'!B:B,'4.CAP_ENDMNT'!Y:Y,0,0,1)</f>
        <v>1934959939.3011208</v>
      </c>
      <c r="AK630"/>
      <c r="AL630"/>
      <c r="AM630"/>
    </row>
    <row r="631" spans="1:39" ht="15" customHeight="1">
      <c r="A631" s="262">
        <v>749</v>
      </c>
      <c r="B631" s="232" t="str">
        <f>+_xlfn.XLOOKUP(PROYECTOS[[#This Row],[ID_NECESIDAD]],'1.RADICADOS'!G:G,'1.RADICADOS'!H:H,0,0,1)</f>
        <v>Pavimentación de la vía que conecta la Cabecera Urbana del Municipio y el AETCR Llanogrande del Municipio de Dabeiba Antioquía</v>
      </c>
      <c r="C631" s="118">
        <f>+_xlfn.XLOOKUP(PROYECTOS[[#This Row],[ID_NECESIDAD]],'1.RADICADOS'!G:G,'1.RADICADOS'!C:C,0,0,1)*1</f>
        <v>45902</v>
      </c>
      <c r="D631" s="118" t="str">
        <f>+_xlfn.XLOOKUP(PROYECTOS[[#This Row],[ID_NECESIDAD]],'1.RADICADOS'!G:G,'1.RADICADOS'!F:F,0,0,1)</f>
        <v>Dabeiba</v>
      </c>
      <c r="E631" s="257" t="str">
        <f>+_xlfn.XLOOKUP(PROYECTOS[[#This Row],[MUNICIPIO]],MUNICIPIOS!A:A,MUNICIPIOS!E:E,0,0,1)</f>
        <v>Occidente</v>
      </c>
      <c r="F631" s="257" t="e" cm="1">
        <f t="array" ref="F631">+_xlfn.XLOOKUP(PROYECTOS[[#This Row],[MUNICIPIO]],Table1[Municipio],MUNICIPIOS!F:F,0,0,1)</f>
        <v>#VALUE!</v>
      </c>
      <c r="G631" s="257" t="str">
        <f>+LOOKUP(PROYECTOS[[#This Row],[MUNICIPIO]],Table1[Municipio],Table1[Latitud])</f>
        <v>6,394348</v>
      </c>
      <c r="H631" s="258">
        <f>+LOOKUP(PROYECTOS[[#This Row],[MUNICIPIO]],Table1[Municipio],Table1[PDET])</f>
        <v>0</v>
      </c>
      <c r="I631" s="259">
        <f>+LOOKUP(PROYECTOS[[#This Row],[MUNICIPIO]],Table1[Municipio],Table1[ZOMAC])</f>
        <v>1</v>
      </c>
      <c r="J631" s="260" t="str" cm="1">
        <f t="array" ref="J631">_xlfn.TEXTJOIN(", ", TRUE, IF(radicados[ID PROYECTOS]=A631, radicados[RADICADO], ""))</f>
        <v>2025010459138</v>
      </c>
      <c r="K631" s="242">
        <v>1</v>
      </c>
      <c r="L631" s="212"/>
      <c r="M631" s="247" t="s">
        <v>396</v>
      </c>
      <c r="N631" s="241" t="s">
        <v>398</v>
      </c>
      <c r="O631" s="241" t="s">
        <v>25</v>
      </c>
      <c r="P631" s="247" t="s">
        <v>1834</v>
      </c>
      <c r="Q631" s="45"/>
      <c r="R631" s="166"/>
      <c r="S631" s="166"/>
      <c r="T631" s="258">
        <f>+_xlfn.XLOOKUP(PROYECTOS[[#This Row],[MUNICIPIO]],'4.CAP_ENDMNT'!B:B,'4.CAP_ENDMNT'!C:C,0,0,1)</f>
        <v>6</v>
      </c>
      <c r="U631" s="167">
        <f>+_xlfn.XLOOKUP(PROYECTOS[[#This Row],[MUNICIPIO]],'4.CAP_ENDMNT'!B:B,'4.CAP_ENDMNT'!D:D,0,0,1)</f>
        <v>24612921465.534</v>
      </c>
      <c r="V631" s="258">
        <f>+_xlfn.XLOOKUP(PROYECTOS[[#This Row],[MUNICIPIO]],'4.CAP_ENDMNT'!B:B,'4.CAP_ENDMNT'!E:E,0,0,1)</f>
        <v>6692367651.6599998</v>
      </c>
      <c r="W631" s="258">
        <f>+_xlfn.XLOOKUP(PROYECTOS[[#This Row],[MUNICIPIO]],'4.CAP_ENDMNT'!B:B,'4.CAP_ENDMNT'!F:F,0,0,1)</f>
        <v>17920553813.874001</v>
      </c>
      <c r="X631" s="258">
        <f>+_xlfn.XLOOKUP(PROYECTOS[[#This Row],[MUNICIPIO]],'4.CAP_ENDMNT'!B:B,'4.CAP_ENDMNT'!G:G,0,0,1)</f>
        <v>830923107</v>
      </c>
      <c r="Y631" s="258">
        <f>+_xlfn.XLOOKUP(PROYECTOS[[#This Row],[MUNICIPIO]],'4.CAP_ENDMNT'!B:B,'4.CAP_ENDMNT'!H:H,0,0,1)</f>
        <v>8409573820</v>
      </c>
      <c r="Z631" s="258">
        <f>+_xlfn.XLOOKUP(PROYECTOS[[#This Row],[MUNICIPIO]],'4.CAP_ENDMNT'!B:B,'4.CAP_ENDMNT'!I:I,0,0,1)</f>
        <v>9240496927</v>
      </c>
      <c r="AA631" s="134">
        <f>+_xlfn.XLOOKUP(PROYECTOS[[#This Row],[MUNICIPIO]],'4.CAP_ENDMNT'!B:B,'4.CAP_ENDMNT'!J:J,0,0,1)</f>
        <v>0.37543275551176097</v>
      </c>
      <c r="AB631" s="258">
        <f>+_xlfn.XLOOKUP(PROYECTOS[[#This Row],[MUNICIPIO]],'4.CAP_ENDMNT'!B:B,'4.CAP_ENDMNT'!K:K,0,0,1)</f>
        <v>15372424538.534</v>
      </c>
      <c r="AC631" s="258">
        <f>+_xlfn.XLOOKUP(PROYECTOS[[#This Row],[MUNICIPIO]],'4.CAP_ENDMNT'!B:B,'4.CAP_ENDMNT'!L:L,0,0,1)</f>
        <v>12297939630.827202</v>
      </c>
      <c r="AD631" s="258">
        <f>+_xlfn.XLOOKUP(PROYECTOS[[#This Row],[MUNICIPIO]],'4.CAP_ENDMNT'!B:B,'4.CAP_ENDMNT'!M:M,0,0,1)</f>
        <v>9223454723.1203995</v>
      </c>
      <c r="AE631" s="134">
        <f>+_xlfn.XLOOKUP(PROYECTOS[[#This Row],[MUNICIPIO]],'4.CAP_ENDMNT'!B:B,'4.CAP_ENDMNT'!N:N,0,0,1)</f>
        <v>8.9921907183596203E-2</v>
      </c>
      <c r="AF631" s="134">
        <f>+_xlfn.XLOOKUP(PROYECTOS[[#This Row],[MUNICIPIO]],'4.CAP_ENDMNT'!B:B,'4.CAP_ENDMNT'!O:O,0,0,1)</f>
        <v>0.49254696748300181</v>
      </c>
      <c r="AG631" s="134">
        <f>+_xlfn.XLOOKUP(PROYECTOS[[#This Row],[MUNICIPIO]],'4.CAP_ENDMNT'!B:B,'4.CAP_ENDMNT'!P:P,0,0,1)</f>
        <v>0.8</v>
      </c>
      <c r="AH631" s="258" t="str">
        <f>+_xlfn.XLOOKUP(PROYECTOS[[#This Row],[MUNICIPIO]],'4.CAP_ENDMNT'!B:B,'4.CAP_ENDMNT'!Q:Q,0,0,1)</f>
        <v>Cumple</v>
      </c>
      <c r="AI631" s="139">
        <f>+_xlfn.XLOOKUP(PROYECTOS[[#This Row],[MUNICIPIO]],'4.CAP_ENDMNT'!B:B,'4.CAP_ENDMNT'!V:V,0,0,1)</f>
        <v>1844690944.6240799</v>
      </c>
      <c r="AJ631" s="139">
        <f>+_xlfn.XLOOKUP(PROYECTOS[[#This Row],[MUNICIPIO]],'4.CAP_ENDMNT'!B:B,'4.CAP_ENDMNT'!Y:Y,0,0,1)</f>
        <v>10069545667.74448</v>
      </c>
      <c r="AK631"/>
      <c r="AL631"/>
      <c r="AM631"/>
    </row>
    <row r="632" spans="1:39" ht="15" customHeight="1">
      <c r="A632" s="261">
        <v>750</v>
      </c>
      <c r="B632" s="232" t="str">
        <f>+_xlfn.XLOOKUP(PROYECTOS[[#This Row],[ID_NECESIDAD]],'1.RADICADOS'!G:G,'1.RADICADOS'!H:H,0,0,1)</f>
        <v>Solicitud de apoyo para construcción de placa huella en las veredas San Antonio y San Juan Llano – Municipio de Concepción, Antioquia.</v>
      </c>
      <c r="C632" s="118">
        <f>+_xlfn.XLOOKUP(PROYECTOS[[#This Row],[ID_NECESIDAD]],'1.RADICADOS'!G:G,'1.RADICADOS'!C:C,0,0,1)*1</f>
        <v>45903</v>
      </c>
      <c r="D632" s="118" t="str">
        <f>+_xlfn.XLOOKUP(PROYECTOS[[#This Row],[ID_NECESIDAD]],'1.RADICADOS'!G:G,'1.RADICADOS'!F:F,0,0,1)</f>
        <v>Concepción</v>
      </c>
      <c r="E632" s="257" t="str">
        <f>+_xlfn.XLOOKUP(PROYECTOS[[#This Row],[MUNICIPIO]],MUNICIPIOS!A:A,MUNICIPIOS!E:E,0,0,1)</f>
        <v>Oriente</v>
      </c>
      <c r="F632" s="257" t="e" cm="1">
        <f t="array" ref="F632">+_xlfn.XLOOKUP(PROYECTOS[[#This Row],[MUNICIPIO]],Table1[Municipio],MUNICIPIOS!F:F,0,0,1)</f>
        <v>#VALUE!</v>
      </c>
      <c r="G632" s="257" t="str">
        <f>+LOOKUP(PROYECTOS[[#This Row],[MUNICIPIO]],Table1[Municipio],Table1[Latitud])</f>
        <v>6,394348</v>
      </c>
      <c r="H632" s="258">
        <f>+LOOKUP(PROYECTOS[[#This Row],[MUNICIPIO]],Table1[Municipio],Table1[PDET])</f>
        <v>0</v>
      </c>
      <c r="I632" s="259">
        <f>+LOOKUP(PROYECTOS[[#This Row],[MUNICIPIO]],Table1[Municipio],Table1[ZOMAC])</f>
        <v>1</v>
      </c>
      <c r="J632" s="260" t="str" cm="1">
        <f t="array" ref="J632">_xlfn.TEXTJOIN(", ", TRUE, IF(radicados[ID PROYECTOS]=A632, radicados[RADICADO], ""))</f>
        <v>2025010460758</v>
      </c>
      <c r="K632" s="240">
        <v>1</v>
      </c>
      <c r="L632" s="212"/>
      <c r="M632" s="246" t="s">
        <v>288</v>
      </c>
      <c r="N632" s="205" t="s">
        <v>398</v>
      </c>
      <c r="O632" s="205" t="s">
        <v>25</v>
      </c>
      <c r="P632" s="246" t="s">
        <v>1835</v>
      </c>
      <c r="Q632" s="45"/>
      <c r="R632" s="166"/>
      <c r="S632" s="166"/>
      <c r="T632" s="258">
        <f>+_xlfn.XLOOKUP(PROYECTOS[[#This Row],[MUNICIPIO]],'4.CAP_ENDMNT'!B:B,'4.CAP_ENDMNT'!C:C,0,0,1)</f>
        <v>6</v>
      </c>
      <c r="U632" s="167">
        <f>+_xlfn.XLOOKUP(PROYECTOS[[#This Row],[MUNICIPIO]],'4.CAP_ENDMNT'!B:B,'4.CAP_ENDMNT'!D:D,0,0,1)</f>
        <v>8725724060.9459991</v>
      </c>
      <c r="V632" s="258">
        <f>+_xlfn.XLOOKUP(PROYECTOS[[#This Row],[MUNICIPIO]],'4.CAP_ENDMNT'!B:B,'4.CAP_ENDMNT'!E:E,0,0,1)</f>
        <v>1935290211.05</v>
      </c>
      <c r="W632" s="258">
        <f>+_xlfn.XLOOKUP(PROYECTOS[[#This Row],[MUNICIPIO]],'4.CAP_ENDMNT'!B:B,'4.CAP_ENDMNT'!F:F,0,0,1)</f>
        <v>6790433849.895999</v>
      </c>
      <c r="X632" s="258">
        <f>+_xlfn.XLOOKUP(PROYECTOS[[#This Row],[MUNICIPIO]],'4.CAP_ENDMNT'!B:B,'4.CAP_ENDMNT'!G:G,0,0,1)</f>
        <v>661232494</v>
      </c>
      <c r="Y632" s="258">
        <f>+_xlfn.XLOOKUP(PROYECTOS[[#This Row],[MUNICIPIO]],'4.CAP_ENDMNT'!B:B,'4.CAP_ENDMNT'!H:H,0,0,1)</f>
        <v>0</v>
      </c>
      <c r="Z632" s="258">
        <f>+_xlfn.XLOOKUP(PROYECTOS[[#This Row],[MUNICIPIO]],'4.CAP_ENDMNT'!B:B,'4.CAP_ENDMNT'!I:I,0,0,1)</f>
        <v>661232494</v>
      </c>
      <c r="AA632" s="134">
        <f>+_xlfn.XLOOKUP(PROYECTOS[[#This Row],[MUNICIPIO]],'4.CAP_ENDMNT'!B:B,'4.CAP_ENDMNT'!J:J,0,0,1)</f>
        <v>7.5779670475657063E-2</v>
      </c>
      <c r="AB632" s="258">
        <f>+_xlfn.XLOOKUP(PROYECTOS[[#This Row],[MUNICIPIO]],'4.CAP_ENDMNT'!B:B,'4.CAP_ENDMNT'!K:K,0,0,1)</f>
        <v>8064491566.9459991</v>
      </c>
      <c r="AC632" s="258">
        <f>+_xlfn.XLOOKUP(PROYECTOS[[#This Row],[MUNICIPIO]],'4.CAP_ENDMNT'!B:B,'4.CAP_ENDMNT'!L:L,0,0,1)</f>
        <v>6451593253.5567999</v>
      </c>
      <c r="AD632" s="258">
        <f>+_xlfn.XLOOKUP(PROYECTOS[[#This Row],[MUNICIPIO]],'4.CAP_ENDMNT'!B:B,'4.CAP_ENDMNT'!M:M,0,0,1)</f>
        <v>4838694940.1675997</v>
      </c>
      <c r="AE632" s="134">
        <f>+_xlfn.XLOOKUP(PROYECTOS[[#This Row],[MUNICIPIO]],'4.CAP_ENDMNT'!B:B,'4.CAP_ENDMNT'!N:N,0,0,1)</f>
        <v>1</v>
      </c>
      <c r="AF632" s="134">
        <f>+_xlfn.XLOOKUP(PROYECTOS[[#This Row],[MUNICIPIO]],'4.CAP_ENDMNT'!B:B,'4.CAP_ENDMNT'!O:O,0,0,1)</f>
        <v>0.53402239411083863</v>
      </c>
      <c r="AG632" s="134">
        <f>+_xlfn.XLOOKUP(PROYECTOS[[#This Row],[MUNICIPIO]],'4.CAP_ENDMNT'!B:B,'4.CAP_ENDMNT'!P:P,0,0,1)</f>
        <v>0.8</v>
      </c>
      <c r="AH632" s="258" t="str">
        <f>+_xlfn.XLOOKUP(PROYECTOS[[#This Row],[MUNICIPIO]],'4.CAP_ENDMNT'!B:B,'4.CAP_ENDMNT'!Q:Q,0,0,1)</f>
        <v>Cumple</v>
      </c>
      <c r="AI632" s="139">
        <f>+_xlfn.XLOOKUP(PROYECTOS[[#This Row],[MUNICIPIO]],'4.CAP_ENDMNT'!B:B,'4.CAP_ENDMNT'!V:V,0,0,1)</f>
        <v>967738988.03351998</v>
      </c>
      <c r="AJ632" s="139">
        <f>+_xlfn.XLOOKUP(PROYECTOS[[#This Row],[MUNICIPIO]],'4.CAP_ENDMNT'!B:B,'4.CAP_ENDMNT'!Y:Y,0,0,1)</f>
        <v>5806433928.2011194</v>
      </c>
      <c r="AK632"/>
      <c r="AL632"/>
      <c r="AM632"/>
    </row>
    <row r="633" spans="1:39" ht="15" customHeight="1">
      <c r="A633" s="262">
        <v>751</v>
      </c>
      <c r="B633" s="232" t="str">
        <f>+_xlfn.XLOOKUP(PROYECTOS[[#This Row],[ID_NECESIDAD]],'1.RADICADOS'!G:G,'1.RADICADOS'!H:H,0,0,1)</f>
        <v>Solicitud  de  apoyo  para  la  construcción  definitiva  del  puente  sobre  el  río Dolores y mejoramiento de vía rural.</v>
      </c>
      <c r="C633" s="118">
        <f>+_xlfn.XLOOKUP(PROYECTOS[[#This Row],[ID_NECESIDAD]],'1.RADICADOS'!G:G,'1.RADICADOS'!C:C,0,0,1)*1</f>
        <v>45909</v>
      </c>
      <c r="D633" s="118" t="str">
        <f>+_xlfn.XLOOKUP(PROYECTOS[[#This Row],[ID_NECESIDAD]],'1.RADICADOS'!G:G,'1.RADICADOS'!F:F,0,0,1)</f>
        <v>Angostura</v>
      </c>
      <c r="E633" s="257" t="str">
        <f>+_xlfn.XLOOKUP(PROYECTOS[[#This Row],[MUNICIPIO]],MUNICIPIOS!A:A,MUNICIPIOS!E:E,0,0,1)</f>
        <v>Norte</v>
      </c>
      <c r="F633" s="257" t="e" cm="1">
        <f t="array" ref="F633">+_xlfn.XLOOKUP(PROYECTOS[[#This Row],[MUNICIPIO]],Table1[Municipio],MUNICIPIOS!F:F,0,0,1)</f>
        <v>#VALUE!</v>
      </c>
      <c r="G633" s="257" t="e">
        <f>+LOOKUP(PROYECTOS[[#This Row],[MUNICIPIO]],Table1[Municipio],Table1[Latitud])</f>
        <v>#N/A</v>
      </c>
      <c r="H633" s="258" t="e">
        <f>+LOOKUP(PROYECTOS[[#This Row],[MUNICIPIO]],Table1[Municipio],Table1[PDET])</f>
        <v>#N/A</v>
      </c>
      <c r="I633" s="259" t="e">
        <f>+LOOKUP(PROYECTOS[[#This Row],[MUNICIPIO]],Table1[Municipio],Table1[ZOMAC])</f>
        <v>#N/A</v>
      </c>
      <c r="J633" s="260" t="str" cm="1">
        <f t="array" ref="J633">_xlfn.TEXTJOIN(", ", TRUE, IF(radicados[ID PROYECTOS]=A633, radicados[RADICADO], ""))</f>
        <v>2025010475719</v>
      </c>
      <c r="K633" s="242">
        <v>1</v>
      </c>
      <c r="L633" s="212"/>
      <c r="M633" s="247" t="s">
        <v>435</v>
      </c>
      <c r="N633" s="241" t="s">
        <v>398</v>
      </c>
      <c r="O633" s="241" t="s">
        <v>25</v>
      </c>
      <c r="P633" s="247" t="s">
        <v>1796</v>
      </c>
      <c r="Q633" s="45"/>
      <c r="R633" s="166"/>
      <c r="S633" s="166"/>
      <c r="T633" s="258">
        <f>+_xlfn.XLOOKUP(PROYECTOS[[#This Row],[MUNICIPIO]],'4.CAP_ENDMNT'!B:B,'4.CAP_ENDMNT'!C:C,0,0,1)</f>
        <v>6</v>
      </c>
      <c r="U633" s="167">
        <f>+_xlfn.XLOOKUP(PROYECTOS[[#This Row],[MUNICIPIO]],'4.CAP_ENDMNT'!B:B,'4.CAP_ENDMNT'!D:D,0,0,1)</f>
        <v>12764062914.553999</v>
      </c>
      <c r="V633" s="258">
        <f>+_xlfn.XLOOKUP(PROYECTOS[[#This Row],[MUNICIPIO]],'4.CAP_ENDMNT'!B:B,'4.CAP_ENDMNT'!E:E,0,0,1)</f>
        <v>4266060462.2200003</v>
      </c>
      <c r="W633" s="258">
        <f>+_xlfn.XLOOKUP(PROYECTOS[[#This Row],[MUNICIPIO]],'4.CAP_ENDMNT'!B:B,'4.CAP_ENDMNT'!F:F,0,0,1)</f>
        <v>8498002452.3339987</v>
      </c>
      <c r="X633" s="258">
        <f>+_xlfn.XLOOKUP(PROYECTOS[[#This Row],[MUNICIPIO]],'4.CAP_ENDMNT'!B:B,'4.CAP_ENDMNT'!G:G,0,0,1)</f>
        <v>4258957687</v>
      </c>
      <c r="Y633" s="258">
        <f>+_xlfn.XLOOKUP(PROYECTOS[[#This Row],[MUNICIPIO]],'4.CAP_ENDMNT'!B:B,'4.CAP_ENDMNT'!H:H,0,0,1)</f>
        <v>500000000</v>
      </c>
      <c r="Z633" s="258">
        <f>+_xlfn.XLOOKUP(PROYECTOS[[#This Row],[MUNICIPIO]],'4.CAP_ENDMNT'!B:B,'4.CAP_ENDMNT'!I:I,0,0,1)</f>
        <v>4758957687</v>
      </c>
      <c r="AA633" s="134">
        <f>+_xlfn.XLOOKUP(PROYECTOS[[#This Row],[MUNICIPIO]],'4.CAP_ENDMNT'!B:B,'4.CAP_ENDMNT'!J:J,0,0,1)</f>
        <v>0.37284035019708983</v>
      </c>
      <c r="AB633" s="258">
        <f>+_xlfn.XLOOKUP(PROYECTOS[[#This Row],[MUNICIPIO]],'4.CAP_ENDMNT'!B:B,'4.CAP_ENDMNT'!K:K,0,0,1)</f>
        <v>8005105227.5539989</v>
      </c>
      <c r="AC633" s="258">
        <f>+_xlfn.XLOOKUP(PROYECTOS[[#This Row],[MUNICIPIO]],'4.CAP_ENDMNT'!B:B,'4.CAP_ENDMNT'!L:L,0,0,1)</f>
        <v>6404084182.0431995</v>
      </c>
      <c r="AD633" s="258">
        <f>+_xlfn.XLOOKUP(PROYECTOS[[#This Row],[MUNICIPIO]],'4.CAP_ENDMNT'!B:B,'4.CAP_ENDMNT'!M:M,0,0,1)</f>
        <v>4803063136.5323992</v>
      </c>
      <c r="AE633" s="134">
        <f>+_xlfn.XLOOKUP(PROYECTOS[[#This Row],[MUNICIPIO]],'4.CAP_ENDMNT'!B:B,'4.CAP_ENDMNT'!N:N,0,0,1)</f>
        <v>0.89493497675639244</v>
      </c>
      <c r="AF633" s="134">
        <f>+_xlfn.XLOOKUP(PROYECTOS[[#This Row],[MUNICIPIO]],'4.CAP_ENDMNT'!B:B,'4.CAP_ENDMNT'!O:O,0,0,1)</f>
        <v>0.64132957807138946</v>
      </c>
      <c r="AG633" s="134">
        <f>+_xlfn.XLOOKUP(PROYECTOS[[#This Row],[MUNICIPIO]],'4.CAP_ENDMNT'!B:B,'4.CAP_ENDMNT'!P:P,0,0,1)</f>
        <v>0.8</v>
      </c>
      <c r="AH633" s="258" t="str">
        <f>+_xlfn.XLOOKUP(PROYECTOS[[#This Row],[MUNICIPIO]],'4.CAP_ENDMNT'!B:B,'4.CAP_ENDMNT'!Q:Q,0,0,1)</f>
        <v>Cumple</v>
      </c>
      <c r="AI633" s="139">
        <f>+_xlfn.XLOOKUP(PROYECTOS[[#This Row],[MUNICIPIO]],'4.CAP_ENDMNT'!B:B,'4.CAP_ENDMNT'!V:V,0,0,1)</f>
        <v>960612627.30647993</v>
      </c>
      <c r="AJ633" s="139">
        <f>+_xlfn.XLOOKUP(PROYECTOS[[#This Row],[MUNICIPIO]],'4.CAP_ENDMNT'!B:B,'4.CAP_ENDMNT'!Y:Y,0,0,1)</f>
        <v>-8999039296.1611214</v>
      </c>
      <c r="AK633"/>
      <c r="AL633"/>
      <c r="AM633"/>
    </row>
    <row r="634" spans="1:39" ht="15" customHeight="1">
      <c r="A634" s="261">
        <v>752</v>
      </c>
      <c r="B634" s="232" t="str">
        <f>+_xlfn.XLOOKUP(PROYECTOS[[#This Row],[ID_NECESIDAD]],'1.RADICADOS'!G:G,'1.RADICADOS'!H:H,0,0,1)</f>
        <v>CONSTRUCCIÓN DE OBRAS DE PROTECCIÓN SOBRE LA MARGEN IZQUIERDA DEL RIO NARE EN EL CORREGIMIENTO LA PESCA DEL MUNICIPIO DE PUERTO NARE"</v>
      </c>
      <c r="C634" s="118">
        <f>+_xlfn.XLOOKUP(PROYECTOS[[#This Row],[ID_NECESIDAD]],'1.RADICADOS'!G:G,'1.RADICADOS'!C:C,0,0,1)*1</f>
        <v>45901</v>
      </c>
      <c r="D634" s="118" t="str">
        <f>+_xlfn.XLOOKUP(PROYECTOS[[#This Row],[ID_NECESIDAD]],'1.RADICADOS'!G:G,'1.RADICADOS'!F:F,0,0,1)</f>
        <v>Puerto Nare</v>
      </c>
      <c r="E634" s="257" t="str">
        <f>+_xlfn.XLOOKUP(PROYECTOS[[#This Row],[MUNICIPIO]],MUNICIPIOS!A:A,MUNICIPIOS!E:E,0,0,1)</f>
        <v>Magdalena Medio</v>
      </c>
      <c r="F634" s="257" t="e" cm="1">
        <f t="array" ref="F634">+_xlfn.XLOOKUP(PROYECTOS[[#This Row],[MUNICIPIO]],Table1[Municipio],MUNICIPIOS!F:F,0,0,1)</f>
        <v>#VALUE!</v>
      </c>
      <c r="G634" s="257" t="str">
        <f>+LOOKUP(PROYECTOS[[#This Row],[MUNICIPIO]],Table1[Municipio],Table1[Latitud])</f>
        <v>6,246631</v>
      </c>
      <c r="H634" s="258">
        <f>+LOOKUP(PROYECTOS[[#This Row],[MUNICIPIO]],Table1[Municipio],Table1[PDET])</f>
        <v>0</v>
      </c>
      <c r="I634" s="259">
        <f>+LOOKUP(PROYECTOS[[#This Row],[MUNICIPIO]],Table1[Municipio],Table1[ZOMAC])</f>
        <v>0</v>
      </c>
      <c r="J634" s="260" t="str" cm="1">
        <f t="array" ref="J634">_xlfn.TEXTJOIN(", ", TRUE, IF(radicados[ID PROYECTOS]=A634, radicados[RADICADO], ""))</f>
        <v>2025010455112</v>
      </c>
      <c r="K634" s="240">
        <v>3</v>
      </c>
      <c r="L634" s="212">
        <f>+_xlfn.XLOOKUP(PROYECTOS[[#This Row],[ID_NECESIDAD]],'1.RADICADOS'!G:G,'1.RADICADOS'!J:J,0,0,1)</f>
        <v>1375246490</v>
      </c>
      <c r="M634" s="246" t="s">
        <v>403</v>
      </c>
      <c r="N634" s="205" t="s">
        <v>1079</v>
      </c>
      <c r="O634" s="205" t="s">
        <v>7</v>
      </c>
      <c r="P634" s="246" t="s">
        <v>1798</v>
      </c>
      <c r="Q634" s="45"/>
      <c r="R634" s="166"/>
      <c r="S634" s="166"/>
      <c r="T634" s="258">
        <f>+_xlfn.XLOOKUP(PROYECTOS[[#This Row],[MUNICIPIO]],'4.CAP_ENDMNT'!B:B,'4.CAP_ENDMNT'!C:C,0,0,1)</f>
        <v>6</v>
      </c>
      <c r="U634" s="167">
        <f>+_xlfn.XLOOKUP(PROYECTOS[[#This Row],[MUNICIPIO]],'4.CAP_ENDMNT'!B:B,'4.CAP_ENDMNT'!D:D,0,0,1)</f>
        <v>17406090503.82</v>
      </c>
      <c r="V634" s="258">
        <f>+_xlfn.XLOOKUP(PROYECTOS[[#This Row],[MUNICIPIO]],'4.CAP_ENDMNT'!B:B,'4.CAP_ENDMNT'!E:E,0,0,1)</f>
        <v>8490973725.3299999</v>
      </c>
      <c r="W634" s="258">
        <f>+_xlfn.XLOOKUP(PROYECTOS[[#This Row],[MUNICIPIO]],'4.CAP_ENDMNT'!B:B,'4.CAP_ENDMNT'!F:F,0,0,1)</f>
        <v>8915116778.4899998</v>
      </c>
      <c r="X634" s="258">
        <f>+_xlfn.XLOOKUP(PROYECTOS[[#This Row],[MUNICIPIO]],'4.CAP_ENDMNT'!B:B,'4.CAP_ENDMNT'!G:G,0,0,1)</f>
        <v>6695063584</v>
      </c>
      <c r="Y634" s="258">
        <f>+_xlfn.XLOOKUP(PROYECTOS[[#This Row],[MUNICIPIO]],'4.CAP_ENDMNT'!B:B,'4.CAP_ENDMNT'!H:H,0,0,1)</f>
        <v>0</v>
      </c>
      <c r="Z634" s="258">
        <f>+_xlfn.XLOOKUP(PROYECTOS[[#This Row],[MUNICIPIO]],'4.CAP_ENDMNT'!B:B,'4.CAP_ENDMNT'!I:I,0,0,1)</f>
        <v>6695063584</v>
      </c>
      <c r="AA634" s="134">
        <f>+_xlfn.XLOOKUP(PROYECTOS[[#This Row],[MUNICIPIO]],'4.CAP_ENDMNT'!B:B,'4.CAP_ENDMNT'!J:J,0,0,1)</f>
        <v>0.38463913436108349</v>
      </c>
      <c r="AB634" s="258">
        <f>+_xlfn.XLOOKUP(PROYECTOS[[#This Row],[MUNICIPIO]],'4.CAP_ENDMNT'!B:B,'4.CAP_ENDMNT'!K:K,0,0,1)</f>
        <v>10711026919.82</v>
      </c>
      <c r="AC634" s="258">
        <f>+_xlfn.XLOOKUP(PROYECTOS[[#This Row],[MUNICIPIO]],'4.CAP_ENDMNT'!B:B,'4.CAP_ENDMNT'!L:L,0,0,1)</f>
        <v>8568821535.8559999</v>
      </c>
      <c r="AD634" s="258">
        <f>+_xlfn.XLOOKUP(PROYECTOS[[#This Row],[MUNICIPIO]],'4.CAP_ENDMNT'!B:B,'4.CAP_ENDMNT'!M:M,0,0,1)</f>
        <v>6426616151.8919992</v>
      </c>
      <c r="AE634" s="134">
        <f>+_xlfn.XLOOKUP(PROYECTOS[[#This Row],[MUNICIPIO]],'4.CAP_ENDMNT'!B:B,'4.CAP_ENDMNT'!N:N,0,0,1)</f>
        <v>1</v>
      </c>
      <c r="AF634" s="134">
        <f>+_xlfn.XLOOKUP(PROYECTOS[[#This Row],[MUNICIPIO]],'4.CAP_ENDMNT'!B:B,'4.CAP_ENDMNT'!O:O,0,0,1)</f>
        <v>0.75913384232200265</v>
      </c>
      <c r="AG634" s="134">
        <f>+_xlfn.XLOOKUP(PROYECTOS[[#This Row],[MUNICIPIO]],'4.CAP_ENDMNT'!B:B,'4.CAP_ENDMNT'!P:P,0,0,1)</f>
        <v>0.8</v>
      </c>
      <c r="AH634" s="258" t="str">
        <f>+_xlfn.XLOOKUP(PROYECTOS[[#This Row],[MUNICIPIO]],'4.CAP_ENDMNT'!B:B,'4.CAP_ENDMNT'!Q:Q,0,0,1)</f>
        <v>Riesgo</v>
      </c>
      <c r="AI634" s="139">
        <f>+_xlfn.XLOOKUP(PROYECTOS[[#This Row],[MUNICIPIO]],'4.CAP_ENDMNT'!B:B,'4.CAP_ENDMNT'!V:V,0,0,1)</f>
        <v>1285323230.3783998</v>
      </c>
      <c r="AJ634" s="139">
        <f>+_xlfn.XLOOKUP(PROYECTOS[[#This Row],[MUNICIPIO]],'4.CAP_ENDMNT'!B:B,'4.CAP_ENDMNT'!Y:Y,0,0,1)</f>
        <v>4683293036.2703991</v>
      </c>
      <c r="AK634"/>
      <c r="AL634"/>
      <c r="AM634"/>
    </row>
    <row r="635" spans="1:39" ht="15" customHeight="1">
      <c r="A635" s="262">
        <v>753</v>
      </c>
      <c r="B635" s="232" t="str">
        <f>+_xlfn.XLOOKUP(PROYECTOS[[#This Row],[ID_NECESIDAD]],'1.RADICADOS'!G:G,'1.RADICADOS'!H:H,0,0,1)</f>
        <v>Intervención de vía terciaria que comunica la vereda Río Arriba – Los Pantanos con los municipios de Guadalupe y Angostura (Municipio de Angostura)</v>
      </c>
      <c r="C635" s="118">
        <f>+_xlfn.XLOOKUP(PROYECTOS[[#This Row],[ID_NECESIDAD]],'1.RADICADOS'!G:G,'1.RADICADOS'!C:C,0,0,1)*1</f>
        <v>45869</v>
      </c>
      <c r="D635" s="118" t="str">
        <f>+_xlfn.XLOOKUP(PROYECTOS[[#This Row],[ID_NECESIDAD]],'1.RADICADOS'!G:G,'1.RADICADOS'!F:F,0,0,1)</f>
        <v>Angostura</v>
      </c>
      <c r="E635" s="257" t="str">
        <f>+_xlfn.XLOOKUP(PROYECTOS[[#This Row],[MUNICIPIO]],MUNICIPIOS!A:A,MUNICIPIOS!E:E,0,0,1)</f>
        <v>Norte</v>
      </c>
      <c r="F635" s="257" t="e" cm="1">
        <f t="array" ref="F635">+_xlfn.XLOOKUP(PROYECTOS[[#This Row],[MUNICIPIO]],Table1[Municipio],MUNICIPIOS!F:F,0,0,1)</f>
        <v>#VALUE!</v>
      </c>
      <c r="G635" s="257" t="e">
        <f>+LOOKUP(PROYECTOS[[#This Row],[MUNICIPIO]],Table1[Municipio],Table1[Latitud])</f>
        <v>#N/A</v>
      </c>
      <c r="H635" s="258" t="e">
        <f>+LOOKUP(PROYECTOS[[#This Row],[MUNICIPIO]],Table1[Municipio],Table1[PDET])</f>
        <v>#N/A</v>
      </c>
      <c r="I635" s="259" t="e">
        <f>+LOOKUP(PROYECTOS[[#This Row],[MUNICIPIO]],Table1[Municipio],Table1[ZOMAC])</f>
        <v>#N/A</v>
      </c>
      <c r="J635" s="260" t="str" cm="1">
        <f t="array" ref="J635">_xlfn.TEXTJOIN(", ", TRUE, IF(radicados[ID PROYECTOS]=A635, radicados[RADICADO], ""))</f>
        <v>2025010392178</v>
      </c>
      <c r="K635" s="242">
        <v>1</v>
      </c>
      <c r="L635" s="212"/>
      <c r="M635" s="247" t="s">
        <v>761</v>
      </c>
      <c r="N635" s="241" t="s">
        <v>398</v>
      </c>
      <c r="O635" s="241" t="s">
        <v>25</v>
      </c>
      <c r="P635" s="247" t="s">
        <v>1800</v>
      </c>
      <c r="Q635" s="45"/>
      <c r="R635" s="166"/>
      <c r="S635" s="166"/>
      <c r="T635" s="258">
        <f>+_xlfn.XLOOKUP(PROYECTOS[[#This Row],[MUNICIPIO]],'4.CAP_ENDMNT'!B:B,'4.CAP_ENDMNT'!C:C,0,0,1)</f>
        <v>6</v>
      </c>
      <c r="U635" s="167">
        <f>+_xlfn.XLOOKUP(PROYECTOS[[#This Row],[MUNICIPIO]],'4.CAP_ENDMNT'!B:B,'4.CAP_ENDMNT'!D:D,0,0,1)</f>
        <v>12764062914.553999</v>
      </c>
      <c r="V635" s="258">
        <f>+_xlfn.XLOOKUP(PROYECTOS[[#This Row],[MUNICIPIO]],'4.CAP_ENDMNT'!B:B,'4.CAP_ENDMNT'!E:E,0,0,1)</f>
        <v>4266060462.2200003</v>
      </c>
      <c r="W635" s="258">
        <f>+_xlfn.XLOOKUP(PROYECTOS[[#This Row],[MUNICIPIO]],'4.CAP_ENDMNT'!B:B,'4.CAP_ENDMNT'!F:F,0,0,1)</f>
        <v>8498002452.3339987</v>
      </c>
      <c r="X635" s="258">
        <f>+_xlfn.XLOOKUP(PROYECTOS[[#This Row],[MUNICIPIO]],'4.CAP_ENDMNT'!B:B,'4.CAP_ENDMNT'!G:G,0,0,1)</f>
        <v>4258957687</v>
      </c>
      <c r="Y635" s="258">
        <f>+_xlfn.XLOOKUP(PROYECTOS[[#This Row],[MUNICIPIO]],'4.CAP_ENDMNT'!B:B,'4.CAP_ENDMNT'!H:H,0,0,1)</f>
        <v>500000000</v>
      </c>
      <c r="Z635" s="258">
        <f>+_xlfn.XLOOKUP(PROYECTOS[[#This Row],[MUNICIPIO]],'4.CAP_ENDMNT'!B:B,'4.CAP_ENDMNT'!I:I,0,0,1)</f>
        <v>4758957687</v>
      </c>
      <c r="AA635" s="134">
        <f>+_xlfn.XLOOKUP(PROYECTOS[[#This Row],[MUNICIPIO]],'4.CAP_ENDMNT'!B:B,'4.CAP_ENDMNT'!J:J,0,0,1)</f>
        <v>0.37284035019708983</v>
      </c>
      <c r="AB635" s="258">
        <f>+_xlfn.XLOOKUP(PROYECTOS[[#This Row],[MUNICIPIO]],'4.CAP_ENDMNT'!B:B,'4.CAP_ENDMNT'!K:K,0,0,1)</f>
        <v>8005105227.5539989</v>
      </c>
      <c r="AC635" s="258">
        <f>+_xlfn.XLOOKUP(PROYECTOS[[#This Row],[MUNICIPIO]],'4.CAP_ENDMNT'!B:B,'4.CAP_ENDMNT'!L:L,0,0,1)</f>
        <v>6404084182.0431995</v>
      </c>
      <c r="AD635" s="258">
        <f>+_xlfn.XLOOKUP(PROYECTOS[[#This Row],[MUNICIPIO]],'4.CAP_ENDMNT'!B:B,'4.CAP_ENDMNT'!M:M,0,0,1)</f>
        <v>4803063136.5323992</v>
      </c>
      <c r="AE635" s="134">
        <f>+_xlfn.XLOOKUP(PROYECTOS[[#This Row],[MUNICIPIO]],'4.CAP_ENDMNT'!B:B,'4.CAP_ENDMNT'!N:N,0,0,1)</f>
        <v>0.89493497675639244</v>
      </c>
      <c r="AF635" s="134">
        <f>+_xlfn.XLOOKUP(PROYECTOS[[#This Row],[MUNICIPIO]],'4.CAP_ENDMNT'!B:B,'4.CAP_ENDMNT'!O:O,0,0,1)</f>
        <v>0.64132957807138946</v>
      </c>
      <c r="AG635" s="134">
        <f>+_xlfn.XLOOKUP(PROYECTOS[[#This Row],[MUNICIPIO]],'4.CAP_ENDMNT'!B:B,'4.CAP_ENDMNT'!P:P,0,0,1)</f>
        <v>0.8</v>
      </c>
      <c r="AH635" s="258" t="str">
        <f>+_xlfn.XLOOKUP(PROYECTOS[[#This Row],[MUNICIPIO]],'4.CAP_ENDMNT'!B:B,'4.CAP_ENDMNT'!Q:Q,0,0,1)</f>
        <v>Cumple</v>
      </c>
      <c r="AI635" s="139">
        <f>+_xlfn.XLOOKUP(PROYECTOS[[#This Row],[MUNICIPIO]],'4.CAP_ENDMNT'!B:B,'4.CAP_ENDMNT'!V:V,0,0,1)</f>
        <v>960612627.30647993</v>
      </c>
      <c r="AJ635" s="139">
        <f>+_xlfn.XLOOKUP(PROYECTOS[[#This Row],[MUNICIPIO]],'4.CAP_ENDMNT'!B:B,'4.CAP_ENDMNT'!Y:Y,0,0,1)</f>
        <v>-8999039296.1611214</v>
      </c>
      <c r="AK635"/>
      <c r="AL635"/>
      <c r="AM635"/>
    </row>
    <row r="636" spans="1:39" ht="15" customHeight="1">
      <c r="A636" s="261">
        <v>754</v>
      </c>
      <c r="B636" s="232" t="str">
        <f>+_xlfn.XLOOKUP(PROYECTOS[[#This Row],[ID_NECESIDAD]],'1.RADICADOS'!G:G,'1.RADICADOS'!H:H,0,0,1)</f>
        <v>"MEJORAMIENTO, MANTENIMIENTO Y RECUPERACIÓN DE LA VÍA QUE CONDUCE DE LA CEIBITA AL RESGUARDO INDÍGENA EL CAIMÁN, ZONA RURAL DEL MUNICIPIO DE NECOCLÍ, ANTIOQUIA"</v>
      </c>
      <c r="C636" s="118">
        <f>+_xlfn.XLOOKUP(PROYECTOS[[#This Row],[ID_NECESIDAD]],'1.RADICADOS'!G:G,'1.RADICADOS'!C:C,0,0,1)*1</f>
        <v>45898</v>
      </c>
      <c r="D636" s="118" t="str">
        <f>+_xlfn.XLOOKUP(PROYECTOS[[#This Row],[ID_NECESIDAD]],'1.RADICADOS'!G:G,'1.RADICADOS'!F:F,0,0,1)</f>
        <v>Necoclí</v>
      </c>
      <c r="E636" s="257" t="str">
        <f>+_xlfn.XLOOKUP(PROYECTOS[[#This Row],[MUNICIPIO]],MUNICIPIOS!A:A,MUNICIPIOS!E:E,0,0,1)</f>
        <v>Urabá</v>
      </c>
      <c r="F636" s="257" t="e" cm="1">
        <f t="array" ref="F636">+_xlfn.XLOOKUP(PROYECTOS[[#This Row],[MUNICIPIO]],Table1[Municipio],MUNICIPIOS!F:F,0,0,1)</f>
        <v>#VALUE!</v>
      </c>
      <c r="G636" s="257" t="str">
        <f>+LOOKUP(PROYECTOS[[#This Row],[MUNICIPIO]],Table1[Municipio],Table1[Latitud])</f>
        <v>6,246631</v>
      </c>
      <c r="H636" s="258">
        <f>+LOOKUP(PROYECTOS[[#This Row],[MUNICIPIO]],Table1[Municipio],Table1[PDET])</f>
        <v>0</v>
      </c>
      <c r="I636" s="259">
        <f>+LOOKUP(PROYECTOS[[#This Row],[MUNICIPIO]],Table1[Municipio],Table1[ZOMAC])</f>
        <v>0</v>
      </c>
      <c r="J636" s="260" t="str" cm="1">
        <f t="array" ref="J636">_xlfn.TEXTJOIN(", ", TRUE, IF(radicados[ID PROYECTOS]=A636, radicados[RADICADO], ""))</f>
        <v>2025010414931</v>
      </c>
      <c r="K636" s="240">
        <v>3</v>
      </c>
      <c r="L636" s="212">
        <f>+_xlfn.XLOOKUP(PROYECTOS[[#This Row],[ID_NECESIDAD]],'1.RADICADOS'!G:G,'1.RADICADOS'!J:J,0,0,1)</f>
        <v>21028869361</v>
      </c>
      <c r="M636" s="246" t="s">
        <v>396</v>
      </c>
      <c r="N636" s="205" t="s">
        <v>398</v>
      </c>
      <c r="O636" s="205" t="s">
        <v>25</v>
      </c>
      <c r="P636" s="246" t="s">
        <v>1801</v>
      </c>
      <c r="Q636" s="45"/>
      <c r="R636" s="166"/>
      <c r="S636" s="166"/>
      <c r="T636" s="258">
        <f>+_xlfn.XLOOKUP(PROYECTOS[[#This Row],[MUNICIPIO]],'4.CAP_ENDMNT'!B:B,'4.CAP_ENDMNT'!C:C,0,0,1)</f>
        <v>6</v>
      </c>
      <c r="U636" s="167">
        <f>+_xlfn.XLOOKUP(PROYECTOS[[#This Row],[MUNICIPIO]],'4.CAP_ENDMNT'!B:B,'4.CAP_ENDMNT'!D:D,0,0,1)</f>
        <v>30137297790.127998</v>
      </c>
      <c r="V636" s="258">
        <f>+_xlfn.XLOOKUP(PROYECTOS[[#This Row],[MUNICIPIO]],'4.CAP_ENDMNT'!B:B,'4.CAP_ENDMNT'!E:E,0,0,1)</f>
        <v>12298726691.530001</v>
      </c>
      <c r="W636" s="258">
        <f>+_xlfn.XLOOKUP(PROYECTOS[[#This Row],[MUNICIPIO]],'4.CAP_ENDMNT'!B:B,'4.CAP_ENDMNT'!F:F,0,0,1)</f>
        <v>17838571098.598</v>
      </c>
      <c r="X636" s="258">
        <f>+_xlfn.XLOOKUP(PROYECTOS[[#This Row],[MUNICIPIO]],'4.CAP_ENDMNT'!B:B,'4.CAP_ENDMNT'!G:G,0,0,1)</f>
        <v>2369107602</v>
      </c>
      <c r="Y636" s="258">
        <f>+_xlfn.XLOOKUP(PROYECTOS[[#This Row],[MUNICIPIO]],'4.CAP_ENDMNT'!B:B,'4.CAP_ENDMNT'!H:H,0,0,1)</f>
        <v>13974896585</v>
      </c>
      <c r="Z636" s="258">
        <f>+_xlfn.XLOOKUP(PROYECTOS[[#This Row],[MUNICIPIO]],'4.CAP_ENDMNT'!B:B,'4.CAP_ENDMNT'!I:I,0,0,1)</f>
        <v>16344004187</v>
      </c>
      <c r="AA636" s="134">
        <f>+_xlfn.XLOOKUP(PROYECTOS[[#This Row],[MUNICIPIO]],'4.CAP_ENDMNT'!B:B,'4.CAP_ENDMNT'!J:J,0,0,1)</f>
        <v>0.54231817002364979</v>
      </c>
      <c r="AB636" s="258">
        <f>+_xlfn.XLOOKUP(PROYECTOS[[#This Row],[MUNICIPIO]],'4.CAP_ENDMNT'!B:B,'4.CAP_ENDMNT'!K:K,0,0,1)</f>
        <v>13793293603.127998</v>
      </c>
      <c r="AC636" s="258">
        <f>+_xlfn.XLOOKUP(PROYECTOS[[#This Row],[MUNICIPIO]],'4.CAP_ENDMNT'!B:B,'4.CAP_ENDMNT'!L:L,0,0,1)</f>
        <v>11034634882.502399</v>
      </c>
      <c r="AD636" s="258">
        <f>+_xlfn.XLOOKUP(PROYECTOS[[#This Row],[MUNICIPIO]],'4.CAP_ENDMNT'!B:B,'4.CAP_ENDMNT'!M:M,0,0,1)</f>
        <v>8275976161.8767986</v>
      </c>
      <c r="AE636" s="134">
        <f>+_xlfn.XLOOKUP(PROYECTOS[[#This Row],[MUNICIPIO]],'4.CAP_ENDMNT'!B:B,'4.CAP_ENDMNT'!N:N,0,0,1)</f>
        <v>0.1449527040554961</v>
      </c>
      <c r="AF636" s="134">
        <f>+_xlfn.XLOOKUP(PROYECTOS[[#This Row],[MUNICIPIO]],'4.CAP_ENDMNT'!B:B,'4.CAP_ENDMNT'!O:O,0,0,1)</f>
        <v>0.58055985759165929</v>
      </c>
      <c r="AG636" s="134">
        <f>+_xlfn.XLOOKUP(PROYECTOS[[#This Row],[MUNICIPIO]],'4.CAP_ENDMNT'!B:B,'4.CAP_ENDMNT'!P:P,0,0,1)</f>
        <v>0.8</v>
      </c>
      <c r="AH636" s="258" t="str">
        <f>+_xlfn.XLOOKUP(PROYECTOS[[#This Row],[MUNICIPIO]],'4.CAP_ENDMNT'!B:B,'4.CAP_ENDMNT'!Q:Q,0,0,1)</f>
        <v>Cumple</v>
      </c>
      <c r="AI636" s="139">
        <f>+_xlfn.XLOOKUP(PROYECTOS[[#This Row],[MUNICIPIO]],'4.CAP_ENDMNT'!B:B,'4.CAP_ENDMNT'!V:V,0,0,1)</f>
        <v>1655195232.3753598</v>
      </c>
      <c r="AJ636" s="139">
        <f>+_xlfn.XLOOKUP(PROYECTOS[[#This Row],[MUNICIPIO]],'4.CAP_ENDMNT'!B:B,'4.CAP_ENDMNT'!Y:Y,0,0,1)</f>
        <v>-48565434249.747841</v>
      </c>
      <c r="AK636"/>
      <c r="AL636"/>
      <c r="AM636"/>
    </row>
    <row r="637" spans="1:39" ht="15" customHeight="1">
      <c r="A637" s="262">
        <v>755</v>
      </c>
      <c r="B637" s="232" t="str">
        <f>+_xlfn.XLOOKUP(PROYECTOS[[#This Row],[ID_NECESIDAD]],'1.RADICADOS'!G:G,'1.RADICADOS'!H:H,0,0,1)</f>
        <v>Pavimentación vía rural acceso a la vereda Honduras en el corregimiento Doradal, municipio de Puerto Triunfo - Antioquia.</v>
      </c>
      <c r="C637" s="118">
        <f>+_xlfn.XLOOKUP(PROYECTOS[[#This Row],[ID_NECESIDAD]],'1.RADICADOS'!G:G,'1.RADICADOS'!C:C,0,0,1)*1</f>
        <v>45912</v>
      </c>
      <c r="D637" s="118" t="str">
        <f>+_xlfn.XLOOKUP(PROYECTOS[[#This Row],[ID_NECESIDAD]],'1.RADICADOS'!G:G,'1.RADICADOS'!F:F,0,0,1)</f>
        <v>Puerto Triunfo</v>
      </c>
      <c r="E637" s="257" t="str">
        <f>+_xlfn.XLOOKUP(PROYECTOS[[#This Row],[MUNICIPIO]],MUNICIPIOS!A:A,MUNICIPIOS!E:E,0,0,1)</f>
        <v>Magdalena Medio</v>
      </c>
      <c r="F637" s="257" t="e" cm="1">
        <f t="array" ref="F637">+_xlfn.XLOOKUP(PROYECTOS[[#This Row],[MUNICIPIO]],Table1[Municipio],MUNICIPIOS!F:F,0,0,1)</f>
        <v>#VALUE!</v>
      </c>
      <c r="G637" s="257" t="str">
        <f>+LOOKUP(PROYECTOS[[#This Row],[MUNICIPIO]],Table1[Municipio],Table1[Latitud])</f>
        <v>6,246631</v>
      </c>
      <c r="H637" s="258">
        <f>+LOOKUP(PROYECTOS[[#This Row],[MUNICIPIO]],Table1[Municipio],Table1[PDET])</f>
        <v>0</v>
      </c>
      <c r="I637" s="259">
        <f>+LOOKUP(PROYECTOS[[#This Row],[MUNICIPIO]],Table1[Municipio],Table1[ZOMAC])</f>
        <v>0</v>
      </c>
      <c r="J637" s="260" t="str" cm="1">
        <f t="array" ref="J637">_xlfn.TEXTJOIN(", ", TRUE, IF(radicados[ID PROYECTOS]=A637, radicados[RADICADO], ""))</f>
        <v>2025010484184</v>
      </c>
      <c r="K637" s="242">
        <v>2</v>
      </c>
      <c r="L637" s="212">
        <f>+_xlfn.XLOOKUP(PROYECTOS[[#This Row],[ID_NECESIDAD]],'1.RADICADOS'!G:G,'1.RADICADOS'!J:J,0,0,1)</f>
        <v>452389910</v>
      </c>
      <c r="M637" s="247" t="s">
        <v>401</v>
      </c>
      <c r="N637" s="241" t="s">
        <v>398</v>
      </c>
      <c r="O637" s="241" t="s">
        <v>25</v>
      </c>
      <c r="P637" s="247" t="s">
        <v>1836</v>
      </c>
      <c r="Q637" s="45"/>
      <c r="R637" s="166"/>
      <c r="S637" s="166"/>
      <c r="T637" s="258">
        <f>+_xlfn.XLOOKUP(PROYECTOS[[#This Row],[MUNICIPIO]],'4.CAP_ENDMNT'!B:B,'4.CAP_ENDMNT'!C:C,0,0,1)</f>
        <v>6</v>
      </c>
      <c r="U637" s="167">
        <f>+_xlfn.XLOOKUP(PROYECTOS[[#This Row],[MUNICIPIO]],'4.CAP_ENDMNT'!B:B,'4.CAP_ENDMNT'!D:D,0,0,1)</f>
        <v>22896432570.9105</v>
      </c>
      <c r="V637" s="258">
        <f>+_xlfn.XLOOKUP(PROYECTOS[[#This Row],[MUNICIPIO]],'4.CAP_ENDMNT'!B:B,'4.CAP_ENDMNT'!E:E,0,0,1)</f>
        <v>6514105665.9899998</v>
      </c>
      <c r="W637" s="258">
        <f>+_xlfn.XLOOKUP(PROYECTOS[[#This Row],[MUNICIPIO]],'4.CAP_ENDMNT'!B:B,'4.CAP_ENDMNT'!F:F,0,0,1)</f>
        <v>16382326904.9205</v>
      </c>
      <c r="X637" s="258">
        <f>+_xlfn.XLOOKUP(PROYECTOS[[#This Row],[MUNICIPIO]],'4.CAP_ENDMNT'!B:B,'4.CAP_ENDMNT'!G:G,0,0,1)</f>
        <v>15087488121</v>
      </c>
      <c r="Y637" s="258">
        <f>+_xlfn.XLOOKUP(PROYECTOS[[#This Row],[MUNICIPIO]],'4.CAP_ENDMNT'!B:B,'4.CAP_ENDMNT'!H:H,0,0,1)</f>
        <v>152370595</v>
      </c>
      <c r="Z637" s="258">
        <f>+_xlfn.XLOOKUP(PROYECTOS[[#This Row],[MUNICIPIO]],'4.CAP_ENDMNT'!B:B,'4.CAP_ENDMNT'!I:I,0,0,1)</f>
        <v>15239858716</v>
      </c>
      <c r="AA637" s="134">
        <f>+_xlfn.XLOOKUP(PROYECTOS[[#This Row],[MUNICIPIO]],'4.CAP_ENDMNT'!B:B,'4.CAP_ENDMNT'!J:J,0,0,1)</f>
        <v>0.66559970287082904</v>
      </c>
      <c r="AB637" s="258">
        <f>+_xlfn.XLOOKUP(PROYECTOS[[#This Row],[MUNICIPIO]],'4.CAP_ENDMNT'!B:B,'4.CAP_ENDMNT'!K:K,0,0,1)</f>
        <v>7656573854.9104996</v>
      </c>
      <c r="AC637" s="258">
        <f>+_xlfn.XLOOKUP(PROYECTOS[[#This Row],[MUNICIPIO]],'4.CAP_ENDMNT'!B:B,'4.CAP_ENDMNT'!L:L,0,0,1)</f>
        <v>6125259083.9284</v>
      </c>
      <c r="AD637" s="258">
        <f>+_xlfn.XLOOKUP(PROYECTOS[[#This Row],[MUNICIPIO]],'4.CAP_ENDMNT'!B:B,'4.CAP_ENDMNT'!M:M,0,0,1)</f>
        <v>4593944312.9462996</v>
      </c>
      <c r="AE637" s="134">
        <f>+_xlfn.XLOOKUP(PROYECTOS[[#This Row],[MUNICIPIO]],'4.CAP_ENDMNT'!B:B,'4.CAP_ENDMNT'!N:N,0,0,1)</f>
        <v>0.99000183677293352</v>
      </c>
      <c r="AF637" s="134">
        <f>+_xlfn.XLOOKUP(PROYECTOS[[#This Row],[MUNICIPIO]],'4.CAP_ENDMNT'!B:B,'4.CAP_ENDMNT'!O:O,0,0,1)</f>
        <v>0.53987925149269589</v>
      </c>
      <c r="AG637" s="134">
        <f>+_xlfn.XLOOKUP(PROYECTOS[[#This Row],[MUNICIPIO]],'4.CAP_ENDMNT'!B:B,'4.CAP_ENDMNT'!P:P,0,0,1)</f>
        <v>0.8</v>
      </c>
      <c r="AH637" s="258" t="str">
        <f>+_xlfn.XLOOKUP(PROYECTOS[[#This Row],[MUNICIPIO]],'4.CAP_ENDMNT'!B:B,'4.CAP_ENDMNT'!Q:Q,0,0,1)</f>
        <v>Cumple</v>
      </c>
      <c r="AI637" s="139">
        <f>+_xlfn.XLOOKUP(PROYECTOS[[#This Row],[MUNICIPIO]],'4.CAP_ENDMNT'!B:B,'4.CAP_ENDMNT'!V:V,0,0,1)</f>
        <v>918788862.58925998</v>
      </c>
      <c r="AJ637" s="139">
        <f>+_xlfn.XLOOKUP(PROYECTOS[[#This Row],[MUNICIPIO]],'4.CAP_ENDMNT'!B:B,'4.CAP_ENDMNT'!Y:Y,0,0,1)</f>
        <v>-5124042499.4644403</v>
      </c>
      <c r="AK637"/>
      <c r="AL637"/>
      <c r="AM637"/>
    </row>
    <row r="638" spans="1:39" ht="15" customHeight="1">
      <c r="A638" s="261">
        <v>756</v>
      </c>
      <c r="B638" s="232" t="str">
        <f>+_xlfn.XLOOKUP(PROYECTOS[[#This Row],[ID_NECESIDAD]],'1.RADICADOS'!G:G,'1.RADICADOS'!H:H,0,0,1)</f>
        <v>Presentacion proyecto de intervencion de sitios criticos de riesgo municipio de Toledo (son 6)</v>
      </c>
      <c r="C638" s="118">
        <f>+_xlfn.XLOOKUP(PROYECTOS[[#This Row],[ID_NECESIDAD]],'1.RADICADOS'!G:G,'1.RADICADOS'!C:C,0,0,1)*1</f>
        <v>45882</v>
      </c>
      <c r="D638" s="118" t="str">
        <f>+_xlfn.XLOOKUP(PROYECTOS[[#This Row],[ID_NECESIDAD]],'1.RADICADOS'!G:G,'1.RADICADOS'!F:F,0,0,1)</f>
        <v>Toledo</v>
      </c>
      <c r="E638" s="257" t="str">
        <f>+_xlfn.XLOOKUP(PROYECTOS[[#This Row],[MUNICIPIO]],MUNICIPIOS!A:A,MUNICIPIOS!E:E,0,0,1)</f>
        <v>Norte</v>
      </c>
      <c r="F638" s="257" t="e" cm="1">
        <f t="array" ref="F638">+_xlfn.XLOOKUP(PROYECTOS[[#This Row],[MUNICIPIO]],Table1[Municipio],MUNICIPIOS!F:F,0,0,1)</f>
        <v>#VALUE!</v>
      </c>
      <c r="G638" s="257" t="str">
        <f>+LOOKUP(PROYECTOS[[#This Row],[MUNICIPIO]],Table1[Municipio],Table1[Latitud])</f>
        <v>6,149903</v>
      </c>
      <c r="H638" s="258">
        <f>+LOOKUP(PROYECTOS[[#This Row],[MUNICIPIO]],Table1[Municipio],Table1[PDET])</f>
        <v>0</v>
      </c>
      <c r="I638" s="259">
        <f>+LOOKUP(PROYECTOS[[#This Row],[MUNICIPIO]],Table1[Municipio],Table1[ZOMAC])</f>
        <v>0</v>
      </c>
      <c r="J638" s="260" t="str" cm="1">
        <f t="array" ref="J638">_xlfn.TEXTJOIN(", ", TRUE, IF(radicados[ID PROYECTOS]=A638, radicados[RADICADO], ""))</f>
        <v>2025010417088</v>
      </c>
      <c r="K638" s="240">
        <v>3</v>
      </c>
      <c r="L638" s="212">
        <f>+_xlfn.XLOOKUP(PROYECTOS[[#This Row],[ID_NECESIDAD]],'1.RADICADOS'!G:G,'1.RADICADOS'!J:J,0,0,1)</f>
        <v>3022948446</v>
      </c>
      <c r="M638" s="246" t="s">
        <v>407</v>
      </c>
      <c r="N638" s="205" t="s">
        <v>398</v>
      </c>
      <c r="O638" s="205" t="s">
        <v>25</v>
      </c>
      <c r="P638" s="246" t="s">
        <v>1805</v>
      </c>
      <c r="Q638" s="45"/>
      <c r="R638" s="166"/>
      <c r="S638" s="166"/>
      <c r="T638" s="258">
        <f>+_xlfn.XLOOKUP(PROYECTOS[[#This Row],[MUNICIPIO]],'4.CAP_ENDMNT'!B:B,'4.CAP_ENDMNT'!C:C,0,0,1)</f>
        <v>6</v>
      </c>
      <c r="U638" s="167">
        <f>+_xlfn.XLOOKUP(PROYECTOS[[#This Row],[MUNICIPIO]],'4.CAP_ENDMNT'!B:B,'4.CAP_ENDMNT'!D:D,0,0,1)</f>
        <v>11658945302.2845</v>
      </c>
      <c r="V638" s="258">
        <f>+_xlfn.XLOOKUP(PROYECTOS[[#This Row],[MUNICIPIO]],'4.CAP_ENDMNT'!B:B,'4.CAP_ENDMNT'!E:E,0,0,1)</f>
        <v>3873327651.4900002</v>
      </c>
      <c r="W638" s="258">
        <f>+_xlfn.XLOOKUP(PROYECTOS[[#This Row],[MUNICIPIO]],'4.CAP_ENDMNT'!B:B,'4.CAP_ENDMNT'!F:F,0,0,1)</f>
        <v>7785617650.7945004</v>
      </c>
      <c r="X638" s="258">
        <f>+_xlfn.XLOOKUP(PROYECTOS[[#This Row],[MUNICIPIO]],'4.CAP_ENDMNT'!B:B,'4.CAP_ENDMNT'!G:G,0,0,1)</f>
        <v>358053435</v>
      </c>
      <c r="Y638" s="258">
        <f>+_xlfn.XLOOKUP(PROYECTOS[[#This Row],[MUNICIPIO]],'4.CAP_ENDMNT'!B:B,'4.CAP_ENDMNT'!H:H,0,0,1)</f>
        <v>0</v>
      </c>
      <c r="Z638" s="258">
        <f>+_xlfn.XLOOKUP(PROYECTOS[[#This Row],[MUNICIPIO]],'4.CAP_ENDMNT'!B:B,'4.CAP_ENDMNT'!I:I,0,0,1)</f>
        <v>358053435</v>
      </c>
      <c r="AA638" s="134">
        <f>+_xlfn.XLOOKUP(PROYECTOS[[#This Row],[MUNICIPIO]],'4.CAP_ENDMNT'!B:B,'4.CAP_ENDMNT'!J:J,0,0,1)</f>
        <v>3.0710619675850231E-2</v>
      </c>
      <c r="AB638" s="258">
        <f>+_xlfn.XLOOKUP(PROYECTOS[[#This Row],[MUNICIPIO]],'4.CAP_ENDMNT'!B:B,'4.CAP_ENDMNT'!K:K,0,0,1)</f>
        <v>11300891867.2845</v>
      </c>
      <c r="AC638" s="258">
        <f>+_xlfn.XLOOKUP(PROYECTOS[[#This Row],[MUNICIPIO]],'4.CAP_ENDMNT'!B:B,'4.CAP_ENDMNT'!L:L,0,0,1)</f>
        <v>9040713493.8276005</v>
      </c>
      <c r="AD638" s="258">
        <f>+_xlfn.XLOOKUP(PROYECTOS[[#This Row],[MUNICIPIO]],'4.CAP_ENDMNT'!B:B,'4.CAP_ENDMNT'!M:M,0,0,1)</f>
        <v>6780535120.3706999</v>
      </c>
      <c r="AE638" s="134">
        <f>+_xlfn.XLOOKUP(PROYECTOS[[#This Row],[MUNICIPIO]],'4.CAP_ENDMNT'!B:B,'4.CAP_ENDMNT'!N:N,0,0,1)</f>
        <v>1</v>
      </c>
      <c r="AF638" s="134">
        <f>+_xlfn.XLOOKUP(PROYECTOS[[#This Row],[MUNICIPIO]],'4.CAP_ENDMNT'!B:B,'4.CAP_ENDMNT'!O:O,0,0,1)</f>
        <v>0.73337464913949513</v>
      </c>
      <c r="AG638" s="134">
        <f>+_xlfn.XLOOKUP(PROYECTOS[[#This Row],[MUNICIPIO]],'4.CAP_ENDMNT'!B:B,'4.CAP_ENDMNT'!P:P,0,0,1)</f>
        <v>0.8</v>
      </c>
      <c r="AH638" s="258" t="str">
        <f>+_xlfn.XLOOKUP(PROYECTOS[[#This Row],[MUNICIPIO]],'4.CAP_ENDMNT'!B:B,'4.CAP_ENDMNT'!Q:Q,0,0,1)</f>
        <v>Cumple</v>
      </c>
      <c r="AI638" s="139">
        <f>+_xlfn.XLOOKUP(PROYECTOS[[#This Row],[MUNICIPIO]],'4.CAP_ENDMNT'!B:B,'4.CAP_ENDMNT'!V:V,0,0,1)</f>
        <v>1356107024.0741401</v>
      </c>
      <c r="AJ638" s="139">
        <f>+_xlfn.XLOOKUP(PROYECTOS[[#This Row],[MUNICIPIO]],'4.CAP_ENDMNT'!B:B,'4.CAP_ENDMNT'!Y:Y,0,0,1)</f>
        <v>177652909.44483948</v>
      </c>
      <c r="AK638"/>
      <c r="AL638"/>
      <c r="AM638"/>
    </row>
    <row r="639" spans="1:39" ht="15" customHeight="1">
      <c r="A639" s="262">
        <v>758</v>
      </c>
      <c r="B639" s="232" t="str">
        <f>+_xlfn.XLOOKUP(PROYECTOS[[#This Row],[ID_NECESIDAD]],'1.RADICADOS'!G:G,'1.RADICADOS'!H:H,0,0,1)</f>
        <v>Radicacion proyecto puente vehicular Divino Niño 05887VT68 L 50m B 5m</v>
      </c>
      <c r="C639" s="118">
        <f>+_xlfn.XLOOKUP(PROYECTOS[[#This Row],[ID_NECESIDAD]],'1.RADICADOS'!G:G,'1.RADICADOS'!C:C,0,0,1)*1</f>
        <v>45891</v>
      </c>
      <c r="D639" s="118" t="str">
        <f>+_xlfn.XLOOKUP(PROYECTOS[[#This Row],[ID_NECESIDAD]],'1.RADICADOS'!G:G,'1.RADICADOS'!F:F,0,0,1)</f>
        <v>Yarumal</v>
      </c>
      <c r="E639" s="257" t="str">
        <f>+_xlfn.XLOOKUP(PROYECTOS[[#This Row],[MUNICIPIO]],MUNICIPIOS!A:A,MUNICIPIOS!E:E,0,0,1)</f>
        <v>Norte</v>
      </c>
      <c r="F639" s="257" t="e" cm="1">
        <f t="array" ref="F639">+_xlfn.XLOOKUP(PROYECTOS[[#This Row],[MUNICIPIO]],Table1[Municipio],MUNICIPIOS!F:F,0,0,1)</f>
        <v>#VALUE!</v>
      </c>
      <c r="G639" s="257" t="str">
        <f>+LOOKUP(PROYECTOS[[#This Row],[MUNICIPIO]],Table1[Municipio],Table1[Latitud])</f>
        <v>6,149903</v>
      </c>
      <c r="H639" s="258">
        <f>+LOOKUP(PROYECTOS[[#This Row],[MUNICIPIO]],Table1[Municipio],Table1[PDET])</f>
        <v>0</v>
      </c>
      <c r="I639" s="259">
        <f>+LOOKUP(PROYECTOS[[#This Row],[MUNICIPIO]],Table1[Municipio],Table1[ZOMAC])</f>
        <v>0</v>
      </c>
      <c r="J639" s="260" t="str" cm="1">
        <f t="array" ref="J639">_xlfn.TEXTJOIN(", ", TRUE, IF(radicados[ID PROYECTOS]=A639, radicados[RADICADO], ""))</f>
        <v>2025010435349</v>
      </c>
      <c r="K639" s="242">
        <v>3</v>
      </c>
      <c r="L639" s="212">
        <f>+_xlfn.XLOOKUP(PROYECTOS[[#This Row],[ID_NECESIDAD]],'1.RADICADOS'!G:G,'1.RADICADOS'!J:J,0,0,1)</f>
        <v>2749490229</v>
      </c>
      <c r="M639" s="247" t="s">
        <v>435</v>
      </c>
      <c r="N639" s="241" t="s">
        <v>398</v>
      </c>
      <c r="O639" s="241" t="s">
        <v>25</v>
      </c>
      <c r="P639" s="247" t="s">
        <v>1810</v>
      </c>
      <c r="Q639" s="45"/>
      <c r="R639" s="166"/>
      <c r="S639" s="166"/>
      <c r="T639" s="258">
        <f>+_xlfn.XLOOKUP(PROYECTOS[[#This Row],[MUNICIPIO]],'4.CAP_ENDMNT'!B:B,'4.CAP_ENDMNT'!C:C,0,0,1)</f>
        <v>5</v>
      </c>
      <c r="U639" s="167">
        <f>+_xlfn.XLOOKUP(PROYECTOS[[#This Row],[MUNICIPIO]],'4.CAP_ENDMNT'!B:B,'4.CAP_ENDMNT'!D:D,0,0,1)</f>
        <v>36204719778.619003</v>
      </c>
      <c r="V639" s="258">
        <f>+_xlfn.XLOOKUP(PROYECTOS[[#This Row],[MUNICIPIO]],'4.CAP_ENDMNT'!B:B,'4.CAP_ENDMNT'!E:E,0,0,1)</f>
        <v>11082623753.610001</v>
      </c>
      <c r="W639" s="258">
        <f>+_xlfn.XLOOKUP(PROYECTOS[[#This Row],[MUNICIPIO]],'4.CAP_ENDMNT'!B:B,'4.CAP_ENDMNT'!F:F,0,0,1)</f>
        <v>25122096025.009003</v>
      </c>
      <c r="X639" s="258">
        <f>+_xlfn.XLOOKUP(PROYECTOS[[#This Row],[MUNICIPIO]],'4.CAP_ENDMNT'!B:B,'4.CAP_ENDMNT'!G:G,0,0,1)</f>
        <v>1291156679</v>
      </c>
      <c r="Y639" s="258">
        <f>+_xlfn.XLOOKUP(PROYECTOS[[#This Row],[MUNICIPIO]],'4.CAP_ENDMNT'!B:B,'4.CAP_ENDMNT'!H:H,0,0,1)</f>
        <v>12320355879.07</v>
      </c>
      <c r="Z639" s="258">
        <f>+_xlfn.XLOOKUP(PROYECTOS[[#This Row],[MUNICIPIO]],'4.CAP_ENDMNT'!B:B,'4.CAP_ENDMNT'!I:I,0,0,1)</f>
        <v>13611512558.07</v>
      </c>
      <c r="AA639" s="134">
        <f>+_xlfn.XLOOKUP(PROYECTOS[[#This Row],[MUNICIPIO]],'4.CAP_ENDMNT'!B:B,'4.CAP_ENDMNT'!J:J,0,0,1)</f>
        <v>0.37595961635113639</v>
      </c>
      <c r="AB639" s="258">
        <f>+_xlfn.XLOOKUP(PROYECTOS[[#This Row],[MUNICIPIO]],'4.CAP_ENDMNT'!B:B,'4.CAP_ENDMNT'!K:K,0,0,1)</f>
        <v>22593207220.549004</v>
      </c>
      <c r="AC639" s="258">
        <f>+_xlfn.XLOOKUP(PROYECTOS[[#This Row],[MUNICIPIO]],'4.CAP_ENDMNT'!B:B,'4.CAP_ENDMNT'!L:L,0,0,1)</f>
        <v>18074565776.439205</v>
      </c>
      <c r="AD639" s="258">
        <f>+_xlfn.XLOOKUP(PROYECTOS[[#This Row],[MUNICIPIO]],'4.CAP_ENDMNT'!B:B,'4.CAP_ENDMNT'!M:M,0,0,1)</f>
        <v>13555924332.329401</v>
      </c>
      <c r="AE639" s="134">
        <f>+_xlfn.XLOOKUP(PROYECTOS[[#This Row],[MUNICIPIO]],'4.CAP_ENDMNT'!B:B,'4.CAP_ENDMNT'!N:N,0,0,1)</f>
        <v>9.4857692963336279E-2</v>
      </c>
      <c r="AF639" s="134">
        <f>+_xlfn.XLOOKUP(PROYECTOS[[#This Row],[MUNICIPIO]],'4.CAP_ENDMNT'!B:B,'4.CAP_ENDMNT'!O:O,0,0,1)</f>
        <v>0.39053077044629697</v>
      </c>
      <c r="AG639" s="134">
        <f>+_xlfn.XLOOKUP(PROYECTOS[[#This Row],[MUNICIPIO]],'4.CAP_ENDMNT'!B:B,'4.CAP_ENDMNT'!P:P,0,0,1)</f>
        <v>0.8</v>
      </c>
      <c r="AH639" s="258" t="str">
        <f>+_xlfn.XLOOKUP(PROYECTOS[[#This Row],[MUNICIPIO]],'4.CAP_ENDMNT'!B:B,'4.CAP_ENDMNT'!Q:Q,0,0,1)</f>
        <v>Cumple</v>
      </c>
      <c r="AI639" s="139">
        <f>+_xlfn.XLOOKUP(PROYECTOS[[#This Row],[MUNICIPIO]],'4.CAP_ENDMNT'!B:B,'4.CAP_ENDMNT'!V:V,0,0,1)</f>
        <v>2711184866.4658804</v>
      </c>
      <c r="AJ639" s="139">
        <f>+_xlfn.XLOOKUP(PROYECTOS[[#This Row],[MUNICIPIO]],'4.CAP_ENDMNT'!B:B,'4.CAP_ENDMNT'!Y:Y,0,0,1)</f>
        <v>-192411827505.20471</v>
      </c>
      <c r="AK639"/>
      <c r="AL639"/>
      <c r="AM639"/>
    </row>
    <row r="640" spans="1:39" ht="15" customHeight="1">
      <c r="A640" s="261">
        <v>759</v>
      </c>
      <c r="B640" s="232" t="str">
        <f>+_xlfn.XLOOKUP(PROYECTOS[[#This Row],[ID_NECESIDAD]],'1.RADICADOS'!G:G,'1.RADICADOS'!H:H,0,0,1)</f>
        <v xml:space="preserve">Presentacion Puente en vereda Ripea L 14 m B 5.4 m </v>
      </c>
      <c r="C640" s="118">
        <f>+_xlfn.XLOOKUP(PROYECTOS[[#This Row],[ID_NECESIDAD]],'1.RADICADOS'!G:G,'1.RADICADOS'!C:C,0,0,1)*1</f>
        <v>45894</v>
      </c>
      <c r="D640" s="118" t="str">
        <f>+_xlfn.XLOOKUP(PROYECTOS[[#This Row],[ID_NECESIDAD]],'1.RADICADOS'!G:G,'1.RADICADOS'!F:F,0,0,1)</f>
        <v>Chigorodó</v>
      </c>
      <c r="E640" s="257" t="str">
        <f>+_xlfn.XLOOKUP(PROYECTOS[[#This Row],[MUNICIPIO]],MUNICIPIOS!A:A,MUNICIPIOS!E:E,0,0,1)</f>
        <v>Urabá</v>
      </c>
      <c r="F640" s="257" t="e" cm="1">
        <f t="array" ref="F640">+_xlfn.XLOOKUP(PROYECTOS[[#This Row],[MUNICIPIO]],Table1[Municipio],MUNICIPIOS!F:F,0,0,1)</f>
        <v>#VALUE!</v>
      </c>
      <c r="G640" s="257" t="str">
        <f>+LOOKUP(PROYECTOS[[#This Row],[MUNICIPIO]],Table1[Municipio],Table1[Latitud])</f>
        <v>7,074703</v>
      </c>
      <c r="H640" s="258">
        <f>+LOOKUP(PROYECTOS[[#This Row],[MUNICIPIO]],Table1[Municipio],Table1[PDET])</f>
        <v>1</v>
      </c>
      <c r="I640" s="259">
        <f>+LOOKUP(PROYECTOS[[#This Row],[MUNICIPIO]],Table1[Municipio],Table1[ZOMAC])</f>
        <v>1</v>
      </c>
      <c r="J640" s="260" t="str" cm="1">
        <f t="array" ref="J640">_xlfn.TEXTJOIN(", ", TRUE, IF(radicados[ID PROYECTOS]=A640, radicados[RADICADO], ""))</f>
        <v>2025010437732</v>
      </c>
      <c r="K640" s="240">
        <v>3</v>
      </c>
      <c r="L640" s="212">
        <f>+_xlfn.XLOOKUP(PROYECTOS[[#This Row],[ID_NECESIDAD]],'1.RADICADOS'!G:G,'1.RADICADOS'!J:J,0,0,1)</f>
        <v>1131011015</v>
      </c>
      <c r="M640" s="246" t="s">
        <v>435</v>
      </c>
      <c r="N640" s="205" t="s">
        <v>398</v>
      </c>
      <c r="O640" s="205" t="s">
        <v>25</v>
      </c>
      <c r="P640" s="246" t="s">
        <v>1812</v>
      </c>
      <c r="Q640" s="45"/>
      <c r="R640" s="166"/>
      <c r="S640" s="166"/>
      <c r="T640" s="258">
        <f>+_xlfn.XLOOKUP(PROYECTOS[[#This Row],[MUNICIPIO]],'4.CAP_ENDMNT'!B:B,'4.CAP_ENDMNT'!C:C,0,0,1)</f>
        <v>6</v>
      </c>
      <c r="U640" s="167">
        <f>+_xlfn.XLOOKUP(PROYECTOS[[#This Row],[MUNICIPIO]],'4.CAP_ENDMNT'!B:B,'4.CAP_ENDMNT'!D:D,0,0,1)</f>
        <v>31480625713.601501</v>
      </c>
      <c r="V640" s="258">
        <f>+_xlfn.XLOOKUP(PROYECTOS[[#This Row],[MUNICIPIO]],'4.CAP_ENDMNT'!B:B,'4.CAP_ENDMNT'!E:E,0,0,1)</f>
        <v>12012746210.970001</v>
      </c>
      <c r="W640" s="258">
        <f>+_xlfn.XLOOKUP(PROYECTOS[[#This Row],[MUNICIPIO]],'4.CAP_ENDMNT'!B:B,'4.CAP_ENDMNT'!F:F,0,0,1)</f>
        <v>19467879502.6315</v>
      </c>
      <c r="X640" s="258">
        <f>+_xlfn.XLOOKUP(PROYECTOS[[#This Row],[MUNICIPIO]],'4.CAP_ENDMNT'!B:B,'4.CAP_ENDMNT'!G:G,0,0,1)</f>
        <v>990257688</v>
      </c>
      <c r="Y640" s="258">
        <f>+_xlfn.XLOOKUP(PROYECTOS[[#This Row],[MUNICIPIO]],'4.CAP_ENDMNT'!B:B,'4.CAP_ENDMNT'!H:H,0,0,1)</f>
        <v>4241046406.5999999</v>
      </c>
      <c r="Z640" s="258">
        <f>+_xlfn.XLOOKUP(PROYECTOS[[#This Row],[MUNICIPIO]],'4.CAP_ENDMNT'!B:B,'4.CAP_ENDMNT'!I:I,0,0,1)</f>
        <v>5231304094.6000004</v>
      </c>
      <c r="AA640" s="134">
        <f>+_xlfn.XLOOKUP(PROYECTOS[[#This Row],[MUNICIPIO]],'4.CAP_ENDMNT'!B:B,'4.CAP_ENDMNT'!J:J,0,0,1)</f>
        <v>0.16617535312647125</v>
      </c>
      <c r="AB640" s="258">
        <f>+_xlfn.XLOOKUP(PROYECTOS[[#This Row],[MUNICIPIO]],'4.CAP_ENDMNT'!B:B,'4.CAP_ENDMNT'!K:K,0,0,1)</f>
        <v>26249321619.001503</v>
      </c>
      <c r="AC640" s="258">
        <f>+_xlfn.XLOOKUP(PROYECTOS[[#This Row],[MUNICIPIO]],'4.CAP_ENDMNT'!B:B,'4.CAP_ENDMNT'!L:L,0,0,1)</f>
        <v>20999457295.201202</v>
      </c>
      <c r="AD640" s="258">
        <f>+_xlfn.XLOOKUP(PROYECTOS[[#This Row],[MUNICIPIO]],'4.CAP_ENDMNT'!B:B,'4.CAP_ENDMNT'!M:M,0,0,1)</f>
        <v>15749592971.400902</v>
      </c>
      <c r="AE640" s="134">
        <f>+_xlfn.XLOOKUP(PROYECTOS[[#This Row],[MUNICIPIO]],'4.CAP_ENDMNT'!B:B,'4.CAP_ENDMNT'!N:N,0,0,1)</f>
        <v>0.18929461375074541</v>
      </c>
      <c r="AF640" s="134">
        <f>+_xlfn.XLOOKUP(PROYECTOS[[#This Row],[MUNICIPIO]],'4.CAP_ENDMNT'!B:B,'4.CAP_ENDMNT'!O:O,0,0,1)</f>
        <v>0.57128723877428544</v>
      </c>
      <c r="AG640" s="134">
        <f>+_xlfn.XLOOKUP(PROYECTOS[[#This Row],[MUNICIPIO]],'4.CAP_ENDMNT'!B:B,'4.CAP_ENDMNT'!P:P,0,0,1)</f>
        <v>0.8</v>
      </c>
      <c r="AH640" s="258" t="str">
        <f>+_xlfn.XLOOKUP(PROYECTOS[[#This Row],[MUNICIPIO]],'4.CAP_ENDMNT'!B:B,'4.CAP_ENDMNT'!Q:Q,0,0,1)</f>
        <v>Cumple</v>
      </c>
      <c r="AI640" s="139">
        <f>+_xlfn.XLOOKUP(PROYECTOS[[#This Row],[MUNICIPIO]],'4.CAP_ENDMNT'!B:B,'4.CAP_ENDMNT'!V:V,0,0,1)</f>
        <v>3149918594.2801805</v>
      </c>
      <c r="AJ640" s="139">
        <f>+_xlfn.XLOOKUP(PROYECTOS[[#This Row],[MUNICIPIO]],'4.CAP_ENDMNT'!B:B,'4.CAP_ENDMNT'!Y:Y,0,0,1)</f>
        <v>-159577103574.2489</v>
      </c>
      <c r="AK640"/>
      <c r="AL640"/>
      <c r="AM640"/>
    </row>
    <row r="641" spans="1:39" ht="15" customHeight="1">
      <c r="A641" s="262">
        <v>760</v>
      </c>
      <c r="B641" s="232" t="str">
        <f>+_xlfn.XLOOKUP(PROYECTOS[[#This Row],[ID_NECESIDAD]],'1.RADICADOS'!G:G,'1.RADICADOS'!H:H,0,0,1)</f>
        <v>Remision de diseños para convenio estabilizacion vereda Manga vereda Soledad 5 km</v>
      </c>
      <c r="C641" s="118">
        <f>+_xlfn.XLOOKUP(PROYECTOS[[#This Row],[ID_NECESIDAD]],'1.RADICADOS'!G:G,'1.RADICADOS'!C:C,0,0,1)*1</f>
        <v>45898</v>
      </c>
      <c r="D641" s="118" t="str">
        <f>+_xlfn.XLOOKUP(PROYECTOS[[#This Row],[ID_NECESIDAD]],'1.RADICADOS'!G:G,'1.RADICADOS'!F:F,0,0,1)</f>
        <v>Caicedo</v>
      </c>
      <c r="E641" s="257" t="str">
        <f>+_xlfn.XLOOKUP(PROYECTOS[[#This Row],[MUNICIPIO]],MUNICIPIOS!A:A,MUNICIPIOS!E:E,0,0,1)</f>
        <v>Occidente</v>
      </c>
      <c r="F641" s="257" t="e" cm="1">
        <f t="array" ref="F641">+_xlfn.XLOOKUP(PROYECTOS[[#This Row],[MUNICIPIO]],Table1[Municipio],MUNICIPIOS!F:F,0,0,1)</f>
        <v>#VALUE!</v>
      </c>
      <c r="G641" s="257" t="str">
        <f>+LOOKUP(PROYECTOS[[#This Row],[MUNICIPIO]],Table1[Municipio],Table1[Latitud])</f>
        <v>7,074703</v>
      </c>
      <c r="H641" s="258">
        <f>+LOOKUP(PROYECTOS[[#This Row],[MUNICIPIO]],Table1[Municipio],Table1[PDET])</f>
        <v>1</v>
      </c>
      <c r="I641" s="259">
        <f>+LOOKUP(PROYECTOS[[#This Row],[MUNICIPIO]],Table1[Municipio],Table1[ZOMAC])</f>
        <v>1</v>
      </c>
      <c r="J641" s="260" t="str" cm="1">
        <f t="array" ref="J641">_xlfn.TEXTJOIN(", ", TRUE, IF(radicados[ID PROYECTOS]=A641, radicados[RADICADO], ""))</f>
        <v>2025010449162</v>
      </c>
      <c r="K641" s="242">
        <v>2</v>
      </c>
      <c r="L641" s="212"/>
      <c r="M641" s="247" t="s">
        <v>441</v>
      </c>
      <c r="N641" s="241" t="s">
        <v>398</v>
      </c>
      <c r="O641" s="241" t="s">
        <v>25</v>
      </c>
      <c r="P641" s="247" t="s">
        <v>1837</v>
      </c>
      <c r="Q641" s="45"/>
      <c r="R641" s="166"/>
      <c r="S641" s="166"/>
      <c r="T641" s="258">
        <f>+_xlfn.XLOOKUP(PROYECTOS[[#This Row],[MUNICIPIO]],'4.CAP_ENDMNT'!B:B,'4.CAP_ENDMNT'!C:C,0,0,1)</f>
        <v>6</v>
      </c>
      <c r="U641" s="167">
        <f>+_xlfn.XLOOKUP(PROYECTOS[[#This Row],[MUNICIPIO]],'4.CAP_ENDMNT'!B:B,'4.CAP_ENDMNT'!D:D,0,0,1)</f>
        <v>8536446221.1044998</v>
      </c>
      <c r="V641" s="258">
        <f>+_xlfn.XLOOKUP(PROYECTOS[[#This Row],[MUNICIPIO]],'4.CAP_ENDMNT'!B:B,'4.CAP_ENDMNT'!E:E,0,0,1)</f>
        <v>2840287960.8099999</v>
      </c>
      <c r="W641" s="258">
        <f>+_xlfn.XLOOKUP(PROYECTOS[[#This Row],[MUNICIPIO]],'4.CAP_ENDMNT'!B:B,'4.CAP_ENDMNT'!F:F,0,0,1)</f>
        <v>5696158260.2945004</v>
      </c>
      <c r="X641" s="258">
        <f>+_xlfn.XLOOKUP(PROYECTOS[[#This Row],[MUNICIPIO]],'4.CAP_ENDMNT'!B:B,'4.CAP_ENDMNT'!G:G,0,0,1)</f>
        <v>1059912604</v>
      </c>
      <c r="Y641" s="258">
        <f>+_xlfn.XLOOKUP(PROYECTOS[[#This Row],[MUNICIPIO]],'4.CAP_ENDMNT'!B:B,'4.CAP_ENDMNT'!H:H,0,0,1)</f>
        <v>559890374</v>
      </c>
      <c r="Z641" s="258">
        <f>+_xlfn.XLOOKUP(PROYECTOS[[#This Row],[MUNICIPIO]],'4.CAP_ENDMNT'!B:B,'4.CAP_ENDMNT'!I:I,0,0,1)</f>
        <v>1619802978</v>
      </c>
      <c r="AA641" s="134">
        <f>+_xlfn.XLOOKUP(PROYECTOS[[#This Row],[MUNICIPIO]],'4.CAP_ENDMNT'!B:B,'4.CAP_ENDMNT'!J:J,0,0,1)</f>
        <v>0.18975144176453554</v>
      </c>
      <c r="AB641" s="258">
        <f>+_xlfn.XLOOKUP(PROYECTOS[[#This Row],[MUNICIPIO]],'4.CAP_ENDMNT'!B:B,'4.CAP_ENDMNT'!K:K,0,0,1)</f>
        <v>6916643243.1044998</v>
      </c>
      <c r="AC641" s="258">
        <f>+_xlfn.XLOOKUP(PROYECTOS[[#This Row],[MUNICIPIO]],'4.CAP_ENDMNT'!B:B,'4.CAP_ENDMNT'!L:L,0,0,1)</f>
        <v>5533314594.4836006</v>
      </c>
      <c r="AD641" s="258">
        <f>+_xlfn.XLOOKUP(PROYECTOS[[#This Row],[MUNICIPIO]],'4.CAP_ENDMNT'!B:B,'4.CAP_ENDMNT'!M:M,0,0,1)</f>
        <v>4149985945.8626995</v>
      </c>
      <c r="AE641" s="134">
        <f>+_xlfn.XLOOKUP(PROYECTOS[[#This Row],[MUNICIPIO]],'4.CAP_ENDMNT'!B:B,'4.CAP_ENDMNT'!N:N,0,0,1)</f>
        <v>0.65434662017271583</v>
      </c>
      <c r="AF641" s="134">
        <f>+_xlfn.XLOOKUP(PROYECTOS[[#This Row],[MUNICIPIO]],'4.CAP_ENDMNT'!B:B,'4.CAP_ENDMNT'!O:O,0,0,1)</f>
        <v>0.62730744736284794</v>
      </c>
      <c r="AG641" s="134">
        <f>+_xlfn.XLOOKUP(PROYECTOS[[#This Row],[MUNICIPIO]],'4.CAP_ENDMNT'!B:B,'4.CAP_ENDMNT'!P:P,0,0,1)</f>
        <v>0.8</v>
      </c>
      <c r="AH641" s="258" t="str">
        <f>+_xlfn.XLOOKUP(PROYECTOS[[#This Row],[MUNICIPIO]],'4.CAP_ENDMNT'!B:B,'4.CAP_ENDMNT'!Q:Q,0,0,1)</f>
        <v>Cumple</v>
      </c>
      <c r="AI641" s="139">
        <f>+_xlfn.XLOOKUP(PROYECTOS[[#This Row],[MUNICIPIO]],'4.CAP_ENDMNT'!B:B,'4.CAP_ENDMNT'!V:V,0,0,1)</f>
        <v>829997189.17253995</v>
      </c>
      <c r="AJ641" s="139">
        <f>+_xlfn.XLOOKUP(PROYECTOS[[#This Row],[MUNICIPIO]],'4.CAP_ENDMNT'!B:B,'4.CAP_ENDMNT'!Y:Y,0,0,1)</f>
        <v>-7956520095.9647608</v>
      </c>
      <c r="AK641"/>
      <c r="AL641"/>
      <c r="AM641"/>
    </row>
    <row r="642" spans="1:39" ht="15" customHeight="1">
      <c r="A642" s="261">
        <v>761</v>
      </c>
      <c r="B642" s="232" t="str">
        <f>+_xlfn.XLOOKUP(PROYECTOS[[#This Row],[ID_NECESIDAD]],'1.RADICADOS'!G:G,'1.RADICADOS'!H:H,0,0,1)</f>
        <v>Informe visita puente La Arenera</v>
      </c>
      <c r="C642" s="118">
        <f>+_xlfn.XLOOKUP(PROYECTOS[[#This Row],[ID_NECESIDAD]],'1.RADICADOS'!G:G,'1.RADICADOS'!C:C,0,0,1)*1</f>
        <v>45910</v>
      </c>
      <c r="D642" s="118" t="str">
        <f>+_xlfn.XLOOKUP(PROYECTOS[[#This Row],[ID_NECESIDAD]],'1.RADICADOS'!G:G,'1.RADICADOS'!F:F,0,0,1)</f>
        <v>Cocorná</v>
      </c>
      <c r="E642" s="257" t="str">
        <f>+_xlfn.XLOOKUP(PROYECTOS[[#This Row],[MUNICIPIO]],MUNICIPIOS!A:A,MUNICIPIOS!E:E,0,0,1)</f>
        <v>Oriente</v>
      </c>
      <c r="F642" s="257" t="e" cm="1">
        <f t="array" ref="F642">+_xlfn.XLOOKUP(PROYECTOS[[#This Row],[MUNICIPIO]],Table1[Municipio],MUNICIPIOS!F:F,0,0,1)</f>
        <v>#VALUE!</v>
      </c>
      <c r="G642" s="257" t="str">
        <f>+LOOKUP(PROYECTOS[[#This Row],[MUNICIPIO]],Table1[Municipio],Table1[Latitud])</f>
        <v>6,058295</v>
      </c>
      <c r="H642" s="258">
        <f>+LOOKUP(PROYECTOS[[#This Row],[MUNICIPIO]],Table1[Municipio],Table1[PDET])</f>
        <v>0</v>
      </c>
      <c r="I642" s="259">
        <f>+LOOKUP(PROYECTOS[[#This Row],[MUNICIPIO]],Table1[Municipio],Table1[ZOMAC])</f>
        <v>1</v>
      </c>
      <c r="J642" s="260" t="str" cm="1">
        <f t="array" ref="J642">_xlfn.TEXTJOIN(", ", TRUE, IF(radicados[ID PROYECTOS]=A642, radicados[RADICADO], ""))</f>
        <v>2025030253114</v>
      </c>
      <c r="K642" s="240">
        <v>1</v>
      </c>
      <c r="L642" s="212"/>
      <c r="M642" s="246" t="s">
        <v>428</v>
      </c>
      <c r="N642" s="205" t="s">
        <v>398</v>
      </c>
      <c r="O642" s="205" t="s">
        <v>25</v>
      </c>
      <c r="P642" s="246" t="s">
        <v>1816</v>
      </c>
      <c r="Q642" s="45"/>
      <c r="R642" s="166"/>
      <c r="S642" s="166"/>
      <c r="T642" s="258">
        <f>+_xlfn.XLOOKUP(PROYECTOS[[#This Row],[MUNICIPIO]],'4.CAP_ENDMNT'!B:B,'4.CAP_ENDMNT'!C:C,0,0,1)</f>
        <v>6</v>
      </c>
      <c r="U642" s="167">
        <f>+_xlfn.XLOOKUP(PROYECTOS[[#This Row],[MUNICIPIO]],'4.CAP_ENDMNT'!B:B,'4.CAP_ENDMNT'!D:D,0,0,1)</f>
        <v>12327690626.8465</v>
      </c>
      <c r="V642" s="258">
        <f>+_xlfn.XLOOKUP(PROYECTOS[[#This Row],[MUNICIPIO]],'4.CAP_ENDMNT'!B:B,'4.CAP_ENDMNT'!E:E,0,0,1)</f>
        <v>4723680091.2799997</v>
      </c>
      <c r="W642" s="258">
        <f>+_xlfn.XLOOKUP(PROYECTOS[[#This Row],[MUNICIPIO]],'4.CAP_ENDMNT'!B:B,'4.CAP_ENDMNT'!F:F,0,0,1)</f>
        <v>7604010535.5665007</v>
      </c>
      <c r="X642" s="258">
        <f>+_xlfn.XLOOKUP(PROYECTOS[[#This Row],[MUNICIPIO]],'4.CAP_ENDMNT'!B:B,'4.CAP_ENDMNT'!G:G,0,0,1)</f>
        <v>445297438</v>
      </c>
      <c r="Y642" s="258">
        <f>+_xlfn.XLOOKUP(PROYECTOS[[#This Row],[MUNICIPIO]],'4.CAP_ENDMNT'!B:B,'4.CAP_ENDMNT'!H:H,0,0,1)</f>
        <v>33508702</v>
      </c>
      <c r="Z642" s="258">
        <f>+_xlfn.XLOOKUP(PROYECTOS[[#This Row],[MUNICIPIO]],'4.CAP_ENDMNT'!B:B,'4.CAP_ENDMNT'!I:I,0,0,1)</f>
        <v>478806140</v>
      </c>
      <c r="AA642" s="134">
        <f>+_xlfn.XLOOKUP(PROYECTOS[[#This Row],[MUNICIPIO]],'4.CAP_ENDMNT'!B:B,'4.CAP_ENDMNT'!J:J,0,0,1)</f>
        <v>3.8839889359105498E-2</v>
      </c>
      <c r="AB642" s="258">
        <f>+_xlfn.XLOOKUP(PROYECTOS[[#This Row],[MUNICIPIO]],'4.CAP_ENDMNT'!B:B,'4.CAP_ENDMNT'!K:K,0,0,1)</f>
        <v>11848884486.8465</v>
      </c>
      <c r="AC642" s="258">
        <f>+_xlfn.XLOOKUP(PROYECTOS[[#This Row],[MUNICIPIO]],'4.CAP_ENDMNT'!B:B,'4.CAP_ENDMNT'!L:L,0,0,1)</f>
        <v>9479107589.4772015</v>
      </c>
      <c r="AD642" s="258">
        <f>+_xlfn.XLOOKUP(PROYECTOS[[#This Row],[MUNICIPIO]],'4.CAP_ENDMNT'!B:B,'4.CAP_ENDMNT'!M:M,0,0,1)</f>
        <v>7109330692.1078997</v>
      </c>
      <c r="AE642" s="134">
        <f>+_xlfn.XLOOKUP(PROYECTOS[[#This Row],[MUNICIPIO]],'4.CAP_ENDMNT'!B:B,'4.CAP_ENDMNT'!N:N,0,0,1)</f>
        <v>0.93001613972619479</v>
      </c>
      <c r="AF642" s="134">
        <f>+_xlfn.XLOOKUP(PROYECTOS[[#This Row],[MUNICIPIO]],'4.CAP_ENDMNT'!B:B,'4.CAP_ENDMNT'!O:O,0,0,1)</f>
        <v>0.63996045822337311</v>
      </c>
      <c r="AG642" s="134">
        <f>+_xlfn.XLOOKUP(PROYECTOS[[#This Row],[MUNICIPIO]],'4.CAP_ENDMNT'!B:B,'4.CAP_ENDMNT'!P:P,0,0,1)</f>
        <v>0.8</v>
      </c>
      <c r="AH642" s="258" t="str">
        <f>+_xlfn.XLOOKUP(PROYECTOS[[#This Row],[MUNICIPIO]],'4.CAP_ENDMNT'!B:B,'4.CAP_ENDMNT'!Q:Q,0,0,1)</f>
        <v>Cumple</v>
      </c>
      <c r="AI642" s="139">
        <f>+_xlfn.XLOOKUP(PROYECTOS[[#This Row],[MUNICIPIO]],'4.CAP_ENDMNT'!B:B,'4.CAP_ENDMNT'!V:V,0,0,1)</f>
        <v>1421866138.4215801</v>
      </c>
      <c r="AJ642" s="139">
        <f>+_xlfn.XLOOKUP(PROYECTOS[[#This Row],[MUNICIPIO]],'4.CAP_ENDMNT'!B:B,'4.CAP_ENDMNT'!Y:Y,0,0,1)</f>
        <v>4809429397.52948</v>
      </c>
      <c r="AK642"/>
      <c r="AL642"/>
      <c r="AM642"/>
    </row>
    <row r="643" spans="1:39" ht="15" customHeight="1">
      <c r="A643" s="262">
        <v>762</v>
      </c>
      <c r="B643" s="232" t="str">
        <f>+_xlfn.XLOOKUP(PROYECTOS[[#This Row],[ID_NECESIDAD]],'1.RADICADOS'!G:G,'1.RADICADOS'!H:H,0,0,1)</f>
        <v>Radicacion proyecto pavimentacion vias secundarias (60AN09-2/60AN11)</v>
      </c>
      <c r="C643" s="118">
        <f>+_xlfn.XLOOKUP(PROYECTOS[[#This Row],[ID_NECESIDAD]],'1.RADICADOS'!G:G,'1.RADICADOS'!C:C,0,0,1)*1</f>
        <v>45862</v>
      </c>
      <c r="D643" s="118" t="str">
        <f>+_xlfn.XLOOKUP(PROYECTOS[[#This Row],[ID_NECESIDAD]],'1.RADICADOS'!G:G,'1.RADICADOS'!F:F,0,0,1)</f>
        <v>Fredonia</v>
      </c>
      <c r="E643" s="257" t="str">
        <f>+_xlfn.XLOOKUP(PROYECTOS[[#This Row],[MUNICIPIO]],MUNICIPIOS!A:A,MUNICIPIOS!E:E,0,0,1)</f>
        <v>Suroeste</v>
      </c>
      <c r="F643" s="257" t="e" cm="1">
        <f t="array" ref="F643">+_xlfn.XLOOKUP(PROYECTOS[[#This Row],[MUNICIPIO]],Table1[Municipio],MUNICIPIOS!F:F,0,0,1)</f>
        <v>#VALUE!</v>
      </c>
      <c r="G643" s="257" t="str">
        <f>+LOOKUP(PROYECTOS[[#This Row],[MUNICIPIO]],Table1[Municipio],Table1[Latitud])</f>
        <v>6,136871</v>
      </c>
      <c r="H643" s="258">
        <f>+LOOKUP(PROYECTOS[[#This Row],[MUNICIPIO]],Table1[Municipio],Table1[PDET])</f>
        <v>0</v>
      </c>
      <c r="I643" s="259">
        <f>+LOOKUP(PROYECTOS[[#This Row],[MUNICIPIO]],Table1[Municipio],Table1[ZOMAC])</f>
        <v>0</v>
      </c>
      <c r="J643" s="260" t="str" cm="1">
        <f t="array" ref="J643">_xlfn.TEXTJOIN(", ", TRUE, IF(radicados[ID PROYECTOS]=A643, radicados[RADICADO], ""))</f>
        <v>2025010376267</v>
      </c>
      <c r="K643" s="242">
        <v>1</v>
      </c>
      <c r="L643" s="212"/>
      <c r="M643" s="247" t="s">
        <v>396</v>
      </c>
      <c r="N643" s="241" t="s">
        <v>397</v>
      </c>
      <c r="O643" s="241" t="s">
        <v>56</v>
      </c>
      <c r="P643" s="255" t="s">
        <v>1838</v>
      </c>
      <c r="Q643" s="45"/>
      <c r="R643" s="166"/>
      <c r="S643" s="166"/>
      <c r="T643" s="258">
        <f>+_xlfn.XLOOKUP(PROYECTOS[[#This Row],[MUNICIPIO]],'4.CAP_ENDMNT'!B:B,'4.CAP_ENDMNT'!C:C,0,0,1)</f>
        <v>6</v>
      </c>
      <c r="U643" s="167">
        <f>+_xlfn.XLOOKUP(PROYECTOS[[#This Row],[MUNICIPIO]],'4.CAP_ENDMNT'!B:B,'4.CAP_ENDMNT'!D:D,0,0,1)</f>
        <v>17515986067.273998</v>
      </c>
      <c r="V643" s="258">
        <f>+_xlfn.XLOOKUP(PROYECTOS[[#This Row],[MUNICIPIO]],'4.CAP_ENDMNT'!B:B,'4.CAP_ENDMNT'!E:E,0,0,1)</f>
        <v>8346764868.3600006</v>
      </c>
      <c r="W643" s="258">
        <f>+_xlfn.XLOOKUP(PROYECTOS[[#This Row],[MUNICIPIO]],'4.CAP_ENDMNT'!B:B,'4.CAP_ENDMNT'!F:F,0,0,1)</f>
        <v>9169221198.9139977</v>
      </c>
      <c r="X643" s="258">
        <f>+_xlfn.XLOOKUP(PROYECTOS[[#This Row],[MUNICIPIO]],'4.CAP_ENDMNT'!B:B,'4.CAP_ENDMNT'!G:G,0,0,1)</f>
        <v>0</v>
      </c>
      <c r="Y643" s="258">
        <f>+_xlfn.XLOOKUP(PROYECTOS[[#This Row],[MUNICIPIO]],'4.CAP_ENDMNT'!B:B,'4.CAP_ENDMNT'!H:H,0,0,1)</f>
        <v>6328650461</v>
      </c>
      <c r="Z643" s="258">
        <f>+_xlfn.XLOOKUP(PROYECTOS[[#This Row],[MUNICIPIO]],'4.CAP_ENDMNT'!B:B,'4.CAP_ENDMNT'!I:I,0,0,1)</f>
        <v>6328650461</v>
      </c>
      <c r="AA643" s="134">
        <f>+_xlfn.XLOOKUP(PROYECTOS[[#This Row],[MUNICIPIO]],'4.CAP_ENDMNT'!B:B,'4.CAP_ENDMNT'!J:J,0,0,1)</f>
        <v>0.36130711891945022</v>
      </c>
      <c r="AB643" s="258">
        <f>+_xlfn.XLOOKUP(PROYECTOS[[#This Row],[MUNICIPIO]],'4.CAP_ENDMNT'!B:B,'4.CAP_ENDMNT'!K:K,0,0,1)</f>
        <v>11187335606.273998</v>
      </c>
      <c r="AC643" s="258">
        <f>+_xlfn.XLOOKUP(PROYECTOS[[#This Row],[MUNICIPIO]],'4.CAP_ENDMNT'!B:B,'4.CAP_ENDMNT'!L:L,0,0,1)</f>
        <v>8949868485.0191994</v>
      </c>
      <c r="AD643" s="258">
        <f>+_xlfn.XLOOKUP(PROYECTOS[[#This Row],[MUNICIPIO]],'4.CAP_ENDMNT'!B:B,'4.CAP_ENDMNT'!M:M,0,0,1)</f>
        <v>6712401363.7643986</v>
      </c>
      <c r="AE643" s="134">
        <f>+_xlfn.XLOOKUP(PROYECTOS[[#This Row],[MUNICIPIO]],'4.CAP_ENDMNT'!B:B,'4.CAP_ENDMNT'!N:N,0,0,1)</f>
        <v>0</v>
      </c>
      <c r="AF643" s="134">
        <f>+_xlfn.XLOOKUP(PROYECTOS[[#This Row],[MUNICIPIO]],'4.CAP_ENDMNT'!B:B,'4.CAP_ENDMNT'!O:O,0,0,1)</f>
        <v>0.67376313277740918</v>
      </c>
      <c r="AG643" s="134">
        <f>+_xlfn.XLOOKUP(PROYECTOS[[#This Row],[MUNICIPIO]],'4.CAP_ENDMNT'!B:B,'4.CAP_ENDMNT'!P:P,0,0,1)</f>
        <v>0.8</v>
      </c>
      <c r="AH643" s="258" t="str">
        <f>+_xlfn.XLOOKUP(PROYECTOS[[#This Row],[MUNICIPIO]],'4.CAP_ENDMNT'!B:B,'4.CAP_ENDMNT'!Q:Q,0,0,1)</f>
        <v>Cumple</v>
      </c>
      <c r="AI643" s="139">
        <f>+_xlfn.XLOOKUP(PROYECTOS[[#This Row],[MUNICIPIO]],'4.CAP_ENDMNT'!B:B,'4.CAP_ENDMNT'!V:V,0,0,1)</f>
        <v>1342480272.7528799</v>
      </c>
      <c r="AJ643" s="139">
        <f>+_xlfn.XLOOKUP(PROYECTOS[[#This Row],[MUNICIPIO]],'4.CAP_ENDMNT'!B:B,'4.CAP_ENDMNT'!Y:Y,0,0,1)</f>
        <v>3280962216.5172787</v>
      </c>
      <c r="AK643"/>
      <c r="AL643"/>
      <c r="AM643"/>
    </row>
    <row r="644" spans="1:39" ht="15" customHeight="1">
      <c r="A644" s="261">
        <v>763</v>
      </c>
      <c r="B644" s="232" t="str">
        <f>+_xlfn.XLOOKUP(PROYECTOS[[#This Row],[ID_NECESIDAD]],'1.RADICADOS'!G:G,'1.RADICADOS'!H:H,0,0,1)</f>
        <v>Radicacion proyecto puente vehicular vereda el Venado L 8m B 5m</v>
      </c>
      <c r="C644" s="118">
        <f>+_xlfn.XLOOKUP(PROYECTOS[[#This Row],[ID_NECESIDAD]],'1.RADICADOS'!G:G,'1.RADICADOS'!C:C,0,0,1)*1</f>
        <v>45891</v>
      </c>
      <c r="D644" s="118" t="str">
        <f>+_xlfn.XLOOKUP(PROYECTOS[[#This Row],[ID_NECESIDAD]],'1.RADICADOS'!G:G,'1.RADICADOS'!F:F,0,0,1)</f>
        <v>Chigorodó</v>
      </c>
      <c r="E644" s="257" t="str">
        <f>+_xlfn.XLOOKUP(PROYECTOS[[#This Row],[MUNICIPIO]],MUNICIPIOS!A:A,MUNICIPIOS!E:E,0,0,1)</f>
        <v>Urabá</v>
      </c>
      <c r="F644" s="257" t="e" cm="1">
        <f t="array" ref="F644">+_xlfn.XLOOKUP(PROYECTOS[[#This Row],[MUNICIPIO]],Table1[Municipio],MUNICIPIOS!F:F,0,0,1)</f>
        <v>#VALUE!</v>
      </c>
      <c r="G644" s="257" t="str">
        <f>+LOOKUP(PROYECTOS[[#This Row],[MUNICIPIO]],Table1[Municipio],Table1[Latitud])</f>
        <v>7,074703</v>
      </c>
      <c r="H644" s="258">
        <f>+LOOKUP(PROYECTOS[[#This Row],[MUNICIPIO]],Table1[Municipio],Table1[PDET])</f>
        <v>1</v>
      </c>
      <c r="I644" s="259">
        <f>+LOOKUP(PROYECTOS[[#This Row],[MUNICIPIO]],Table1[Municipio],Table1[ZOMAC])</f>
        <v>1</v>
      </c>
      <c r="J644" s="260" t="str" cm="1">
        <f t="array" ref="J644">_xlfn.TEXTJOIN(", ", TRUE, IF(radicados[ID PROYECTOS]=A644, radicados[RADICADO], ""))</f>
        <v>2025010436611</v>
      </c>
      <c r="K644" s="240">
        <v>3</v>
      </c>
      <c r="L644" s="212">
        <f>+_xlfn.XLOOKUP(PROYECTOS[[#This Row],[ID_NECESIDAD]],'1.RADICADOS'!G:G,'1.RADICADOS'!J:J,0,0,1)</f>
        <v>616648829</v>
      </c>
      <c r="M644" s="246" t="s">
        <v>435</v>
      </c>
      <c r="N644" s="205" t="s">
        <v>398</v>
      </c>
      <c r="O644" s="205" t="s">
        <v>25</v>
      </c>
      <c r="P644" s="246" t="s">
        <v>1820</v>
      </c>
      <c r="Q644" s="45"/>
      <c r="R644" s="166"/>
      <c r="S644" s="166"/>
      <c r="T644" s="258">
        <f>+_xlfn.XLOOKUP(PROYECTOS[[#This Row],[MUNICIPIO]],'4.CAP_ENDMNT'!B:B,'4.CAP_ENDMNT'!C:C,0,0,1)</f>
        <v>6</v>
      </c>
      <c r="U644" s="167">
        <f>+_xlfn.XLOOKUP(PROYECTOS[[#This Row],[MUNICIPIO]],'4.CAP_ENDMNT'!B:B,'4.CAP_ENDMNT'!D:D,0,0,1)</f>
        <v>31480625713.601501</v>
      </c>
      <c r="V644" s="258">
        <f>+_xlfn.XLOOKUP(PROYECTOS[[#This Row],[MUNICIPIO]],'4.CAP_ENDMNT'!B:B,'4.CAP_ENDMNT'!E:E,0,0,1)</f>
        <v>12012746210.970001</v>
      </c>
      <c r="W644" s="258">
        <f>+_xlfn.XLOOKUP(PROYECTOS[[#This Row],[MUNICIPIO]],'4.CAP_ENDMNT'!B:B,'4.CAP_ENDMNT'!F:F,0,0,1)</f>
        <v>19467879502.6315</v>
      </c>
      <c r="X644" s="258">
        <f>+_xlfn.XLOOKUP(PROYECTOS[[#This Row],[MUNICIPIO]],'4.CAP_ENDMNT'!B:B,'4.CAP_ENDMNT'!G:G,0,0,1)</f>
        <v>990257688</v>
      </c>
      <c r="Y644" s="258">
        <f>+_xlfn.XLOOKUP(PROYECTOS[[#This Row],[MUNICIPIO]],'4.CAP_ENDMNT'!B:B,'4.CAP_ENDMNT'!H:H,0,0,1)</f>
        <v>4241046406.5999999</v>
      </c>
      <c r="Z644" s="258">
        <f>+_xlfn.XLOOKUP(PROYECTOS[[#This Row],[MUNICIPIO]],'4.CAP_ENDMNT'!B:B,'4.CAP_ENDMNT'!I:I,0,0,1)</f>
        <v>5231304094.6000004</v>
      </c>
      <c r="AA644" s="134">
        <f>+_xlfn.XLOOKUP(PROYECTOS[[#This Row],[MUNICIPIO]],'4.CAP_ENDMNT'!B:B,'4.CAP_ENDMNT'!J:J,0,0,1)</f>
        <v>0.16617535312647125</v>
      </c>
      <c r="AB644" s="258">
        <f>+_xlfn.XLOOKUP(PROYECTOS[[#This Row],[MUNICIPIO]],'4.CAP_ENDMNT'!B:B,'4.CAP_ENDMNT'!K:K,0,0,1)</f>
        <v>26249321619.001503</v>
      </c>
      <c r="AC644" s="258">
        <f>+_xlfn.XLOOKUP(PROYECTOS[[#This Row],[MUNICIPIO]],'4.CAP_ENDMNT'!B:B,'4.CAP_ENDMNT'!L:L,0,0,1)</f>
        <v>20999457295.201202</v>
      </c>
      <c r="AD644" s="258">
        <f>+_xlfn.XLOOKUP(PROYECTOS[[#This Row],[MUNICIPIO]],'4.CAP_ENDMNT'!B:B,'4.CAP_ENDMNT'!M:M,0,0,1)</f>
        <v>15749592971.400902</v>
      </c>
      <c r="AE644" s="134">
        <f>+_xlfn.XLOOKUP(PROYECTOS[[#This Row],[MUNICIPIO]],'4.CAP_ENDMNT'!B:B,'4.CAP_ENDMNT'!N:N,0,0,1)</f>
        <v>0.18929461375074541</v>
      </c>
      <c r="AF644" s="134">
        <f>+_xlfn.XLOOKUP(PROYECTOS[[#This Row],[MUNICIPIO]],'4.CAP_ENDMNT'!B:B,'4.CAP_ENDMNT'!O:O,0,0,1)</f>
        <v>0.57128723877428544</v>
      </c>
      <c r="AG644" s="134">
        <f>+_xlfn.XLOOKUP(PROYECTOS[[#This Row],[MUNICIPIO]],'4.CAP_ENDMNT'!B:B,'4.CAP_ENDMNT'!P:P,0,0,1)</f>
        <v>0.8</v>
      </c>
      <c r="AH644" s="258" t="str">
        <f>+_xlfn.XLOOKUP(PROYECTOS[[#This Row],[MUNICIPIO]],'4.CAP_ENDMNT'!B:B,'4.CAP_ENDMNT'!Q:Q,0,0,1)</f>
        <v>Cumple</v>
      </c>
      <c r="AI644" s="139">
        <f>+_xlfn.XLOOKUP(PROYECTOS[[#This Row],[MUNICIPIO]],'4.CAP_ENDMNT'!B:B,'4.CAP_ENDMNT'!V:V,0,0,1)</f>
        <v>3149918594.2801805</v>
      </c>
      <c r="AJ644" s="139">
        <f>+_xlfn.XLOOKUP(PROYECTOS[[#This Row],[MUNICIPIO]],'4.CAP_ENDMNT'!B:B,'4.CAP_ENDMNT'!Y:Y,0,0,1)</f>
        <v>-159577103574.2489</v>
      </c>
      <c r="AK644"/>
      <c r="AL644"/>
      <c r="AM644"/>
    </row>
    <row r="645" spans="1:39" ht="15" customHeight="1">
      <c r="A645" s="262">
        <v>764</v>
      </c>
      <c r="B645" s="232" t="str">
        <f>+_xlfn.XLOOKUP(PROYECTOS[[#This Row],[ID_NECESIDAD]],'1.RADICADOS'!G:G,'1.RADICADOS'!H:H,0,0,1)</f>
        <v xml:space="preserve">Radicacion proyecto de mantenimiento y reconstruccion de la via San Nicolas </v>
      </c>
      <c r="C645" s="118">
        <f>+_xlfn.XLOOKUP(PROYECTOS[[#This Row],[ID_NECESIDAD]],'1.RADICADOS'!G:G,'1.RADICADOS'!C:C,0,0,1)*1</f>
        <v>45917</v>
      </c>
      <c r="D645" s="118" t="str">
        <f>+_xlfn.XLOOKUP(PROYECTOS[[#This Row],[ID_NECESIDAD]],'1.RADICADOS'!G:G,'1.RADICADOS'!F:F,0,0,1)</f>
        <v>La Ceja</v>
      </c>
      <c r="E645" s="257" t="str">
        <f>+_xlfn.XLOOKUP(PROYECTOS[[#This Row],[MUNICIPIO]],MUNICIPIOS!A:A,MUNICIPIOS!E:E,0,0,1)</f>
        <v>Oriente</v>
      </c>
      <c r="F645" s="257" t="e" cm="1">
        <f t="array" ref="F645">+_xlfn.XLOOKUP(PROYECTOS[[#This Row],[MUNICIPIO]],Table1[Municipio],MUNICIPIOS!F:F,0,0,1)</f>
        <v>#VALUE!</v>
      </c>
      <c r="G645" s="257" t="str">
        <f>+LOOKUP(PROYECTOS[[#This Row],[MUNICIPIO]],Table1[Municipio],Table1[Latitud])</f>
        <v>6,028062</v>
      </c>
      <c r="H645" s="258">
        <f>+LOOKUP(PROYECTOS[[#This Row],[MUNICIPIO]],Table1[Municipio],Table1[PDET])</f>
        <v>0</v>
      </c>
      <c r="I645" s="259">
        <f>+LOOKUP(PROYECTOS[[#This Row],[MUNICIPIO]],Table1[Municipio],Table1[ZOMAC])</f>
        <v>0</v>
      </c>
      <c r="J645" s="260" t="str" cm="1">
        <f t="array" ref="J645">_xlfn.TEXTJOIN(", ", TRUE, IF(radicados[ID PROYECTOS]=A645, radicados[RADICADO], ""))</f>
        <v>2025010491843, 2025010492760, 2025010492772, 2025010492918</v>
      </c>
      <c r="K645" s="242">
        <v>1</v>
      </c>
      <c r="L645" s="212">
        <f>+_xlfn.XLOOKUP(PROYECTOS[[#This Row],[ID_NECESIDAD]],'1.RADICADOS'!G:G,'1.RADICADOS'!J:J,0,0,1)</f>
        <v>850960131</v>
      </c>
      <c r="M645" s="247" t="s">
        <v>396</v>
      </c>
      <c r="N645" s="241" t="s">
        <v>398</v>
      </c>
      <c r="O645" s="241" t="s">
        <v>25</v>
      </c>
      <c r="P645" s="255" t="s">
        <v>1822</v>
      </c>
      <c r="Q645" s="45"/>
      <c r="R645" s="166"/>
      <c r="S645" s="166"/>
      <c r="T645" s="258">
        <f>+_xlfn.XLOOKUP(PROYECTOS[[#This Row],[MUNICIPIO]],'4.CAP_ENDMNT'!B:B,'4.CAP_ENDMNT'!C:C,0,0,1)</f>
        <v>2</v>
      </c>
      <c r="U645" s="167">
        <f>+_xlfn.XLOOKUP(PROYECTOS[[#This Row],[MUNICIPIO]],'4.CAP_ENDMNT'!B:B,'4.CAP_ENDMNT'!D:D,0,0,1)</f>
        <v>102691614388.099</v>
      </c>
      <c r="V645" s="258">
        <f>+_xlfn.XLOOKUP(PROYECTOS[[#This Row],[MUNICIPIO]],'4.CAP_ENDMNT'!B:B,'4.CAP_ENDMNT'!E:E,0,0,1)</f>
        <v>29123622287.32</v>
      </c>
      <c r="W645" s="258">
        <f>+_xlfn.XLOOKUP(PROYECTOS[[#This Row],[MUNICIPIO]],'4.CAP_ENDMNT'!B:B,'4.CAP_ENDMNT'!F:F,0,0,1)</f>
        <v>73567992100.778992</v>
      </c>
      <c r="X645" s="258">
        <f>+_xlfn.XLOOKUP(PROYECTOS[[#This Row],[MUNICIPIO]],'4.CAP_ENDMNT'!B:B,'4.CAP_ENDMNT'!G:G,0,0,1)</f>
        <v>5166195556</v>
      </c>
      <c r="Y645" s="258">
        <f>+_xlfn.XLOOKUP(PROYECTOS[[#This Row],[MUNICIPIO]],'4.CAP_ENDMNT'!B:B,'4.CAP_ENDMNT'!H:H,0,0,1)</f>
        <v>27283390599</v>
      </c>
      <c r="Z645" s="258">
        <f>+_xlfn.XLOOKUP(PROYECTOS[[#This Row],[MUNICIPIO]],'4.CAP_ENDMNT'!B:B,'4.CAP_ENDMNT'!I:I,0,0,1)</f>
        <v>32449586155</v>
      </c>
      <c r="AA645" s="134">
        <f>+_xlfn.XLOOKUP(PROYECTOS[[#This Row],[MUNICIPIO]],'4.CAP_ENDMNT'!B:B,'4.CAP_ENDMNT'!J:J,0,0,1)</f>
        <v>0.3159906127521217</v>
      </c>
      <c r="AB645" s="258">
        <f>+_xlfn.XLOOKUP(PROYECTOS[[#This Row],[MUNICIPIO]],'4.CAP_ENDMNT'!B:B,'4.CAP_ENDMNT'!K:K,0,0,1)</f>
        <v>70242028233.098999</v>
      </c>
      <c r="AC645" s="258">
        <f>+_xlfn.XLOOKUP(PROYECTOS[[#This Row],[MUNICIPIO]],'4.CAP_ENDMNT'!B:B,'4.CAP_ENDMNT'!L:L,0,0,1)</f>
        <v>56193622586.479202</v>
      </c>
      <c r="AD645" s="258">
        <f>+_xlfn.XLOOKUP(PROYECTOS[[#This Row],[MUNICIPIO]],'4.CAP_ENDMNT'!B:B,'4.CAP_ENDMNT'!M:M,0,0,1)</f>
        <v>42145216939.859398</v>
      </c>
      <c r="AE645" s="134">
        <f>+_xlfn.XLOOKUP(PROYECTOS[[#This Row],[MUNICIPIO]],'4.CAP_ENDMNT'!B:B,'4.CAP_ENDMNT'!N:N,0,0,1)</f>
        <v>0.15920682412783146</v>
      </c>
      <c r="AF645" s="134">
        <f>+_xlfn.XLOOKUP(PROYECTOS[[#This Row],[MUNICIPIO]],'4.CAP_ENDMNT'!B:B,'4.CAP_ENDMNT'!O:O,0,0,1)</f>
        <v>0.28977187660096981</v>
      </c>
      <c r="AG645" s="134">
        <f>+_xlfn.XLOOKUP(PROYECTOS[[#This Row],[MUNICIPIO]],'4.CAP_ENDMNT'!B:B,'4.CAP_ENDMNT'!P:P,0,0,1)</f>
        <v>0.7</v>
      </c>
      <c r="AH645" s="258" t="str">
        <f>+_xlfn.XLOOKUP(PROYECTOS[[#This Row],[MUNICIPIO]],'4.CAP_ENDMNT'!B:B,'4.CAP_ENDMNT'!Q:Q,0,0,1)</f>
        <v>Cumple</v>
      </c>
      <c r="AI645" s="139">
        <f>+_xlfn.XLOOKUP(PROYECTOS[[#This Row],[MUNICIPIO]],'4.CAP_ENDMNT'!B:B,'4.CAP_ENDMNT'!V:V,0,0,1)</f>
        <v>8429043387.97188</v>
      </c>
      <c r="AJ645" s="139">
        <f>+_xlfn.XLOOKUP(PROYECTOS[[#This Row],[MUNICIPIO]],'4.CAP_ENDMNT'!B:B,'4.CAP_ENDMNT'!Y:Y,0,0,1)</f>
        <v>45609749252.831276</v>
      </c>
      <c r="AK645"/>
      <c r="AL645"/>
      <c r="AM645"/>
    </row>
    <row r="646" spans="1:39" ht="15" customHeight="1">
      <c r="A646" s="261">
        <v>765</v>
      </c>
      <c r="B646" s="232" t="str">
        <f>+_xlfn.XLOOKUP(PROYECTOS[[#This Row],[ID_NECESIDAD]],'1.RADICADOS'!G:G,'1.RADICADOS'!H:H,0,0,1)</f>
        <v>Radicacion  de proyecto de puntos criticos en el municipio de Guadalupe (PAP Laguna 05315VT53)</v>
      </c>
      <c r="C646" s="118">
        <f>+_xlfn.XLOOKUP(PROYECTOS[[#This Row],[ID_NECESIDAD]],'1.RADICADOS'!G:G,'1.RADICADOS'!C:C,0,0,1)*1</f>
        <v>45916</v>
      </c>
      <c r="D646" s="118" t="str">
        <f>+_xlfn.XLOOKUP(PROYECTOS[[#This Row],[ID_NECESIDAD]],'1.RADICADOS'!G:G,'1.RADICADOS'!F:F,0,0,1)</f>
        <v>Guadalupe</v>
      </c>
      <c r="E646" s="257" t="str">
        <f>+_xlfn.XLOOKUP(PROYECTOS[[#This Row],[MUNICIPIO]],MUNICIPIOS!A:A,MUNICIPIOS!E:E,0,0,1)</f>
        <v>Norte</v>
      </c>
      <c r="F646" s="257" t="e" cm="1">
        <f t="array" ref="F646">+_xlfn.XLOOKUP(PROYECTOS[[#This Row],[MUNICIPIO]],Table1[Municipio],MUNICIPIOS!F:F,0,0,1)</f>
        <v>#VALUE!</v>
      </c>
      <c r="G646" s="257" t="str">
        <f>+LOOKUP(PROYECTOS[[#This Row],[MUNICIPIO]],Table1[Municipio],Table1[Latitud])</f>
        <v>6,142892</v>
      </c>
      <c r="H646" s="258">
        <f>+LOOKUP(PROYECTOS[[#This Row],[MUNICIPIO]],Table1[Municipio],Table1[PDET])</f>
        <v>0</v>
      </c>
      <c r="I646" s="259">
        <f>+LOOKUP(PROYECTOS[[#This Row],[MUNICIPIO]],Table1[Municipio],Table1[ZOMAC])</f>
        <v>1</v>
      </c>
      <c r="J646" s="260" t="str" cm="1">
        <f t="array" ref="J646">_xlfn.TEXTJOIN(", ", TRUE, IF(radicados[ID PROYECTOS]=A646, radicados[RADICADO], ""))</f>
        <v>2025010490906</v>
      </c>
      <c r="K646" s="240">
        <v>3</v>
      </c>
      <c r="L646" s="212">
        <f>+_xlfn.XLOOKUP(PROYECTOS[[#This Row],[ID_NECESIDAD]],'1.RADICADOS'!G:G,'1.RADICADOS'!J:J,0,0,1)</f>
        <v>558037455</v>
      </c>
      <c r="M646" s="246" t="s">
        <v>407</v>
      </c>
      <c r="N646" s="205" t="s">
        <v>398</v>
      </c>
      <c r="O646" s="205" t="s">
        <v>25</v>
      </c>
      <c r="P646" s="246" t="s">
        <v>1824</v>
      </c>
      <c r="Q646" s="45"/>
      <c r="R646" s="166"/>
      <c r="S646" s="166"/>
      <c r="T646" s="258">
        <f>+_xlfn.XLOOKUP(PROYECTOS[[#This Row],[MUNICIPIO]],'4.CAP_ENDMNT'!B:B,'4.CAP_ENDMNT'!C:C,0,0,1)</f>
        <v>6</v>
      </c>
      <c r="U646" s="167">
        <f>+_xlfn.XLOOKUP(PROYECTOS[[#This Row],[MUNICIPIO]],'4.CAP_ENDMNT'!B:B,'4.CAP_ENDMNT'!D:D,0,0,1)</f>
        <v>11862742976.215</v>
      </c>
      <c r="V646" s="258">
        <f>+_xlfn.XLOOKUP(PROYECTOS[[#This Row],[MUNICIPIO]],'4.CAP_ENDMNT'!B:B,'4.CAP_ENDMNT'!E:E,0,0,1)</f>
        <v>2605805535.6100001</v>
      </c>
      <c r="W646" s="258">
        <f>+_xlfn.XLOOKUP(PROYECTOS[[#This Row],[MUNICIPIO]],'4.CAP_ENDMNT'!B:B,'4.CAP_ENDMNT'!F:F,0,0,1)</f>
        <v>9256937440.6049995</v>
      </c>
      <c r="X646" s="258">
        <f>+_xlfn.XLOOKUP(PROYECTOS[[#This Row],[MUNICIPIO]],'4.CAP_ENDMNT'!B:B,'4.CAP_ENDMNT'!G:G,0,0,1)</f>
        <v>0</v>
      </c>
      <c r="Y646" s="258">
        <f>+_xlfn.XLOOKUP(PROYECTOS[[#This Row],[MUNICIPIO]],'4.CAP_ENDMNT'!B:B,'4.CAP_ENDMNT'!H:H,0,0,1)</f>
        <v>1067141839</v>
      </c>
      <c r="Z646" s="258">
        <f>+_xlfn.XLOOKUP(PROYECTOS[[#This Row],[MUNICIPIO]],'4.CAP_ENDMNT'!B:B,'4.CAP_ENDMNT'!I:I,0,0,1)</f>
        <v>1067141839</v>
      </c>
      <c r="AA646" s="134">
        <f>+_xlfn.XLOOKUP(PROYECTOS[[#This Row],[MUNICIPIO]],'4.CAP_ENDMNT'!B:B,'4.CAP_ENDMNT'!J:J,0,0,1)</f>
        <v>8.9957427311679716E-2</v>
      </c>
      <c r="AB646" s="258">
        <f>+_xlfn.XLOOKUP(PROYECTOS[[#This Row],[MUNICIPIO]],'4.CAP_ENDMNT'!B:B,'4.CAP_ENDMNT'!K:K,0,0,1)</f>
        <v>10795601137.215</v>
      </c>
      <c r="AC646" s="258">
        <f>+_xlfn.XLOOKUP(PROYECTOS[[#This Row],[MUNICIPIO]],'4.CAP_ENDMNT'!B:B,'4.CAP_ENDMNT'!L:L,0,0,1)</f>
        <v>8636480909.7720013</v>
      </c>
      <c r="AD646" s="258">
        <f>+_xlfn.XLOOKUP(PROYECTOS[[#This Row],[MUNICIPIO]],'4.CAP_ENDMNT'!B:B,'4.CAP_ENDMNT'!M:M,0,0,1)</f>
        <v>6477360682.3289995</v>
      </c>
      <c r="AE646" s="134">
        <f>+_xlfn.XLOOKUP(PROYECTOS[[#This Row],[MUNICIPIO]],'4.CAP_ENDMNT'!B:B,'4.CAP_ENDMNT'!N:N,0,0,1)</f>
        <v>0</v>
      </c>
      <c r="AF646" s="134">
        <f>+_xlfn.XLOOKUP(PROYECTOS[[#This Row],[MUNICIPIO]],'4.CAP_ENDMNT'!B:B,'4.CAP_ENDMNT'!O:O,0,0,1)</f>
        <v>0.61919854879551783</v>
      </c>
      <c r="AG646" s="134">
        <f>+_xlfn.XLOOKUP(PROYECTOS[[#This Row],[MUNICIPIO]],'4.CAP_ENDMNT'!B:B,'4.CAP_ENDMNT'!P:P,0,0,1)</f>
        <v>0.8</v>
      </c>
      <c r="AH646" s="258" t="str">
        <f>+_xlfn.XLOOKUP(PROYECTOS[[#This Row],[MUNICIPIO]],'4.CAP_ENDMNT'!B:B,'4.CAP_ENDMNT'!Q:Q,0,0,1)</f>
        <v>Cumple</v>
      </c>
      <c r="AI646" s="139">
        <f>+_xlfn.XLOOKUP(PROYECTOS[[#This Row],[MUNICIPIO]],'4.CAP_ENDMNT'!B:B,'4.CAP_ENDMNT'!V:V,0,0,1)</f>
        <v>1295472136.4658</v>
      </c>
      <c r="AJ646" s="139">
        <f>+_xlfn.XLOOKUP(PROYECTOS[[#This Row],[MUNICIPIO]],'4.CAP_ENDMNT'!B:B,'4.CAP_ENDMNT'!Y:Y,0,0,1)</f>
        <v>632187289.7947998</v>
      </c>
      <c r="AK646"/>
      <c r="AL646"/>
      <c r="AM646"/>
    </row>
    <row r="647" spans="1:39" ht="15" customHeight="1">
      <c r="A647" s="262">
        <v>766</v>
      </c>
      <c r="B647" s="232" t="str">
        <f>+_xlfn.XLOOKUP(PROYECTOS[[#This Row],[ID_NECESIDAD]],'1.RADICADOS'!G:G,'1.RADICADOS'!H:H,0,0,1)</f>
        <v>Proyecto para el mejoramiento de la capa de rodadura mediante construcción de placa huello en puntos críticos de las vías terciarias del municipio de Pueblorrico, Antioquia</v>
      </c>
      <c r="C647" s="118">
        <f>+_xlfn.XLOOKUP(PROYECTOS[[#This Row],[ID_NECESIDAD]],'1.RADICADOS'!G:G,'1.RADICADOS'!C:C,0,0,1)*1</f>
        <v>45897</v>
      </c>
      <c r="D647" s="118" t="str">
        <f>+_xlfn.XLOOKUP(PROYECTOS[[#This Row],[ID_NECESIDAD]],'1.RADICADOS'!G:G,'1.RADICADOS'!F:F,0,0,1)</f>
        <v>Pueblorrico</v>
      </c>
      <c r="E647" s="257" t="str">
        <f>+_xlfn.XLOOKUP(PROYECTOS[[#This Row],[MUNICIPIO]],MUNICIPIOS!A:A,MUNICIPIOS!E:E,0,0,1)</f>
        <v>Suroeste</v>
      </c>
      <c r="F647" s="257" t="e" cm="1">
        <f t="array" ref="F647">+_xlfn.XLOOKUP(PROYECTOS[[#This Row],[MUNICIPIO]],Table1[Municipio],MUNICIPIOS!F:F,0,0,1)</f>
        <v>#VALUE!</v>
      </c>
      <c r="G647" s="257" t="str">
        <f>+LOOKUP(PROYECTOS[[#This Row],[MUNICIPIO]],Table1[Municipio],Table1[Latitud])</f>
        <v>6,246631</v>
      </c>
      <c r="H647" s="258">
        <f>+LOOKUP(PROYECTOS[[#This Row],[MUNICIPIO]],Table1[Municipio],Table1[PDET])</f>
        <v>0</v>
      </c>
      <c r="I647" s="259">
        <f>+LOOKUP(PROYECTOS[[#This Row],[MUNICIPIO]],Table1[Municipio],Table1[ZOMAC])</f>
        <v>0</v>
      </c>
      <c r="J647" s="260" t="str" cm="1">
        <f t="array" ref="J647">_xlfn.TEXTJOIN(", ", TRUE, IF(radicados[ID PROYECTOS]=A647, radicados[RADICADO], ""))</f>
        <v>2025010427845</v>
      </c>
      <c r="K647" s="242"/>
      <c r="L647" s="212"/>
      <c r="M647" s="247" t="s">
        <v>288</v>
      </c>
      <c r="N647" s="241" t="s">
        <v>398</v>
      </c>
      <c r="O647" s="241" t="s">
        <v>25</v>
      </c>
      <c r="P647" s="255" t="s">
        <v>1830</v>
      </c>
      <c r="Q647" s="45"/>
      <c r="R647" s="166"/>
      <c r="S647" s="166"/>
      <c r="T647" s="258">
        <f>+_xlfn.XLOOKUP(PROYECTOS[[#This Row],[MUNICIPIO]],'4.CAP_ENDMNT'!B:B,'4.CAP_ENDMNT'!C:C,0,0,1)</f>
        <v>6</v>
      </c>
      <c r="U647" s="167">
        <f>+_xlfn.XLOOKUP(PROYECTOS[[#This Row],[MUNICIPIO]],'4.CAP_ENDMNT'!B:B,'4.CAP_ENDMNT'!D:D,0,0,1)</f>
        <v>7408957946.4439993</v>
      </c>
      <c r="V647" s="258">
        <f>+_xlfn.XLOOKUP(PROYECTOS[[#This Row],[MUNICIPIO]],'4.CAP_ENDMNT'!B:B,'4.CAP_ENDMNT'!E:E,0,0,1)</f>
        <v>2726179218.2000003</v>
      </c>
      <c r="W647" s="258">
        <f>+_xlfn.XLOOKUP(PROYECTOS[[#This Row],[MUNICIPIO]],'4.CAP_ENDMNT'!B:B,'4.CAP_ENDMNT'!F:F,0,0,1)</f>
        <v>4682778728.2439995</v>
      </c>
      <c r="X647" s="258">
        <f>+_xlfn.XLOOKUP(PROYECTOS[[#This Row],[MUNICIPIO]],'4.CAP_ENDMNT'!B:B,'4.CAP_ENDMNT'!G:G,0,0,1)</f>
        <v>1117539497</v>
      </c>
      <c r="Y647" s="258">
        <f>+_xlfn.XLOOKUP(PROYECTOS[[#This Row],[MUNICIPIO]],'4.CAP_ENDMNT'!B:B,'4.CAP_ENDMNT'!H:H,0,0,1)</f>
        <v>0</v>
      </c>
      <c r="Z647" s="258">
        <f>+_xlfn.XLOOKUP(PROYECTOS[[#This Row],[MUNICIPIO]],'4.CAP_ENDMNT'!B:B,'4.CAP_ENDMNT'!I:I,0,0,1)</f>
        <v>1117539497</v>
      </c>
      <c r="AA647" s="134">
        <f>+_xlfn.XLOOKUP(PROYECTOS[[#This Row],[MUNICIPIO]],'4.CAP_ENDMNT'!B:B,'4.CAP_ENDMNT'!J:J,0,0,1)</f>
        <v>0.15083625863153588</v>
      </c>
      <c r="AB647" s="258">
        <f>+_xlfn.XLOOKUP(PROYECTOS[[#This Row],[MUNICIPIO]],'4.CAP_ENDMNT'!B:B,'4.CAP_ENDMNT'!K:K,0,0,1)</f>
        <v>6291418449.4439993</v>
      </c>
      <c r="AC647" s="258">
        <f>+_xlfn.XLOOKUP(PROYECTOS[[#This Row],[MUNICIPIO]],'4.CAP_ENDMNT'!B:B,'4.CAP_ENDMNT'!L:L,0,0,1)</f>
        <v>5033134759.5551996</v>
      </c>
      <c r="AD647" s="258">
        <f>+_xlfn.XLOOKUP(PROYECTOS[[#This Row],[MUNICIPIO]],'4.CAP_ENDMNT'!B:B,'4.CAP_ENDMNT'!M:M,0,0,1)</f>
        <v>3774851069.6663995</v>
      </c>
      <c r="AE647" s="134">
        <f>+_xlfn.XLOOKUP(PROYECTOS[[#This Row],[MUNICIPIO]],'4.CAP_ENDMNT'!B:B,'4.CAP_ENDMNT'!N:N,0,0,1)</f>
        <v>1</v>
      </c>
      <c r="AF647" s="134">
        <f>+_xlfn.XLOOKUP(PROYECTOS[[#This Row],[MUNICIPIO]],'4.CAP_ENDMNT'!B:B,'4.CAP_ENDMNT'!O:O,0,0,1)</f>
        <v>0.78495373596781126</v>
      </c>
      <c r="AG647" s="134">
        <f>+_xlfn.XLOOKUP(PROYECTOS[[#This Row],[MUNICIPIO]],'4.CAP_ENDMNT'!B:B,'4.CAP_ENDMNT'!P:P,0,0,1)</f>
        <v>0.8</v>
      </c>
      <c r="AH647" s="258" t="str">
        <f>+_xlfn.XLOOKUP(PROYECTOS[[#This Row],[MUNICIPIO]],'4.CAP_ENDMNT'!B:B,'4.CAP_ENDMNT'!Q:Q,0,0,1)</f>
        <v>Riesgo</v>
      </c>
      <c r="AI647" s="139">
        <f>+_xlfn.XLOOKUP(PROYECTOS[[#This Row],[MUNICIPIO]],'4.CAP_ENDMNT'!B:B,'4.CAP_ENDMNT'!V:V,0,0,1)</f>
        <v>754970213.93327999</v>
      </c>
      <c r="AJ647" s="139">
        <f>+_xlfn.XLOOKUP(PROYECTOS[[#This Row],[MUNICIPIO]],'4.CAP_ENDMNT'!B:B,'4.CAP_ENDMNT'!Y:Y,0,0,1)</f>
        <v>-4520144590.4003201</v>
      </c>
      <c r="AK647"/>
      <c r="AL647"/>
      <c r="AM647"/>
    </row>
    <row r="648" spans="1:39" ht="15" customHeight="1">
      <c r="A648" s="261">
        <v>767</v>
      </c>
      <c r="B648" s="232" t="str">
        <f>+_xlfn.XLOOKUP(PROYECTOS[[#This Row],[ID_NECESIDAD]],'1.RADICADOS'!G:G,'1.RADICADOS'!H:H,0,0,1)</f>
        <v>Construcción del sendero peatonal de peregrinación 621 m</v>
      </c>
      <c r="C648" s="118">
        <f>+_xlfn.XLOOKUP(PROYECTOS[[#This Row],[ID_NECESIDAD]],'1.RADICADOS'!G:G,'1.RADICADOS'!C:C,0,0,1)*1</f>
        <v>45818</v>
      </c>
      <c r="D648" s="118" t="str">
        <f>+_xlfn.XLOOKUP(PROYECTOS[[#This Row],[ID_NECESIDAD]],'1.RADICADOS'!G:G,'1.RADICADOS'!F:F,0,0,1)</f>
        <v>Briceño</v>
      </c>
      <c r="E648" s="257" t="str">
        <f>+_xlfn.XLOOKUP(PROYECTOS[[#This Row],[MUNICIPIO]],MUNICIPIOS!A:A,MUNICIPIOS!E:E,0,0,1)</f>
        <v>Norte</v>
      </c>
      <c r="F648" s="257" t="e" cm="1">
        <f t="array" ref="F648">+_xlfn.XLOOKUP(PROYECTOS[[#This Row],[MUNICIPIO]],Table1[Municipio],MUNICIPIOS!F:F,0,0,1)</f>
        <v>#VALUE!</v>
      </c>
      <c r="G648" s="257" t="str">
        <f>+LOOKUP(PROYECTOS[[#This Row],[MUNICIPIO]],Table1[Municipio],Table1[Latitud])</f>
        <v>7,074703</v>
      </c>
      <c r="H648" s="258">
        <f>+LOOKUP(PROYECTOS[[#This Row],[MUNICIPIO]],Table1[Municipio],Table1[PDET])</f>
        <v>1</v>
      </c>
      <c r="I648" s="259">
        <f>+LOOKUP(PROYECTOS[[#This Row],[MUNICIPIO]],Table1[Municipio],Table1[ZOMAC])</f>
        <v>1</v>
      </c>
      <c r="J648" s="260" t="str" cm="1">
        <f t="array" ref="J648">_xlfn.TEXTJOIN(", ", TRUE, IF(radicados[ID PROYECTOS]=A648, radicados[RADICADO], ""))</f>
        <v>2025010289613</v>
      </c>
      <c r="K648" s="240">
        <v>1</v>
      </c>
      <c r="L648" s="212">
        <f>+_xlfn.XLOOKUP(PROYECTOS[[#This Row],[ID_NECESIDAD]],'1.RADICADOS'!G:G,'1.RADICADOS'!J:J,0,0,1)</f>
        <v>353565298</v>
      </c>
      <c r="M648" s="246" t="s">
        <v>707</v>
      </c>
      <c r="N648" s="205" t="s">
        <v>1079</v>
      </c>
      <c r="O648" s="205" t="s">
        <v>40</v>
      </c>
      <c r="P648" s="256" t="s">
        <v>1839</v>
      </c>
      <c r="Q648" s="45"/>
      <c r="R648" s="166"/>
      <c r="S648" s="166"/>
      <c r="T648" s="258">
        <f>+_xlfn.XLOOKUP(PROYECTOS[[#This Row],[MUNICIPIO]],'4.CAP_ENDMNT'!B:B,'4.CAP_ENDMNT'!C:C,0,0,1)</f>
        <v>6</v>
      </c>
      <c r="U648" s="167">
        <f>+_xlfn.XLOOKUP(PROYECTOS[[#This Row],[MUNICIPIO]],'4.CAP_ENDMNT'!B:B,'4.CAP_ENDMNT'!D:D,0,0,1)</f>
        <v>15936675551.976999</v>
      </c>
      <c r="V648" s="258">
        <f>+_xlfn.XLOOKUP(PROYECTOS[[#This Row],[MUNICIPIO]],'4.CAP_ENDMNT'!B:B,'4.CAP_ENDMNT'!E:E,0,0,1)</f>
        <v>6355203503.6700001</v>
      </c>
      <c r="W648" s="258">
        <f>+_xlfn.XLOOKUP(PROYECTOS[[#This Row],[MUNICIPIO]],'4.CAP_ENDMNT'!B:B,'4.CAP_ENDMNT'!F:F,0,0,1)</f>
        <v>9581472048.3069992</v>
      </c>
      <c r="X648" s="258">
        <f>+_xlfn.XLOOKUP(PROYECTOS[[#This Row],[MUNICIPIO]],'4.CAP_ENDMNT'!B:B,'4.CAP_ENDMNT'!G:G,0,0,1)</f>
        <v>166905356.59</v>
      </c>
      <c r="Y648" s="258">
        <f>+_xlfn.XLOOKUP(PROYECTOS[[#This Row],[MUNICIPIO]],'4.CAP_ENDMNT'!B:B,'4.CAP_ENDMNT'!H:H,0,0,1)</f>
        <v>5064590198</v>
      </c>
      <c r="Z648" s="258">
        <f>+_xlfn.XLOOKUP(PROYECTOS[[#This Row],[MUNICIPIO]],'4.CAP_ENDMNT'!B:B,'4.CAP_ENDMNT'!I:I,0,0,1)</f>
        <v>5231495554.5900002</v>
      </c>
      <c r="AA648" s="134">
        <f>+_xlfn.XLOOKUP(PROYECTOS[[#This Row],[MUNICIPIO]],'4.CAP_ENDMNT'!B:B,'4.CAP_ENDMNT'!J:J,0,0,1)</f>
        <v>0.32826768277534613</v>
      </c>
      <c r="AB648" s="258">
        <f>+_xlfn.XLOOKUP(PROYECTOS[[#This Row],[MUNICIPIO]],'4.CAP_ENDMNT'!B:B,'4.CAP_ENDMNT'!K:K,0,0,1)</f>
        <v>10705179997.386999</v>
      </c>
      <c r="AC648" s="258">
        <f>+_xlfn.XLOOKUP(PROYECTOS[[#This Row],[MUNICIPIO]],'4.CAP_ENDMNT'!B:B,'4.CAP_ENDMNT'!L:L,0,0,1)</f>
        <v>8564143997.9095993</v>
      </c>
      <c r="AD648" s="258">
        <f>+_xlfn.XLOOKUP(PROYECTOS[[#This Row],[MUNICIPIO]],'4.CAP_ENDMNT'!B:B,'4.CAP_ENDMNT'!M:M,0,0,1)</f>
        <v>6423107998.4321995</v>
      </c>
      <c r="AE648" s="134">
        <f>+_xlfn.XLOOKUP(PROYECTOS[[#This Row],[MUNICIPIO]],'4.CAP_ENDMNT'!B:B,'4.CAP_ENDMNT'!N:N,0,0,1)</f>
        <v>3.1903946939907245E-2</v>
      </c>
      <c r="AF648" s="134">
        <f>+_xlfn.XLOOKUP(PROYECTOS[[#This Row],[MUNICIPIO]],'4.CAP_ENDMNT'!B:B,'4.CAP_ENDMNT'!O:O,0,0,1)</f>
        <v>0.65192157878949775</v>
      </c>
      <c r="AG648" s="134">
        <f>+_xlfn.XLOOKUP(PROYECTOS[[#This Row],[MUNICIPIO]],'4.CAP_ENDMNT'!B:B,'4.CAP_ENDMNT'!P:P,0,0,1)</f>
        <v>0.8</v>
      </c>
      <c r="AH648" s="258" t="str">
        <f>+_xlfn.XLOOKUP(PROYECTOS[[#This Row],[MUNICIPIO]],'4.CAP_ENDMNT'!B:B,'4.CAP_ENDMNT'!Q:Q,0,0,1)</f>
        <v>Cumple</v>
      </c>
      <c r="AI648" s="139">
        <f>+_xlfn.XLOOKUP(PROYECTOS[[#This Row],[MUNICIPIO]],'4.CAP_ENDMNT'!B:B,'4.CAP_ENDMNT'!V:V,0,0,1)</f>
        <v>1284621599.68644</v>
      </c>
      <c r="AJ648" s="139">
        <f>+_xlfn.XLOOKUP(PROYECTOS[[#This Row],[MUNICIPIO]],'4.CAP_ENDMNT'!B:B,'4.CAP_ENDMNT'!Y:Y,0,0,1)</f>
        <v>-1198654643.881361</v>
      </c>
      <c r="AK648"/>
      <c r="AL648"/>
      <c r="AM648"/>
    </row>
    <row r="649" spans="1:39" ht="15" customHeight="1">
      <c r="A649" s="262">
        <v>768</v>
      </c>
      <c r="B649" s="232" t="str">
        <f>+_xlfn.XLOOKUP(PROYECTOS[[#This Row],[ID_NECESIDAD]],'1.RADICADOS'!G:G,'1.RADICADOS'!H:H,0,0,1)</f>
        <v>Radicacion  de proyecto de puntos criticos en el municipio de Guadalupe (Puente peatonal San Pablo L 20 A 2.90)</v>
      </c>
      <c r="C649" s="118">
        <f>+_xlfn.XLOOKUP(PROYECTOS[[#This Row],[ID_NECESIDAD]],'1.RADICADOS'!G:G,'1.RADICADOS'!C:C,0,0,1)*1</f>
        <v>45916</v>
      </c>
      <c r="D649" s="118" t="str">
        <f>+_xlfn.XLOOKUP(PROYECTOS[[#This Row],[ID_NECESIDAD]],'1.RADICADOS'!G:G,'1.RADICADOS'!F:F,0,0,1)</f>
        <v>Guadalupe</v>
      </c>
      <c r="E649" s="257" t="str">
        <f>+_xlfn.XLOOKUP(PROYECTOS[[#This Row],[MUNICIPIO]],MUNICIPIOS!A:A,MUNICIPIOS!E:E,0,0,1)</f>
        <v>Norte</v>
      </c>
      <c r="F649" s="257" t="e" cm="1">
        <f t="array" ref="F649">+_xlfn.XLOOKUP(PROYECTOS[[#This Row],[MUNICIPIO]],Table1[Municipio],MUNICIPIOS!F:F,0,0,1)</f>
        <v>#VALUE!</v>
      </c>
      <c r="G649" s="257" t="str">
        <f>+LOOKUP(PROYECTOS[[#This Row],[MUNICIPIO]],Table1[Municipio],Table1[Latitud])</f>
        <v>6,142892</v>
      </c>
      <c r="H649" s="258">
        <f>+LOOKUP(PROYECTOS[[#This Row],[MUNICIPIO]],Table1[Municipio],Table1[PDET])</f>
        <v>0</v>
      </c>
      <c r="I649" s="259">
        <f>+LOOKUP(PROYECTOS[[#This Row],[MUNICIPIO]],Table1[Municipio],Table1[ZOMAC])</f>
        <v>1</v>
      </c>
      <c r="J649" s="260" t="str" cm="1">
        <f t="array" ref="J649">_xlfn.TEXTJOIN(", ", TRUE, IF(radicados[ID PROYECTOS]=A649, radicados[RADICADO], ""))</f>
        <v>2025010490906</v>
      </c>
      <c r="K649" s="242">
        <v>3</v>
      </c>
      <c r="L649" s="212">
        <f>+_xlfn.XLOOKUP(PROYECTOS[[#This Row],[ID_NECESIDAD]],'1.RADICADOS'!G:G,'1.RADICADOS'!J:J,0,0,1)</f>
        <v>823524790</v>
      </c>
      <c r="M649" s="247" t="s">
        <v>428</v>
      </c>
      <c r="N649" s="241" t="s">
        <v>398</v>
      </c>
      <c r="O649" s="241" t="s">
        <v>40</v>
      </c>
      <c r="P649" s="247" t="s">
        <v>1824</v>
      </c>
      <c r="Q649" s="45"/>
      <c r="R649" s="166"/>
      <c r="S649" s="166"/>
      <c r="T649" s="258">
        <f>+_xlfn.XLOOKUP(PROYECTOS[[#This Row],[MUNICIPIO]],'4.CAP_ENDMNT'!B:B,'4.CAP_ENDMNT'!C:C,0,0,1)</f>
        <v>6</v>
      </c>
      <c r="U649" s="167">
        <f>+_xlfn.XLOOKUP(PROYECTOS[[#This Row],[MUNICIPIO]],'4.CAP_ENDMNT'!B:B,'4.CAP_ENDMNT'!D:D,0,0,1)</f>
        <v>11862742976.215</v>
      </c>
      <c r="V649" s="258">
        <f>+_xlfn.XLOOKUP(PROYECTOS[[#This Row],[MUNICIPIO]],'4.CAP_ENDMNT'!B:B,'4.CAP_ENDMNT'!E:E,0,0,1)</f>
        <v>2605805535.6100001</v>
      </c>
      <c r="W649" s="258">
        <f>+_xlfn.XLOOKUP(PROYECTOS[[#This Row],[MUNICIPIO]],'4.CAP_ENDMNT'!B:B,'4.CAP_ENDMNT'!F:F,0,0,1)</f>
        <v>9256937440.6049995</v>
      </c>
      <c r="X649" s="258">
        <f>+_xlfn.XLOOKUP(PROYECTOS[[#This Row],[MUNICIPIO]],'4.CAP_ENDMNT'!B:B,'4.CAP_ENDMNT'!G:G,0,0,1)</f>
        <v>0</v>
      </c>
      <c r="Y649" s="258">
        <f>+_xlfn.XLOOKUP(PROYECTOS[[#This Row],[MUNICIPIO]],'4.CAP_ENDMNT'!B:B,'4.CAP_ENDMNT'!H:H,0,0,1)</f>
        <v>1067141839</v>
      </c>
      <c r="Z649" s="258">
        <f>+_xlfn.XLOOKUP(PROYECTOS[[#This Row],[MUNICIPIO]],'4.CAP_ENDMNT'!B:B,'4.CAP_ENDMNT'!I:I,0,0,1)</f>
        <v>1067141839</v>
      </c>
      <c r="AA649" s="134">
        <f>+_xlfn.XLOOKUP(PROYECTOS[[#This Row],[MUNICIPIO]],'4.CAP_ENDMNT'!B:B,'4.CAP_ENDMNT'!J:J,0,0,1)</f>
        <v>8.9957427311679716E-2</v>
      </c>
      <c r="AB649" s="258">
        <f>+_xlfn.XLOOKUP(PROYECTOS[[#This Row],[MUNICIPIO]],'4.CAP_ENDMNT'!B:B,'4.CAP_ENDMNT'!K:K,0,0,1)</f>
        <v>10795601137.215</v>
      </c>
      <c r="AC649" s="258">
        <f>+_xlfn.XLOOKUP(PROYECTOS[[#This Row],[MUNICIPIO]],'4.CAP_ENDMNT'!B:B,'4.CAP_ENDMNT'!L:L,0,0,1)</f>
        <v>8636480909.7720013</v>
      </c>
      <c r="AD649" s="258">
        <f>+_xlfn.XLOOKUP(PROYECTOS[[#This Row],[MUNICIPIO]],'4.CAP_ENDMNT'!B:B,'4.CAP_ENDMNT'!M:M,0,0,1)</f>
        <v>6477360682.3289995</v>
      </c>
      <c r="AE649" s="134">
        <f>+_xlfn.XLOOKUP(PROYECTOS[[#This Row],[MUNICIPIO]],'4.CAP_ENDMNT'!B:B,'4.CAP_ENDMNT'!N:N,0,0,1)</f>
        <v>0</v>
      </c>
      <c r="AF649" s="134">
        <f>+_xlfn.XLOOKUP(PROYECTOS[[#This Row],[MUNICIPIO]],'4.CAP_ENDMNT'!B:B,'4.CAP_ENDMNT'!O:O,0,0,1)</f>
        <v>0.61919854879551783</v>
      </c>
      <c r="AG649" s="134">
        <f>+_xlfn.XLOOKUP(PROYECTOS[[#This Row],[MUNICIPIO]],'4.CAP_ENDMNT'!B:B,'4.CAP_ENDMNT'!P:P,0,0,1)</f>
        <v>0.8</v>
      </c>
      <c r="AH649" s="258" t="str">
        <f>+_xlfn.XLOOKUP(PROYECTOS[[#This Row],[MUNICIPIO]],'4.CAP_ENDMNT'!B:B,'4.CAP_ENDMNT'!Q:Q,0,0,1)</f>
        <v>Cumple</v>
      </c>
      <c r="AI649" s="139">
        <f>+_xlfn.XLOOKUP(PROYECTOS[[#This Row],[MUNICIPIO]],'4.CAP_ENDMNT'!B:B,'4.CAP_ENDMNT'!V:V,0,0,1)</f>
        <v>1295472136.4658</v>
      </c>
      <c r="AJ649" s="139">
        <f>+_xlfn.XLOOKUP(PROYECTOS[[#This Row],[MUNICIPIO]],'4.CAP_ENDMNT'!B:B,'4.CAP_ENDMNT'!Y:Y,0,0,1)</f>
        <v>632187289.7947998</v>
      </c>
      <c r="AK649"/>
      <c r="AL649"/>
      <c r="AM649"/>
    </row>
    <row r="650" spans="1:39" ht="15" customHeight="1">
      <c r="A650" s="261">
        <v>769</v>
      </c>
      <c r="B650" s="232" t="str">
        <f>+_xlfn.XLOOKUP(PROYECTOS[[#This Row],[ID_NECESIDAD]],'1.RADICADOS'!G:G,'1.RADICADOS'!H:H,0,0,1)</f>
        <v>Radicacion de proyecto de puntos criticos en el municipio de Guadalupe (Puente vehicular San Bacilio L 24 A 5.70 + placahuella 1281 m)</v>
      </c>
      <c r="C650" s="118">
        <f>+_xlfn.XLOOKUP(PROYECTOS[[#This Row],[ID_NECESIDAD]],'1.RADICADOS'!G:G,'1.RADICADOS'!C:C,0,0,1)*1</f>
        <v>45916</v>
      </c>
      <c r="D650" s="118" t="str">
        <f>+_xlfn.XLOOKUP(PROYECTOS[[#This Row],[ID_NECESIDAD]],'1.RADICADOS'!G:G,'1.RADICADOS'!F:F,0,0,1)</f>
        <v>Guadalupe</v>
      </c>
      <c r="E650" s="257" t="str">
        <f>+_xlfn.XLOOKUP(PROYECTOS[[#This Row],[MUNICIPIO]],MUNICIPIOS!A:A,MUNICIPIOS!E:E,0,0,1)</f>
        <v>Norte</v>
      </c>
      <c r="F650" s="257" t="e" cm="1">
        <f t="array" ref="F650">+_xlfn.XLOOKUP(PROYECTOS[[#This Row],[MUNICIPIO]],Table1[Municipio],MUNICIPIOS!F:F,0,0,1)</f>
        <v>#VALUE!</v>
      </c>
      <c r="G650" s="257" t="str">
        <f>+LOOKUP(PROYECTOS[[#This Row],[MUNICIPIO]],Table1[Municipio],Table1[Latitud])</f>
        <v>6,142892</v>
      </c>
      <c r="H650" s="258">
        <f>+LOOKUP(PROYECTOS[[#This Row],[MUNICIPIO]],Table1[Municipio],Table1[PDET])</f>
        <v>0</v>
      </c>
      <c r="I650" s="259">
        <f>+LOOKUP(PROYECTOS[[#This Row],[MUNICIPIO]],Table1[Municipio],Table1[ZOMAC])</f>
        <v>1</v>
      </c>
      <c r="J650" s="260" t="str" cm="1">
        <f t="array" ref="J650">_xlfn.TEXTJOIN(", ", TRUE, IF(radicados[ID PROYECTOS]=A650, radicados[RADICADO], ""))</f>
        <v>2025010490906</v>
      </c>
      <c r="K650" s="240">
        <v>3</v>
      </c>
      <c r="L650" s="212">
        <f>+_xlfn.XLOOKUP(PROYECTOS[[#This Row],[ID_NECESIDAD]],'1.RADICADOS'!G:G,'1.RADICADOS'!J:J,0,0,1)</f>
        <v>5759083284</v>
      </c>
      <c r="M650" s="246" t="s">
        <v>435</v>
      </c>
      <c r="N650" s="205" t="s">
        <v>398</v>
      </c>
      <c r="O650" s="205" t="s">
        <v>25</v>
      </c>
      <c r="P650" s="246" t="s">
        <v>1824</v>
      </c>
      <c r="Q650" s="45"/>
      <c r="R650" s="166"/>
      <c r="S650" s="166"/>
      <c r="T650" s="258">
        <f>+_xlfn.XLOOKUP(PROYECTOS[[#This Row],[MUNICIPIO]],'4.CAP_ENDMNT'!B:B,'4.CAP_ENDMNT'!C:C,0,0,1)</f>
        <v>6</v>
      </c>
      <c r="U650" s="167">
        <f>+_xlfn.XLOOKUP(PROYECTOS[[#This Row],[MUNICIPIO]],'4.CAP_ENDMNT'!B:B,'4.CAP_ENDMNT'!D:D,0,0,1)</f>
        <v>11862742976.215</v>
      </c>
      <c r="V650" s="258">
        <f>+_xlfn.XLOOKUP(PROYECTOS[[#This Row],[MUNICIPIO]],'4.CAP_ENDMNT'!B:B,'4.CAP_ENDMNT'!E:E,0,0,1)</f>
        <v>2605805535.6100001</v>
      </c>
      <c r="W650" s="258">
        <f>+_xlfn.XLOOKUP(PROYECTOS[[#This Row],[MUNICIPIO]],'4.CAP_ENDMNT'!B:B,'4.CAP_ENDMNT'!F:F,0,0,1)</f>
        <v>9256937440.6049995</v>
      </c>
      <c r="X650" s="258">
        <f>+_xlfn.XLOOKUP(PROYECTOS[[#This Row],[MUNICIPIO]],'4.CAP_ENDMNT'!B:B,'4.CAP_ENDMNT'!G:G,0,0,1)</f>
        <v>0</v>
      </c>
      <c r="Y650" s="258">
        <f>+_xlfn.XLOOKUP(PROYECTOS[[#This Row],[MUNICIPIO]],'4.CAP_ENDMNT'!B:B,'4.CAP_ENDMNT'!H:H,0,0,1)</f>
        <v>1067141839</v>
      </c>
      <c r="Z650" s="258">
        <f>+_xlfn.XLOOKUP(PROYECTOS[[#This Row],[MUNICIPIO]],'4.CAP_ENDMNT'!B:B,'4.CAP_ENDMNT'!I:I,0,0,1)</f>
        <v>1067141839</v>
      </c>
      <c r="AA650" s="134">
        <f>+_xlfn.XLOOKUP(PROYECTOS[[#This Row],[MUNICIPIO]],'4.CAP_ENDMNT'!B:B,'4.CAP_ENDMNT'!J:J,0,0,1)</f>
        <v>8.9957427311679716E-2</v>
      </c>
      <c r="AB650" s="258">
        <f>+_xlfn.XLOOKUP(PROYECTOS[[#This Row],[MUNICIPIO]],'4.CAP_ENDMNT'!B:B,'4.CAP_ENDMNT'!K:K,0,0,1)</f>
        <v>10795601137.215</v>
      </c>
      <c r="AC650" s="258">
        <f>+_xlfn.XLOOKUP(PROYECTOS[[#This Row],[MUNICIPIO]],'4.CAP_ENDMNT'!B:B,'4.CAP_ENDMNT'!L:L,0,0,1)</f>
        <v>8636480909.7720013</v>
      </c>
      <c r="AD650" s="258">
        <f>+_xlfn.XLOOKUP(PROYECTOS[[#This Row],[MUNICIPIO]],'4.CAP_ENDMNT'!B:B,'4.CAP_ENDMNT'!M:M,0,0,1)</f>
        <v>6477360682.3289995</v>
      </c>
      <c r="AE650" s="134">
        <f>+_xlfn.XLOOKUP(PROYECTOS[[#This Row],[MUNICIPIO]],'4.CAP_ENDMNT'!B:B,'4.CAP_ENDMNT'!N:N,0,0,1)</f>
        <v>0</v>
      </c>
      <c r="AF650" s="134">
        <f>+_xlfn.XLOOKUP(PROYECTOS[[#This Row],[MUNICIPIO]],'4.CAP_ENDMNT'!B:B,'4.CAP_ENDMNT'!O:O,0,0,1)</f>
        <v>0.61919854879551783</v>
      </c>
      <c r="AG650" s="134">
        <f>+_xlfn.XLOOKUP(PROYECTOS[[#This Row],[MUNICIPIO]],'4.CAP_ENDMNT'!B:B,'4.CAP_ENDMNT'!P:P,0,0,1)</f>
        <v>0.8</v>
      </c>
      <c r="AH650" s="258" t="str">
        <f>+_xlfn.XLOOKUP(PROYECTOS[[#This Row],[MUNICIPIO]],'4.CAP_ENDMNT'!B:B,'4.CAP_ENDMNT'!Q:Q,0,0,1)</f>
        <v>Cumple</v>
      </c>
      <c r="AI650" s="139">
        <f>+_xlfn.XLOOKUP(PROYECTOS[[#This Row],[MUNICIPIO]],'4.CAP_ENDMNT'!B:B,'4.CAP_ENDMNT'!V:V,0,0,1)</f>
        <v>1295472136.4658</v>
      </c>
      <c r="AJ650" s="139">
        <f>+_xlfn.XLOOKUP(PROYECTOS[[#This Row],[MUNICIPIO]],'4.CAP_ENDMNT'!B:B,'4.CAP_ENDMNT'!Y:Y,0,0,1)</f>
        <v>632187289.7947998</v>
      </c>
      <c r="AK650"/>
      <c r="AL650"/>
      <c r="AM650"/>
    </row>
    <row r="651" spans="1:39" ht="15" customHeight="1">
      <c r="A651" s="262">
        <v>770</v>
      </c>
      <c r="B651" s="232" t="str">
        <f>+_xlfn.XLOOKUP(PROYECTOS[[#This Row],[ID_NECESIDAD]],'1.RADICADOS'!G:G,'1.RADICADOS'!H:H,0,0,1)</f>
        <v>“CONSTRUCCIÓN DEL PARQUE LINEAL DEL MUNICIPIODE SAN ROQUE”</v>
      </c>
      <c r="C651" s="118">
        <f>+_xlfn.XLOOKUP(PROYECTOS[[#This Row],[ID_NECESIDAD]],'1.RADICADOS'!G:G,'1.RADICADOS'!C:C,0,0,1)*1</f>
        <v>45924</v>
      </c>
      <c r="D651" s="118" t="str">
        <f>+_xlfn.XLOOKUP(PROYECTOS[[#This Row],[ID_NECESIDAD]],'1.RADICADOS'!G:G,'1.RADICADOS'!F:F,0,0,1)</f>
        <v>San Roque</v>
      </c>
      <c r="E651" s="257" t="str">
        <f>+_xlfn.XLOOKUP(PROYECTOS[[#This Row],[MUNICIPIO]],MUNICIPIOS!A:A,MUNICIPIOS!E:E,0,0,1)</f>
        <v>Nordeste</v>
      </c>
      <c r="F651" s="257" t="e" cm="1">
        <f t="array" ref="F651">+_xlfn.XLOOKUP(PROYECTOS[[#This Row],[MUNICIPIO]],Table1[Municipio],MUNICIPIOS!F:F,0,0,1)</f>
        <v>#VALUE!</v>
      </c>
      <c r="G651" s="257" t="str">
        <f>+LOOKUP(PROYECTOS[[#This Row],[MUNICIPIO]],Table1[Municipio],Table1[Latitud])</f>
        <v>6,149903</v>
      </c>
      <c r="H651" s="258">
        <f>+LOOKUP(PROYECTOS[[#This Row],[MUNICIPIO]],Table1[Municipio],Table1[PDET])</f>
        <v>0</v>
      </c>
      <c r="I651" s="259">
        <f>+LOOKUP(PROYECTOS[[#This Row],[MUNICIPIO]],Table1[Municipio],Table1[ZOMAC])</f>
        <v>0</v>
      </c>
      <c r="J651" s="260" t="str" cm="1">
        <f t="array" ref="J651">_xlfn.TEXTJOIN(", ", TRUE, IF(radicados[ID PROYECTOS]=A651, radicados[RADICADO], ""))</f>
        <v>2025010508060</v>
      </c>
      <c r="K651" s="242">
        <v>3</v>
      </c>
      <c r="L651" s="212">
        <f>+_xlfn.XLOOKUP(PROYECTOS[[#This Row],[ID_NECESIDAD]],'1.RADICADOS'!G:G,'1.RADICADOS'!J:J,0,0,1)</f>
        <v>3617847281</v>
      </c>
      <c r="M651" s="247" t="s">
        <v>707</v>
      </c>
      <c r="N651" s="241" t="s">
        <v>1079</v>
      </c>
      <c r="O651" s="241" t="s">
        <v>40</v>
      </c>
      <c r="P651" s="253" t="s">
        <v>1853</v>
      </c>
      <c r="Q651" s="45"/>
      <c r="R651" s="166"/>
      <c r="S651" s="166"/>
      <c r="T651" s="258">
        <f>+_xlfn.XLOOKUP(PROYECTOS[[#This Row],[MUNICIPIO]],'4.CAP_ENDMNT'!B:B,'4.CAP_ENDMNT'!C:C,0,0,1)</f>
        <v>6</v>
      </c>
      <c r="U651" s="167">
        <f>+_xlfn.XLOOKUP(PROYECTOS[[#This Row],[MUNICIPIO]],'4.CAP_ENDMNT'!B:B,'4.CAP_ENDMNT'!D:D,0,0,1)</f>
        <v>13645854382.4415</v>
      </c>
      <c r="V651" s="258">
        <f>+_xlfn.XLOOKUP(PROYECTOS[[#This Row],[MUNICIPIO]],'4.CAP_ENDMNT'!B:B,'4.CAP_ENDMNT'!E:E,0,0,1)</f>
        <v>5036095672.2200003</v>
      </c>
      <c r="W651" s="258">
        <f>+_xlfn.XLOOKUP(PROYECTOS[[#This Row],[MUNICIPIO]],'4.CAP_ENDMNT'!B:B,'4.CAP_ENDMNT'!F:F,0,0,1)</f>
        <v>8609758710.2215004</v>
      </c>
      <c r="X651" s="258">
        <f>+_xlfn.XLOOKUP(PROYECTOS[[#This Row],[MUNICIPIO]],'4.CAP_ENDMNT'!B:B,'4.CAP_ENDMNT'!G:G,0,0,1)</f>
        <v>2357809963</v>
      </c>
      <c r="Y651" s="258">
        <f>+_xlfn.XLOOKUP(PROYECTOS[[#This Row],[MUNICIPIO]],'4.CAP_ENDMNT'!B:B,'4.CAP_ENDMNT'!H:H,0,0,1)</f>
        <v>1093248488</v>
      </c>
      <c r="Z651" s="258">
        <f>+_xlfn.XLOOKUP(PROYECTOS[[#This Row],[MUNICIPIO]],'4.CAP_ENDMNT'!B:B,'4.CAP_ENDMNT'!I:I,0,0,1)</f>
        <v>3451058451</v>
      </c>
      <c r="AA651" s="134">
        <f>+_xlfn.XLOOKUP(PROYECTOS[[#This Row],[MUNICIPIO]],'4.CAP_ENDMNT'!B:B,'4.CAP_ENDMNT'!J:J,0,0,1)</f>
        <v>0.25290160324739891</v>
      </c>
      <c r="AB651" s="258">
        <f>+_xlfn.XLOOKUP(PROYECTOS[[#This Row],[MUNICIPIO]],'4.CAP_ENDMNT'!B:B,'4.CAP_ENDMNT'!K:K,0,0,1)</f>
        <v>10194795931.4415</v>
      </c>
      <c r="AC651" s="258">
        <f>+_xlfn.XLOOKUP(PROYECTOS[[#This Row],[MUNICIPIO]],'4.CAP_ENDMNT'!B:B,'4.CAP_ENDMNT'!L:L,0,0,1)</f>
        <v>8155836745.1532001</v>
      </c>
      <c r="AD651" s="258">
        <f>+_xlfn.XLOOKUP(PROYECTOS[[#This Row],[MUNICIPIO]],'4.CAP_ENDMNT'!B:B,'4.CAP_ENDMNT'!M:M,0,0,1)</f>
        <v>6116877558.8648996</v>
      </c>
      <c r="AE651" s="134">
        <f>+_xlfn.XLOOKUP(PROYECTOS[[#This Row],[MUNICIPIO]],'4.CAP_ENDMNT'!B:B,'4.CAP_ENDMNT'!N:N,0,0,1)</f>
        <v>0.68321356954032075</v>
      </c>
      <c r="AF651" s="134">
        <f>+_xlfn.XLOOKUP(PROYECTOS[[#This Row],[MUNICIPIO]],'4.CAP_ENDMNT'!B:B,'4.CAP_ENDMNT'!O:O,0,0,1)</f>
        <v>0.58815143933117542</v>
      </c>
      <c r="AG651" s="134">
        <f>+_xlfn.XLOOKUP(PROYECTOS[[#This Row],[MUNICIPIO]],'4.CAP_ENDMNT'!B:B,'4.CAP_ENDMNT'!P:P,0,0,1)</f>
        <v>0.8</v>
      </c>
      <c r="AH651" s="258" t="str">
        <f>+_xlfn.XLOOKUP(PROYECTOS[[#This Row],[MUNICIPIO]],'4.CAP_ENDMNT'!B:B,'4.CAP_ENDMNT'!Q:Q,0,0,1)</f>
        <v>Cumple</v>
      </c>
      <c r="AI651" s="139">
        <f>+_xlfn.XLOOKUP(PROYECTOS[[#This Row],[MUNICIPIO]],'4.CAP_ENDMNT'!B:B,'4.CAP_ENDMNT'!V:V,0,0,1)</f>
        <v>1223375511.77298</v>
      </c>
      <c r="AJ651" s="139">
        <f>+_xlfn.XLOOKUP(PROYECTOS[[#This Row],[MUNICIPIO]],'4.CAP_ENDMNT'!B:B,'4.CAP_ENDMNT'!Y:Y,0,0,1)</f>
        <v>-3684666242.3621206</v>
      </c>
      <c r="AK651"/>
      <c r="AL651"/>
      <c r="AM651"/>
    </row>
    <row r="652" spans="1:39" ht="15" customHeight="1">
      <c r="A652" s="261">
        <v>771</v>
      </c>
      <c r="B652" s="232" t="str">
        <f>+_xlfn.XLOOKUP(PROYECTOS[[#This Row],[ID_NECESIDAD]],'1.RADICADOS'!G:G,'1.RADICADOS'!H:H,0,0,1)</f>
        <v>“Transformación urbanística en el barrio Kennedy para la movilidad segura de todos y todas en el Municipio de Chigorodó”</v>
      </c>
      <c r="C652" s="118">
        <f>+_xlfn.XLOOKUP(PROYECTOS[[#This Row],[ID_NECESIDAD]],'1.RADICADOS'!G:G,'1.RADICADOS'!C:C,0,0,1)*1</f>
        <v>45925</v>
      </c>
      <c r="D652" s="118" t="str">
        <f>+_xlfn.XLOOKUP(PROYECTOS[[#This Row],[ID_NECESIDAD]],'1.RADICADOS'!G:G,'1.RADICADOS'!F:F,0,0,1)</f>
        <v>Chigorodó</v>
      </c>
      <c r="E652" s="257" t="str">
        <f>+_xlfn.XLOOKUP(PROYECTOS[[#This Row],[MUNICIPIO]],MUNICIPIOS!A:A,MUNICIPIOS!E:E,0,0,1)</f>
        <v>Urabá</v>
      </c>
      <c r="F652" s="257" t="e" cm="1">
        <f t="array" ref="F652">+_xlfn.XLOOKUP(PROYECTOS[[#This Row],[MUNICIPIO]],Table1[Municipio],MUNICIPIOS!F:F,0,0,1)</f>
        <v>#VALUE!</v>
      </c>
      <c r="G652" s="257" t="str">
        <f>+LOOKUP(PROYECTOS[[#This Row],[MUNICIPIO]],Table1[Municipio],Table1[Latitud])</f>
        <v>7,074703</v>
      </c>
      <c r="H652" s="258">
        <f>+LOOKUP(PROYECTOS[[#This Row],[MUNICIPIO]],Table1[Municipio],Table1[PDET])</f>
        <v>1</v>
      </c>
      <c r="I652" s="259">
        <f>+LOOKUP(PROYECTOS[[#This Row],[MUNICIPIO]],Table1[Municipio],Table1[ZOMAC])</f>
        <v>1</v>
      </c>
      <c r="J652" s="260" t="str" cm="1">
        <f t="array" ref="J652">_xlfn.TEXTJOIN(", ", TRUE, IF(radicados[ID PROYECTOS]=A652, radicados[RADICADO], ""))</f>
        <v>2025010511331</v>
      </c>
      <c r="K652" s="240">
        <v>3</v>
      </c>
      <c r="L652" s="212">
        <f>+_xlfn.XLOOKUP(PROYECTOS[[#This Row],[ID_NECESIDAD]],'1.RADICADOS'!G:G,'1.RADICADOS'!J:J,0,0,1)</f>
        <v>139865148184</v>
      </c>
      <c r="M652" s="246" t="s">
        <v>396</v>
      </c>
      <c r="N652" s="205" t="s">
        <v>1079</v>
      </c>
      <c r="O652" s="205" t="s">
        <v>40</v>
      </c>
      <c r="P652" s="266" t="s">
        <v>1854</v>
      </c>
      <c r="Q652" s="45"/>
      <c r="R652" s="166"/>
      <c r="S652" s="166"/>
      <c r="T652" s="258">
        <f>+_xlfn.XLOOKUP(PROYECTOS[[#This Row],[MUNICIPIO]],'4.CAP_ENDMNT'!B:B,'4.CAP_ENDMNT'!C:C,0,0,1)</f>
        <v>6</v>
      </c>
      <c r="U652" s="167">
        <f>+_xlfn.XLOOKUP(PROYECTOS[[#This Row],[MUNICIPIO]],'4.CAP_ENDMNT'!B:B,'4.CAP_ENDMNT'!D:D,0,0,1)</f>
        <v>31480625713.601501</v>
      </c>
      <c r="V652" s="258">
        <f>+_xlfn.XLOOKUP(PROYECTOS[[#This Row],[MUNICIPIO]],'4.CAP_ENDMNT'!B:B,'4.CAP_ENDMNT'!E:E,0,0,1)</f>
        <v>12012746210.970001</v>
      </c>
      <c r="W652" s="258">
        <f>+_xlfn.XLOOKUP(PROYECTOS[[#This Row],[MUNICIPIO]],'4.CAP_ENDMNT'!B:B,'4.CAP_ENDMNT'!F:F,0,0,1)</f>
        <v>19467879502.6315</v>
      </c>
      <c r="X652" s="258">
        <f>+_xlfn.XLOOKUP(PROYECTOS[[#This Row],[MUNICIPIO]],'4.CAP_ENDMNT'!B:B,'4.CAP_ENDMNT'!G:G,0,0,1)</f>
        <v>990257688</v>
      </c>
      <c r="Y652" s="258">
        <f>+_xlfn.XLOOKUP(PROYECTOS[[#This Row],[MUNICIPIO]],'4.CAP_ENDMNT'!B:B,'4.CAP_ENDMNT'!H:H,0,0,1)</f>
        <v>4241046406.5999999</v>
      </c>
      <c r="Z652" s="258">
        <f>+_xlfn.XLOOKUP(PROYECTOS[[#This Row],[MUNICIPIO]],'4.CAP_ENDMNT'!B:B,'4.CAP_ENDMNT'!I:I,0,0,1)</f>
        <v>5231304094.6000004</v>
      </c>
      <c r="AA652" s="134">
        <f>+_xlfn.XLOOKUP(PROYECTOS[[#This Row],[MUNICIPIO]],'4.CAP_ENDMNT'!B:B,'4.CAP_ENDMNT'!J:J,0,0,1)</f>
        <v>0.16617535312647125</v>
      </c>
      <c r="AB652" s="258">
        <f>+_xlfn.XLOOKUP(PROYECTOS[[#This Row],[MUNICIPIO]],'4.CAP_ENDMNT'!B:B,'4.CAP_ENDMNT'!K:K,0,0,1)</f>
        <v>26249321619.001503</v>
      </c>
      <c r="AC652" s="258">
        <f>+_xlfn.XLOOKUP(PROYECTOS[[#This Row],[MUNICIPIO]],'4.CAP_ENDMNT'!B:B,'4.CAP_ENDMNT'!L:L,0,0,1)</f>
        <v>20999457295.201202</v>
      </c>
      <c r="AD652" s="258">
        <f>+_xlfn.XLOOKUP(PROYECTOS[[#This Row],[MUNICIPIO]],'4.CAP_ENDMNT'!B:B,'4.CAP_ENDMNT'!M:M,0,0,1)</f>
        <v>15749592971.400902</v>
      </c>
      <c r="AE652" s="134">
        <f>+_xlfn.XLOOKUP(PROYECTOS[[#This Row],[MUNICIPIO]],'4.CAP_ENDMNT'!B:B,'4.CAP_ENDMNT'!N:N,0,0,1)</f>
        <v>0.18929461375074541</v>
      </c>
      <c r="AF652" s="134">
        <f>+_xlfn.XLOOKUP(PROYECTOS[[#This Row],[MUNICIPIO]],'4.CAP_ENDMNT'!B:B,'4.CAP_ENDMNT'!O:O,0,0,1)</f>
        <v>0.57128723877428544</v>
      </c>
      <c r="AG652" s="134">
        <f>+_xlfn.XLOOKUP(PROYECTOS[[#This Row],[MUNICIPIO]],'4.CAP_ENDMNT'!B:B,'4.CAP_ENDMNT'!P:P,0,0,1)</f>
        <v>0.8</v>
      </c>
      <c r="AH652" s="258" t="str">
        <f>+_xlfn.XLOOKUP(PROYECTOS[[#This Row],[MUNICIPIO]],'4.CAP_ENDMNT'!B:B,'4.CAP_ENDMNT'!Q:Q,0,0,1)</f>
        <v>Cumple</v>
      </c>
      <c r="AI652" s="139">
        <f>+_xlfn.XLOOKUP(PROYECTOS[[#This Row],[MUNICIPIO]],'4.CAP_ENDMNT'!B:B,'4.CAP_ENDMNT'!V:V,0,0,1)</f>
        <v>3149918594.2801805</v>
      </c>
      <c r="AJ652" s="139">
        <f>+_xlfn.XLOOKUP(PROYECTOS[[#This Row],[MUNICIPIO]],'4.CAP_ENDMNT'!B:B,'4.CAP_ENDMNT'!Y:Y,0,0,1)</f>
        <v>-159577103574.2489</v>
      </c>
      <c r="AK652"/>
      <c r="AL652"/>
      <c r="AM652"/>
    </row>
    <row r="653" spans="1:39" ht="15" customHeight="1">
      <c r="A653" s="262">
        <v>772</v>
      </c>
      <c r="B653" s="232" t="str">
        <f>+_xlfn.XLOOKUP(PROYECTOS[[#This Row],[ID_NECESIDAD]],'1.RADICADOS'!G:G,'1.RADICADOS'!H:H,0,0,1)</f>
        <v xml:space="preserve">"CONSTRUCCIÓN DE OBRAS DE PROTECCION DE DOS PUENTES, SOBRE LA QUEBRADA LA CENIZA DELCORREGIMIENTO LAS PLATAS Y LAS BARRANCUDAS, CORREGIMIENTO PAJILLA DEL MUNICIPIO DE ARBOLETES, ANTIOQUIA. </v>
      </c>
      <c r="C653" s="118">
        <f>+_xlfn.XLOOKUP(PROYECTOS[[#This Row],[ID_NECESIDAD]],'1.RADICADOS'!G:G,'1.RADICADOS'!C:C,0,0,1)*1</f>
        <v>45925</v>
      </c>
      <c r="D653" s="118" t="str">
        <f>+_xlfn.XLOOKUP(PROYECTOS[[#This Row],[ID_NECESIDAD]],'1.RADICADOS'!G:G,'1.RADICADOS'!F:F,0,0,1)</f>
        <v>Arboletes</v>
      </c>
      <c r="E653" s="257" t="str">
        <f>+_xlfn.XLOOKUP(PROYECTOS[[#This Row],[MUNICIPIO]],MUNICIPIOS!A:A,MUNICIPIOS!E:E,0,0,1)</f>
        <v>Urabá</v>
      </c>
      <c r="F653" s="257" t="e" cm="1">
        <f t="array" ref="F653">+_xlfn.XLOOKUP(PROYECTOS[[#This Row],[MUNICIPIO]],Table1[Municipio],MUNICIPIOS!F:F,0,0,1)</f>
        <v>#VALUE!</v>
      </c>
      <c r="G653" s="257" t="str">
        <f>+LOOKUP(PROYECTOS[[#This Row],[MUNICIPIO]],Table1[Municipio],Table1[Latitud])</f>
        <v>7,074703</v>
      </c>
      <c r="H653" s="258">
        <f>+LOOKUP(PROYECTOS[[#This Row],[MUNICIPIO]],Table1[Municipio],Table1[PDET])</f>
        <v>1</v>
      </c>
      <c r="I653" s="259">
        <f>+LOOKUP(PROYECTOS[[#This Row],[MUNICIPIO]],Table1[Municipio],Table1[ZOMAC])</f>
        <v>1</v>
      </c>
      <c r="J653" s="260" t="str" cm="1">
        <f t="array" ref="J653">_xlfn.TEXTJOIN(", ", TRUE, IF(radicados[ID PROYECTOS]=A653, radicados[RADICADO], ""))</f>
        <v>2025010512377</v>
      </c>
      <c r="K653" s="242">
        <v>3</v>
      </c>
      <c r="L653" s="212">
        <f>+_xlfn.XLOOKUP(PROYECTOS[[#This Row],[ID_NECESIDAD]],'1.RADICADOS'!G:G,'1.RADICADOS'!J:J,0,0,1)</f>
        <v>1760641952</v>
      </c>
      <c r="M653" s="247" t="s">
        <v>40</v>
      </c>
      <c r="N653" s="241" t="s">
        <v>1079</v>
      </c>
      <c r="O653" s="241" t="s">
        <v>40</v>
      </c>
      <c r="P653" s="253" t="s">
        <v>1855</v>
      </c>
      <c r="Q653" s="45"/>
      <c r="R653" s="166"/>
      <c r="S653" s="166"/>
      <c r="T653" s="258">
        <f>+_xlfn.XLOOKUP(PROYECTOS[[#This Row],[MUNICIPIO]],'4.CAP_ENDMNT'!B:B,'4.CAP_ENDMNT'!C:C,0,0,1)</f>
        <v>6</v>
      </c>
      <c r="U653" s="167">
        <f>+_xlfn.XLOOKUP(PROYECTOS[[#This Row],[MUNICIPIO]],'4.CAP_ENDMNT'!B:B,'4.CAP_ENDMNT'!D:D,0,0,1)</f>
        <v>19782037469.424</v>
      </c>
      <c r="V653" s="258">
        <f>+_xlfn.XLOOKUP(PROYECTOS[[#This Row],[MUNICIPIO]],'4.CAP_ENDMNT'!B:B,'4.CAP_ENDMNT'!E:E,0,0,1)</f>
        <v>6224691780.3400002</v>
      </c>
      <c r="W653" s="258">
        <f>+_xlfn.XLOOKUP(PROYECTOS[[#This Row],[MUNICIPIO]],'4.CAP_ENDMNT'!B:B,'4.CAP_ENDMNT'!F:F,0,0,1)</f>
        <v>13557345689.084</v>
      </c>
      <c r="X653" s="258">
        <f>+_xlfn.XLOOKUP(PROYECTOS[[#This Row],[MUNICIPIO]],'4.CAP_ENDMNT'!B:B,'4.CAP_ENDMNT'!G:G,0,0,1)</f>
        <v>5530076291</v>
      </c>
      <c r="Y653" s="258">
        <f>+_xlfn.XLOOKUP(PROYECTOS[[#This Row],[MUNICIPIO]],'4.CAP_ENDMNT'!B:B,'4.CAP_ENDMNT'!H:H,0,0,1)</f>
        <v>135075758</v>
      </c>
      <c r="Z653" s="258">
        <f>+_xlfn.XLOOKUP(PROYECTOS[[#This Row],[MUNICIPIO]],'4.CAP_ENDMNT'!B:B,'4.CAP_ENDMNT'!I:I,0,0,1)</f>
        <v>5665152049</v>
      </c>
      <c r="AA653" s="134">
        <f>+_xlfn.XLOOKUP(PROYECTOS[[#This Row],[MUNICIPIO]],'4.CAP_ENDMNT'!B:B,'4.CAP_ENDMNT'!J:J,0,0,1)</f>
        <v>0.28637859258715448</v>
      </c>
      <c r="AB653" s="258">
        <f>+_xlfn.XLOOKUP(PROYECTOS[[#This Row],[MUNICIPIO]],'4.CAP_ENDMNT'!B:B,'4.CAP_ENDMNT'!K:K,0,0,1)</f>
        <v>14116885420.424</v>
      </c>
      <c r="AC653" s="258">
        <f>+_xlfn.XLOOKUP(PROYECTOS[[#This Row],[MUNICIPIO]],'4.CAP_ENDMNT'!B:B,'4.CAP_ENDMNT'!L:L,0,0,1)</f>
        <v>11293508336.339201</v>
      </c>
      <c r="AD653" s="258">
        <f>+_xlfn.XLOOKUP(PROYECTOS[[#This Row],[MUNICIPIO]],'4.CAP_ENDMNT'!B:B,'4.CAP_ENDMNT'!M:M,0,0,1)</f>
        <v>8470131252.2543993</v>
      </c>
      <c r="AE653" s="134">
        <f>+_xlfn.XLOOKUP(PROYECTOS[[#This Row],[MUNICIPIO]],'4.CAP_ENDMNT'!B:B,'4.CAP_ENDMNT'!N:N,0,0,1)</f>
        <v>0.97615672856938707</v>
      </c>
      <c r="AF653" s="134">
        <f>+_xlfn.XLOOKUP(PROYECTOS[[#This Row],[MUNICIPIO]],'4.CAP_ENDMNT'!B:B,'4.CAP_ENDMNT'!O:O,0,0,1)</f>
        <v>0.63121490876418529</v>
      </c>
      <c r="AG653" s="134">
        <f>+_xlfn.XLOOKUP(PROYECTOS[[#This Row],[MUNICIPIO]],'4.CAP_ENDMNT'!B:B,'4.CAP_ENDMNT'!P:P,0,0,1)</f>
        <v>0.8</v>
      </c>
      <c r="AH653" s="258" t="str">
        <f>+_xlfn.XLOOKUP(PROYECTOS[[#This Row],[MUNICIPIO]],'4.CAP_ENDMNT'!B:B,'4.CAP_ENDMNT'!Q:Q,0,0,1)</f>
        <v>Cumple</v>
      </c>
      <c r="AI653" s="139">
        <f>+_xlfn.XLOOKUP(PROYECTOS[[#This Row],[MUNICIPIO]],'4.CAP_ENDMNT'!B:B,'4.CAP_ENDMNT'!V:V,0,0,1)</f>
        <v>1694026250.4508801</v>
      </c>
      <c r="AJ653" s="139">
        <f>+_xlfn.XLOOKUP(PROYECTOS[[#This Row],[MUNICIPIO]],'4.CAP_ENDMNT'!B:B,'4.CAP_ENDMNT'!Y:Y,0,0,1)</f>
        <v>-28540377224.29472</v>
      </c>
      <c r="AK653"/>
      <c r="AL653"/>
      <c r="AM653"/>
    </row>
    <row r="654" spans="1:39" ht="15" customHeight="1">
      <c r="A654" s="261">
        <v>773</v>
      </c>
      <c r="B654" s="232" t="str">
        <f>+_xlfn.XLOOKUP(PROYECTOS[[#This Row],[ID_NECESIDAD]],'1.RADICADOS'!G:G,'1.RADICADOS'!H:H,0,0,1)</f>
        <v>“TRANSFORMACIÓN  URBANÍSTICA    EN    EL    BARRIO GUAYABAL, PARA LA MOVILIDAD SEGURA DE TODOS Y TODAS EN EL MUNICIPIO DE CHIGORODÓ”</v>
      </c>
      <c r="C654" s="118">
        <f>+_xlfn.XLOOKUP(PROYECTOS[[#This Row],[ID_NECESIDAD]],'1.RADICADOS'!G:G,'1.RADICADOS'!C:C,0,0,1)*1</f>
        <v>45924</v>
      </c>
      <c r="D654" s="118" t="str">
        <f>+_xlfn.XLOOKUP(PROYECTOS[[#This Row],[ID_NECESIDAD]],'1.RADICADOS'!G:G,'1.RADICADOS'!F:F,0,0,1)</f>
        <v>Chigorodó</v>
      </c>
      <c r="E654" s="257" t="str">
        <f>+_xlfn.XLOOKUP(PROYECTOS[[#This Row],[MUNICIPIO]],MUNICIPIOS!A:A,MUNICIPIOS!E:E,0,0,1)</f>
        <v>Urabá</v>
      </c>
      <c r="F654" s="257" t="e" cm="1">
        <f t="array" ref="F654">+_xlfn.XLOOKUP(PROYECTOS[[#This Row],[MUNICIPIO]],Table1[Municipio],MUNICIPIOS!F:F,0,0,1)</f>
        <v>#VALUE!</v>
      </c>
      <c r="G654" s="257" t="str">
        <f>+LOOKUP(PROYECTOS[[#This Row],[MUNICIPIO]],Table1[Municipio],Table1[Latitud])</f>
        <v>7,074703</v>
      </c>
      <c r="H654" s="258">
        <f>+LOOKUP(PROYECTOS[[#This Row],[MUNICIPIO]],Table1[Municipio],Table1[PDET])</f>
        <v>1</v>
      </c>
      <c r="I654" s="259">
        <f>+LOOKUP(PROYECTOS[[#This Row],[MUNICIPIO]],Table1[Municipio],Table1[ZOMAC])</f>
        <v>1</v>
      </c>
      <c r="J654" s="260" t="str" cm="1">
        <f t="array" ref="J654">_xlfn.TEXTJOIN(", ", TRUE, IF(radicados[ID PROYECTOS]=A654, radicados[RADICADO], ""))</f>
        <v>2025010510292</v>
      </c>
      <c r="K654" s="240">
        <v>3</v>
      </c>
      <c r="L654" s="212">
        <f>+_xlfn.XLOOKUP(PROYECTOS[[#This Row],[ID_NECESIDAD]],'1.RADICADOS'!G:G,'1.RADICADOS'!J:J,0,0,1)</f>
        <v>3946516.93</v>
      </c>
      <c r="M654" s="246" t="s">
        <v>396</v>
      </c>
      <c r="N654" s="205" t="s">
        <v>1079</v>
      </c>
      <c r="O654" s="205" t="s">
        <v>40</v>
      </c>
      <c r="P654" s="266" t="s">
        <v>1853</v>
      </c>
      <c r="Q654" s="45"/>
      <c r="R654" s="166"/>
      <c r="S654" s="166"/>
      <c r="T654" s="258">
        <f>+_xlfn.XLOOKUP(PROYECTOS[[#This Row],[MUNICIPIO]],'4.CAP_ENDMNT'!B:B,'4.CAP_ENDMNT'!C:C,0,0,1)</f>
        <v>6</v>
      </c>
      <c r="U654" s="167">
        <f>+_xlfn.XLOOKUP(PROYECTOS[[#This Row],[MUNICIPIO]],'4.CAP_ENDMNT'!B:B,'4.CAP_ENDMNT'!D:D,0,0,1)</f>
        <v>31480625713.601501</v>
      </c>
      <c r="V654" s="258">
        <f>+_xlfn.XLOOKUP(PROYECTOS[[#This Row],[MUNICIPIO]],'4.CAP_ENDMNT'!B:B,'4.CAP_ENDMNT'!E:E,0,0,1)</f>
        <v>12012746210.970001</v>
      </c>
      <c r="W654" s="258">
        <f>+_xlfn.XLOOKUP(PROYECTOS[[#This Row],[MUNICIPIO]],'4.CAP_ENDMNT'!B:B,'4.CAP_ENDMNT'!F:F,0,0,1)</f>
        <v>19467879502.6315</v>
      </c>
      <c r="X654" s="258">
        <f>+_xlfn.XLOOKUP(PROYECTOS[[#This Row],[MUNICIPIO]],'4.CAP_ENDMNT'!B:B,'4.CAP_ENDMNT'!G:G,0,0,1)</f>
        <v>990257688</v>
      </c>
      <c r="Y654" s="258">
        <f>+_xlfn.XLOOKUP(PROYECTOS[[#This Row],[MUNICIPIO]],'4.CAP_ENDMNT'!B:B,'4.CAP_ENDMNT'!H:H,0,0,1)</f>
        <v>4241046406.5999999</v>
      </c>
      <c r="Z654" s="258">
        <f>+_xlfn.XLOOKUP(PROYECTOS[[#This Row],[MUNICIPIO]],'4.CAP_ENDMNT'!B:B,'4.CAP_ENDMNT'!I:I,0,0,1)</f>
        <v>5231304094.6000004</v>
      </c>
      <c r="AA654" s="134">
        <f>+_xlfn.XLOOKUP(PROYECTOS[[#This Row],[MUNICIPIO]],'4.CAP_ENDMNT'!B:B,'4.CAP_ENDMNT'!J:J,0,0,1)</f>
        <v>0.16617535312647125</v>
      </c>
      <c r="AB654" s="258">
        <f>+_xlfn.XLOOKUP(PROYECTOS[[#This Row],[MUNICIPIO]],'4.CAP_ENDMNT'!B:B,'4.CAP_ENDMNT'!K:K,0,0,1)</f>
        <v>26249321619.001503</v>
      </c>
      <c r="AC654" s="258">
        <f>+_xlfn.XLOOKUP(PROYECTOS[[#This Row],[MUNICIPIO]],'4.CAP_ENDMNT'!B:B,'4.CAP_ENDMNT'!L:L,0,0,1)</f>
        <v>20999457295.201202</v>
      </c>
      <c r="AD654" s="258">
        <f>+_xlfn.XLOOKUP(PROYECTOS[[#This Row],[MUNICIPIO]],'4.CAP_ENDMNT'!B:B,'4.CAP_ENDMNT'!M:M,0,0,1)</f>
        <v>15749592971.400902</v>
      </c>
      <c r="AE654" s="134">
        <f>+_xlfn.XLOOKUP(PROYECTOS[[#This Row],[MUNICIPIO]],'4.CAP_ENDMNT'!B:B,'4.CAP_ENDMNT'!N:N,0,0,1)</f>
        <v>0.18929461375074541</v>
      </c>
      <c r="AF654" s="134">
        <f>+_xlfn.XLOOKUP(PROYECTOS[[#This Row],[MUNICIPIO]],'4.CAP_ENDMNT'!B:B,'4.CAP_ENDMNT'!O:O,0,0,1)</f>
        <v>0.57128723877428544</v>
      </c>
      <c r="AG654" s="134">
        <f>+_xlfn.XLOOKUP(PROYECTOS[[#This Row],[MUNICIPIO]],'4.CAP_ENDMNT'!B:B,'4.CAP_ENDMNT'!P:P,0,0,1)</f>
        <v>0.8</v>
      </c>
      <c r="AH654" s="258" t="str">
        <f>+_xlfn.XLOOKUP(PROYECTOS[[#This Row],[MUNICIPIO]],'4.CAP_ENDMNT'!B:B,'4.CAP_ENDMNT'!Q:Q,0,0,1)</f>
        <v>Cumple</v>
      </c>
      <c r="AI654" s="139">
        <f>+_xlfn.XLOOKUP(PROYECTOS[[#This Row],[MUNICIPIO]],'4.CAP_ENDMNT'!B:B,'4.CAP_ENDMNT'!V:V,0,0,1)</f>
        <v>3149918594.2801805</v>
      </c>
      <c r="AJ654" s="139">
        <f>+_xlfn.XLOOKUP(PROYECTOS[[#This Row],[MUNICIPIO]],'4.CAP_ENDMNT'!B:B,'4.CAP_ENDMNT'!Y:Y,0,0,1)</f>
        <v>-159577103574.2489</v>
      </c>
      <c r="AK654"/>
      <c r="AL654"/>
      <c r="AM654"/>
    </row>
    <row r="655" spans="1:39" ht="15" customHeight="1">
      <c r="A655" s="262">
        <v>774</v>
      </c>
      <c r="B655" s="232" t="str">
        <f>+_xlfn.XLOOKUP(PROYECTOS[[#This Row],[ID_NECESIDAD]],'1.RADICADOS'!G:G,'1.RADICADOS'!H:H,0,0,1)</f>
        <v xml:space="preserve">Mejoramiento y recuperación de las condiciones de movilidad entre el valle de Aburra con el valle de San Nicolas a traves de la via vereda San Diego - vereda El Palmar del municipio de Girardota con la vereda El Palmar del municipio de Guarne </v>
      </c>
      <c r="C655" s="118">
        <f>+_xlfn.XLOOKUP(PROYECTOS[[#This Row],[ID_NECESIDAD]],'1.RADICADOS'!G:G,'1.RADICADOS'!C:C,0,0,1)*1</f>
        <v>45925</v>
      </c>
      <c r="D655" s="118" t="str">
        <f>+_xlfn.XLOOKUP(PROYECTOS[[#This Row],[ID_NECESIDAD]],'1.RADICADOS'!G:G,'1.RADICADOS'!F:F,0,0,1)</f>
        <v>Girardota</v>
      </c>
      <c r="E655" s="257" t="str">
        <f>+_xlfn.XLOOKUP(PROYECTOS[[#This Row],[MUNICIPIO]],MUNICIPIOS!A:A,MUNICIPIOS!E:E,0,0,1)</f>
        <v>Valle de Aburrá</v>
      </c>
      <c r="F655" s="257" t="e" cm="1">
        <f t="array" ref="F655">+_xlfn.XLOOKUP(PROYECTOS[[#This Row],[MUNICIPIO]],Table1[Municipio],MUNICIPIOS!F:F,0,0,1)</f>
        <v>#VALUE!</v>
      </c>
      <c r="G655" s="257" t="str">
        <f>+LOOKUP(PROYECTOS[[#This Row],[MUNICIPIO]],Table1[Municipio],Table1[Latitud])</f>
        <v>6,136871</v>
      </c>
      <c r="H655" s="258">
        <f>+LOOKUP(PROYECTOS[[#This Row],[MUNICIPIO]],Table1[Municipio],Table1[PDET])</f>
        <v>0</v>
      </c>
      <c r="I655" s="259">
        <f>+LOOKUP(PROYECTOS[[#This Row],[MUNICIPIO]],Table1[Municipio],Table1[ZOMAC])</f>
        <v>0</v>
      </c>
      <c r="J655" s="260" t="str" cm="1">
        <f t="array" ref="J655">_xlfn.TEXTJOIN(", ", TRUE, IF(radicados[ID PROYECTOS]=A655, radicados[RADICADO], ""))</f>
        <v>2025010512550</v>
      </c>
      <c r="K655" s="242">
        <v>3</v>
      </c>
      <c r="L655" s="212">
        <f>+_xlfn.XLOOKUP(PROYECTOS[[#This Row],[ID_NECESIDAD]],'1.RADICADOS'!G:G,'1.RADICADOS'!J:J,0,0,1)</f>
        <v>13563112347</v>
      </c>
      <c r="M655" s="247" t="s">
        <v>396</v>
      </c>
      <c r="N655" s="241" t="s">
        <v>398</v>
      </c>
      <c r="O655" s="241" t="s">
        <v>25</v>
      </c>
      <c r="P655" s="253" t="s">
        <v>1856</v>
      </c>
      <c r="Q655" s="45"/>
      <c r="R655" s="166"/>
      <c r="S655" s="166"/>
      <c r="T655" s="258">
        <f>+_xlfn.XLOOKUP(PROYECTOS[[#This Row],[MUNICIPIO]],'4.CAP_ENDMNT'!B:B,'4.CAP_ENDMNT'!C:C,0,0,1)</f>
        <v>2</v>
      </c>
      <c r="U655" s="167">
        <f>+_xlfn.XLOOKUP(PROYECTOS[[#This Row],[MUNICIPIO]],'4.CAP_ENDMNT'!B:B,'4.CAP_ENDMNT'!D:D,0,0,1)</f>
        <v>101079829717.10699</v>
      </c>
      <c r="V655" s="258">
        <f>+_xlfn.XLOOKUP(PROYECTOS[[#This Row],[MUNICIPIO]],'4.CAP_ENDMNT'!B:B,'4.CAP_ENDMNT'!E:E,0,0,1)</f>
        <v>35923834396.690002</v>
      </c>
      <c r="W655" s="258">
        <f>+_xlfn.XLOOKUP(PROYECTOS[[#This Row],[MUNICIPIO]],'4.CAP_ENDMNT'!B:B,'4.CAP_ENDMNT'!F:F,0,0,1)</f>
        <v>65155995320.416992</v>
      </c>
      <c r="X655" s="258">
        <f>+_xlfn.XLOOKUP(PROYECTOS[[#This Row],[MUNICIPIO]],'4.CAP_ENDMNT'!B:B,'4.CAP_ENDMNT'!G:G,0,0,1)</f>
        <v>0</v>
      </c>
      <c r="Y655" s="258">
        <f>+_xlfn.XLOOKUP(PROYECTOS[[#This Row],[MUNICIPIO]],'4.CAP_ENDMNT'!B:B,'4.CAP_ENDMNT'!H:H,0,0,1)</f>
        <v>33364035579</v>
      </c>
      <c r="Z655" s="258">
        <f>+_xlfn.XLOOKUP(PROYECTOS[[#This Row],[MUNICIPIO]],'4.CAP_ENDMNT'!B:B,'4.CAP_ENDMNT'!I:I,0,0,1)</f>
        <v>33364035579</v>
      </c>
      <c r="AA655" s="134">
        <f>+_xlfn.XLOOKUP(PROYECTOS[[#This Row],[MUNICIPIO]],'4.CAP_ENDMNT'!B:B,'4.CAP_ENDMNT'!J:J,0,0,1)</f>
        <v>0.33007609601615101</v>
      </c>
      <c r="AB655" s="258">
        <f>+_xlfn.XLOOKUP(PROYECTOS[[#This Row],[MUNICIPIO]],'4.CAP_ENDMNT'!B:B,'4.CAP_ENDMNT'!K:K,0,0,1)</f>
        <v>67715794138.106995</v>
      </c>
      <c r="AC655" s="258">
        <f>+_xlfn.XLOOKUP(PROYECTOS[[#This Row],[MUNICIPIO]],'4.CAP_ENDMNT'!B:B,'4.CAP_ENDMNT'!L:L,0,0,1)</f>
        <v>54172635310.485596</v>
      </c>
      <c r="AD655" s="258">
        <f>+_xlfn.XLOOKUP(PROYECTOS[[#This Row],[MUNICIPIO]],'4.CAP_ENDMNT'!B:B,'4.CAP_ENDMNT'!M:M,0,0,1)</f>
        <v>40629476482.864197</v>
      </c>
      <c r="AE655" s="134">
        <f>+_xlfn.XLOOKUP(PROYECTOS[[#This Row],[MUNICIPIO]],'4.CAP_ENDMNT'!B:B,'4.CAP_ENDMNT'!N:N,0,0,1)</f>
        <v>0</v>
      </c>
      <c r="AF655" s="134">
        <f>+_xlfn.XLOOKUP(PROYECTOS[[#This Row],[MUNICIPIO]],'4.CAP_ENDMNT'!B:B,'4.CAP_ENDMNT'!O:O,0,0,1)</f>
        <v>0.39321465077323631</v>
      </c>
      <c r="AG655" s="134">
        <f>+_xlfn.XLOOKUP(PROYECTOS[[#This Row],[MUNICIPIO]],'4.CAP_ENDMNT'!B:B,'4.CAP_ENDMNT'!P:P,0,0,1)</f>
        <v>0.7</v>
      </c>
      <c r="AH655" s="258" t="str">
        <f>+_xlfn.XLOOKUP(PROYECTOS[[#This Row],[MUNICIPIO]],'4.CAP_ENDMNT'!B:B,'4.CAP_ENDMNT'!Q:Q,0,0,1)</f>
        <v>Cumple</v>
      </c>
      <c r="AI655" s="139">
        <f>+_xlfn.XLOOKUP(PROYECTOS[[#This Row],[MUNICIPIO]],'4.CAP_ENDMNT'!B:B,'4.CAP_ENDMNT'!V:V,0,0,1)</f>
        <v>8125895296.5728397</v>
      </c>
      <c r="AJ655" s="139">
        <f>+_xlfn.XLOOKUP(PROYECTOS[[#This Row],[MUNICIPIO]],'4.CAP_ENDMNT'!B:B,'4.CAP_ENDMNT'!Y:Y,0,0,1)</f>
        <v>-38204944046.562965</v>
      </c>
      <c r="AK655"/>
      <c r="AL655"/>
      <c r="AM655"/>
    </row>
    <row r="656" spans="1:39" ht="15" customHeight="1">
      <c r="A656" s="261">
        <v>775</v>
      </c>
      <c r="B656" s="232" t="str">
        <f>+_xlfn.XLOOKUP(PROYECTOS[[#This Row],[ID_NECESIDAD]],'1.RADICADOS'!G:G,'1.RADICADOS'!H:H,0,0,1)</f>
        <v>SOLICITUD PRESENTACION PROYECTO ADECUACION Y REHABILITACION DE LA VIA YOLOMBAL CIRCUNVALAR GUARNE, PARA LA UNION DEL VALLE DE ABURRA Y EL VALLE DE SAN NICOLAS - GUARNE ( 9 kilometros )</v>
      </c>
      <c r="C656" s="118">
        <f>+_xlfn.XLOOKUP(PROYECTOS[[#This Row],[ID_NECESIDAD]],'1.RADICADOS'!G:G,'1.RADICADOS'!C:C,0,0,1)*1</f>
        <v>45903</v>
      </c>
      <c r="D656" s="118" t="str">
        <f>+_xlfn.XLOOKUP(PROYECTOS[[#This Row],[ID_NECESIDAD]],'1.RADICADOS'!G:G,'1.RADICADOS'!F:F,0,0,1)</f>
        <v>Guarne</v>
      </c>
      <c r="E656" s="257" t="str">
        <f>+_xlfn.XLOOKUP(PROYECTOS[[#This Row],[MUNICIPIO]],MUNICIPIOS!A:A,MUNICIPIOS!E:E,0,0,1)</f>
        <v>Oriente</v>
      </c>
      <c r="F656" s="257" t="e" cm="1">
        <f t="array" ref="F656">+_xlfn.XLOOKUP(PROYECTOS[[#This Row],[MUNICIPIO]],Table1[Municipio],MUNICIPIOS!F:F,0,0,1)</f>
        <v>#VALUE!</v>
      </c>
      <c r="G656" s="257" t="str">
        <f>+LOOKUP(PROYECTOS[[#This Row],[MUNICIPIO]],Table1[Municipio],Table1[Latitud])</f>
        <v>6,27787</v>
      </c>
      <c r="H656" s="258">
        <f>+LOOKUP(PROYECTOS[[#This Row],[MUNICIPIO]],Table1[Municipio],Table1[PDET])</f>
        <v>0</v>
      </c>
      <c r="I656" s="259">
        <f>+LOOKUP(PROYECTOS[[#This Row],[MUNICIPIO]],Table1[Municipio],Table1[ZOMAC])</f>
        <v>0</v>
      </c>
      <c r="J656" s="260" t="str" cm="1">
        <f t="array" ref="J656">_xlfn.TEXTJOIN(", ", TRUE, IF(radicados[ID PROYECTOS]=A656, radicados[RADICADO], ""))</f>
        <v>2025010461477</v>
      </c>
      <c r="K656" s="240">
        <v>3</v>
      </c>
      <c r="L656" s="212">
        <f>+_xlfn.XLOOKUP(PROYECTOS[[#This Row],[ID_NECESIDAD]],'1.RADICADOS'!G:G,'1.RADICADOS'!J:J,0,0,1)</f>
        <v>39344331848</v>
      </c>
      <c r="M656" s="246" t="s">
        <v>396</v>
      </c>
      <c r="N656" s="205" t="s">
        <v>397</v>
      </c>
      <c r="O656" s="205" t="s">
        <v>56</v>
      </c>
      <c r="P656" s="266" t="s">
        <v>1857</v>
      </c>
      <c r="Q656" s="45"/>
      <c r="R656" s="166"/>
      <c r="S656" s="166"/>
      <c r="T656" s="258">
        <f>+_xlfn.XLOOKUP(PROYECTOS[[#This Row],[MUNICIPIO]],'4.CAP_ENDMNT'!B:B,'4.CAP_ENDMNT'!C:C,0,0,1)</f>
        <v>2</v>
      </c>
      <c r="U656" s="167">
        <f>+_xlfn.XLOOKUP(PROYECTOS[[#This Row],[MUNICIPIO]],'4.CAP_ENDMNT'!B:B,'4.CAP_ENDMNT'!D:D,0,0,1)</f>
        <v>94297942873.182495</v>
      </c>
      <c r="V656" s="258">
        <f>+_xlfn.XLOOKUP(PROYECTOS[[#This Row],[MUNICIPIO]],'4.CAP_ENDMNT'!B:B,'4.CAP_ENDMNT'!E:E,0,0,1)</f>
        <v>31502477356.16</v>
      </c>
      <c r="W656" s="258">
        <f>+_xlfn.XLOOKUP(PROYECTOS[[#This Row],[MUNICIPIO]],'4.CAP_ENDMNT'!B:B,'4.CAP_ENDMNT'!F:F,0,0,1)</f>
        <v>62795465517.022491</v>
      </c>
      <c r="X656" s="258">
        <f>+_xlfn.XLOOKUP(PROYECTOS[[#This Row],[MUNICIPIO]],'4.CAP_ENDMNT'!B:B,'4.CAP_ENDMNT'!G:G,0,0,1)</f>
        <v>12269275368</v>
      </c>
      <c r="Y656" s="258">
        <f>+_xlfn.XLOOKUP(PROYECTOS[[#This Row],[MUNICIPIO]],'4.CAP_ENDMNT'!B:B,'4.CAP_ENDMNT'!H:H,0,0,1)</f>
        <v>1587282296.6800001</v>
      </c>
      <c r="Z656" s="258">
        <f>+_xlfn.XLOOKUP(PROYECTOS[[#This Row],[MUNICIPIO]],'4.CAP_ENDMNT'!B:B,'4.CAP_ENDMNT'!I:I,0,0,1)</f>
        <v>13856557664.68</v>
      </c>
      <c r="AA656" s="134">
        <f>+_xlfn.XLOOKUP(PROYECTOS[[#This Row],[MUNICIPIO]],'4.CAP_ENDMNT'!B:B,'4.CAP_ENDMNT'!J:J,0,0,1)</f>
        <v>0.14694443211041333</v>
      </c>
      <c r="AB656" s="258">
        <f>+_xlfn.XLOOKUP(PROYECTOS[[#This Row],[MUNICIPIO]],'4.CAP_ENDMNT'!B:B,'4.CAP_ENDMNT'!K:K,0,0,1)</f>
        <v>80441385208.502502</v>
      </c>
      <c r="AC656" s="258">
        <f>+_xlfn.XLOOKUP(PROYECTOS[[#This Row],[MUNICIPIO]],'4.CAP_ENDMNT'!B:B,'4.CAP_ENDMNT'!L:L,0,0,1)</f>
        <v>64353108166.802002</v>
      </c>
      <c r="AD656" s="258">
        <f>+_xlfn.XLOOKUP(PROYECTOS[[#This Row],[MUNICIPIO]],'4.CAP_ENDMNT'!B:B,'4.CAP_ENDMNT'!M:M,0,0,1)</f>
        <v>48264831125.101501</v>
      </c>
      <c r="AE656" s="134">
        <f>+_xlfn.XLOOKUP(PROYECTOS[[#This Row],[MUNICIPIO]],'4.CAP_ENDMNT'!B:B,'4.CAP_ENDMNT'!N:N,0,0,1)</f>
        <v>0.88544901734678727</v>
      </c>
      <c r="AF656" s="134">
        <f>+_xlfn.XLOOKUP(PROYECTOS[[#This Row],[MUNICIPIO]],'4.CAP_ENDMNT'!B:B,'4.CAP_ENDMNT'!O:O,0,0,1)</f>
        <v>0.32613717500698253</v>
      </c>
      <c r="AG656" s="134">
        <f>+_xlfn.XLOOKUP(PROYECTOS[[#This Row],[MUNICIPIO]],'4.CAP_ENDMNT'!B:B,'4.CAP_ENDMNT'!P:P,0,0,1)</f>
        <v>0.7</v>
      </c>
      <c r="AH656" s="258" t="str">
        <f>+_xlfn.XLOOKUP(PROYECTOS[[#This Row],[MUNICIPIO]],'4.CAP_ENDMNT'!B:B,'4.CAP_ENDMNT'!Q:Q,0,0,1)</f>
        <v>Cumple</v>
      </c>
      <c r="AI656" s="139">
        <f>+_xlfn.XLOOKUP(PROYECTOS[[#This Row],[MUNICIPIO]],'4.CAP_ENDMNT'!B:B,'4.CAP_ENDMNT'!V:V,0,0,1)</f>
        <v>9652966225.0202999</v>
      </c>
      <c r="AJ656" s="139">
        <f>+_xlfn.XLOOKUP(PROYECTOS[[#This Row],[MUNICIPIO]],'4.CAP_ENDMNT'!B:B,'4.CAP_ENDMNT'!Y:Y,0,0,1)</f>
        <v>-17638221041.878197</v>
      </c>
      <c r="AK656"/>
      <c r="AL656"/>
      <c r="AM656"/>
    </row>
    <row r="657" spans="1:39" ht="15" customHeight="1">
      <c r="A657" s="262">
        <v>776</v>
      </c>
      <c r="B657" s="232" t="str">
        <f>+_xlfn.XLOOKUP(PROYECTOS[[#This Row],[ID_NECESIDAD]],'1.RADICADOS'!G:G,'1.RADICADOS'!H:H,0,0,1)</f>
        <v>PRESENTACION PROYECTO PAVIMENTACION UN (1) KILOMETRO DEL PASO URBANO DEL MUNICIPIO DE GRANADA ANTIOQUIA</v>
      </c>
      <c r="C657" s="118">
        <f>+_xlfn.XLOOKUP(PROYECTOS[[#This Row],[ID_NECESIDAD]],'1.RADICADOS'!G:G,'1.RADICADOS'!C:C,0,0,1)*1</f>
        <v>45937</v>
      </c>
      <c r="D657" s="118" t="str">
        <f>+_xlfn.XLOOKUP(PROYECTOS[[#This Row],[ID_NECESIDAD]],'1.RADICADOS'!G:G,'1.RADICADOS'!F:F,0,0,1)</f>
        <v>Granada</v>
      </c>
      <c r="E657" s="257" t="str">
        <f>+_xlfn.XLOOKUP(PROYECTOS[[#This Row],[MUNICIPIO]],MUNICIPIOS!A:A,MUNICIPIOS!E:E,0,0,1)</f>
        <v>Oriente</v>
      </c>
      <c r="F657" s="257" t="e" cm="1">
        <f t="array" ref="F657">+_xlfn.XLOOKUP(PROYECTOS[[#This Row],[MUNICIPIO]],Table1[Municipio],MUNICIPIOS!F:F,0,0,1)</f>
        <v>#VALUE!</v>
      </c>
      <c r="G657" s="257" t="str">
        <f>+LOOKUP(PROYECTOS[[#This Row],[MUNICIPIO]],Table1[Municipio],Table1[Latitud])</f>
        <v>6,142892</v>
      </c>
      <c r="H657" s="258">
        <f>+LOOKUP(PROYECTOS[[#This Row],[MUNICIPIO]],Table1[Municipio],Table1[PDET])</f>
        <v>0</v>
      </c>
      <c r="I657" s="259">
        <f>+LOOKUP(PROYECTOS[[#This Row],[MUNICIPIO]],Table1[Municipio],Table1[ZOMAC])</f>
        <v>1</v>
      </c>
      <c r="J657" s="260" t="str" cm="1">
        <f t="array" ref="J657">_xlfn.TEXTJOIN(", ", TRUE, IF(radicados[ID PROYECTOS]=A657, radicados[RADICADO], ""))</f>
        <v>2025010537944</v>
      </c>
      <c r="K657" s="242">
        <v>2</v>
      </c>
      <c r="L657" s="212"/>
      <c r="M657" s="247" t="s">
        <v>396</v>
      </c>
      <c r="N657" s="241" t="s">
        <v>394</v>
      </c>
      <c r="O657" s="241" t="s">
        <v>40</v>
      </c>
      <c r="P657" s="253" t="s">
        <v>1858</v>
      </c>
      <c r="Q657" s="45"/>
      <c r="R657" s="166"/>
      <c r="S657" s="166"/>
      <c r="T657" s="258">
        <f>+_xlfn.XLOOKUP(PROYECTOS[[#This Row],[MUNICIPIO]],'4.CAP_ENDMNT'!B:B,'4.CAP_ENDMNT'!C:C,0,0,1)</f>
        <v>6</v>
      </c>
      <c r="U657" s="167">
        <f>+_xlfn.XLOOKUP(PROYECTOS[[#This Row],[MUNICIPIO]],'4.CAP_ENDMNT'!B:B,'4.CAP_ENDMNT'!D:D,0,0,1)</f>
        <v>9100976268.0305004</v>
      </c>
      <c r="V657" s="258">
        <f>+_xlfn.XLOOKUP(PROYECTOS[[#This Row],[MUNICIPIO]],'4.CAP_ENDMNT'!B:B,'4.CAP_ENDMNT'!E:E,0,0,1)</f>
        <v>3221460794.1700001</v>
      </c>
      <c r="W657" s="258">
        <f>+_xlfn.XLOOKUP(PROYECTOS[[#This Row],[MUNICIPIO]],'4.CAP_ENDMNT'!B:B,'4.CAP_ENDMNT'!F:F,0,0,1)</f>
        <v>5879515473.8605003</v>
      </c>
      <c r="X657" s="258">
        <f>+_xlfn.XLOOKUP(PROYECTOS[[#This Row],[MUNICIPIO]],'4.CAP_ENDMNT'!B:B,'4.CAP_ENDMNT'!G:G,0,0,1)</f>
        <v>1026722956</v>
      </c>
      <c r="Y657" s="258">
        <f>+_xlfn.XLOOKUP(PROYECTOS[[#This Row],[MUNICIPIO]],'4.CAP_ENDMNT'!B:B,'4.CAP_ENDMNT'!H:H,0,0,1)</f>
        <v>190000000</v>
      </c>
      <c r="Z657" s="258">
        <f>+_xlfn.XLOOKUP(PROYECTOS[[#This Row],[MUNICIPIO]],'4.CAP_ENDMNT'!B:B,'4.CAP_ENDMNT'!I:I,0,0,1)</f>
        <v>1216722956</v>
      </c>
      <c r="AA657" s="134">
        <f>+_xlfn.XLOOKUP(PROYECTOS[[#This Row],[MUNICIPIO]],'4.CAP_ENDMNT'!B:B,'4.CAP_ENDMNT'!J:J,0,0,1)</f>
        <v>0.13369147662477152</v>
      </c>
      <c r="AB657" s="258">
        <f>+_xlfn.XLOOKUP(PROYECTOS[[#This Row],[MUNICIPIO]],'4.CAP_ENDMNT'!B:B,'4.CAP_ENDMNT'!K:K,0,0,1)</f>
        <v>7884253312.0305004</v>
      </c>
      <c r="AC657" s="258">
        <f>+_xlfn.XLOOKUP(PROYECTOS[[#This Row],[MUNICIPIO]],'4.CAP_ENDMNT'!B:B,'4.CAP_ENDMNT'!L:L,0,0,1)</f>
        <v>6307402649.6244011</v>
      </c>
      <c r="AD657" s="258">
        <f>+_xlfn.XLOOKUP(PROYECTOS[[#This Row],[MUNICIPIO]],'4.CAP_ENDMNT'!B:B,'4.CAP_ENDMNT'!M:M,0,0,1)</f>
        <v>4730551987.2182999</v>
      </c>
      <c r="AE657" s="134">
        <f>+_xlfn.XLOOKUP(PROYECTOS[[#This Row],[MUNICIPIO]],'4.CAP_ENDMNT'!B:B,'4.CAP_ENDMNT'!N:N,0,0,1)</f>
        <v>0.84384284108140062</v>
      </c>
      <c r="AF657" s="134">
        <f>+_xlfn.XLOOKUP(PROYECTOS[[#This Row],[MUNICIPIO]],'4.CAP_ENDMNT'!B:B,'4.CAP_ENDMNT'!O:O,0,0,1)</f>
        <v>0.65864601932480682</v>
      </c>
      <c r="AG657" s="134">
        <f>+_xlfn.XLOOKUP(PROYECTOS[[#This Row],[MUNICIPIO]],'4.CAP_ENDMNT'!B:B,'4.CAP_ENDMNT'!P:P,0,0,1)</f>
        <v>0.8</v>
      </c>
      <c r="AH657" s="258" t="str">
        <f>+_xlfn.XLOOKUP(PROYECTOS[[#This Row],[MUNICIPIO]],'4.CAP_ENDMNT'!B:B,'4.CAP_ENDMNT'!Q:Q,0,0,1)</f>
        <v>Cumple</v>
      </c>
      <c r="AI657" s="139">
        <f>+_xlfn.XLOOKUP(PROYECTOS[[#This Row],[MUNICIPIO]],'4.CAP_ENDMNT'!B:B,'4.CAP_ENDMNT'!V:V,0,0,1)</f>
        <v>946110397.44366002</v>
      </c>
      <c r="AJ657" s="139">
        <f>+_xlfn.XLOOKUP(PROYECTOS[[#This Row],[MUNICIPIO]],'4.CAP_ENDMNT'!B:B,'4.CAP_ENDMNT'!Y:Y,0,0,1)</f>
        <v>-37054965217.338043</v>
      </c>
      <c r="AK657"/>
      <c r="AL657"/>
      <c r="AM657"/>
    </row>
    <row r="658" spans="1:39" ht="15" customHeight="1">
      <c r="A658" s="261">
        <v>777</v>
      </c>
      <c r="B658" s="232" t="str">
        <f>+_xlfn.XLOOKUP(PROYECTOS[[#This Row],[ID_NECESIDAD]],'1.RADICADOS'!G:G,'1.RADICADOS'!H:H,0,0,1)</f>
        <v>Solicitud apoyo construccion puente en la via Circunvalar</v>
      </c>
      <c r="C658" s="118">
        <f>+_xlfn.XLOOKUP(PROYECTOS[[#This Row],[ID_NECESIDAD]],'1.RADICADOS'!G:G,'1.RADICADOS'!C:C,0,0,1)*1</f>
        <v>45916</v>
      </c>
      <c r="D658" s="118" t="str">
        <f>+_xlfn.XLOOKUP(PROYECTOS[[#This Row],[ID_NECESIDAD]],'1.RADICADOS'!G:G,'1.RADICADOS'!F:F,0,0,1)</f>
        <v>La Ceja</v>
      </c>
      <c r="E658" s="257" t="str">
        <f>+_xlfn.XLOOKUP(PROYECTOS[[#This Row],[MUNICIPIO]],MUNICIPIOS!A:A,MUNICIPIOS!E:E,0,0,1)</f>
        <v>Oriente</v>
      </c>
      <c r="F658" s="257" t="e" cm="1">
        <f t="array" ref="F658">+_xlfn.XLOOKUP(PROYECTOS[[#This Row],[MUNICIPIO]],Table1[Municipio],MUNICIPIOS!F:F,0,0,1)</f>
        <v>#VALUE!</v>
      </c>
      <c r="G658" s="257" t="str">
        <f>+LOOKUP(PROYECTOS[[#This Row],[MUNICIPIO]],Table1[Municipio],Table1[Latitud])</f>
        <v>6,028062</v>
      </c>
      <c r="H658" s="258">
        <f>+LOOKUP(PROYECTOS[[#This Row],[MUNICIPIO]],Table1[Municipio],Table1[PDET])</f>
        <v>0</v>
      </c>
      <c r="I658" s="259">
        <f>+LOOKUP(PROYECTOS[[#This Row],[MUNICIPIO]],Table1[Municipio],Table1[ZOMAC])</f>
        <v>0</v>
      </c>
      <c r="J658" s="260" t="str" cm="1">
        <f t="array" ref="J658">_xlfn.TEXTJOIN(", ", TRUE, IF(radicados[ID PROYECTOS]=A658, radicados[RADICADO], ""))</f>
        <v>2025010491474, 2025010491477, 2025010491507, 2025010492903</v>
      </c>
      <c r="K658" s="240">
        <v>2</v>
      </c>
      <c r="L658" s="212">
        <f>+_xlfn.XLOOKUP(PROYECTOS[[#This Row],[ID_NECESIDAD]],'1.RADICADOS'!G:G,'1.RADICADOS'!J:J,0,0,1)</f>
        <v>1109081947</v>
      </c>
      <c r="M658" s="246" t="s">
        <v>435</v>
      </c>
      <c r="N658" s="205" t="s">
        <v>394</v>
      </c>
      <c r="O658" s="205" t="s">
        <v>18</v>
      </c>
      <c r="P658" s="266" t="s">
        <v>1859</v>
      </c>
      <c r="Q658" s="45"/>
      <c r="R658" s="166"/>
      <c r="S658" s="166"/>
      <c r="T658" s="258">
        <f>+_xlfn.XLOOKUP(PROYECTOS[[#This Row],[MUNICIPIO]],'4.CAP_ENDMNT'!B:B,'4.CAP_ENDMNT'!C:C,0,0,1)</f>
        <v>2</v>
      </c>
      <c r="U658" s="167">
        <f>+_xlfn.XLOOKUP(PROYECTOS[[#This Row],[MUNICIPIO]],'4.CAP_ENDMNT'!B:B,'4.CAP_ENDMNT'!D:D,0,0,1)</f>
        <v>102691614388.099</v>
      </c>
      <c r="V658" s="258">
        <f>+_xlfn.XLOOKUP(PROYECTOS[[#This Row],[MUNICIPIO]],'4.CAP_ENDMNT'!B:B,'4.CAP_ENDMNT'!E:E,0,0,1)</f>
        <v>29123622287.32</v>
      </c>
      <c r="W658" s="258">
        <f>+_xlfn.XLOOKUP(PROYECTOS[[#This Row],[MUNICIPIO]],'4.CAP_ENDMNT'!B:B,'4.CAP_ENDMNT'!F:F,0,0,1)</f>
        <v>73567992100.778992</v>
      </c>
      <c r="X658" s="258">
        <f>+_xlfn.XLOOKUP(PROYECTOS[[#This Row],[MUNICIPIO]],'4.CAP_ENDMNT'!B:B,'4.CAP_ENDMNT'!G:G,0,0,1)</f>
        <v>5166195556</v>
      </c>
      <c r="Y658" s="258">
        <f>+_xlfn.XLOOKUP(PROYECTOS[[#This Row],[MUNICIPIO]],'4.CAP_ENDMNT'!B:B,'4.CAP_ENDMNT'!H:H,0,0,1)</f>
        <v>27283390599</v>
      </c>
      <c r="Z658" s="258">
        <f>+_xlfn.XLOOKUP(PROYECTOS[[#This Row],[MUNICIPIO]],'4.CAP_ENDMNT'!B:B,'4.CAP_ENDMNT'!I:I,0,0,1)</f>
        <v>32449586155</v>
      </c>
      <c r="AA658" s="134">
        <f>+_xlfn.XLOOKUP(PROYECTOS[[#This Row],[MUNICIPIO]],'4.CAP_ENDMNT'!B:B,'4.CAP_ENDMNT'!J:J,0,0,1)</f>
        <v>0.3159906127521217</v>
      </c>
      <c r="AB658" s="258">
        <f>+_xlfn.XLOOKUP(PROYECTOS[[#This Row],[MUNICIPIO]],'4.CAP_ENDMNT'!B:B,'4.CAP_ENDMNT'!K:K,0,0,1)</f>
        <v>70242028233.098999</v>
      </c>
      <c r="AC658" s="258">
        <f>+_xlfn.XLOOKUP(PROYECTOS[[#This Row],[MUNICIPIO]],'4.CAP_ENDMNT'!B:B,'4.CAP_ENDMNT'!L:L,0,0,1)</f>
        <v>56193622586.479202</v>
      </c>
      <c r="AD658" s="258">
        <f>+_xlfn.XLOOKUP(PROYECTOS[[#This Row],[MUNICIPIO]],'4.CAP_ENDMNT'!B:B,'4.CAP_ENDMNT'!M:M,0,0,1)</f>
        <v>42145216939.859398</v>
      </c>
      <c r="AE658" s="134">
        <f>+_xlfn.XLOOKUP(PROYECTOS[[#This Row],[MUNICIPIO]],'4.CAP_ENDMNT'!B:B,'4.CAP_ENDMNT'!N:N,0,0,1)</f>
        <v>0.15920682412783146</v>
      </c>
      <c r="AF658" s="134">
        <f>+_xlfn.XLOOKUP(PROYECTOS[[#This Row],[MUNICIPIO]],'4.CAP_ENDMNT'!B:B,'4.CAP_ENDMNT'!O:O,0,0,1)</f>
        <v>0.28977187660096981</v>
      </c>
      <c r="AG658" s="134">
        <f>+_xlfn.XLOOKUP(PROYECTOS[[#This Row],[MUNICIPIO]],'4.CAP_ENDMNT'!B:B,'4.CAP_ENDMNT'!P:P,0,0,1)</f>
        <v>0.7</v>
      </c>
      <c r="AH658" s="258" t="str">
        <f>+_xlfn.XLOOKUP(PROYECTOS[[#This Row],[MUNICIPIO]],'4.CAP_ENDMNT'!B:B,'4.CAP_ENDMNT'!Q:Q,0,0,1)</f>
        <v>Cumple</v>
      </c>
      <c r="AI658" s="139">
        <f>+_xlfn.XLOOKUP(PROYECTOS[[#This Row],[MUNICIPIO]],'4.CAP_ENDMNT'!B:B,'4.CAP_ENDMNT'!V:V,0,0,1)</f>
        <v>8429043387.97188</v>
      </c>
      <c r="AJ658" s="139">
        <f>+_xlfn.XLOOKUP(PROYECTOS[[#This Row],[MUNICIPIO]],'4.CAP_ENDMNT'!B:B,'4.CAP_ENDMNT'!Y:Y,0,0,1)</f>
        <v>45609749252.831276</v>
      </c>
      <c r="AK658"/>
      <c r="AL658"/>
      <c r="AM658"/>
    </row>
    <row r="659" spans="1:39" ht="15" customHeight="1">
      <c r="A659" s="262">
        <v>778</v>
      </c>
      <c r="B659" s="232" t="str">
        <f>+_xlfn.XLOOKUP(PROYECTOS[[#This Row],[ID_NECESIDAD]],'1.RADICADOS'!G:G,'1.RADICADOS'!H:H,0,0,1)</f>
        <v>Copia informe visita tecnica via Valle de Toledo - Buena Vista (PAP) (0510VT31)</v>
      </c>
      <c r="C659" s="118">
        <f>+_xlfn.XLOOKUP(PROYECTOS[[#This Row],[ID_NECESIDAD]],'1.RADICADOS'!G:G,'1.RADICADOS'!C:C,0,0,1)*1</f>
        <v>45917</v>
      </c>
      <c r="D659" s="118" t="str">
        <f>+_xlfn.XLOOKUP(PROYECTOS[[#This Row],[ID_NECESIDAD]],'1.RADICADOS'!G:G,'1.RADICADOS'!F:F,0,0,1)</f>
        <v>Briceño</v>
      </c>
      <c r="E659" s="257" t="str">
        <f>+_xlfn.XLOOKUP(PROYECTOS[[#This Row],[MUNICIPIO]],MUNICIPIOS!A:A,MUNICIPIOS!E:E,0,0,1)</f>
        <v>Norte</v>
      </c>
      <c r="F659" s="257" t="e" cm="1">
        <f t="array" ref="F659">+_xlfn.XLOOKUP(PROYECTOS[[#This Row],[MUNICIPIO]],Table1[Municipio],MUNICIPIOS!F:F,0,0,1)</f>
        <v>#VALUE!</v>
      </c>
      <c r="G659" s="257" t="str">
        <f>+LOOKUP(PROYECTOS[[#This Row],[MUNICIPIO]],Table1[Municipio],Table1[Latitud])</f>
        <v>7,074703</v>
      </c>
      <c r="H659" s="258">
        <f>+LOOKUP(PROYECTOS[[#This Row],[MUNICIPIO]],Table1[Municipio],Table1[PDET])</f>
        <v>1</v>
      </c>
      <c r="I659" s="259">
        <f>+LOOKUP(PROYECTOS[[#This Row],[MUNICIPIO]],Table1[Municipio],Table1[ZOMAC])</f>
        <v>1</v>
      </c>
      <c r="J659" s="260" t="str" cm="1">
        <f t="array" ref="J659">_xlfn.TEXTJOIN(", ", TRUE, IF(radicados[ID PROYECTOS]=A659, radicados[RADICADO], ""))</f>
        <v>2025010449129</v>
      </c>
      <c r="K659" s="242">
        <v>1</v>
      </c>
      <c r="L659" s="212"/>
      <c r="M659" s="247" t="s">
        <v>407</v>
      </c>
      <c r="N659" s="241" t="s">
        <v>398</v>
      </c>
      <c r="O659" s="241" t="s">
        <v>25</v>
      </c>
      <c r="P659" s="253" t="s">
        <v>1862</v>
      </c>
      <c r="Q659" s="45"/>
      <c r="R659" s="166"/>
      <c r="S659" s="166"/>
      <c r="T659" s="258">
        <f>+_xlfn.XLOOKUP(PROYECTOS[[#This Row],[MUNICIPIO]],'4.CAP_ENDMNT'!B:B,'4.CAP_ENDMNT'!C:C,0,0,1)</f>
        <v>6</v>
      </c>
      <c r="U659" s="167">
        <f>+_xlfn.XLOOKUP(PROYECTOS[[#This Row],[MUNICIPIO]],'4.CAP_ENDMNT'!B:B,'4.CAP_ENDMNT'!D:D,0,0,1)</f>
        <v>15936675551.976999</v>
      </c>
      <c r="V659" s="258">
        <f>+_xlfn.XLOOKUP(PROYECTOS[[#This Row],[MUNICIPIO]],'4.CAP_ENDMNT'!B:B,'4.CAP_ENDMNT'!E:E,0,0,1)</f>
        <v>6355203503.6700001</v>
      </c>
      <c r="W659" s="258">
        <f>+_xlfn.XLOOKUP(PROYECTOS[[#This Row],[MUNICIPIO]],'4.CAP_ENDMNT'!B:B,'4.CAP_ENDMNT'!F:F,0,0,1)</f>
        <v>9581472048.3069992</v>
      </c>
      <c r="X659" s="258">
        <f>+_xlfn.XLOOKUP(PROYECTOS[[#This Row],[MUNICIPIO]],'4.CAP_ENDMNT'!B:B,'4.CAP_ENDMNT'!G:G,0,0,1)</f>
        <v>166905356.59</v>
      </c>
      <c r="Y659" s="258">
        <f>+_xlfn.XLOOKUP(PROYECTOS[[#This Row],[MUNICIPIO]],'4.CAP_ENDMNT'!B:B,'4.CAP_ENDMNT'!H:H,0,0,1)</f>
        <v>5064590198</v>
      </c>
      <c r="Z659" s="258">
        <f>+_xlfn.XLOOKUP(PROYECTOS[[#This Row],[MUNICIPIO]],'4.CAP_ENDMNT'!B:B,'4.CAP_ENDMNT'!I:I,0,0,1)</f>
        <v>5231495554.5900002</v>
      </c>
      <c r="AA659" s="134">
        <f>+_xlfn.XLOOKUP(PROYECTOS[[#This Row],[MUNICIPIO]],'4.CAP_ENDMNT'!B:B,'4.CAP_ENDMNT'!J:J,0,0,1)</f>
        <v>0.32826768277534613</v>
      </c>
      <c r="AB659" s="258">
        <f>+_xlfn.XLOOKUP(PROYECTOS[[#This Row],[MUNICIPIO]],'4.CAP_ENDMNT'!B:B,'4.CAP_ENDMNT'!K:K,0,0,1)</f>
        <v>10705179997.386999</v>
      </c>
      <c r="AC659" s="258">
        <f>+_xlfn.XLOOKUP(PROYECTOS[[#This Row],[MUNICIPIO]],'4.CAP_ENDMNT'!B:B,'4.CAP_ENDMNT'!L:L,0,0,1)</f>
        <v>8564143997.9095993</v>
      </c>
      <c r="AD659" s="258">
        <f>+_xlfn.XLOOKUP(PROYECTOS[[#This Row],[MUNICIPIO]],'4.CAP_ENDMNT'!B:B,'4.CAP_ENDMNT'!M:M,0,0,1)</f>
        <v>6423107998.4321995</v>
      </c>
      <c r="AE659" s="134">
        <f>+_xlfn.XLOOKUP(PROYECTOS[[#This Row],[MUNICIPIO]],'4.CAP_ENDMNT'!B:B,'4.CAP_ENDMNT'!N:N,0,0,1)</f>
        <v>3.1903946939907245E-2</v>
      </c>
      <c r="AF659" s="134">
        <f>+_xlfn.XLOOKUP(PROYECTOS[[#This Row],[MUNICIPIO]],'4.CAP_ENDMNT'!B:B,'4.CAP_ENDMNT'!O:O,0,0,1)</f>
        <v>0.65192157878949775</v>
      </c>
      <c r="AG659" s="134">
        <f>+_xlfn.XLOOKUP(PROYECTOS[[#This Row],[MUNICIPIO]],'4.CAP_ENDMNT'!B:B,'4.CAP_ENDMNT'!P:P,0,0,1)</f>
        <v>0.8</v>
      </c>
      <c r="AH659" s="258" t="str">
        <f>+_xlfn.XLOOKUP(PROYECTOS[[#This Row],[MUNICIPIO]],'4.CAP_ENDMNT'!B:B,'4.CAP_ENDMNT'!Q:Q,0,0,1)</f>
        <v>Cumple</v>
      </c>
      <c r="AI659" s="139">
        <f>+_xlfn.XLOOKUP(PROYECTOS[[#This Row],[MUNICIPIO]],'4.CAP_ENDMNT'!B:B,'4.CAP_ENDMNT'!V:V,0,0,1)</f>
        <v>1284621599.68644</v>
      </c>
      <c r="AJ659" s="139">
        <f>+_xlfn.XLOOKUP(PROYECTOS[[#This Row],[MUNICIPIO]],'4.CAP_ENDMNT'!B:B,'4.CAP_ENDMNT'!Y:Y,0,0,1)</f>
        <v>-1198654643.881361</v>
      </c>
      <c r="AK659"/>
      <c r="AL659"/>
      <c r="AM659"/>
    </row>
    <row r="660" spans="1:39" ht="15" customHeight="1">
      <c r="A660" s="261">
        <v>779</v>
      </c>
      <c r="B660" s="232" t="str">
        <f>+_xlfn.XLOOKUP(PROYECTOS[[#This Row],[ID_NECESIDAD]],'1.RADICADOS'!G:G,'1.RADICADOS'!H:H,0,0,1)</f>
        <v>Solicitud apoyo por colapso de puente vereda Belen (via no codificada)</v>
      </c>
      <c r="C660" s="118">
        <f>+_xlfn.XLOOKUP(PROYECTOS[[#This Row],[ID_NECESIDAD]],'1.RADICADOS'!G:G,'1.RADICADOS'!C:C,0,0,1)*1</f>
        <v>45936</v>
      </c>
      <c r="D660" s="118" t="str">
        <f>+_xlfn.XLOOKUP(PROYECTOS[[#This Row],[ID_NECESIDAD]],'1.RADICADOS'!G:G,'1.RADICADOS'!F:F,0,0,1)</f>
        <v>Remedios</v>
      </c>
      <c r="E660" s="257" t="str">
        <f>+_xlfn.XLOOKUP(PROYECTOS[[#This Row],[MUNICIPIO]],MUNICIPIOS!A:A,MUNICIPIOS!E:E,0,0,1)</f>
        <v>Nordeste</v>
      </c>
      <c r="F660" s="257" t="e" cm="1">
        <f t="array" ref="F660">+_xlfn.XLOOKUP(PROYECTOS[[#This Row],[MUNICIPIO]],Table1[Municipio],MUNICIPIOS!F:F,0,0,1)</f>
        <v>#VALUE!</v>
      </c>
      <c r="G660" s="257" t="str">
        <f>+LOOKUP(PROYECTOS[[#This Row],[MUNICIPIO]],Table1[Municipio],Table1[Latitud])</f>
        <v>6,246631</v>
      </c>
      <c r="H660" s="258">
        <f>+LOOKUP(PROYECTOS[[#This Row],[MUNICIPIO]],Table1[Municipio],Table1[PDET])</f>
        <v>0</v>
      </c>
      <c r="I660" s="259">
        <f>+LOOKUP(PROYECTOS[[#This Row],[MUNICIPIO]],Table1[Municipio],Table1[ZOMAC])</f>
        <v>0</v>
      </c>
      <c r="J660" s="260" t="str" cm="1">
        <f t="array" ref="J660">_xlfn.TEXTJOIN(", ", TRUE, IF(radicados[ID PROYECTOS]=A660, radicados[RADICADO], ""))</f>
        <v>2025010533929</v>
      </c>
      <c r="K660" s="240">
        <v>1</v>
      </c>
      <c r="L660" s="212"/>
      <c r="M660" s="246" t="s">
        <v>435</v>
      </c>
      <c r="N660" s="205" t="s">
        <v>398</v>
      </c>
      <c r="O660" s="205" t="s">
        <v>25</v>
      </c>
      <c r="P660" s="266" t="s">
        <v>1863</v>
      </c>
      <c r="Q660" s="45"/>
      <c r="R660" s="166"/>
      <c r="S660" s="166"/>
      <c r="T660" s="258">
        <f>+_xlfn.XLOOKUP(PROYECTOS[[#This Row],[MUNICIPIO]],'4.CAP_ENDMNT'!B:B,'4.CAP_ENDMNT'!C:C,0,0,1)</f>
        <v>6</v>
      </c>
      <c r="U660" s="167">
        <f>+_xlfn.XLOOKUP(PROYECTOS[[#This Row],[MUNICIPIO]],'4.CAP_ENDMNT'!B:B,'4.CAP_ENDMNT'!D:D,0,0,1)</f>
        <v>31836256303.883995</v>
      </c>
      <c r="V660" s="258">
        <f>+_xlfn.XLOOKUP(PROYECTOS[[#This Row],[MUNICIPIO]],'4.CAP_ENDMNT'!B:B,'4.CAP_ENDMNT'!E:E,0,0,1)</f>
        <v>12586903103.25</v>
      </c>
      <c r="W660" s="258">
        <f>+_xlfn.XLOOKUP(PROYECTOS[[#This Row],[MUNICIPIO]],'4.CAP_ENDMNT'!B:B,'4.CAP_ENDMNT'!F:F,0,0,1)</f>
        <v>19249353200.633995</v>
      </c>
      <c r="X660" s="258">
        <f>+_xlfn.XLOOKUP(PROYECTOS[[#This Row],[MUNICIPIO]],'4.CAP_ENDMNT'!B:B,'4.CAP_ENDMNT'!G:G,0,0,1)</f>
        <v>0</v>
      </c>
      <c r="Y660" s="258">
        <f>+_xlfn.XLOOKUP(PROYECTOS[[#This Row],[MUNICIPIO]],'4.CAP_ENDMNT'!B:B,'4.CAP_ENDMNT'!H:H,0,0,1)</f>
        <v>0</v>
      </c>
      <c r="Z660" s="258">
        <f>+_xlfn.XLOOKUP(PROYECTOS[[#This Row],[MUNICIPIO]],'4.CAP_ENDMNT'!B:B,'4.CAP_ENDMNT'!I:I,0,0,1)</f>
        <v>0</v>
      </c>
      <c r="AA660" s="134">
        <f>+_xlfn.XLOOKUP(PROYECTOS[[#This Row],[MUNICIPIO]],'4.CAP_ENDMNT'!B:B,'4.CAP_ENDMNT'!J:J,0,0,1)</f>
        <v>0</v>
      </c>
      <c r="AB660" s="258">
        <f>+_xlfn.XLOOKUP(PROYECTOS[[#This Row],[MUNICIPIO]],'4.CAP_ENDMNT'!B:B,'4.CAP_ENDMNT'!K:K,0,0,1)</f>
        <v>31836256303.883995</v>
      </c>
      <c r="AC660" s="258">
        <f>+_xlfn.XLOOKUP(PROYECTOS[[#This Row],[MUNICIPIO]],'4.CAP_ENDMNT'!B:B,'4.CAP_ENDMNT'!L:L,0,0,1)</f>
        <v>25469005043.107197</v>
      </c>
      <c r="AD660" s="258">
        <f>+_xlfn.XLOOKUP(PROYECTOS[[#This Row],[MUNICIPIO]],'4.CAP_ENDMNT'!B:B,'4.CAP_ENDMNT'!M:M,0,0,1)</f>
        <v>19101753782.330395</v>
      </c>
      <c r="AE660" s="134">
        <f>+_xlfn.XLOOKUP(PROYECTOS[[#This Row],[MUNICIPIO]],'4.CAP_ENDMNT'!B:B,'4.CAP_ENDMNT'!N:N,0,0,1)</f>
        <v>0</v>
      </c>
      <c r="AF660" s="134">
        <f>+_xlfn.XLOOKUP(PROYECTOS[[#This Row],[MUNICIPIO]],'4.CAP_ENDMNT'!B:B,'4.CAP_ENDMNT'!O:O,0,0,1)</f>
        <v>1.3391267531682534</v>
      </c>
      <c r="AG660" s="134">
        <f>+_xlfn.XLOOKUP(PROYECTOS[[#This Row],[MUNICIPIO]],'4.CAP_ENDMNT'!B:B,'4.CAP_ENDMNT'!P:P,0,0,1)</f>
        <v>0.8</v>
      </c>
      <c r="AH660" s="258" t="str">
        <f>+_xlfn.XLOOKUP(PROYECTOS[[#This Row],[MUNICIPIO]],'4.CAP_ENDMNT'!B:B,'4.CAP_ENDMNT'!Q:Q,0,0,1)</f>
        <v>Incumple</v>
      </c>
      <c r="AI660" s="139">
        <f>+_xlfn.XLOOKUP(PROYECTOS[[#This Row],[MUNICIPIO]],'4.CAP_ENDMNT'!B:B,'4.CAP_ENDMNT'!V:V,0,0,1)</f>
        <v>3820350756.4660792</v>
      </c>
      <c r="AJ660" s="139">
        <f>+_xlfn.XLOOKUP(PROYECTOS[[#This Row],[MUNICIPIO]],'4.CAP_ENDMNT'!B:B,'4.CAP_ENDMNT'!Y:Y,0,0,1)</f>
        <v>20085989687.796474</v>
      </c>
      <c r="AK660"/>
      <c r="AL660"/>
      <c r="AM660"/>
    </row>
    <row r="661" spans="1:39" ht="15" customHeight="1">
      <c r="A661" s="262">
        <v>780</v>
      </c>
      <c r="B661" s="232" t="str">
        <f>+_xlfn.XLOOKUP(PROYECTOS[[#This Row],[ID_NECESIDAD]],'1.RADICADOS'!G:G,'1.RADICADOS'!H:H,0,0,1)</f>
        <v>Radicacion proyecto construccion puente variante Danta L14 B 5</v>
      </c>
      <c r="C661" s="118">
        <f>+_xlfn.XLOOKUP(PROYECTOS[[#This Row],[ID_NECESIDAD]],'1.RADICADOS'!G:G,'1.RADICADOS'!C:C,0,0,1)*1</f>
        <v>45937</v>
      </c>
      <c r="D661" s="118" t="str">
        <f>+_xlfn.XLOOKUP(PROYECTOS[[#This Row],[ID_NECESIDAD]],'1.RADICADOS'!G:G,'1.RADICADOS'!F:F,0,0,1)</f>
        <v>Sonsón</v>
      </c>
      <c r="E661" s="257" t="str">
        <f>+_xlfn.XLOOKUP(PROYECTOS[[#This Row],[MUNICIPIO]],MUNICIPIOS!A:A,MUNICIPIOS!E:E,0,0,1)</f>
        <v>Oriente</v>
      </c>
      <c r="F661" s="257" t="e" cm="1">
        <f t="array" ref="F661">+_xlfn.XLOOKUP(PROYECTOS[[#This Row],[MUNICIPIO]],Table1[Municipio],MUNICIPIOS!F:F,0,0,1)</f>
        <v>#VALUE!</v>
      </c>
      <c r="G661" s="257" t="str">
        <f>+LOOKUP(PROYECTOS[[#This Row],[MUNICIPIO]],Table1[Municipio],Table1[Latitud])</f>
        <v>6,149903</v>
      </c>
      <c r="H661" s="258">
        <f>+LOOKUP(PROYECTOS[[#This Row],[MUNICIPIO]],Table1[Municipio],Table1[PDET])</f>
        <v>0</v>
      </c>
      <c r="I661" s="259">
        <f>+LOOKUP(PROYECTOS[[#This Row],[MUNICIPIO]],Table1[Municipio],Table1[ZOMAC])</f>
        <v>0</v>
      </c>
      <c r="J661" s="260" t="str" cm="1">
        <f t="array" ref="J661">_xlfn.TEXTJOIN(", ", TRUE, IF(radicados[ID PROYECTOS]=A661, radicados[RADICADO], ""))</f>
        <v>2025010537938</v>
      </c>
      <c r="K661" s="242">
        <v>3</v>
      </c>
      <c r="L661" s="212">
        <f>+_xlfn.XLOOKUP(PROYECTOS[[#This Row],[ID_NECESIDAD]],'1.RADICADOS'!G:G,'1.RADICADOS'!J:J,0,0,1)</f>
        <v>1387808198</v>
      </c>
      <c r="M661" s="247" t="s">
        <v>435</v>
      </c>
      <c r="N661" s="241" t="s">
        <v>398</v>
      </c>
      <c r="O661" s="241" t="s">
        <v>25</v>
      </c>
      <c r="P661" s="253" t="s">
        <v>1864</v>
      </c>
      <c r="Q661" s="45"/>
      <c r="R661" s="166"/>
      <c r="S661" s="166"/>
      <c r="T661" s="258">
        <f>+_xlfn.XLOOKUP(PROYECTOS[[#This Row],[MUNICIPIO]],'4.CAP_ENDMNT'!B:B,'4.CAP_ENDMNT'!C:C,0,0,1)</f>
        <v>5</v>
      </c>
      <c r="U661" s="167">
        <f>+_xlfn.XLOOKUP(PROYECTOS[[#This Row],[MUNICIPIO]],'4.CAP_ENDMNT'!B:B,'4.CAP_ENDMNT'!D:D,0,0,1)</f>
        <v>35695767669.016502</v>
      </c>
      <c r="V661" s="258">
        <f>+_xlfn.XLOOKUP(PROYECTOS[[#This Row],[MUNICIPIO]],'4.CAP_ENDMNT'!B:B,'4.CAP_ENDMNT'!E:E,0,0,1)</f>
        <v>13532488388.23</v>
      </c>
      <c r="W661" s="258">
        <f>+_xlfn.XLOOKUP(PROYECTOS[[#This Row],[MUNICIPIO]],'4.CAP_ENDMNT'!B:B,'4.CAP_ENDMNT'!F:F,0,0,1)</f>
        <v>22163279280.786503</v>
      </c>
      <c r="X661" s="258">
        <f>+_xlfn.XLOOKUP(PROYECTOS[[#This Row],[MUNICIPIO]],'4.CAP_ENDMNT'!B:B,'4.CAP_ENDMNT'!G:G,0,0,1)</f>
        <v>1067761948</v>
      </c>
      <c r="Y661" s="258">
        <f>+_xlfn.XLOOKUP(PROYECTOS[[#This Row],[MUNICIPIO]],'4.CAP_ENDMNT'!B:B,'4.CAP_ENDMNT'!H:H,0,0,1)</f>
        <v>4932032890</v>
      </c>
      <c r="Z661" s="258">
        <f>+_xlfn.XLOOKUP(PROYECTOS[[#This Row],[MUNICIPIO]],'4.CAP_ENDMNT'!B:B,'4.CAP_ENDMNT'!I:I,0,0,1)</f>
        <v>5999794838</v>
      </c>
      <c r="AA661" s="134">
        <f>+_xlfn.XLOOKUP(PROYECTOS[[#This Row],[MUNICIPIO]],'4.CAP_ENDMNT'!B:B,'4.CAP_ENDMNT'!J:J,0,0,1)</f>
        <v>0.16808140655867587</v>
      </c>
      <c r="AB661" s="258">
        <f>+_xlfn.XLOOKUP(PROYECTOS[[#This Row],[MUNICIPIO]],'4.CAP_ENDMNT'!B:B,'4.CAP_ENDMNT'!K:K,0,0,1)</f>
        <v>29695972831.016502</v>
      </c>
      <c r="AC661" s="258">
        <f>+_xlfn.XLOOKUP(PROYECTOS[[#This Row],[MUNICIPIO]],'4.CAP_ENDMNT'!B:B,'4.CAP_ENDMNT'!L:L,0,0,1)</f>
        <v>23756778264.813202</v>
      </c>
      <c r="AD661" s="258">
        <f>+_xlfn.XLOOKUP(PROYECTOS[[#This Row],[MUNICIPIO]],'4.CAP_ENDMNT'!B:B,'4.CAP_ENDMNT'!M:M,0,0,1)</f>
        <v>17817583698.609901</v>
      </c>
      <c r="AE661" s="134">
        <f>+_xlfn.XLOOKUP(PROYECTOS[[#This Row],[MUNICIPIO]],'4.CAP_ENDMNT'!B:B,'4.CAP_ENDMNT'!N:N,0,0,1)</f>
        <v>0.17796640999076777</v>
      </c>
      <c r="AF661" s="134">
        <f>+_xlfn.XLOOKUP(PROYECTOS[[#This Row],[MUNICIPIO]],'4.CAP_ENDMNT'!B:B,'4.CAP_ENDMNT'!O:O,0,0,1)</f>
        <v>0.4016729815979605</v>
      </c>
      <c r="AG661" s="134">
        <f>+_xlfn.XLOOKUP(PROYECTOS[[#This Row],[MUNICIPIO]],'4.CAP_ENDMNT'!B:B,'4.CAP_ENDMNT'!P:P,0,0,1)</f>
        <v>0.8</v>
      </c>
      <c r="AH661" s="258" t="str">
        <f>+_xlfn.XLOOKUP(PROYECTOS[[#This Row],[MUNICIPIO]],'4.CAP_ENDMNT'!B:B,'4.CAP_ENDMNT'!Q:Q,0,0,1)</f>
        <v>Cumple</v>
      </c>
      <c r="AI661" s="139">
        <f>+_xlfn.XLOOKUP(PROYECTOS[[#This Row],[MUNICIPIO]],'4.CAP_ENDMNT'!B:B,'4.CAP_ENDMNT'!V:V,0,0,1)</f>
        <v>3563516739.7219806</v>
      </c>
      <c r="AJ661" s="139">
        <f>+_xlfn.XLOOKUP(PROYECTOS[[#This Row],[MUNICIPIO]],'4.CAP_ENDMNT'!B:B,'4.CAP_ENDMNT'!Y:Y,0,0,1)</f>
        <v>-46557238264.668121</v>
      </c>
      <c r="AK661"/>
      <c r="AL661"/>
      <c r="AM661"/>
    </row>
    <row r="662" spans="1:39" ht="15" customHeight="1">
      <c r="A662" s="262">
        <v>781</v>
      </c>
      <c r="B662" s="232" t="str">
        <f>+_xlfn.XLOOKUP(PROYECTOS[[#This Row],[ID_NECESIDAD]],'1.RADICADOS'!G:G,'1.RADICADOS'!H:H,0,0,1)</f>
        <v>Remision proyecto puente quebrada Gibraltar  05364VT89 L 25 B 5,30</v>
      </c>
      <c r="C662" s="118">
        <f>+_xlfn.XLOOKUP(PROYECTOS[[#This Row],[ID_NECESIDAD]],'1.RADICADOS'!G:G,'1.RADICADOS'!C:C,0,0,1)*1</f>
        <v>45944</v>
      </c>
      <c r="D662" s="118" t="str">
        <f>+_xlfn.XLOOKUP(PROYECTOS[[#This Row],[ID_NECESIDAD]],'1.RADICADOS'!G:G,'1.RADICADOS'!F:F,0,0,1)</f>
        <v>Jardín</v>
      </c>
      <c r="E662" s="257" t="str">
        <f>+_xlfn.XLOOKUP(PROYECTOS[[#This Row],[MUNICIPIO]],MUNICIPIOS!A:A,MUNICIPIOS!E:E,0,0,1)</f>
        <v>Suroeste</v>
      </c>
      <c r="F662" s="257" t="e" cm="1">
        <f t="array" ref="F662">+_xlfn.XLOOKUP(PROYECTOS[[#This Row],[MUNICIPIO]],Table1[Municipio],MUNICIPIOS!F:F,0,0,1)</f>
        <v>#VALUE!</v>
      </c>
      <c r="G662" s="257" t="str">
        <f>+LOOKUP(PROYECTOS[[#This Row],[MUNICIPIO]],Table1[Municipio],Table1[Latitud])</f>
        <v>6,232461</v>
      </c>
      <c r="H662" s="258">
        <f>+LOOKUP(PROYECTOS[[#This Row],[MUNICIPIO]],Table1[Municipio],Table1[PDET])</f>
        <v>0</v>
      </c>
      <c r="I662" s="259">
        <f>+LOOKUP(PROYECTOS[[#This Row],[MUNICIPIO]],Table1[Municipio],Table1[ZOMAC])</f>
        <v>0</v>
      </c>
      <c r="J662" s="260" t="str" cm="1">
        <f t="array" ref="J662">_xlfn.TEXTJOIN(", ", TRUE, IF(radicados[ID PROYECTOS]=A662, radicados[RADICADO], ""))</f>
        <v>2025010551391</v>
      </c>
      <c r="K662" s="240">
        <v>3</v>
      </c>
      <c r="L662" s="212">
        <f>+_xlfn.XLOOKUP(PROYECTOS[[#This Row],[ID_NECESIDAD]],'1.RADICADOS'!G:G,'1.RADICADOS'!J:J,0,0,1)</f>
        <v>1555323415</v>
      </c>
      <c r="M662" s="246" t="s">
        <v>435</v>
      </c>
      <c r="N662" s="205" t="s">
        <v>398</v>
      </c>
      <c r="O662" s="205" t="s">
        <v>25</v>
      </c>
      <c r="P662" s="246" t="s">
        <v>1903</v>
      </c>
      <c r="Q662" s="45"/>
      <c r="R662" s="166"/>
      <c r="S662" s="166"/>
      <c r="T662" s="258">
        <f>+_xlfn.XLOOKUP(PROYECTOS[[#This Row],[MUNICIPIO]],'4.CAP_ENDMNT'!B:B,'4.CAP_ENDMNT'!C:C,0,0,1)</f>
        <v>6</v>
      </c>
      <c r="U662" s="167">
        <f>+_xlfn.XLOOKUP(PROYECTOS[[#This Row],[MUNICIPIO]],'4.CAP_ENDMNT'!B:B,'4.CAP_ENDMNT'!D:D,0,0,1)</f>
        <v>14419744847.987999</v>
      </c>
      <c r="V662" s="258">
        <f>+_xlfn.XLOOKUP(PROYECTOS[[#This Row],[MUNICIPIO]],'4.CAP_ENDMNT'!B:B,'4.CAP_ENDMNT'!E:E,0,0,1)</f>
        <v>4888479181.79</v>
      </c>
      <c r="W662" s="258">
        <f>+_xlfn.XLOOKUP(PROYECTOS[[#This Row],[MUNICIPIO]],'4.CAP_ENDMNT'!B:B,'4.CAP_ENDMNT'!F:F,0,0,1)</f>
        <v>9531265666.197998</v>
      </c>
      <c r="X662" s="258">
        <f>+_xlfn.XLOOKUP(PROYECTOS[[#This Row],[MUNICIPIO]],'4.CAP_ENDMNT'!B:B,'4.CAP_ENDMNT'!G:G,0,0,1)</f>
        <v>0</v>
      </c>
      <c r="Y662" s="258">
        <f>+_xlfn.XLOOKUP(PROYECTOS[[#This Row],[MUNICIPIO]],'4.CAP_ENDMNT'!B:B,'4.CAP_ENDMNT'!H:H,0,0,1)</f>
        <v>0</v>
      </c>
      <c r="Z662" s="258">
        <f>+_xlfn.XLOOKUP(PROYECTOS[[#This Row],[MUNICIPIO]],'4.CAP_ENDMNT'!B:B,'4.CAP_ENDMNT'!I:I,0,0,1)</f>
        <v>0</v>
      </c>
      <c r="AA662" s="134">
        <f>+_xlfn.XLOOKUP(PROYECTOS[[#This Row],[MUNICIPIO]],'4.CAP_ENDMNT'!B:B,'4.CAP_ENDMNT'!J:J,0,0,1)</f>
        <v>0</v>
      </c>
      <c r="AB662" s="258">
        <f>+_xlfn.XLOOKUP(PROYECTOS[[#This Row],[MUNICIPIO]],'4.CAP_ENDMNT'!B:B,'4.CAP_ENDMNT'!K:K,0,0,1)</f>
        <v>14419744847.987999</v>
      </c>
      <c r="AC662" s="258">
        <f>+_xlfn.XLOOKUP(PROYECTOS[[#This Row],[MUNICIPIO]],'4.CAP_ENDMNT'!B:B,'4.CAP_ENDMNT'!L:L,0,0,1)</f>
        <v>11535795878.3904</v>
      </c>
      <c r="AD662" s="258">
        <f>+_xlfn.XLOOKUP(PROYECTOS[[#This Row],[MUNICIPIO]],'4.CAP_ENDMNT'!B:B,'4.CAP_ENDMNT'!M:M,0,0,1)</f>
        <v>8651846908.792799</v>
      </c>
      <c r="AE662" s="134">
        <f>+_xlfn.XLOOKUP(PROYECTOS[[#This Row],[MUNICIPIO]],'4.CAP_ENDMNT'!B:B,'4.CAP_ENDMNT'!N:N,0,0,1)</f>
        <v>0</v>
      </c>
      <c r="AF662" s="134">
        <f>+_xlfn.XLOOKUP(PROYECTOS[[#This Row],[MUNICIPIO]],'4.CAP_ENDMNT'!B:B,'4.CAP_ENDMNT'!O:O,0,0,1)</f>
        <v>0.45738888558733654</v>
      </c>
      <c r="AG662" s="134">
        <f>+_xlfn.XLOOKUP(PROYECTOS[[#This Row],[MUNICIPIO]],'4.CAP_ENDMNT'!B:B,'4.CAP_ENDMNT'!P:P,0,0,1)</f>
        <v>0.8</v>
      </c>
      <c r="AH662" s="258" t="str">
        <f>+_xlfn.XLOOKUP(PROYECTOS[[#This Row],[MUNICIPIO]],'4.CAP_ENDMNT'!B:B,'4.CAP_ENDMNT'!Q:Q,0,0,1)</f>
        <v>Cumple</v>
      </c>
      <c r="AI662" s="139">
        <f>+_xlfn.XLOOKUP(PROYECTOS[[#This Row],[MUNICIPIO]],'4.CAP_ENDMNT'!B:B,'4.CAP_ENDMNT'!V:V,0,0,1)</f>
        <v>1730369381.7585599</v>
      </c>
      <c r="AJ662" s="139">
        <f>+_xlfn.XLOOKUP(PROYECTOS[[#This Row],[MUNICIPIO]],'4.CAP_ENDMNT'!B:B,'4.CAP_ENDMNT'!Y:Y,0,0,1)</f>
        <v>7792173252.5513592</v>
      </c>
      <c r="AK662"/>
      <c r="AL662"/>
      <c r="AM662"/>
    </row>
    <row r="663" spans="1:39" ht="15" customHeight="1">
      <c r="A663" s="262">
        <v>782</v>
      </c>
      <c r="B663" s="232" t="str">
        <f>+_xlfn.XLOOKUP(PROYECTOS[[#This Row],[ID_NECESIDAD]],'1.RADICADOS'!G:G,'1.RADICADOS'!H:H,0,0,1)</f>
        <v>MEJORAMIENTO DE VÍAS URBANAS EN PAVIMENTO RÍGIDO EN ZONAS URBANAS DE LOS MUNICIPIOS DELIBORINA, SABANALARGA, ANTIOQUIA</v>
      </c>
      <c r="C663" s="118">
        <f>+_xlfn.XLOOKUP(PROYECTOS[[#This Row],[ID_NECESIDAD]],'1.RADICADOS'!G:G,'1.RADICADOS'!C:C,0,0,1)*1</f>
        <v>45936</v>
      </c>
      <c r="D663" s="118" t="str">
        <f>+_xlfn.XLOOKUP(PROYECTOS[[#This Row],[ID_NECESIDAD]],'1.RADICADOS'!G:G,'1.RADICADOS'!F:F,0,0,1)</f>
        <v>Liborina</v>
      </c>
      <c r="E663" s="257" t="str">
        <f>+_xlfn.XLOOKUP(PROYECTOS[[#This Row],[MUNICIPIO]],MUNICIPIOS!A:A,MUNICIPIOS!E:E,0,0,1)</f>
        <v>Occidente</v>
      </c>
      <c r="F663" s="257" t="e" cm="1">
        <f t="array" ref="F663">+_xlfn.XLOOKUP(PROYECTOS[[#This Row],[MUNICIPIO]],Table1[Municipio],MUNICIPIOS!F:F,0,0,1)</f>
        <v>#VALUE!</v>
      </c>
      <c r="G663" s="257" t="str">
        <f>+LOOKUP(PROYECTOS[[#This Row],[MUNICIPIO]],Table1[Municipio],Table1[Latitud])</f>
        <v>5,743808</v>
      </c>
      <c r="H663" s="258">
        <f>+LOOKUP(PROYECTOS[[#This Row],[MUNICIPIO]],Table1[Municipio],Table1[PDET])</f>
        <v>0</v>
      </c>
      <c r="I663" s="259">
        <f>+LOOKUP(PROYECTOS[[#This Row],[MUNICIPIO]],Table1[Municipio],Table1[ZOMAC])</f>
        <v>0</v>
      </c>
      <c r="J663" s="260" t="str" cm="1">
        <f t="array" ref="J663">_xlfn.TEXTJOIN(", ", TRUE, IF(radicados[ID PROYECTOS]=A663, radicados[RADICADO], ""))</f>
        <v>2025010534062</v>
      </c>
      <c r="K663" s="242">
        <v>3</v>
      </c>
      <c r="L663" s="212">
        <f>+_xlfn.XLOOKUP(PROYECTOS[[#This Row],[ID_NECESIDAD]],'1.RADICADOS'!G:G,'1.RADICADOS'!J:J,0,0,1)</f>
        <v>1812499772</v>
      </c>
      <c r="M663" s="247" t="s">
        <v>396</v>
      </c>
      <c r="N663" s="241" t="s">
        <v>394</v>
      </c>
      <c r="O663" s="40" t="s">
        <v>18</v>
      </c>
      <c r="P663" s="247" t="s">
        <v>1904</v>
      </c>
      <c r="Q663" s="45"/>
      <c r="R663" s="166"/>
      <c r="S663" s="166"/>
      <c r="T663" s="258">
        <f>+_xlfn.XLOOKUP(PROYECTOS[[#This Row],[MUNICIPIO]],'4.CAP_ENDMNT'!B:B,'4.CAP_ENDMNT'!C:C,0,0,1)</f>
        <v>6</v>
      </c>
      <c r="U663" s="167">
        <f>+_xlfn.XLOOKUP(PROYECTOS[[#This Row],[MUNICIPIO]],'4.CAP_ENDMNT'!B:B,'4.CAP_ENDMNT'!D:D,0,0,1)</f>
        <v>8030428413.9210014</v>
      </c>
      <c r="V663" s="258">
        <f>+_xlfn.XLOOKUP(PROYECTOS[[#This Row],[MUNICIPIO]],'4.CAP_ENDMNT'!B:B,'4.CAP_ENDMNT'!E:E,0,0,1)</f>
        <v>3080588699.4500003</v>
      </c>
      <c r="W663" s="258">
        <f>+_xlfn.XLOOKUP(PROYECTOS[[#This Row],[MUNICIPIO]],'4.CAP_ENDMNT'!B:B,'4.CAP_ENDMNT'!F:F,0,0,1)</f>
        <v>4949839714.4710007</v>
      </c>
      <c r="X663" s="258">
        <f>+_xlfn.XLOOKUP(PROYECTOS[[#This Row],[MUNICIPIO]],'4.CAP_ENDMNT'!B:B,'4.CAP_ENDMNT'!G:G,0,0,1)</f>
        <v>1577607418.01</v>
      </c>
      <c r="Y663" s="258">
        <f>+_xlfn.XLOOKUP(PROYECTOS[[#This Row],[MUNICIPIO]],'4.CAP_ENDMNT'!B:B,'4.CAP_ENDMNT'!H:H,0,0,1)</f>
        <v>1800000000</v>
      </c>
      <c r="Z663" s="258">
        <f>+_xlfn.XLOOKUP(PROYECTOS[[#This Row],[MUNICIPIO]],'4.CAP_ENDMNT'!B:B,'4.CAP_ENDMNT'!I:I,0,0,1)</f>
        <v>3377607418.0100002</v>
      </c>
      <c r="AA663" s="134">
        <f>+_xlfn.XLOOKUP(PROYECTOS[[#This Row],[MUNICIPIO]],'4.CAP_ENDMNT'!B:B,'4.CAP_ENDMNT'!J:J,0,0,1)</f>
        <v>0.42060114901900014</v>
      </c>
      <c r="AB663" s="258">
        <f>+_xlfn.XLOOKUP(PROYECTOS[[#This Row],[MUNICIPIO]],'4.CAP_ENDMNT'!B:B,'4.CAP_ENDMNT'!K:K,0,0,1)</f>
        <v>4652820995.9110012</v>
      </c>
      <c r="AC663" s="258">
        <f>+_xlfn.XLOOKUP(PROYECTOS[[#This Row],[MUNICIPIO]],'4.CAP_ENDMNT'!B:B,'4.CAP_ENDMNT'!L:L,0,0,1)</f>
        <v>3722256796.7288013</v>
      </c>
      <c r="AD663" s="258">
        <f>+_xlfn.XLOOKUP(PROYECTOS[[#This Row],[MUNICIPIO]],'4.CAP_ENDMNT'!B:B,'4.CAP_ENDMNT'!M:M,0,0,1)</f>
        <v>2791692597.5466008</v>
      </c>
      <c r="AE663" s="134">
        <f>+_xlfn.XLOOKUP(PROYECTOS[[#This Row],[MUNICIPIO]],'4.CAP_ENDMNT'!B:B,'4.CAP_ENDMNT'!N:N,0,0,1)</f>
        <v>0.46707838501239612</v>
      </c>
      <c r="AF663" s="134">
        <f>+_xlfn.XLOOKUP(PROYECTOS[[#This Row],[MUNICIPIO]],'4.CAP_ENDMNT'!B:B,'4.CAP_ENDMNT'!O:O,0,0,1)</f>
        <v>0.73590701114566914</v>
      </c>
      <c r="AG663" s="134">
        <f>+_xlfn.XLOOKUP(PROYECTOS[[#This Row],[MUNICIPIO]],'4.CAP_ENDMNT'!B:B,'4.CAP_ENDMNT'!P:P,0,0,1)</f>
        <v>0.8</v>
      </c>
      <c r="AH663" s="258" t="str">
        <f>+_xlfn.XLOOKUP(PROYECTOS[[#This Row],[MUNICIPIO]],'4.CAP_ENDMNT'!B:B,'4.CAP_ENDMNT'!Q:Q,0,0,1)</f>
        <v>Cumple</v>
      </c>
      <c r="AI663" s="139">
        <f>+_xlfn.XLOOKUP(PROYECTOS[[#This Row],[MUNICIPIO]],'4.CAP_ENDMNT'!B:B,'4.CAP_ENDMNT'!V:V,0,0,1)</f>
        <v>558338519.50932014</v>
      </c>
      <c r="AJ663" s="139">
        <f>+_xlfn.XLOOKUP(PROYECTOS[[#This Row],[MUNICIPIO]],'4.CAP_ENDMNT'!B:B,'4.CAP_ENDMNT'!Y:Y,0,0,1)</f>
        <v>-4580433251.9440784</v>
      </c>
      <c r="AK663"/>
      <c r="AL663"/>
      <c r="AM663"/>
    </row>
    <row r="664" spans="1:39" ht="15" customHeight="1">
      <c r="A664" s="262">
        <v>783</v>
      </c>
      <c r="B664" s="232" t="str">
        <f>+_xlfn.XLOOKUP(PROYECTOS[[#This Row],[ID_NECESIDAD]],'1.RADICADOS'!G:G,'1.RADICADOS'!H:H,0,0,1)</f>
        <v>MEJORAMIENTO DE VÍAS URBANAS EN PAVIMENTO RÍGIDO EN ZONAS URBANAS DE LOS MUNICIPIOS DE LIBORINA, SABANALARGA, ANTIOQUIA</v>
      </c>
      <c r="C664" s="118">
        <f>+_xlfn.XLOOKUP(PROYECTOS[[#This Row],[ID_NECESIDAD]],'1.RADICADOS'!G:G,'1.RADICADOS'!C:C,0,0,1)*1</f>
        <v>45936</v>
      </c>
      <c r="D664" s="118" t="str">
        <f>+_xlfn.XLOOKUP(PROYECTOS[[#This Row],[ID_NECESIDAD]],'1.RADICADOS'!G:G,'1.RADICADOS'!F:F,0,0,1)</f>
        <v>Sabanalarga</v>
      </c>
      <c r="E664" s="257" t="str">
        <f>+_xlfn.XLOOKUP(PROYECTOS[[#This Row],[MUNICIPIO]],MUNICIPIOS!A:A,MUNICIPIOS!E:E,0,0,1)</f>
        <v>Occidente</v>
      </c>
      <c r="F664" s="257" t="e" cm="1">
        <f t="array" ref="F664">+_xlfn.XLOOKUP(PROYECTOS[[#This Row],[MUNICIPIO]],Table1[Municipio],MUNICIPIOS!F:F,0,0,1)</f>
        <v>#VALUE!</v>
      </c>
      <c r="G664" s="257" t="str">
        <f>+LOOKUP(PROYECTOS[[#This Row],[MUNICIPIO]],Table1[Municipio],Table1[Latitud])</f>
        <v>6,246631</v>
      </c>
      <c r="H664" s="258">
        <f>+LOOKUP(PROYECTOS[[#This Row],[MUNICIPIO]],Table1[Municipio],Table1[PDET])</f>
        <v>0</v>
      </c>
      <c r="I664" s="259">
        <f>+LOOKUP(PROYECTOS[[#This Row],[MUNICIPIO]],Table1[Municipio],Table1[ZOMAC])</f>
        <v>0</v>
      </c>
      <c r="J664" s="260" t="str" cm="1">
        <f t="array" ref="J664">_xlfn.TEXTJOIN(", ", TRUE, IF(radicados[ID PROYECTOS]=A664, radicados[RADICADO], ""))</f>
        <v>2025010534062</v>
      </c>
      <c r="K664" s="240">
        <v>3</v>
      </c>
      <c r="L664" s="212">
        <f>+_xlfn.XLOOKUP(PROYECTOS[[#This Row],[ID_NECESIDAD]],'1.RADICADOS'!G:G,'1.RADICADOS'!J:J,0,0,1)</f>
        <v>2452519742</v>
      </c>
      <c r="M664" s="246" t="s">
        <v>396</v>
      </c>
      <c r="N664" s="205" t="s">
        <v>394</v>
      </c>
      <c r="O664" s="40" t="s">
        <v>18</v>
      </c>
      <c r="P664" s="246" t="s">
        <v>1905</v>
      </c>
      <c r="Q664" s="45"/>
      <c r="R664" s="166"/>
      <c r="S664" s="166"/>
      <c r="T664" s="258">
        <f>+_xlfn.XLOOKUP(PROYECTOS[[#This Row],[MUNICIPIO]],'4.CAP_ENDMNT'!B:B,'4.CAP_ENDMNT'!C:C,0,0,1)</f>
        <v>6</v>
      </c>
      <c r="U664" s="167">
        <f>+_xlfn.XLOOKUP(PROYECTOS[[#This Row],[MUNICIPIO]],'4.CAP_ENDMNT'!B:B,'4.CAP_ENDMNT'!D:D,0,0,1)</f>
        <v>14810352113.535</v>
      </c>
      <c r="V664" s="258">
        <f>+_xlfn.XLOOKUP(PROYECTOS[[#This Row],[MUNICIPIO]],'4.CAP_ENDMNT'!B:B,'4.CAP_ENDMNT'!E:E,0,0,1)</f>
        <v>3480047239.2000003</v>
      </c>
      <c r="W664" s="258">
        <f>+_xlfn.XLOOKUP(PROYECTOS[[#This Row],[MUNICIPIO]],'4.CAP_ENDMNT'!B:B,'4.CAP_ENDMNT'!F:F,0,0,1)</f>
        <v>11330304874.334999</v>
      </c>
      <c r="X664" s="258">
        <f>+_xlfn.XLOOKUP(PROYECTOS[[#This Row],[MUNICIPIO]],'4.CAP_ENDMNT'!B:B,'4.CAP_ENDMNT'!G:G,0,0,1)</f>
        <v>2077277075</v>
      </c>
      <c r="Y664" s="258">
        <f>+_xlfn.XLOOKUP(PROYECTOS[[#This Row],[MUNICIPIO]],'4.CAP_ENDMNT'!B:B,'4.CAP_ENDMNT'!H:H,0,0,1)</f>
        <v>0</v>
      </c>
      <c r="Z664" s="258">
        <f>+_xlfn.XLOOKUP(PROYECTOS[[#This Row],[MUNICIPIO]],'4.CAP_ENDMNT'!B:B,'4.CAP_ENDMNT'!I:I,0,0,1)</f>
        <v>2077277075</v>
      </c>
      <c r="AA664" s="134">
        <f>+_xlfn.XLOOKUP(PROYECTOS[[#This Row],[MUNICIPIO]],'4.CAP_ENDMNT'!B:B,'4.CAP_ENDMNT'!J:J,0,0,1)</f>
        <v>0.1402584529439784</v>
      </c>
      <c r="AB664" s="258">
        <f>+_xlfn.XLOOKUP(PROYECTOS[[#This Row],[MUNICIPIO]],'4.CAP_ENDMNT'!B:B,'4.CAP_ENDMNT'!K:K,0,0,1)</f>
        <v>12733075038.535</v>
      </c>
      <c r="AC664" s="258">
        <f>+_xlfn.XLOOKUP(PROYECTOS[[#This Row],[MUNICIPIO]],'4.CAP_ENDMNT'!B:B,'4.CAP_ENDMNT'!L:L,0,0,1)</f>
        <v>10186460030.828001</v>
      </c>
      <c r="AD664" s="258">
        <f>+_xlfn.XLOOKUP(PROYECTOS[[#This Row],[MUNICIPIO]],'4.CAP_ENDMNT'!B:B,'4.CAP_ENDMNT'!M:M,0,0,1)</f>
        <v>7639845023.1209993</v>
      </c>
      <c r="AE664" s="134">
        <f>+_xlfn.XLOOKUP(PROYECTOS[[#This Row],[MUNICIPIO]],'4.CAP_ENDMNT'!B:B,'4.CAP_ENDMNT'!N:N,0,0,1)</f>
        <v>1</v>
      </c>
      <c r="AF664" s="134">
        <f>+_xlfn.XLOOKUP(PROYECTOS[[#This Row],[MUNICIPIO]],'4.CAP_ENDMNT'!B:B,'4.CAP_ENDMNT'!O:O,0,0,1)</f>
        <v>0.71063823778658097</v>
      </c>
      <c r="AG664" s="134">
        <f>+_xlfn.XLOOKUP(PROYECTOS[[#This Row],[MUNICIPIO]],'4.CAP_ENDMNT'!B:B,'4.CAP_ENDMNT'!P:P,0,0,1)</f>
        <v>0.8</v>
      </c>
      <c r="AH664" s="258" t="str">
        <f>+_xlfn.XLOOKUP(PROYECTOS[[#This Row],[MUNICIPIO]],'4.CAP_ENDMNT'!B:B,'4.CAP_ENDMNT'!Q:Q,0,0,1)</f>
        <v>Cumple</v>
      </c>
      <c r="AI664" s="139">
        <f>+_xlfn.XLOOKUP(PROYECTOS[[#This Row],[MUNICIPIO]],'4.CAP_ENDMNT'!B:B,'4.CAP_ENDMNT'!V:V,0,0,1)</f>
        <v>1527969004.6241999</v>
      </c>
      <c r="AJ664" s="139">
        <f>+_xlfn.XLOOKUP(PROYECTOS[[#This Row],[MUNICIPIO]],'4.CAP_ENDMNT'!B:B,'4.CAP_ENDMNT'!Y:Y,0,0,1)</f>
        <v>6715294285.7451992</v>
      </c>
      <c r="AK664"/>
      <c r="AL664"/>
      <c r="AM664"/>
    </row>
    <row r="665" spans="1:39" ht="15" customHeight="1">
      <c r="A665" s="262">
        <v>784</v>
      </c>
      <c r="B665" s="232" t="str">
        <f>+_xlfn.XLOOKUP(PROYECTOS[[#This Row],[ID_NECESIDAD]],'1.RADICADOS'!G:G,'1.RADICADOS'!H:H,0,0,1)</f>
        <v>Petición de ayuda para mejorar vía terciaria del corregimiento pajillal</v>
      </c>
      <c r="C665" s="118">
        <f>+_xlfn.XLOOKUP(PROYECTOS[[#This Row],[ID_NECESIDAD]],'1.RADICADOS'!G:G,'1.RADICADOS'!C:C,0,0,1)*1</f>
        <v>45923</v>
      </c>
      <c r="D665" s="118" t="str">
        <f>+_xlfn.XLOOKUP(PROYECTOS[[#This Row],[ID_NECESIDAD]],'1.RADICADOS'!G:G,'1.RADICADOS'!F:F,0,0,1)</f>
        <v>Arboletes</v>
      </c>
      <c r="E665" s="257" t="str">
        <f>+_xlfn.XLOOKUP(PROYECTOS[[#This Row],[MUNICIPIO]],MUNICIPIOS!A:A,MUNICIPIOS!E:E,0,0,1)</f>
        <v>Urabá</v>
      </c>
      <c r="F665" s="257" t="e" cm="1">
        <f t="array" ref="F665">+_xlfn.XLOOKUP(PROYECTOS[[#This Row],[MUNICIPIO]],Table1[Municipio],MUNICIPIOS!F:F,0,0,1)</f>
        <v>#VALUE!</v>
      </c>
      <c r="G665" s="257" t="str">
        <f>+LOOKUP(PROYECTOS[[#This Row],[MUNICIPIO]],Table1[Municipio],Table1[Latitud])</f>
        <v>7,074703</v>
      </c>
      <c r="H665" s="258">
        <f>+LOOKUP(PROYECTOS[[#This Row],[MUNICIPIO]],Table1[Municipio],Table1[PDET])</f>
        <v>1</v>
      </c>
      <c r="I665" s="259">
        <f>+LOOKUP(PROYECTOS[[#This Row],[MUNICIPIO]],Table1[Municipio],Table1[ZOMAC])</f>
        <v>1</v>
      </c>
      <c r="J665" s="260" t="str" cm="1">
        <f t="array" ref="J665">_xlfn.TEXTJOIN(", ", TRUE, IF(radicados[ID PROYECTOS]=A665, radicados[RADICADO], ""))</f>
        <v>2025010507558</v>
      </c>
      <c r="K665" s="242">
        <v>1</v>
      </c>
      <c r="L665" s="212"/>
      <c r="M665" s="247" t="s">
        <v>396</v>
      </c>
      <c r="N665" s="241" t="s">
        <v>398</v>
      </c>
      <c r="O665" s="241" t="s">
        <v>25</v>
      </c>
      <c r="P665" s="262" t="s">
        <v>1928</v>
      </c>
      <c r="Q665" s="45"/>
      <c r="R665" s="166"/>
      <c r="S665" s="166"/>
      <c r="T665" s="258">
        <f>+_xlfn.XLOOKUP(PROYECTOS[[#This Row],[MUNICIPIO]],'4.CAP_ENDMNT'!B:B,'4.CAP_ENDMNT'!C:C,0,0,1)</f>
        <v>6</v>
      </c>
      <c r="U665" s="167">
        <f>+_xlfn.XLOOKUP(PROYECTOS[[#This Row],[MUNICIPIO]],'4.CAP_ENDMNT'!B:B,'4.CAP_ENDMNT'!D:D,0,0,1)</f>
        <v>19782037469.424</v>
      </c>
      <c r="V665" s="258">
        <f>+_xlfn.XLOOKUP(PROYECTOS[[#This Row],[MUNICIPIO]],'4.CAP_ENDMNT'!B:B,'4.CAP_ENDMNT'!E:E,0,0,1)</f>
        <v>6224691780.3400002</v>
      </c>
      <c r="W665" s="258">
        <f>+_xlfn.XLOOKUP(PROYECTOS[[#This Row],[MUNICIPIO]],'4.CAP_ENDMNT'!B:B,'4.CAP_ENDMNT'!F:F,0,0,1)</f>
        <v>13557345689.084</v>
      </c>
      <c r="X665" s="258">
        <f>+_xlfn.XLOOKUP(PROYECTOS[[#This Row],[MUNICIPIO]],'4.CAP_ENDMNT'!B:B,'4.CAP_ENDMNT'!G:G,0,0,1)</f>
        <v>5530076291</v>
      </c>
      <c r="Y665" s="258">
        <f>+_xlfn.XLOOKUP(PROYECTOS[[#This Row],[MUNICIPIO]],'4.CAP_ENDMNT'!B:B,'4.CAP_ENDMNT'!H:H,0,0,1)</f>
        <v>135075758</v>
      </c>
      <c r="Z665" s="258">
        <f>+_xlfn.XLOOKUP(PROYECTOS[[#This Row],[MUNICIPIO]],'4.CAP_ENDMNT'!B:B,'4.CAP_ENDMNT'!I:I,0,0,1)</f>
        <v>5665152049</v>
      </c>
      <c r="AA665" s="134">
        <f>+_xlfn.XLOOKUP(PROYECTOS[[#This Row],[MUNICIPIO]],'4.CAP_ENDMNT'!B:B,'4.CAP_ENDMNT'!J:J,0,0,1)</f>
        <v>0.28637859258715448</v>
      </c>
      <c r="AB665" s="258">
        <f>+_xlfn.XLOOKUP(PROYECTOS[[#This Row],[MUNICIPIO]],'4.CAP_ENDMNT'!B:B,'4.CAP_ENDMNT'!K:K,0,0,1)</f>
        <v>14116885420.424</v>
      </c>
      <c r="AC665" s="258">
        <f>+_xlfn.XLOOKUP(PROYECTOS[[#This Row],[MUNICIPIO]],'4.CAP_ENDMNT'!B:B,'4.CAP_ENDMNT'!L:L,0,0,1)</f>
        <v>11293508336.339201</v>
      </c>
      <c r="AD665" s="258">
        <f>+_xlfn.XLOOKUP(PROYECTOS[[#This Row],[MUNICIPIO]],'4.CAP_ENDMNT'!B:B,'4.CAP_ENDMNT'!M:M,0,0,1)</f>
        <v>8470131252.2543993</v>
      </c>
      <c r="AE665" s="134">
        <f>+_xlfn.XLOOKUP(PROYECTOS[[#This Row],[MUNICIPIO]],'4.CAP_ENDMNT'!B:B,'4.CAP_ENDMNT'!N:N,0,0,1)</f>
        <v>0.97615672856938707</v>
      </c>
      <c r="AF665" s="134">
        <f>+_xlfn.XLOOKUP(PROYECTOS[[#This Row],[MUNICIPIO]],'4.CAP_ENDMNT'!B:B,'4.CAP_ENDMNT'!O:O,0,0,1)</f>
        <v>0.63121490876418529</v>
      </c>
      <c r="AG665" s="134">
        <f>+_xlfn.XLOOKUP(PROYECTOS[[#This Row],[MUNICIPIO]],'4.CAP_ENDMNT'!B:B,'4.CAP_ENDMNT'!P:P,0,0,1)</f>
        <v>0.8</v>
      </c>
      <c r="AH665" s="258" t="str">
        <f>+_xlfn.XLOOKUP(PROYECTOS[[#This Row],[MUNICIPIO]],'4.CAP_ENDMNT'!B:B,'4.CAP_ENDMNT'!Q:Q,0,0,1)</f>
        <v>Cumple</v>
      </c>
      <c r="AI665" s="139">
        <f>+_xlfn.XLOOKUP(PROYECTOS[[#This Row],[MUNICIPIO]],'4.CAP_ENDMNT'!B:B,'4.CAP_ENDMNT'!V:V,0,0,1)</f>
        <v>1694026250.4508801</v>
      </c>
      <c r="AJ665" s="139">
        <f>+_xlfn.XLOOKUP(PROYECTOS[[#This Row],[MUNICIPIO]],'4.CAP_ENDMNT'!B:B,'4.CAP_ENDMNT'!Y:Y,0,0,1)</f>
        <v>-28540377224.29472</v>
      </c>
      <c r="AK665"/>
      <c r="AL665"/>
      <c r="AM665"/>
    </row>
    <row r="666" spans="1:39" ht="15" customHeight="1">
      <c r="A666" s="262">
        <v>785</v>
      </c>
      <c r="B666" s="232" t="str">
        <f>+_xlfn.XLOOKUP(PROYECTOS[[#This Row],[ID_NECESIDAD]],'1.RADICADOS'!G:G,'1.RADICADOS'!H:H,0,0,1)</f>
        <v>Solicitud de pavimentación de 10,6 kilómetros de vía terciaria en el municipio de Belmira, Antioquia.</v>
      </c>
      <c r="C666" s="118">
        <f>+_xlfn.XLOOKUP(PROYECTOS[[#This Row],[ID_NECESIDAD]],'1.RADICADOS'!G:G,'1.RADICADOS'!C:C,0,0,1)*1</f>
        <v>45937</v>
      </c>
      <c r="D666" s="118" t="str">
        <f>+_xlfn.XLOOKUP(PROYECTOS[[#This Row],[ID_NECESIDAD]],'1.RADICADOS'!G:G,'1.RADICADOS'!F:F,0,0,1)</f>
        <v>Belmira</v>
      </c>
      <c r="E666" s="257" t="str">
        <f>+_xlfn.XLOOKUP(PROYECTOS[[#This Row],[MUNICIPIO]],MUNICIPIOS!A:A,MUNICIPIOS!E:E,0,0,1)</f>
        <v>Norte</v>
      </c>
      <c r="F666" s="257" t="e" cm="1">
        <f t="array" ref="F666">+_xlfn.XLOOKUP(PROYECTOS[[#This Row],[MUNICIPIO]],Table1[Municipio],MUNICIPIOS!F:F,0,0,1)</f>
        <v>#VALUE!</v>
      </c>
      <c r="G666" s="257" t="str">
        <f>+LOOKUP(PROYECTOS[[#This Row],[MUNICIPIO]],Table1[Municipio],Table1[Latitud])</f>
        <v>7,074703</v>
      </c>
      <c r="H666" s="258">
        <f>+LOOKUP(PROYECTOS[[#This Row],[MUNICIPIO]],Table1[Municipio],Table1[PDET])</f>
        <v>1</v>
      </c>
      <c r="I666" s="259">
        <f>+LOOKUP(PROYECTOS[[#This Row],[MUNICIPIO]],Table1[Municipio],Table1[ZOMAC])</f>
        <v>1</v>
      </c>
      <c r="J666" s="260" t="str" cm="1">
        <f t="array" ref="J666">_xlfn.TEXTJOIN(", ", TRUE, IF(radicados[ID PROYECTOS]=A666, radicados[RADICADO], ""))</f>
        <v>2025010533718</v>
      </c>
      <c r="K666" s="240">
        <v>1</v>
      </c>
      <c r="L666" s="212"/>
      <c r="M666" s="246" t="s">
        <v>396</v>
      </c>
      <c r="N666" s="205" t="s">
        <v>398</v>
      </c>
      <c r="O666" s="205" t="s">
        <v>25</v>
      </c>
      <c r="P666" s="246" t="s">
        <v>1906</v>
      </c>
      <c r="Q666" s="45"/>
      <c r="R666" s="166"/>
      <c r="S666" s="166"/>
      <c r="T666" s="258">
        <f>+_xlfn.XLOOKUP(PROYECTOS[[#This Row],[MUNICIPIO]],'4.CAP_ENDMNT'!B:B,'4.CAP_ENDMNT'!C:C,0,0,1)</f>
        <v>6</v>
      </c>
      <c r="U666" s="167">
        <f>+_xlfn.XLOOKUP(PROYECTOS[[#This Row],[MUNICIPIO]],'4.CAP_ENDMNT'!B:B,'4.CAP_ENDMNT'!D:D,0,0,1)</f>
        <v>10160021082.964001</v>
      </c>
      <c r="V666" s="258">
        <f>+_xlfn.XLOOKUP(PROYECTOS[[#This Row],[MUNICIPIO]],'4.CAP_ENDMNT'!B:B,'4.CAP_ENDMNT'!E:E,0,0,1)</f>
        <v>3265249234.6399999</v>
      </c>
      <c r="W666" s="258">
        <f>+_xlfn.XLOOKUP(PROYECTOS[[#This Row],[MUNICIPIO]],'4.CAP_ENDMNT'!B:B,'4.CAP_ENDMNT'!F:F,0,0,1)</f>
        <v>6894771848.3240013</v>
      </c>
      <c r="X666" s="258">
        <f>+_xlfn.XLOOKUP(PROYECTOS[[#This Row],[MUNICIPIO]],'4.CAP_ENDMNT'!B:B,'4.CAP_ENDMNT'!G:G,0,0,1)</f>
        <v>3316718973.96</v>
      </c>
      <c r="Y666" s="258">
        <f>+_xlfn.XLOOKUP(PROYECTOS[[#This Row],[MUNICIPIO]],'4.CAP_ENDMNT'!B:B,'4.CAP_ENDMNT'!H:H,0,0,1)</f>
        <v>0</v>
      </c>
      <c r="Z666" s="258">
        <f>+_xlfn.XLOOKUP(PROYECTOS[[#This Row],[MUNICIPIO]],'4.CAP_ENDMNT'!B:B,'4.CAP_ENDMNT'!I:I,0,0,1)</f>
        <v>3316718973.96</v>
      </c>
      <c r="AA666" s="134">
        <f>+_xlfn.XLOOKUP(PROYECTOS[[#This Row],[MUNICIPIO]],'4.CAP_ENDMNT'!B:B,'4.CAP_ENDMNT'!J:J,0,0,1)</f>
        <v>0.32644804049879078</v>
      </c>
      <c r="AB666" s="258">
        <f>+_xlfn.XLOOKUP(PROYECTOS[[#This Row],[MUNICIPIO]],'4.CAP_ENDMNT'!B:B,'4.CAP_ENDMNT'!K:K,0,0,1)</f>
        <v>6843302109.0040007</v>
      </c>
      <c r="AC666" s="258">
        <f>+_xlfn.XLOOKUP(PROYECTOS[[#This Row],[MUNICIPIO]],'4.CAP_ENDMNT'!B:B,'4.CAP_ENDMNT'!L:L,0,0,1)</f>
        <v>5474641687.2032013</v>
      </c>
      <c r="AD666" s="258">
        <f>+_xlfn.XLOOKUP(PROYECTOS[[#This Row],[MUNICIPIO]],'4.CAP_ENDMNT'!B:B,'4.CAP_ENDMNT'!M:M,0,0,1)</f>
        <v>4105981265.4024</v>
      </c>
      <c r="AE666" s="134">
        <f>+_xlfn.XLOOKUP(PROYECTOS[[#This Row],[MUNICIPIO]],'4.CAP_ENDMNT'!B:B,'4.CAP_ENDMNT'!N:N,0,0,1)</f>
        <v>1</v>
      </c>
      <c r="AF666" s="134">
        <f>+_xlfn.XLOOKUP(PROYECTOS[[#This Row],[MUNICIPIO]],'4.CAP_ENDMNT'!B:B,'4.CAP_ENDMNT'!O:O,0,0,1)</f>
        <v>0.59534208417675272</v>
      </c>
      <c r="AG666" s="134">
        <f>+_xlfn.XLOOKUP(PROYECTOS[[#This Row],[MUNICIPIO]],'4.CAP_ENDMNT'!B:B,'4.CAP_ENDMNT'!P:P,0,0,1)</f>
        <v>0.8</v>
      </c>
      <c r="AH666" s="258" t="str">
        <f>+_xlfn.XLOOKUP(PROYECTOS[[#This Row],[MUNICIPIO]],'4.CAP_ENDMNT'!B:B,'4.CAP_ENDMNT'!Q:Q,0,0,1)</f>
        <v>Cumple</v>
      </c>
      <c r="AI666" s="139">
        <f>+_xlfn.XLOOKUP(PROYECTOS[[#This Row],[MUNICIPIO]],'4.CAP_ENDMNT'!B:B,'4.CAP_ENDMNT'!V:V,0,0,1)</f>
        <v>821196253.0804801</v>
      </c>
      <c r="AJ666" s="139">
        <f>+_xlfn.XLOOKUP(PROYECTOS[[#This Row],[MUNICIPIO]],'4.CAP_ENDMNT'!B:B,'4.CAP_ENDMNT'!Y:Y,0,0,1)</f>
        <v>-1916076050.5171204</v>
      </c>
      <c r="AK666"/>
      <c r="AL666"/>
      <c r="AM666"/>
    </row>
    <row r="667" spans="1:39" ht="15" customHeight="1">
      <c r="A667" s="262">
        <v>786</v>
      </c>
      <c r="B667" s="232" t="str">
        <f>+_xlfn.XLOOKUP(PROYECTOS[[#This Row],[ID_NECESIDAD]],'1.RADICADOS'!G:G,'1.RADICADOS'!H:H,0,0,1)</f>
        <v>Repavimentación y reparcheo de la vía 25AN17-2 (ZARAGOZA-CRUZADA-BELEN-REMEDIOS), en el municipio de Remedios.</v>
      </c>
      <c r="C667" s="118">
        <f>+_xlfn.XLOOKUP(PROYECTOS[[#This Row],[ID_NECESIDAD]],'1.RADICADOS'!G:G,'1.RADICADOS'!C:C,0,0,1)*1</f>
        <v>45939</v>
      </c>
      <c r="D667" s="118" t="str">
        <f>+_xlfn.XLOOKUP(PROYECTOS[[#This Row],[ID_NECESIDAD]],'1.RADICADOS'!G:G,'1.RADICADOS'!F:F,0,0,1)</f>
        <v>Remedios</v>
      </c>
      <c r="E667" s="257" t="str">
        <f>+_xlfn.XLOOKUP(PROYECTOS[[#This Row],[MUNICIPIO]],MUNICIPIOS!A:A,MUNICIPIOS!E:E,0,0,1)</f>
        <v>Nordeste</v>
      </c>
      <c r="F667" s="257" t="e" cm="1">
        <f t="array" ref="F667">+_xlfn.XLOOKUP(PROYECTOS[[#This Row],[MUNICIPIO]],Table1[Municipio],MUNICIPIOS!F:F,0,0,1)</f>
        <v>#VALUE!</v>
      </c>
      <c r="G667" s="257" t="str">
        <f>+LOOKUP(PROYECTOS[[#This Row],[MUNICIPIO]],Table1[Municipio],Table1[Latitud])</f>
        <v>6,246631</v>
      </c>
      <c r="H667" s="258">
        <f>+LOOKUP(PROYECTOS[[#This Row],[MUNICIPIO]],Table1[Municipio],Table1[PDET])</f>
        <v>0</v>
      </c>
      <c r="I667" s="259">
        <f>+LOOKUP(PROYECTOS[[#This Row],[MUNICIPIO]],Table1[Municipio],Table1[ZOMAC])</f>
        <v>0</v>
      </c>
      <c r="J667" s="260" t="str" cm="1">
        <f t="array" ref="J667">_xlfn.TEXTJOIN(", ", TRUE, IF(radicados[ID PROYECTOS]=A667, radicados[RADICADO], ""))</f>
        <v>2025010543470</v>
      </c>
      <c r="K667" s="242">
        <v>2</v>
      </c>
      <c r="L667" s="212">
        <f>+_xlfn.XLOOKUP(PROYECTOS[[#This Row],[ID_NECESIDAD]],'1.RADICADOS'!G:G,'1.RADICADOS'!J:J,0,0,1)</f>
        <v>2836114851</v>
      </c>
      <c r="M667" s="247" t="s">
        <v>396</v>
      </c>
      <c r="N667" s="241" t="s">
        <v>397</v>
      </c>
      <c r="O667" s="241" t="s">
        <v>82</v>
      </c>
      <c r="P667" s="255" t="s">
        <v>82</v>
      </c>
      <c r="Q667" s="45"/>
      <c r="R667" s="166"/>
      <c r="S667" s="166"/>
      <c r="T667" s="258">
        <f>+_xlfn.XLOOKUP(PROYECTOS[[#This Row],[MUNICIPIO]],'4.CAP_ENDMNT'!B:B,'4.CAP_ENDMNT'!C:C,0,0,1)</f>
        <v>6</v>
      </c>
      <c r="U667" s="167">
        <f>+_xlfn.XLOOKUP(PROYECTOS[[#This Row],[MUNICIPIO]],'4.CAP_ENDMNT'!B:B,'4.CAP_ENDMNT'!D:D,0,0,1)</f>
        <v>31836256303.883995</v>
      </c>
      <c r="V667" s="258">
        <f>+_xlfn.XLOOKUP(PROYECTOS[[#This Row],[MUNICIPIO]],'4.CAP_ENDMNT'!B:B,'4.CAP_ENDMNT'!E:E,0,0,1)</f>
        <v>12586903103.25</v>
      </c>
      <c r="W667" s="258">
        <f>+_xlfn.XLOOKUP(PROYECTOS[[#This Row],[MUNICIPIO]],'4.CAP_ENDMNT'!B:B,'4.CAP_ENDMNT'!F:F,0,0,1)</f>
        <v>19249353200.633995</v>
      </c>
      <c r="X667" s="258">
        <f>+_xlfn.XLOOKUP(PROYECTOS[[#This Row],[MUNICIPIO]],'4.CAP_ENDMNT'!B:B,'4.CAP_ENDMNT'!G:G,0,0,1)</f>
        <v>0</v>
      </c>
      <c r="Y667" s="258">
        <f>+_xlfn.XLOOKUP(PROYECTOS[[#This Row],[MUNICIPIO]],'4.CAP_ENDMNT'!B:B,'4.CAP_ENDMNT'!H:H,0,0,1)</f>
        <v>0</v>
      </c>
      <c r="Z667" s="258">
        <f>+_xlfn.XLOOKUP(PROYECTOS[[#This Row],[MUNICIPIO]],'4.CAP_ENDMNT'!B:B,'4.CAP_ENDMNT'!I:I,0,0,1)</f>
        <v>0</v>
      </c>
      <c r="AA667" s="134">
        <f>+_xlfn.XLOOKUP(PROYECTOS[[#This Row],[MUNICIPIO]],'4.CAP_ENDMNT'!B:B,'4.CAP_ENDMNT'!J:J,0,0,1)</f>
        <v>0</v>
      </c>
      <c r="AB667" s="258">
        <f>+_xlfn.XLOOKUP(PROYECTOS[[#This Row],[MUNICIPIO]],'4.CAP_ENDMNT'!B:B,'4.CAP_ENDMNT'!K:K,0,0,1)</f>
        <v>31836256303.883995</v>
      </c>
      <c r="AC667" s="258">
        <f>+_xlfn.XLOOKUP(PROYECTOS[[#This Row],[MUNICIPIO]],'4.CAP_ENDMNT'!B:B,'4.CAP_ENDMNT'!L:L,0,0,1)</f>
        <v>25469005043.107197</v>
      </c>
      <c r="AD667" s="258">
        <f>+_xlfn.XLOOKUP(PROYECTOS[[#This Row],[MUNICIPIO]],'4.CAP_ENDMNT'!B:B,'4.CAP_ENDMNT'!M:M,0,0,1)</f>
        <v>19101753782.330395</v>
      </c>
      <c r="AE667" s="134">
        <f>+_xlfn.XLOOKUP(PROYECTOS[[#This Row],[MUNICIPIO]],'4.CAP_ENDMNT'!B:B,'4.CAP_ENDMNT'!N:N,0,0,1)</f>
        <v>0</v>
      </c>
      <c r="AF667" s="134">
        <f>+_xlfn.XLOOKUP(PROYECTOS[[#This Row],[MUNICIPIO]],'4.CAP_ENDMNT'!B:B,'4.CAP_ENDMNT'!O:O,0,0,1)</f>
        <v>1.3391267531682534</v>
      </c>
      <c r="AG667" s="134">
        <f>+_xlfn.XLOOKUP(PROYECTOS[[#This Row],[MUNICIPIO]],'4.CAP_ENDMNT'!B:B,'4.CAP_ENDMNT'!P:P,0,0,1)</f>
        <v>0.8</v>
      </c>
      <c r="AH667" s="258" t="str">
        <f>+_xlfn.XLOOKUP(PROYECTOS[[#This Row],[MUNICIPIO]],'4.CAP_ENDMNT'!B:B,'4.CAP_ENDMNT'!Q:Q,0,0,1)</f>
        <v>Incumple</v>
      </c>
      <c r="AI667" s="139">
        <f>+_xlfn.XLOOKUP(PROYECTOS[[#This Row],[MUNICIPIO]],'4.CAP_ENDMNT'!B:B,'4.CAP_ENDMNT'!V:V,0,0,1)</f>
        <v>3820350756.4660792</v>
      </c>
      <c r="AJ667" s="139">
        <f>+_xlfn.XLOOKUP(PROYECTOS[[#This Row],[MUNICIPIO]],'4.CAP_ENDMNT'!B:B,'4.CAP_ENDMNT'!Y:Y,0,0,1)</f>
        <v>20085989687.796474</v>
      </c>
      <c r="AK667"/>
      <c r="AL667"/>
      <c r="AM667"/>
    </row>
    <row r="668" spans="1:39" ht="15" customHeight="1">
      <c r="A668" s="262">
        <v>787</v>
      </c>
      <c r="B668" s="232" t="str">
        <f>+_xlfn.XLOOKUP(PROYECTOS[[#This Row],[ID_NECESIDAD]],'1.RADICADOS'!G:G,'1.RADICADOS'!H:H,0,0,1)</f>
        <v>Proyectos de pavimentacion de vias urbanas para el municipio de Granada</v>
      </c>
      <c r="C668" s="118">
        <f>+_xlfn.XLOOKUP(PROYECTOS[[#This Row],[ID_NECESIDAD]],'1.RADICADOS'!G:G,'1.RADICADOS'!C:C,0,0,1)*1</f>
        <v>45937</v>
      </c>
      <c r="D668" s="118" t="str">
        <f>+_xlfn.XLOOKUP(PROYECTOS[[#This Row],[ID_NECESIDAD]],'1.RADICADOS'!G:G,'1.RADICADOS'!F:F,0,0,1)</f>
        <v>Granada</v>
      </c>
      <c r="E668" s="257" t="str">
        <f>+_xlfn.XLOOKUP(PROYECTOS[[#This Row],[MUNICIPIO]],MUNICIPIOS!A:A,MUNICIPIOS!E:E,0,0,1)</f>
        <v>Oriente</v>
      </c>
      <c r="F668" s="257" t="e" cm="1">
        <f t="array" ref="F668">+_xlfn.XLOOKUP(PROYECTOS[[#This Row],[MUNICIPIO]],Table1[Municipio],MUNICIPIOS!F:F,0,0,1)</f>
        <v>#VALUE!</v>
      </c>
      <c r="G668" s="257" t="str">
        <f>+LOOKUP(PROYECTOS[[#This Row],[MUNICIPIO]],Table1[Municipio],Table1[Latitud])</f>
        <v>6,142892</v>
      </c>
      <c r="H668" s="258">
        <f>+LOOKUP(PROYECTOS[[#This Row],[MUNICIPIO]],Table1[Municipio],Table1[PDET])</f>
        <v>0</v>
      </c>
      <c r="I668" s="259">
        <f>+LOOKUP(PROYECTOS[[#This Row],[MUNICIPIO]],Table1[Municipio],Table1[ZOMAC])</f>
        <v>1</v>
      </c>
      <c r="J668" s="260" t="str" cm="1">
        <f t="array" ref="J668">_xlfn.TEXTJOIN(", ", TRUE, IF(radicados[ID PROYECTOS]=A668, radicados[RADICADO], ""))</f>
        <v>2025010539972</v>
      </c>
      <c r="K668" s="240">
        <v>2</v>
      </c>
      <c r="L668" s="212">
        <f>+_xlfn.XLOOKUP(PROYECTOS[[#This Row],[ID_NECESIDAD]],'1.RADICADOS'!G:G,'1.RADICADOS'!J:J,0,0,1)</f>
        <v>2022394031</v>
      </c>
      <c r="M668" s="246" t="s">
        <v>396</v>
      </c>
      <c r="N668" s="205" t="s">
        <v>394</v>
      </c>
      <c r="O668" s="205" t="s">
        <v>18</v>
      </c>
      <c r="P668" s="256" t="s">
        <v>18</v>
      </c>
      <c r="Q668" s="45"/>
      <c r="R668" s="166"/>
      <c r="S668" s="166"/>
      <c r="T668" s="258">
        <f>+_xlfn.XLOOKUP(PROYECTOS[[#This Row],[MUNICIPIO]],'4.CAP_ENDMNT'!B:B,'4.CAP_ENDMNT'!C:C,0,0,1)</f>
        <v>6</v>
      </c>
      <c r="U668" s="167">
        <f>+_xlfn.XLOOKUP(PROYECTOS[[#This Row],[MUNICIPIO]],'4.CAP_ENDMNT'!B:B,'4.CAP_ENDMNT'!D:D,0,0,1)</f>
        <v>9100976268.0305004</v>
      </c>
      <c r="V668" s="258">
        <f>+_xlfn.XLOOKUP(PROYECTOS[[#This Row],[MUNICIPIO]],'4.CAP_ENDMNT'!B:B,'4.CAP_ENDMNT'!E:E,0,0,1)</f>
        <v>3221460794.1700001</v>
      </c>
      <c r="W668" s="258">
        <f>+_xlfn.XLOOKUP(PROYECTOS[[#This Row],[MUNICIPIO]],'4.CAP_ENDMNT'!B:B,'4.CAP_ENDMNT'!F:F,0,0,1)</f>
        <v>5879515473.8605003</v>
      </c>
      <c r="X668" s="258">
        <f>+_xlfn.XLOOKUP(PROYECTOS[[#This Row],[MUNICIPIO]],'4.CAP_ENDMNT'!B:B,'4.CAP_ENDMNT'!G:G,0,0,1)</f>
        <v>1026722956</v>
      </c>
      <c r="Y668" s="258">
        <f>+_xlfn.XLOOKUP(PROYECTOS[[#This Row],[MUNICIPIO]],'4.CAP_ENDMNT'!B:B,'4.CAP_ENDMNT'!H:H,0,0,1)</f>
        <v>190000000</v>
      </c>
      <c r="Z668" s="258">
        <f>+_xlfn.XLOOKUP(PROYECTOS[[#This Row],[MUNICIPIO]],'4.CAP_ENDMNT'!B:B,'4.CAP_ENDMNT'!I:I,0,0,1)</f>
        <v>1216722956</v>
      </c>
      <c r="AA668" s="134">
        <f>+_xlfn.XLOOKUP(PROYECTOS[[#This Row],[MUNICIPIO]],'4.CAP_ENDMNT'!B:B,'4.CAP_ENDMNT'!J:J,0,0,1)</f>
        <v>0.13369147662477152</v>
      </c>
      <c r="AB668" s="258">
        <f>+_xlfn.XLOOKUP(PROYECTOS[[#This Row],[MUNICIPIO]],'4.CAP_ENDMNT'!B:B,'4.CAP_ENDMNT'!K:K,0,0,1)</f>
        <v>7884253312.0305004</v>
      </c>
      <c r="AC668" s="258">
        <f>+_xlfn.XLOOKUP(PROYECTOS[[#This Row],[MUNICIPIO]],'4.CAP_ENDMNT'!B:B,'4.CAP_ENDMNT'!L:L,0,0,1)</f>
        <v>6307402649.6244011</v>
      </c>
      <c r="AD668" s="258">
        <f>+_xlfn.XLOOKUP(PROYECTOS[[#This Row],[MUNICIPIO]],'4.CAP_ENDMNT'!B:B,'4.CAP_ENDMNT'!M:M,0,0,1)</f>
        <v>4730551987.2182999</v>
      </c>
      <c r="AE668" s="134">
        <f>+_xlfn.XLOOKUP(PROYECTOS[[#This Row],[MUNICIPIO]],'4.CAP_ENDMNT'!B:B,'4.CAP_ENDMNT'!N:N,0,0,1)</f>
        <v>0.84384284108140062</v>
      </c>
      <c r="AF668" s="134">
        <f>+_xlfn.XLOOKUP(PROYECTOS[[#This Row],[MUNICIPIO]],'4.CAP_ENDMNT'!B:B,'4.CAP_ENDMNT'!O:O,0,0,1)</f>
        <v>0.65864601932480682</v>
      </c>
      <c r="AG668" s="134">
        <f>+_xlfn.XLOOKUP(PROYECTOS[[#This Row],[MUNICIPIO]],'4.CAP_ENDMNT'!B:B,'4.CAP_ENDMNT'!P:P,0,0,1)</f>
        <v>0.8</v>
      </c>
      <c r="AH668" s="258" t="str">
        <f>+_xlfn.XLOOKUP(PROYECTOS[[#This Row],[MUNICIPIO]],'4.CAP_ENDMNT'!B:B,'4.CAP_ENDMNT'!Q:Q,0,0,1)</f>
        <v>Cumple</v>
      </c>
      <c r="AI668" s="139">
        <f>+_xlfn.XLOOKUP(PROYECTOS[[#This Row],[MUNICIPIO]],'4.CAP_ENDMNT'!B:B,'4.CAP_ENDMNT'!V:V,0,0,1)</f>
        <v>946110397.44366002</v>
      </c>
      <c r="AJ668" s="139">
        <f>+_xlfn.XLOOKUP(PROYECTOS[[#This Row],[MUNICIPIO]],'4.CAP_ENDMNT'!B:B,'4.CAP_ENDMNT'!Y:Y,0,0,1)</f>
        <v>-37054965217.338043</v>
      </c>
      <c r="AK668"/>
      <c r="AL668"/>
      <c r="AM668"/>
    </row>
    <row r="669" spans="1:39" ht="15" customHeight="1">
      <c r="A669" s="262">
        <v>788</v>
      </c>
      <c r="B669" s="232" t="str">
        <f>+_xlfn.XLOOKUP(PROYECTOS[[#This Row],[ID_NECESIDAD]],'1.RADICADOS'!G:G,'1.RADICADOS'!H:H,0,0,1)</f>
        <v>CONSTRUCCIÓN DE OBRAS VIALES PARA MEJORAR LA CONECTIVIDAD DE NUESTRAS COMUNIDADES NEGRAS DE PUERTO GIRÓN, ZONA RURAL DEL MUNICIPIO DE APARTADÓ, ANTIOQUIA,</v>
      </c>
      <c r="C669" s="118">
        <f>+_xlfn.XLOOKUP(PROYECTOS[[#This Row],[ID_NECESIDAD]],'1.RADICADOS'!G:G,'1.RADICADOS'!C:C,0,0,1)*1</f>
        <v>45939</v>
      </c>
      <c r="D669" s="118" t="str">
        <f>+_xlfn.XLOOKUP(PROYECTOS[[#This Row],[ID_NECESIDAD]],'1.RADICADOS'!G:G,'1.RADICADOS'!F:F,0,0,1)</f>
        <v>Apartadó</v>
      </c>
      <c r="E669" s="257" t="str">
        <f>+_xlfn.XLOOKUP(PROYECTOS[[#This Row],[MUNICIPIO]],MUNICIPIOS!A:A,MUNICIPIOS!E:E,0,0,1)</f>
        <v>Urabá</v>
      </c>
      <c r="F669" s="257" t="e" cm="1">
        <f t="array" ref="F669">+_xlfn.XLOOKUP(PROYECTOS[[#This Row],[MUNICIPIO]],Table1[Municipio],MUNICIPIOS!F:F,0,0,1)</f>
        <v>#VALUE!</v>
      </c>
      <c r="G669" s="257" t="str">
        <f>+LOOKUP(PROYECTOS[[#This Row],[MUNICIPIO]],Table1[Municipio],Table1[Latitud])</f>
        <v>7,074703</v>
      </c>
      <c r="H669" s="258">
        <f>+LOOKUP(PROYECTOS[[#This Row],[MUNICIPIO]],Table1[Municipio],Table1[PDET])</f>
        <v>1</v>
      </c>
      <c r="I669" s="259">
        <f>+LOOKUP(PROYECTOS[[#This Row],[MUNICIPIO]],Table1[Municipio],Table1[ZOMAC])</f>
        <v>1</v>
      </c>
      <c r="J669" s="260" t="str" cm="1">
        <f t="array" ref="J669">_xlfn.TEXTJOIN(", ", TRUE, IF(radicados[ID PROYECTOS]=A669, radicados[RADICADO], ""))</f>
        <v>2025010545612</v>
      </c>
      <c r="K669" s="242">
        <v>1</v>
      </c>
      <c r="L669" s="212"/>
      <c r="M669" s="247" t="s">
        <v>396</v>
      </c>
      <c r="N669" s="241" t="s">
        <v>398</v>
      </c>
      <c r="O669" s="241" t="s">
        <v>25</v>
      </c>
      <c r="P669" s="255"/>
      <c r="Q669" s="45"/>
      <c r="R669" s="166"/>
      <c r="S669" s="166"/>
      <c r="T669" s="258">
        <f>+_xlfn.XLOOKUP(PROYECTOS[[#This Row],[MUNICIPIO]],'4.CAP_ENDMNT'!B:B,'4.CAP_ENDMNT'!C:C,0,0,1)</f>
        <v>3</v>
      </c>
      <c r="U669" s="167">
        <f>+_xlfn.XLOOKUP(PROYECTOS[[#This Row],[MUNICIPIO]],'4.CAP_ENDMNT'!B:B,'4.CAP_ENDMNT'!D:D,0,0,1)</f>
        <v>77784648137.448013</v>
      </c>
      <c r="V669" s="258">
        <f>+_xlfn.XLOOKUP(PROYECTOS[[#This Row],[MUNICIPIO]],'4.CAP_ENDMNT'!B:B,'4.CAP_ENDMNT'!E:E,0,0,1)</f>
        <v>31716114442.57</v>
      </c>
      <c r="W669" s="258">
        <f>+_xlfn.XLOOKUP(PROYECTOS[[#This Row],[MUNICIPIO]],'4.CAP_ENDMNT'!B:B,'4.CAP_ENDMNT'!F:F,0,0,1)</f>
        <v>46068533694.878014</v>
      </c>
      <c r="X669" s="258">
        <f>+_xlfn.XLOOKUP(PROYECTOS[[#This Row],[MUNICIPIO]],'4.CAP_ENDMNT'!B:B,'4.CAP_ENDMNT'!G:G,0,0,1)</f>
        <v>43139212620</v>
      </c>
      <c r="Y669" s="258">
        <f>+_xlfn.XLOOKUP(PROYECTOS[[#This Row],[MUNICIPIO]],'4.CAP_ENDMNT'!B:B,'4.CAP_ENDMNT'!H:H,0,0,1)</f>
        <v>17341932907.400002</v>
      </c>
      <c r="Z669" s="258">
        <f>+_xlfn.XLOOKUP(PROYECTOS[[#This Row],[MUNICIPIO]],'4.CAP_ENDMNT'!B:B,'4.CAP_ENDMNT'!I:I,0,0,1)</f>
        <v>60481145527.400002</v>
      </c>
      <c r="AA669" s="134">
        <f>+_xlfn.XLOOKUP(PROYECTOS[[#This Row],[MUNICIPIO]],'4.CAP_ENDMNT'!B:B,'4.CAP_ENDMNT'!J:J,0,0,1)</f>
        <v>0.77754604508241576</v>
      </c>
      <c r="AB669" s="258">
        <f>+_xlfn.XLOOKUP(PROYECTOS[[#This Row],[MUNICIPIO]],'4.CAP_ENDMNT'!B:B,'4.CAP_ENDMNT'!K:K,0,0,1)</f>
        <v>17303502610.048012</v>
      </c>
      <c r="AC669" s="258">
        <f>+_xlfn.XLOOKUP(PROYECTOS[[#This Row],[MUNICIPIO]],'4.CAP_ENDMNT'!B:B,'4.CAP_ENDMNT'!L:L,0,0,1)</f>
        <v>13842802088.03841</v>
      </c>
      <c r="AD669" s="258">
        <f>+_xlfn.XLOOKUP(PROYECTOS[[#This Row],[MUNICIPIO]],'4.CAP_ENDMNT'!B:B,'4.CAP_ENDMNT'!M:M,0,0,1)</f>
        <v>10382101566.028807</v>
      </c>
      <c r="AE669" s="134">
        <f>+_xlfn.XLOOKUP(PROYECTOS[[#This Row],[MUNICIPIO]],'4.CAP_ENDMNT'!B:B,'4.CAP_ENDMNT'!N:N,0,0,1)</f>
        <v>0.71326712223822675</v>
      </c>
      <c r="AF669" s="134">
        <f>+_xlfn.XLOOKUP(PROYECTOS[[#This Row],[MUNICIPIO]],'4.CAP_ENDMNT'!B:B,'4.CAP_ENDMNT'!O:O,0,0,1)</f>
        <v>0.57328291579513591</v>
      </c>
      <c r="AG669" s="134">
        <f>+_xlfn.XLOOKUP(PROYECTOS[[#This Row],[MUNICIPIO]],'4.CAP_ENDMNT'!B:B,'4.CAP_ENDMNT'!P:P,0,0,1)</f>
        <v>0.7</v>
      </c>
      <c r="AH669" s="258" t="str">
        <f>+_xlfn.XLOOKUP(PROYECTOS[[#This Row],[MUNICIPIO]],'4.CAP_ENDMNT'!B:B,'4.CAP_ENDMNT'!Q:Q,0,0,1)</f>
        <v>Cumple</v>
      </c>
      <c r="AI669" s="139">
        <f>+_xlfn.XLOOKUP(PROYECTOS[[#This Row],[MUNICIPIO]],'4.CAP_ENDMNT'!B:B,'4.CAP_ENDMNT'!V:V,0,0,1)</f>
        <v>2076420313.2057614</v>
      </c>
      <c r="AJ669" s="139">
        <f>+_xlfn.XLOOKUP(PROYECTOS[[#This Row],[MUNICIPIO]],'4.CAP_ENDMNT'!B:B,'4.CAP_ENDMNT'!Y:Y,0,0,1)</f>
        <v>-13466841257.765432</v>
      </c>
      <c r="AK669"/>
      <c r="AL669"/>
      <c r="AM669"/>
    </row>
    <row r="670" spans="1:39" ht="15" customHeight="1">
      <c r="A670" s="262">
        <v>789</v>
      </c>
      <c r="B670" s="232" t="str">
        <f>+_xlfn.XLOOKUP(PROYECTOS[[#This Row],[ID_NECESIDAD]],'1.RADICADOS'!G:G,'1.RADICADOS'!H:H,0,0,1)</f>
        <v>MEJORAMIENTO MEDIANTE LA PAVIMENTACIÓN EN CONCRETO RÍGIDO DE VÍAS URBANAS, EN EL MUNICIPIO DE VIGÍA DEL FUERTE, DEPARTAMENTODE ANTIOQUIA,</v>
      </c>
      <c r="C670" s="118">
        <f>+_xlfn.XLOOKUP(PROYECTOS[[#This Row],[ID_NECESIDAD]],'1.RADICADOS'!G:G,'1.RADICADOS'!C:C,0,0,1)*1</f>
        <v>45944</v>
      </c>
      <c r="D670" s="118" t="str">
        <f>+_xlfn.XLOOKUP(PROYECTOS[[#This Row],[ID_NECESIDAD]],'1.RADICADOS'!G:G,'1.RADICADOS'!F:F,0,0,1)</f>
        <v>Vigía del Fuerte</v>
      </c>
      <c r="E670" s="257" t="str">
        <f>+_xlfn.XLOOKUP(PROYECTOS[[#This Row],[MUNICIPIO]],MUNICIPIOS!A:A,MUNICIPIOS!E:E,0,0,1)</f>
        <v>Urabá</v>
      </c>
      <c r="F670" s="257" t="e" cm="1">
        <f t="array" ref="F670">+_xlfn.XLOOKUP(PROYECTOS[[#This Row],[MUNICIPIO]],Table1[Municipio],MUNICIPIOS!F:F,0,0,1)</f>
        <v>#VALUE!</v>
      </c>
      <c r="G670" s="257" t="str">
        <f>+LOOKUP(PROYECTOS[[#This Row],[MUNICIPIO]],Table1[Municipio],Table1[Latitud])</f>
        <v>6,149903</v>
      </c>
      <c r="H670" s="258">
        <f>+LOOKUP(PROYECTOS[[#This Row],[MUNICIPIO]],Table1[Municipio],Table1[PDET])</f>
        <v>0</v>
      </c>
      <c r="I670" s="259">
        <f>+LOOKUP(PROYECTOS[[#This Row],[MUNICIPIO]],Table1[Municipio],Table1[ZOMAC])</f>
        <v>0</v>
      </c>
      <c r="J670" s="260" t="str" cm="1">
        <f t="array" ref="J670">_xlfn.TEXTJOIN(", ", TRUE, IF(radicados[ID PROYECTOS]=A670, radicados[RADICADO], ""))</f>
        <v>2025010552009</v>
      </c>
      <c r="K670" s="240">
        <v>3</v>
      </c>
      <c r="L670" s="212">
        <f>+_xlfn.XLOOKUP(PROYECTOS[[#This Row],[ID_NECESIDAD]],'1.RADICADOS'!G:G,'1.RADICADOS'!J:J,0,0,1)</f>
        <v>2156000000</v>
      </c>
      <c r="M670" s="246" t="s">
        <v>401</v>
      </c>
      <c r="N670" s="205" t="s">
        <v>398</v>
      </c>
      <c r="O670" s="205" t="s">
        <v>25</v>
      </c>
      <c r="P670" s="256"/>
      <c r="Q670" s="45"/>
      <c r="R670" s="166"/>
      <c r="S670" s="166"/>
      <c r="T670" s="258">
        <f>+_xlfn.XLOOKUP(PROYECTOS[[#This Row],[MUNICIPIO]],'4.CAP_ENDMNT'!B:B,'4.CAP_ENDMNT'!C:C,0,0,1)</f>
        <v>6</v>
      </c>
      <c r="U670" s="167">
        <f>+_xlfn.XLOOKUP(PROYECTOS[[#This Row],[MUNICIPIO]],'4.CAP_ENDMNT'!B:B,'4.CAP_ENDMNT'!D:D,0,0,1)</f>
        <v>18943215673.273502</v>
      </c>
      <c r="V670" s="258">
        <f>+_xlfn.XLOOKUP(PROYECTOS[[#This Row],[MUNICIPIO]],'4.CAP_ENDMNT'!B:B,'4.CAP_ENDMNT'!E:E,0,0,1)</f>
        <v>6022595389.6999998</v>
      </c>
      <c r="W670" s="258">
        <f>+_xlfn.XLOOKUP(PROYECTOS[[#This Row],[MUNICIPIO]],'4.CAP_ENDMNT'!B:B,'4.CAP_ENDMNT'!F:F,0,0,1)</f>
        <v>12920620283.573502</v>
      </c>
      <c r="X670" s="258">
        <f>+_xlfn.XLOOKUP(PROYECTOS[[#This Row],[MUNICIPIO]],'4.CAP_ENDMNT'!B:B,'4.CAP_ENDMNT'!G:G,0,0,1)</f>
        <v>4570267145</v>
      </c>
      <c r="Y670" s="258">
        <f>+_xlfn.XLOOKUP(PROYECTOS[[#This Row],[MUNICIPIO]],'4.CAP_ENDMNT'!B:B,'4.CAP_ENDMNT'!H:H,0,0,1)</f>
        <v>0</v>
      </c>
      <c r="Z670" s="258">
        <f>+_xlfn.XLOOKUP(PROYECTOS[[#This Row],[MUNICIPIO]],'4.CAP_ENDMNT'!B:B,'4.CAP_ENDMNT'!I:I,0,0,1)</f>
        <v>4570267145</v>
      </c>
      <c r="AA670" s="134">
        <f>+_xlfn.XLOOKUP(PROYECTOS[[#This Row],[MUNICIPIO]],'4.CAP_ENDMNT'!B:B,'4.CAP_ENDMNT'!J:J,0,0,1)</f>
        <v>0.24126142170508424</v>
      </c>
      <c r="AB670" s="258">
        <f>+_xlfn.XLOOKUP(PROYECTOS[[#This Row],[MUNICIPIO]],'4.CAP_ENDMNT'!B:B,'4.CAP_ENDMNT'!K:K,0,0,1)</f>
        <v>14372948528.273502</v>
      </c>
      <c r="AC670" s="258">
        <f>+_xlfn.XLOOKUP(PROYECTOS[[#This Row],[MUNICIPIO]],'4.CAP_ENDMNT'!B:B,'4.CAP_ENDMNT'!L:L,0,0,1)</f>
        <v>11498358822.618803</v>
      </c>
      <c r="AD670" s="258">
        <f>+_xlfn.XLOOKUP(PROYECTOS[[#This Row],[MUNICIPIO]],'4.CAP_ENDMNT'!B:B,'4.CAP_ENDMNT'!M:M,0,0,1)</f>
        <v>8623769116.9641018</v>
      </c>
      <c r="AE670" s="134">
        <f>+_xlfn.XLOOKUP(PROYECTOS[[#This Row],[MUNICIPIO]],'4.CAP_ENDMNT'!B:B,'4.CAP_ENDMNT'!N:N,0,0,1)</f>
        <v>1</v>
      </c>
      <c r="AF670" s="134">
        <f>+_xlfn.XLOOKUP(PROYECTOS[[#This Row],[MUNICIPIO]],'4.CAP_ENDMNT'!B:B,'4.CAP_ENDMNT'!O:O,0,0,1)</f>
        <v>0.63532752805182191</v>
      </c>
      <c r="AG670" s="134">
        <f>+_xlfn.XLOOKUP(PROYECTOS[[#This Row],[MUNICIPIO]],'4.CAP_ENDMNT'!B:B,'4.CAP_ENDMNT'!P:P,0,0,1)</f>
        <v>0.8</v>
      </c>
      <c r="AH670" s="258" t="str">
        <f>+_xlfn.XLOOKUP(PROYECTOS[[#This Row],[MUNICIPIO]],'4.CAP_ENDMNT'!B:B,'4.CAP_ENDMNT'!Q:Q,0,0,1)</f>
        <v>Cumple</v>
      </c>
      <c r="AI670" s="139">
        <f>+_xlfn.XLOOKUP(PROYECTOS[[#This Row],[MUNICIPIO]],'4.CAP_ENDMNT'!B:B,'4.CAP_ENDMNT'!V:V,0,0,1)</f>
        <v>1724753823.3928204</v>
      </c>
      <c r="AJ670" s="139">
        <f>+_xlfn.XLOOKUP(PROYECTOS[[#This Row],[MUNICIPIO]],'4.CAP_ENDMNT'!B:B,'4.CAP_ENDMNT'!Y:Y,0,0,1)</f>
        <v>-14051852500.643078</v>
      </c>
      <c r="AK670"/>
      <c r="AL670"/>
      <c r="AM670"/>
    </row>
    <row r="671" spans="1:39" ht="15" customHeight="1">
      <c r="A671" s="262">
        <v>790</v>
      </c>
      <c r="B671" s="232" t="str">
        <f>+_xlfn.XLOOKUP(PROYECTOS[[#This Row],[ID_NECESIDAD]],'1.RADICADOS'!G:G,'1.RADICADOS'!H:H,0,0,1)</f>
        <v>ADECUACIÓN Y MEJORAMIENTO DEL PARQUE PRINCIPAL Y PARQUE LA MISERICORDIA DEL MUNICIPIO DE LIBORINA</v>
      </c>
      <c r="C671" s="118">
        <f>+_xlfn.XLOOKUP(PROYECTOS[[#This Row],[ID_NECESIDAD]],'1.RADICADOS'!G:G,'1.RADICADOS'!C:C,0,0,1)*1</f>
        <v>45944</v>
      </c>
      <c r="D671" s="118" t="str">
        <f>+_xlfn.XLOOKUP(PROYECTOS[[#This Row],[ID_NECESIDAD]],'1.RADICADOS'!G:G,'1.RADICADOS'!F:F,0,0,1)</f>
        <v>Liborina</v>
      </c>
      <c r="E671" s="257" t="str">
        <f>+_xlfn.XLOOKUP(PROYECTOS[[#This Row],[MUNICIPIO]],MUNICIPIOS!A:A,MUNICIPIOS!E:E,0,0,1)</f>
        <v>Occidente</v>
      </c>
      <c r="F671" s="257" t="e" cm="1">
        <f t="array" ref="F671">+_xlfn.XLOOKUP(PROYECTOS[[#This Row],[MUNICIPIO]],Table1[Municipio],MUNICIPIOS!F:F,0,0,1)</f>
        <v>#VALUE!</v>
      </c>
      <c r="G671" s="257" t="str">
        <f>+LOOKUP(PROYECTOS[[#This Row],[MUNICIPIO]],Table1[Municipio],Table1[Latitud])</f>
        <v>5,743808</v>
      </c>
      <c r="H671" s="258">
        <f>+LOOKUP(PROYECTOS[[#This Row],[MUNICIPIO]],Table1[Municipio],Table1[PDET])</f>
        <v>0</v>
      </c>
      <c r="I671" s="259">
        <f>+LOOKUP(PROYECTOS[[#This Row],[MUNICIPIO]],Table1[Municipio],Table1[ZOMAC])</f>
        <v>0</v>
      </c>
      <c r="J671" s="260" t="str" cm="1">
        <f t="array" ref="J671">_xlfn.TEXTJOIN(", ", TRUE, IF(radicados[ID PROYECTOS]=A671, radicados[RADICADO], ""))</f>
        <v>2025010545413</v>
      </c>
      <c r="K671" s="242">
        <v>2</v>
      </c>
      <c r="L671" s="212">
        <f>+_xlfn.XLOOKUP(PROYECTOS[[#This Row],[ID_NECESIDAD]],'1.RADICADOS'!G:G,'1.RADICADOS'!J:J,0,0,1)</f>
        <v>5167964597</v>
      </c>
      <c r="M671" s="247" t="s">
        <v>707</v>
      </c>
      <c r="N671" s="241" t="s">
        <v>1079</v>
      </c>
      <c r="O671" s="241" t="s">
        <v>7</v>
      </c>
      <c r="P671" s="255" t="s">
        <v>1907</v>
      </c>
      <c r="Q671" s="45"/>
      <c r="R671" s="166"/>
      <c r="S671" s="166"/>
      <c r="T671" s="258">
        <f>+_xlfn.XLOOKUP(PROYECTOS[[#This Row],[MUNICIPIO]],'4.CAP_ENDMNT'!B:B,'4.CAP_ENDMNT'!C:C,0,0,1)</f>
        <v>6</v>
      </c>
      <c r="U671" s="167">
        <f>+_xlfn.XLOOKUP(PROYECTOS[[#This Row],[MUNICIPIO]],'4.CAP_ENDMNT'!B:B,'4.CAP_ENDMNT'!D:D,0,0,1)</f>
        <v>8030428413.9210014</v>
      </c>
      <c r="V671" s="258">
        <f>+_xlfn.XLOOKUP(PROYECTOS[[#This Row],[MUNICIPIO]],'4.CAP_ENDMNT'!B:B,'4.CAP_ENDMNT'!E:E,0,0,1)</f>
        <v>3080588699.4500003</v>
      </c>
      <c r="W671" s="258">
        <f>+_xlfn.XLOOKUP(PROYECTOS[[#This Row],[MUNICIPIO]],'4.CAP_ENDMNT'!B:B,'4.CAP_ENDMNT'!F:F,0,0,1)</f>
        <v>4949839714.4710007</v>
      </c>
      <c r="X671" s="258">
        <f>+_xlfn.XLOOKUP(PROYECTOS[[#This Row],[MUNICIPIO]],'4.CAP_ENDMNT'!B:B,'4.CAP_ENDMNT'!G:G,0,0,1)</f>
        <v>1577607418.01</v>
      </c>
      <c r="Y671" s="258">
        <f>+_xlfn.XLOOKUP(PROYECTOS[[#This Row],[MUNICIPIO]],'4.CAP_ENDMNT'!B:B,'4.CAP_ENDMNT'!H:H,0,0,1)</f>
        <v>1800000000</v>
      </c>
      <c r="Z671" s="258">
        <f>+_xlfn.XLOOKUP(PROYECTOS[[#This Row],[MUNICIPIO]],'4.CAP_ENDMNT'!B:B,'4.CAP_ENDMNT'!I:I,0,0,1)</f>
        <v>3377607418.0100002</v>
      </c>
      <c r="AA671" s="134">
        <f>+_xlfn.XLOOKUP(PROYECTOS[[#This Row],[MUNICIPIO]],'4.CAP_ENDMNT'!B:B,'4.CAP_ENDMNT'!J:J,0,0,1)</f>
        <v>0.42060114901900014</v>
      </c>
      <c r="AB671" s="258">
        <f>+_xlfn.XLOOKUP(PROYECTOS[[#This Row],[MUNICIPIO]],'4.CAP_ENDMNT'!B:B,'4.CAP_ENDMNT'!K:K,0,0,1)</f>
        <v>4652820995.9110012</v>
      </c>
      <c r="AC671" s="258">
        <f>+_xlfn.XLOOKUP(PROYECTOS[[#This Row],[MUNICIPIO]],'4.CAP_ENDMNT'!B:B,'4.CAP_ENDMNT'!L:L,0,0,1)</f>
        <v>3722256796.7288013</v>
      </c>
      <c r="AD671" s="258">
        <f>+_xlfn.XLOOKUP(PROYECTOS[[#This Row],[MUNICIPIO]],'4.CAP_ENDMNT'!B:B,'4.CAP_ENDMNT'!M:M,0,0,1)</f>
        <v>2791692597.5466008</v>
      </c>
      <c r="AE671" s="134">
        <f>+_xlfn.XLOOKUP(PROYECTOS[[#This Row],[MUNICIPIO]],'4.CAP_ENDMNT'!B:B,'4.CAP_ENDMNT'!N:N,0,0,1)</f>
        <v>0.46707838501239612</v>
      </c>
      <c r="AF671" s="134">
        <f>+_xlfn.XLOOKUP(PROYECTOS[[#This Row],[MUNICIPIO]],'4.CAP_ENDMNT'!B:B,'4.CAP_ENDMNT'!O:O,0,0,1)</f>
        <v>0.73590701114566914</v>
      </c>
      <c r="AG671" s="134">
        <f>+_xlfn.XLOOKUP(PROYECTOS[[#This Row],[MUNICIPIO]],'4.CAP_ENDMNT'!B:B,'4.CAP_ENDMNT'!P:P,0,0,1)</f>
        <v>0.8</v>
      </c>
      <c r="AH671" s="258" t="str">
        <f>+_xlfn.XLOOKUP(PROYECTOS[[#This Row],[MUNICIPIO]],'4.CAP_ENDMNT'!B:B,'4.CAP_ENDMNT'!Q:Q,0,0,1)</f>
        <v>Cumple</v>
      </c>
      <c r="AI671" s="139">
        <f>+_xlfn.XLOOKUP(PROYECTOS[[#This Row],[MUNICIPIO]],'4.CAP_ENDMNT'!B:B,'4.CAP_ENDMNT'!V:V,0,0,1)</f>
        <v>558338519.50932014</v>
      </c>
      <c r="AJ671" s="139">
        <f>+_xlfn.XLOOKUP(PROYECTOS[[#This Row],[MUNICIPIO]],'4.CAP_ENDMNT'!B:B,'4.CAP_ENDMNT'!Y:Y,0,0,1)</f>
        <v>-4580433251.9440784</v>
      </c>
      <c r="AK671"/>
      <c r="AL671"/>
      <c r="AM671"/>
    </row>
    <row r="672" spans="1:39" ht="15" customHeight="1">
      <c r="A672" s="262">
        <v>791</v>
      </c>
      <c r="B672" s="232" t="str">
        <f>+_xlfn.XLOOKUP(PROYECTOS[[#This Row],[ID_NECESIDAD]],'1.RADICADOS'!G:G,'1.RADICADOS'!H:H,0,0,1)</f>
        <v>Construcción de pavimento rígido calle 28 entre cra 30 y 35, calle 31 entre cra 30 y 32, calle 32a entre cra 30 y 31, calle 33 entre cra 30 y 33, cra 31 entre calle 31 y 33, en el Corregimiento de el Tres Municipio de Turbo, Departamento de Antioquia</v>
      </c>
      <c r="C672" s="118">
        <f>+_xlfn.XLOOKUP(PROYECTOS[[#This Row],[ID_NECESIDAD]],'1.RADICADOS'!G:G,'1.RADICADOS'!C:C,0,0,1)*1</f>
        <v>45946</v>
      </c>
      <c r="D672" s="118" t="str">
        <f>+_xlfn.XLOOKUP(PROYECTOS[[#This Row],[ID_NECESIDAD]],'1.RADICADOS'!G:G,'1.RADICADOS'!F:F,0,0,1)</f>
        <v>Turbo</v>
      </c>
      <c r="E672" s="257" t="str">
        <f>+_xlfn.XLOOKUP(PROYECTOS[[#This Row],[MUNICIPIO]],MUNICIPIOS!A:A,MUNICIPIOS!E:E,0,0,1)</f>
        <v>Urabá</v>
      </c>
      <c r="F672" s="257" t="e" cm="1">
        <f t="array" ref="F672">+_xlfn.XLOOKUP(PROYECTOS[[#This Row],[MUNICIPIO]],Table1[Municipio],MUNICIPIOS!F:F,0,0,1)</f>
        <v>#VALUE!</v>
      </c>
      <c r="G672" s="257" t="str">
        <f>+LOOKUP(PROYECTOS[[#This Row],[MUNICIPIO]],Table1[Municipio],Table1[Latitud])</f>
        <v>6,149903</v>
      </c>
      <c r="H672" s="258">
        <f>+LOOKUP(PROYECTOS[[#This Row],[MUNICIPIO]],Table1[Municipio],Table1[PDET])</f>
        <v>0</v>
      </c>
      <c r="I672" s="259">
        <f>+LOOKUP(PROYECTOS[[#This Row],[MUNICIPIO]],Table1[Municipio],Table1[ZOMAC])</f>
        <v>0</v>
      </c>
      <c r="J672" s="260" t="str" cm="1">
        <f t="array" ref="J672">_xlfn.TEXTJOIN(", ", TRUE, IF(radicados[ID PROYECTOS]=A672, radicados[RADICADO], ""))</f>
        <v>2025010555706</v>
      </c>
      <c r="K672" s="240">
        <v>2</v>
      </c>
      <c r="L672" s="212">
        <f>+_xlfn.XLOOKUP(PROYECTOS[[#This Row],[ID_NECESIDAD]],'1.RADICADOS'!G:G,'1.RADICADOS'!J:J,0,0,1)</f>
        <v>4979083972</v>
      </c>
      <c r="M672" s="246" t="s">
        <v>401</v>
      </c>
      <c r="N672" s="205" t="s">
        <v>394</v>
      </c>
      <c r="O672" s="205" t="s">
        <v>18</v>
      </c>
      <c r="P672" s="256"/>
      <c r="Q672" s="45"/>
      <c r="R672" s="166"/>
      <c r="S672" s="166"/>
      <c r="T672" s="258">
        <f>+_xlfn.XLOOKUP(PROYECTOS[[#This Row],[MUNICIPIO]],'4.CAP_ENDMNT'!B:B,'4.CAP_ENDMNT'!C:C,0,0,1)</f>
        <v>5</v>
      </c>
      <c r="U672" s="167">
        <f>+_xlfn.XLOOKUP(PROYECTOS[[#This Row],[MUNICIPIO]],'4.CAP_ENDMNT'!B:B,'4.CAP_ENDMNT'!D:D,0,0,1)</f>
        <v>57277943756.629501</v>
      </c>
      <c r="V672" s="258">
        <f>+_xlfn.XLOOKUP(PROYECTOS[[#This Row],[MUNICIPIO]],'4.CAP_ENDMNT'!B:B,'4.CAP_ENDMNT'!E:E,0,0,1)</f>
        <v>34159399600.959999</v>
      </c>
      <c r="W672" s="258">
        <f>+_xlfn.XLOOKUP(PROYECTOS[[#This Row],[MUNICIPIO]],'4.CAP_ENDMNT'!B:B,'4.CAP_ENDMNT'!F:F,0,0,1)</f>
        <v>23118544155.669502</v>
      </c>
      <c r="X672" s="258">
        <f>+_xlfn.XLOOKUP(PROYECTOS[[#This Row],[MUNICIPIO]],'4.CAP_ENDMNT'!B:B,'4.CAP_ENDMNT'!G:G,0,0,1)</f>
        <v>3450000000</v>
      </c>
      <c r="Y672" s="258">
        <f>+_xlfn.XLOOKUP(PROYECTOS[[#This Row],[MUNICIPIO]],'4.CAP_ENDMNT'!B:B,'4.CAP_ENDMNT'!H:H,0,0,1)</f>
        <v>21452083665</v>
      </c>
      <c r="Z672" s="258">
        <f>+_xlfn.XLOOKUP(PROYECTOS[[#This Row],[MUNICIPIO]],'4.CAP_ENDMNT'!B:B,'4.CAP_ENDMNT'!I:I,0,0,1)</f>
        <v>24902083665</v>
      </c>
      <c r="AA672" s="134">
        <f>+_xlfn.XLOOKUP(PROYECTOS[[#This Row],[MUNICIPIO]],'4.CAP_ENDMNT'!B:B,'4.CAP_ENDMNT'!J:J,0,0,1)</f>
        <v>0.43475868775610099</v>
      </c>
      <c r="AB672" s="258">
        <f>+_xlfn.XLOOKUP(PROYECTOS[[#This Row],[MUNICIPIO]],'4.CAP_ENDMNT'!B:B,'4.CAP_ENDMNT'!K:K,0,0,1)</f>
        <v>32375860091.629501</v>
      </c>
      <c r="AC672" s="258">
        <f>+_xlfn.XLOOKUP(PROYECTOS[[#This Row],[MUNICIPIO]],'4.CAP_ENDMNT'!B:B,'4.CAP_ENDMNT'!L:L,0,0,1)</f>
        <v>25900688073.303604</v>
      </c>
      <c r="AD672" s="258">
        <f>+_xlfn.XLOOKUP(PROYECTOS[[#This Row],[MUNICIPIO]],'4.CAP_ENDMNT'!B:B,'4.CAP_ENDMNT'!M:M,0,0,1)</f>
        <v>19425516054.977699</v>
      </c>
      <c r="AE672" s="134">
        <f>+_xlfn.XLOOKUP(PROYECTOS[[#This Row],[MUNICIPIO]],'4.CAP_ENDMNT'!B:B,'4.CAP_ENDMNT'!N:N,0,0,1)</f>
        <v>0.13854262343712995</v>
      </c>
      <c r="AF672" s="134">
        <f>+_xlfn.XLOOKUP(PROYECTOS[[#This Row],[MUNICIPIO]],'4.CAP_ENDMNT'!B:B,'4.CAP_ENDMNT'!O:O,0,0,1)</f>
        <v>0.87015152665365447</v>
      </c>
      <c r="AG672" s="134">
        <f>+_xlfn.XLOOKUP(PROYECTOS[[#This Row],[MUNICIPIO]],'4.CAP_ENDMNT'!B:B,'4.CAP_ENDMNT'!P:P,0,0,1)</f>
        <v>0.8</v>
      </c>
      <c r="AH672" s="258" t="str">
        <f>+_xlfn.XLOOKUP(PROYECTOS[[#This Row],[MUNICIPIO]],'4.CAP_ENDMNT'!B:B,'4.CAP_ENDMNT'!Q:Q,0,0,1)</f>
        <v>Incumple</v>
      </c>
      <c r="AI672" s="139">
        <f>+_xlfn.XLOOKUP(PROYECTOS[[#This Row],[MUNICIPIO]],'4.CAP_ENDMNT'!B:B,'4.CAP_ENDMNT'!V:V,0,0,1)</f>
        <v>3885103210.9955401</v>
      </c>
      <c r="AJ672" s="139">
        <f>+_xlfn.XLOOKUP(PROYECTOS[[#This Row],[MUNICIPIO]],'4.CAP_ENDMNT'!B:B,'4.CAP_ENDMNT'!Y:Y,0,0,1)</f>
        <v>-114052861009.72676</v>
      </c>
      <c r="AK672"/>
      <c r="AL672"/>
      <c r="AM672"/>
    </row>
    <row r="673" spans="1:39" ht="15" customHeight="1">
      <c r="A673" s="262">
        <v>792</v>
      </c>
      <c r="B673" s="232" t="str">
        <f>+_xlfn.XLOOKUP(PROYECTOS[[#This Row],[ID_NECESIDAD]],'1.RADICADOS'!G:G,'1.RADICADOS'!H:H,0,0,1)</f>
        <v>Construcción de pavimento en concreto rígido en la Calle 59 (Chiguiros), Barrios 24 de Diciembre - Villa Carmen del Corregimiento de Currulao del Distrito de Turbo Antioquia</v>
      </c>
      <c r="C673" s="118">
        <f>+_xlfn.XLOOKUP(PROYECTOS[[#This Row],[ID_NECESIDAD]],'1.RADICADOS'!G:G,'1.RADICADOS'!C:C,0,0,1)*1</f>
        <v>45946</v>
      </c>
      <c r="D673" s="118" t="str">
        <f>+_xlfn.XLOOKUP(PROYECTOS[[#This Row],[ID_NECESIDAD]],'1.RADICADOS'!G:G,'1.RADICADOS'!F:F,0,0,1)</f>
        <v>Turbo</v>
      </c>
      <c r="E673" s="257" t="str">
        <f>+_xlfn.XLOOKUP(PROYECTOS[[#This Row],[MUNICIPIO]],MUNICIPIOS!A:A,MUNICIPIOS!E:E,0,0,1)</f>
        <v>Urabá</v>
      </c>
      <c r="F673" s="257" t="e" cm="1">
        <f t="array" ref="F673">+_xlfn.XLOOKUP(PROYECTOS[[#This Row],[MUNICIPIO]],Table1[Municipio],MUNICIPIOS!F:F,0,0,1)</f>
        <v>#VALUE!</v>
      </c>
      <c r="G673" s="257" t="str">
        <f>+LOOKUP(PROYECTOS[[#This Row],[MUNICIPIO]],Table1[Municipio],Table1[Latitud])</f>
        <v>6,149903</v>
      </c>
      <c r="H673" s="258">
        <f>+LOOKUP(PROYECTOS[[#This Row],[MUNICIPIO]],Table1[Municipio],Table1[PDET])</f>
        <v>0</v>
      </c>
      <c r="I673" s="259">
        <f>+LOOKUP(PROYECTOS[[#This Row],[MUNICIPIO]],Table1[Municipio],Table1[ZOMAC])</f>
        <v>0</v>
      </c>
      <c r="J673" s="260" t="str" cm="1">
        <f t="array" ref="J673">_xlfn.TEXTJOIN(", ", TRUE, IF(radicados[ID PROYECTOS]=A673, radicados[RADICADO], ""))</f>
        <v>2025010555767</v>
      </c>
      <c r="K673" s="242">
        <v>2</v>
      </c>
      <c r="L673" s="212">
        <f>+_xlfn.XLOOKUP(PROYECTOS[[#This Row],[ID_NECESIDAD]],'1.RADICADOS'!G:G,'1.RADICADOS'!J:J,0,0,1)</f>
        <v>5882471207</v>
      </c>
      <c r="M673" s="247" t="s">
        <v>401</v>
      </c>
      <c r="N673" s="241" t="s">
        <v>394</v>
      </c>
      <c r="O673" s="241" t="s">
        <v>18</v>
      </c>
      <c r="P673" s="255"/>
      <c r="Q673" s="45"/>
      <c r="R673" s="166"/>
      <c r="S673" s="166"/>
      <c r="T673" s="258">
        <f>+_xlfn.XLOOKUP(PROYECTOS[[#This Row],[MUNICIPIO]],'4.CAP_ENDMNT'!B:B,'4.CAP_ENDMNT'!C:C,0,0,1)</f>
        <v>5</v>
      </c>
      <c r="U673" s="167">
        <f>+_xlfn.XLOOKUP(PROYECTOS[[#This Row],[MUNICIPIO]],'4.CAP_ENDMNT'!B:B,'4.CAP_ENDMNT'!D:D,0,0,1)</f>
        <v>57277943756.629501</v>
      </c>
      <c r="V673" s="258">
        <f>+_xlfn.XLOOKUP(PROYECTOS[[#This Row],[MUNICIPIO]],'4.CAP_ENDMNT'!B:B,'4.CAP_ENDMNT'!E:E,0,0,1)</f>
        <v>34159399600.959999</v>
      </c>
      <c r="W673" s="258">
        <f>+_xlfn.XLOOKUP(PROYECTOS[[#This Row],[MUNICIPIO]],'4.CAP_ENDMNT'!B:B,'4.CAP_ENDMNT'!F:F,0,0,1)</f>
        <v>23118544155.669502</v>
      </c>
      <c r="X673" s="258">
        <f>+_xlfn.XLOOKUP(PROYECTOS[[#This Row],[MUNICIPIO]],'4.CAP_ENDMNT'!B:B,'4.CAP_ENDMNT'!G:G,0,0,1)</f>
        <v>3450000000</v>
      </c>
      <c r="Y673" s="258">
        <f>+_xlfn.XLOOKUP(PROYECTOS[[#This Row],[MUNICIPIO]],'4.CAP_ENDMNT'!B:B,'4.CAP_ENDMNT'!H:H,0,0,1)</f>
        <v>21452083665</v>
      </c>
      <c r="Z673" s="258">
        <f>+_xlfn.XLOOKUP(PROYECTOS[[#This Row],[MUNICIPIO]],'4.CAP_ENDMNT'!B:B,'4.CAP_ENDMNT'!I:I,0,0,1)</f>
        <v>24902083665</v>
      </c>
      <c r="AA673" s="134">
        <f>+_xlfn.XLOOKUP(PROYECTOS[[#This Row],[MUNICIPIO]],'4.CAP_ENDMNT'!B:B,'4.CAP_ENDMNT'!J:J,0,0,1)</f>
        <v>0.43475868775610099</v>
      </c>
      <c r="AB673" s="258">
        <f>+_xlfn.XLOOKUP(PROYECTOS[[#This Row],[MUNICIPIO]],'4.CAP_ENDMNT'!B:B,'4.CAP_ENDMNT'!K:K,0,0,1)</f>
        <v>32375860091.629501</v>
      </c>
      <c r="AC673" s="258">
        <f>+_xlfn.XLOOKUP(PROYECTOS[[#This Row],[MUNICIPIO]],'4.CAP_ENDMNT'!B:B,'4.CAP_ENDMNT'!L:L,0,0,1)</f>
        <v>25900688073.303604</v>
      </c>
      <c r="AD673" s="258">
        <f>+_xlfn.XLOOKUP(PROYECTOS[[#This Row],[MUNICIPIO]],'4.CAP_ENDMNT'!B:B,'4.CAP_ENDMNT'!M:M,0,0,1)</f>
        <v>19425516054.977699</v>
      </c>
      <c r="AE673" s="134">
        <f>+_xlfn.XLOOKUP(PROYECTOS[[#This Row],[MUNICIPIO]],'4.CAP_ENDMNT'!B:B,'4.CAP_ENDMNT'!N:N,0,0,1)</f>
        <v>0.13854262343712995</v>
      </c>
      <c r="AF673" s="134">
        <f>+_xlfn.XLOOKUP(PROYECTOS[[#This Row],[MUNICIPIO]],'4.CAP_ENDMNT'!B:B,'4.CAP_ENDMNT'!O:O,0,0,1)</f>
        <v>0.87015152665365447</v>
      </c>
      <c r="AG673" s="134">
        <f>+_xlfn.XLOOKUP(PROYECTOS[[#This Row],[MUNICIPIO]],'4.CAP_ENDMNT'!B:B,'4.CAP_ENDMNT'!P:P,0,0,1)</f>
        <v>0.8</v>
      </c>
      <c r="AH673" s="258" t="str">
        <f>+_xlfn.XLOOKUP(PROYECTOS[[#This Row],[MUNICIPIO]],'4.CAP_ENDMNT'!B:B,'4.CAP_ENDMNT'!Q:Q,0,0,1)</f>
        <v>Incumple</v>
      </c>
      <c r="AI673" s="139">
        <f>+_xlfn.XLOOKUP(PROYECTOS[[#This Row],[MUNICIPIO]],'4.CAP_ENDMNT'!B:B,'4.CAP_ENDMNT'!V:V,0,0,1)</f>
        <v>3885103210.9955401</v>
      </c>
      <c r="AJ673" s="139">
        <f>+_xlfn.XLOOKUP(PROYECTOS[[#This Row],[MUNICIPIO]],'4.CAP_ENDMNT'!B:B,'4.CAP_ENDMNT'!Y:Y,0,0,1)</f>
        <v>-114052861009.72676</v>
      </c>
      <c r="AK673"/>
      <c r="AL673"/>
      <c r="AM673"/>
    </row>
    <row r="674" spans="1:39" ht="15" customHeight="1">
      <c r="A674" s="262">
        <v>793</v>
      </c>
      <c r="B674" s="232" t="str">
        <f>+_xlfn.XLOOKUP(PROYECTOS[[#This Row],[ID_NECESIDAD]],'1.RADICADOS'!G:G,'1.RADICADOS'!H:H,0,0,1)</f>
        <v>CONSTRUCCION DEL PUENTE VEHICULAR QUE COMUNICA LA VEREDA SAN PEDRO CON EL CASCO URBANO DEL MUNICIPIO DE ALEJANDRIA ANTIOQUIA</v>
      </c>
      <c r="C674" s="118">
        <f>+_xlfn.XLOOKUP(PROYECTOS[[#This Row],[ID_NECESIDAD]],'1.RADICADOS'!G:G,'1.RADICADOS'!C:C,0,0,1)*1</f>
        <v>45938</v>
      </c>
      <c r="D674" s="118" t="str">
        <f>+_xlfn.XLOOKUP(PROYECTOS[[#This Row],[ID_NECESIDAD]],'1.RADICADOS'!G:G,'1.RADICADOS'!F:F,0,0,1)</f>
        <v>Alejandría</v>
      </c>
      <c r="E674" s="257" t="str">
        <f>+_xlfn.XLOOKUP(PROYECTOS[[#This Row],[MUNICIPIO]],MUNICIPIOS!A:A,MUNICIPIOS!E:E,0,0,1)</f>
        <v>Oriente</v>
      </c>
      <c r="F674" s="257" t="e" cm="1">
        <f t="array" ref="F674">+_xlfn.XLOOKUP(PROYECTOS[[#This Row],[MUNICIPIO]],Table1[Municipio],MUNICIPIOS!F:F,0,0,1)</f>
        <v>#VALUE!</v>
      </c>
      <c r="G674" s="257" t="e">
        <f>+LOOKUP(PROYECTOS[[#This Row],[MUNICIPIO]],Table1[Municipio],Table1[Latitud])</f>
        <v>#N/A</v>
      </c>
      <c r="H674" s="258" t="e">
        <f>+LOOKUP(PROYECTOS[[#This Row],[MUNICIPIO]],Table1[Municipio],Table1[PDET])</f>
        <v>#N/A</v>
      </c>
      <c r="I674" s="259" t="e">
        <f>+LOOKUP(PROYECTOS[[#This Row],[MUNICIPIO]],Table1[Municipio],Table1[ZOMAC])</f>
        <v>#N/A</v>
      </c>
      <c r="J674" s="260" t="str" cm="1">
        <f t="array" ref="J674">_xlfn.TEXTJOIN(", ", TRUE, IF(radicados[ID PROYECTOS]=A674, radicados[RADICADO], ""))</f>
        <v>2025010540633</v>
      </c>
      <c r="K674" s="240">
        <v>2</v>
      </c>
      <c r="L674" s="212">
        <f>+_xlfn.XLOOKUP(PROYECTOS[[#This Row],[ID_NECESIDAD]],'1.RADICADOS'!G:G,'1.RADICADOS'!J:J,0,0,1)</f>
        <v>2510160150</v>
      </c>
      <c r="M674" s="246" t="s">
        <v>435</v>
      </c>
      <c r="N674" s="205" t="s">
        <v>398</v>
      </c>
      <c r="O674" s="205" t="s">
        <v>25</v>
      </c>
      <c r="P674" s="256" t="s">
        <v>1908</v>
      </c>
      <c r="Q674" s="45"/>
      <c r="R674" s="166"/>
      <c r="S674" s="166"/>
      <c r="T674" s="258">
        <f>+_xlfn.XLOOKUP(PROYECTOS[[#This Row],[MUNICIPIO]],'4.CAP_ENDMNT'!B:B,'4.CAP_ENDMNT'!C:C,0,0,1)</f>
        <v>6</v>
      </c>
      <c r="U674" s="167">
        <f>+_xlfn.XLOOKUP(PROYECTOS[[#This Row],[MUNICIPIO]],'4.CAP_ENDMNT'!B:B,'4.CAP_ENDMNT'!D:D,0,0,1)</f>
        <v>8362831920.7600002</v>
      </c>
      <c r="V674" s="258">
        <f>+_xlfn.XLOOKUP(PROYECTOS[[#This Row],[MUNICIPIO]],'4.CAP_ENDMNT'!B:B,'4.CAP_ENDMNT'!E:E,0,0,1)</f>
        <v>2199279418.0799999</v>
      </c>
      <c r="W674" s="258">
        <f>+_xlfn.XLOOKUP(PROYECTOS[[#This Row],[MUNICIPIO]],'4.CAP_ENDMNT'!B:B,'4.CAP_ENDMNT'!F:F,0,0,1)</f>
        <v>6163552502.6800003</v>
      </c>
      <c r="X674" s="258">
        <f>+_xlfn.XLOOKUP(PROYECTOS[[#This Row],[MUNICIPIO]],'4.CAP_ENDMNT'!B:B,'4.CAP_ENDMNT'!G:G,0,0,1)</f>
        <v>284104325</v>
      </c>
      <c r="Y674" s="258">
        <f>+_xlfn.XLOOKUP(PROYECTOS[[#This Row],[MUNICIPIO]],'4.CAP_ENDMNT'!B:B,'4.CAP_ENDMNT'!H:H,0,0,1)</f>
        <v>209000000</v>
      </c>
      <c r="Z674" s="258">
        <f>+_xlfn.XLOOKUP(PROYECTOS[[#This Row],[MUNICIPIO]],'4.CAP_ENDMNT'!B:B,'4.CAP_ENDMNT'!I:I,0,0,1)</f>
        <v>493104325</v>
      </c>
      <c r="AA674" s="134">
        <f>+_xlfn.XLOOKUP(PROYECTOS[[#This Row],[MUNICIPIO]],'4.CAP_ENDMNT'!B:B,'4.CAP_ENDMNT'!J:J,0,0,1)</f>
        <v>5.8963797152961017E-2</v>
      </c>
      <c r="AB674" s="258">
        <f>+_xlfn.XLOOKUP(PROYECTOS[[#This Row],[MUNICIPIO]],'4.CAP_ENDMNT'!B:B,'4.CAP_ENDMNT'!K:K,0,0,1)</f>
        <v>7869727595.7600002</v>
      </c>
      <c r="AC674" s="258">
        <f>+_xlfn.XLOOKUP(PROYECTOS[[#This Row],[MUNICIPIO]],'4.CAP_ENDMNT'!B:B,'4.CAP_ENDMNT'!L:L,0,0,1)</f>
        <v>6295782076.6080008</v>
      </c>
      <c r="AD674" s="258">
        <f>+_xlfn.XLOOKUP(PROYECTOS[[#This Row],[MUNICIPIO]],'4.CAP_ENDMNT'!B:B,'4.CAP_ENDMNT'!M:M,0,0,1)</f>
        <v>4721836557.4560003</v>
      </c>
      <c r="AE674" s="134">
        <f>+_xlfn.XLOOKUP(PROYECTOS[[#This Row],[MUNICIPIO]],'4.CAP_ENDMNT'!B:B,'4.CAP_ENDMNT'!N:N,0,0,1)</f>
        <v>0.57615459973911198</v>
      </c>
      <c r="AF674" s="134">
        <f>+_xlfn.XLOOKUP(PROYECTOS[[#This Row],[MUNICIPIO]],'4.CAP_ENDMNT'!B:B,'4.CAP_ENDMNT'!O:O,0,0,1)</f>
        <v>0.61308928502962989</v>
      </c>
      <c r="AG674" s="134">
        <f>+_xlfn.XLOOKUP(PROYECTOS[[#This Row],[MUNICIPIO]],'4.CAP_ENDMNT'!B:B,'4.CAP_ENDMNT'!P:P,0,0,1)</f>
        <v>0.8</v>
      </c>
      <c r="AH674" s="258" t="str">
        <f>+_xlfn.XLOOKUP(PROYECTOS[[#This Row],[MUNICIPIO]],'4.CAP_ENDMNT'!B:B,'4.CAP_ENDMNT'!Q:Q,0,0,1)</f>
        <v>Cumple</v>
      </c>
      <c r="AI674" s="139">
        <f>+_xlfn.XLOOKUP(PROYECTOS[[#This Row],[MUNICIPIO]],'4.CAP_ENDMNT'!B:B,'4.CAP_ENDMNT'!V:V,0,0,1)</f>
        <v>944367311.49120009</v>
      </c>
      <c r="AJ674" s="139">
        <f>+_xlfn.XLOOKUP(PROYECTOS[[#This Row],[MUNICIPIO]],'4.CAP_ENDMNT'!B:B,'4.CAP_ENDMNT'!Y:Y,0,0,1)</f>
        <v>-7856322705.0527992</v>
      </c>
      <c r="AK674"/>
      <c r="AL674"/>
      <c r="AM674"/>
    </row>
    <row r="675" spans="1:39" ht="15" customHeight="1">
      <c r="A675" s="262">
        <v>794</v>
      </c>
      <c r="B675" s="232" t="str">
        <f>+_xlfn.XLOOKUP(PROYECTOS[[#This Row],[ID_NECESIDAD]],'1.RADICADOS'!G:G,'1.RADICADOS'!H:H,0,0,1)</f>
        <v>Evaluar puntos prioritarios Fredonia - Vereda Piedra Verde con codigo 60AN11</v>
      </c>
      <c r="C675" s="118">
        <f>+_xlfn.XLOOKUP(PROYECTOS[[#This Row],[ID_NECESIDAD]],'1.RADICADOS'!G:G,'1.RADICADOS'!C:C,0,0,1)*1</f>
        <v>45930</v>
      </c>
      <c r="D675" s="118" t="str">
        <f>+_xlfn.XLOOKUP(PROYECTOS[[#This Row],[ID_NECESIDAD]],'1.RADICADOS'!G:G,'1.RADICADOS'!F:F,0,0,1)</f>
        <v>Fredonia</v>
      </c>
      <c r="E675" s="257" t="str">
        <f>+_xlfn.XLOOKUP(PROYECTOS[[#This Row],[MUNICIPIO]],MUNICIPIOS!A:A,MUNICIPIOS!E:E,0,0,1)</f>
        <v>Suroeste</v>
      </c>
      <c r="F675" s="257" t="e" cm="1">
        <f t="array" ref="F675">+_xlfn.XLOOKUP(PROYECTOS[[#This Row],[MUNICIPIO]],Table1[Municipio],MUNICIPIOS!F:F,0,0,1)</f>
        <v>#VALUE!</v>
      </c>
      <c r="G675" s="257" t="str">
        <f>+LOOKUP(PROYECTOS[[#This Row],[MUNICIPIO]],Table1[Municipio],Table1[Latitud])</f>
        <v>6,136871</v>
      </c>
      <c r="H675" s="258">
        <f>+LOOKUP(PROYECTOS[[#This Row],[MUNICIPIO]],Table1[Municipio],Table1[PDET])</f>
        <v>0</v>
      </c>
      <c r="I675" s="259">
        <f>+LOOKUP(PROYECTOS[[#This Row],[MUNICIPIO]],Table1[Municipio],Table1[ZOMAC])</f>
        <v>0</v>
      </c>
      <c r="J675" s="260" t="str" cm="1">
        <f t="array" ref="J675">_xlfn.TEXTJOIN(", ", TRUE, IF(radicados[ID PROYECTOS]=A675, radicados[RADICADO], ""))</f>
        <v>2025010523001</v>
      </c>
      <c r="K675" s="242">
        <v>1</v>
      </c>
      <c r="L675" s="212"/>
      <c r="M675" s="247" t="s">
        <v>407</v>
      </c>
      <c r="N675" s="241" t="s">
        <v>397</v>
      </c>
      <c r="O675" s="241" t="s">
        <v>56</v>
      </c>
      <c r="P675" s="255" t="s">
        <v>1909</v>
      </c>
      <c r="Q675" s="45"/>
      <c r="R675" s="166"/>
      <c r="S675" s="166"/>
      <c r="T675" s="258">
        <f>+_xlfn.XLOOKUP(PROYECTOS[[#This Row],[MUNICIPIO]],'4.CAP_ENDMNT'!B:B,'4.CAP_ENDMNT'!C:C,0,0,1)</f>
        <v>6</v>
      </c>
      <c r="U675" s="167">
        <f>+_xlfn.XLOOKUP(PROYECTOS[[#This Row],[MUNICIPIO]],'4.CAP_ENDMNT'!B:B,'4.CAP_ENDMNT'!D:D,0,0,1)</f>
        <v>17515986067.273998</v>
      </c>
      <c r="V675" s="258">
        <f>+_xlfn.XLOOKUP(PROYECTOS[[#This Row],[MUNICIPIO]],'4.CAP_ENDMNT'!B:B,'4.CAP_ENDMNT'!E:E,0,0,1)</f>
        <v>8346764868.3600006</v>
      </c>
      <c r="W675" s="258">
        <f>+_xlfn.XLOOKUP(PROYECTOS[[#This Row],[MUNICIPIO]],'4.CAP_ENDMNT'!B:B,'4.CAP_ENDMNT'!F:F,0,0,1)</f>
        <v>9169221198.9139977</v>
      </c>
      <c r="X675" s="258">
        <f>+_xlfn.XLOOKUP(PROYECTOS[[#This Row],[MUNICIPIO]],'4.CAP_ENDMNT'!B:B,'4.CAP_ENDMNT'!G:G,0,0,1)</f>
        <v>0</v>
      </c>
      <c r="Y675" s="258">
        <f>+_xlfn.XLOOKUP(PROYECTOS[[#This Row],[MUNICIPIO]],'4.CAP_ENDMNT'!B:B,'4.CAP_ENDMNT'!H:H,0,0,1)</f>
        <v>6328650461</v>
      </c>
      <c r="Z675" s="258">
        <f>+_xlfn.XLOOKUP(PROYECTOS[[#This Row],[MUNICIPIO]],'4.CAP_ENDMNT'!B:B,'4.CAP_ENDMNT'!I:I,0,0,1)</f>
        <v>6328650461</v>
      </c>
      <c r="AA675" s="134">
        <f>+_xlfn.XLOOKUP(PROYECTOS[[#This Row],[MUNICIPIO]],'4.CAP_ENDMNT'!B:B,'4.CAP_ENDMNT'!J:J,0,0,1)</f>
        <v>0.36130711891945022</v>
      </c>
      <c r="AB675" s="258">
        <f>+_xlfn.XLOOKUP(PROYECTOS[[#This Row],[MUNICIPIO]],'4.CAP_ENDMNT'!B:B,'4.CAP_ENDMNT'!K:K,0,0,1)</f>
        <v>11187335606.273998</v>
      </c>
      <c r="AC675" s="258">
        <f>+_xlfn.XLOOKUP(PROYECTOS[[#This Row],[MUNICIPIO]],'4.CAP_ENDMNT'!B:B,'4.CAP_ENDMNT'!L:L,0,0,1)</f>
        <v>8949868485.0191994</v>
      </c>
      <c r="AD675" s="258">
        <f>+_xlfn.XLOOKUP(PROYECTOS[[#This Row],[MUNICIPIO]],'4.CAP_ENDMNT'!B:B,'4.CAP_ENDMNT'!M:M,0,0,1)</f>
        <v>6712401363.7643986</v>
      </c>
      <c r="AE675" s="134">
        <f>+_xlfn.XLOOKUP(PROYECTOS[[#This Row],[MUNICIPIO]],'4.CAP_ENDMNT'!B:B,'4.CAP_ENDMNT'!N:N,0,0,1)</f>
        <v>0</v>
      </c>
      <c r="AF675" s="134">
        <f>+_xlfn.XLOOKUP(PROYECTOS[[#This Row],[MUNICIPIO]],'4.CAP_ENDMNT'!B:B,'4.CAP_ENDMNT'!O:O,0,0,1)</f>
        <v>0.67376313277740918</v>
      </c>
      <c r="AG675" s="134">
        <f>+_xlfn.XLOOKUP(PROYECTOS[[#This Row],[MUNICIPIO]],'4.CAP_ENDMNT'!B:B,'4.CAP_ENDMNT'!P:P,0,0,1)</f>
        <v>0.8</v>
      </c>
      <c r="AH675" s="258" t="str">
        <f>+_xlfn.XLOOKUP(PROYECTOS[[#This Row],[MUNICIPIO]],'4.CAP_ENDMNT'!B:B,'4.CAP_ENDMNT'!Q:Q,0,0,1)</f>
        <v>Cumple</v>
      </c>
      <c r="AI675" s="139">
        <f>+_xlfn.XLOOKUP(PROYECTOS[[#This Row],[MUNICIPIO]],'4.CAP_ENDMNT'!B:B,'4.CAP_ENDMNT'!V:V,0,0,1)</f>
        <v>1342480272.7528799</v>
      </c>
      <c r="AJ675" s="139">
        <f>+_xlfn.XLOOKUP(PROYECTOS[[#This Row],[MUNICIPIO]],'4.CAP_ENDMNT'!B:B,'4.CAP_ENDMNT'!Y:Y,0,0,1)</f>
        <v>3280962216.5172787</v>
      </c>
      <c r="AK675"/>
      <c r="AL675"/>
      <c r="AM675"/>
    </row>
    <row r="676" spans="1:39" ht="15" customHeight="1">
      <c r="A676" s="262">
        <v>795</v>
      </c>
      <c r="B676" s="232" t="str">
        <f>+_xlfn.XLOOKUP(PROYECTOS[[#This Row],[ID_NECESIDAD]],'1.RADICADOS'!G:G,'1.RADICADOS'!H:H,0,0,1)</f>
        <v>MEJORAMIENTO DE LA INFRAESTRUCTURA VIAL MEDIANTE LA CONSTRUCCIÓN UN PAVIMENTO RÍGIDO EN LA VIA TERCIARIA DENOMINADA ALEJANDRÍA - BIZCOCHO DEL MUNICIPIO DE ALEJANDRÍA - ANTIOQUIA</v>
      </c>
      <c r="C676" s="118">
        <f>+_xlfn.XLOOKUP(PROYECTOS[[#This Row],[ID_NECESIDAD]],'1.RADICADOS'!G:G,'1.RADICADOS'!C:C,0,0,1)*1</f>
        <v>45933</v>
      </c>
      <c r="D676" s="118" t="str">
        <f>+_xlfn.XLOOKUP(PROYECTOS[[#This Row],[ID_NECESIDAD]],'1.RADICADOS'!G:G,'1.RADICADOS'!F:F,0,0,1)</f>
        <v>Alejandría</v>
      </c>
      <c r="E676" s="257" t="str">
        <f>+_xlfn.XLOOKUP(PROYECTOS[[#This Row],[MUNICIPIO]],MUNICIPIOS!A:A,MUNICIPIOS!E:E,0,0,1)</f>
        <v>Oriente</v>
      </c>
      <c r="F676" s="257" t="e" cm="1">
        <f t="array" ref="F676">+_xlfn.XLOOKUP(PROYECTOS[[#This Row],[MUNICIPIO]],Table1[Municipio],MUNICIPIOS!F:F,0,0,1)</f>
        <v>#VALUE!</v>
      </c>
      <c r="G676" s="257" t="e">
        <f>+LOOKUP(PROYECTOS[[#This Row],[MUNICIPIO]],Table1[Municipio],Table1[Latitud])</f>
        <v>#N/A</v>
      </c>
      <c r="H676" s="258" t="e">
        <f>+LOOKUP(PROYECTOS[[#This Row],[MUNICIPIO]],Table1[Municipio],Table1[PDET])</f>
        <v>#N/A</v>
      </c>
      <c r="I676" s="259" t="e">
        <f>+LOOKUP(PROYECTOS[[#This Row],[MUNICIPIO]],Table1[Municipio],Table1[ZOMAC])</f>
        <v>#N/A</v>
      </c>
      <c r="J676" s="260" t="str" cm="1">
        <f t="array" ref="J676">_xlfn.TEXTJOIN(", ", TRUE, IF(radicados[ID PROYECTOS]=A676, radicados[RADICADO], ""))</f>
        <v>2025010530660</v>
      </c>
      <c r="K676" s="242">
        <v>3</v>
      </c>
      <c r="L676" s="212">
        <f>+_xlfn.XLOOKUP(PROYECTOS[[#This Row],[ID_NECESIDAD]],'1.RADICADOS'!G:G,'1.RADICADOS'!J:J,0,0,1)</f>
        <v>4800000000</v>
      </c>
      <c r="M676" s="246" t="s">
        <v>401</v>
      </c>
      <c r="N676" s="205" t="s">
        <v>398</v>
      </c>
      <c r="O676" s="205" t="s">
        <v>25</v>
      </c>
      <c r="P676" s="256" t="s">
        <v>1910</v>
      </c>
      <c r="Q676" s="45"/>
      <c r="R676" s="166"/>
      <c r="S676" s="166"/>
      <c r="T676" s="258">
        <f>+_xlfn.XLOOKUP(PROYECTOS[[#This Row],[MUNICIPIO]],'4.CAP_ENDMNT'!B:B,'4.CAP_ENDMNT'!C:C,0,0,1)</f>
        <v>6</v>
      </c>
      <c r="U676" s="167">
        <f>+_xlfn.XLOOKUP(PROYECTOS[[#This Row],[MUNICIPIO]],'4.CAP_ENDMNT'!B:B,'4.CAP_ENDMNT'!D:D,0,0,1)</f>
        <v>8362831920.7600002</v>
      </c>
      <c r="V676" s="258">
        <f>+_xlfn.XLOOKUP(PROYECTOS[[#This Row],[MUNICIPIO]],'4.CAP_ENDMNT'!B:B,'4.CAP_ENDMNT'!E:E,0,0,1)</f>
        <v>2199279418.0799999</v>
      </c>
      <c r="W676" s="258">
        <f>+_xlfn.XLOOKUP(PROYECTOS[[#This Row],[MUNICIPIO]],'4.CAP_ENDMNT'!B:B,'4.CAP_ENDMNT'!F:F,0,0,1)</f>
        <v>6163552502.6800003</v>
      </c>
      <c r="X676" s="258">
        <f>+_xlfn.XLOOKUP(PROYECTOS[[#This Row],[MUNICIPIO]],'4.CAP_ENDMNT'!B:B,'4.CAP_ENDMNT'!G:G,0,0,1)</f>
        <v>284104325</v>
      </c>
      <c r="Y676" s="258">
        <f>+_xlfn.XLOOKUP(PROYECTOS[[#This Row],[MUNICIPIO]],'4.CAP_ENDMNT'!B:B,'4.CAP_ENDMNT'!H:H,0,0,1)</f>
        <v>209000000</v>
      </c>
      <c r="Z676" s="258">
        <f>+_xlfn.XLOOKUP(PROYECTOS[[#This Row],[MUNICIPIO]],'4.CAP_ENDMNT'!B:B,'4.CAP_ENDMNT'!I:I,0,0,1)</f>
        <v>493104325</v>
      </c>
      <c r="AA676" s="134">
        <f>+_xlfn.XLOOKUP(PROYECTOS[[#This Row],[MUNICIPIO]],'4.CAP_ENDMNT'!B:B,'4.CAP_ENDMNT'!J:J,0,0,1)</f>
        <v>5.8963797152961017E-2</v>
      </c>
      <c r="AB676" s="258">
        <f>+_xlfn.XLOOKUP(PROYECTOS[[#This Row],[MUNICIPIO]],'4.CAP_ENDMNT'!B:B,'4.CAP_ENDMNT'!K:K,0,0,1)</f>
        <v>7869727595.7600002</v>
      </c>
      <c r="AC676" s="258">
        <f>+_xlfn.XLOOKUP(PROYECTOS[[#This Row],[MUNICIPIO]],'4.CAP_ENDMNT'!B:B,'4.CAP_ENDMNT'!L:L,0,0,1)</f>
        <v>6295782076.6080008</v>
      </c>
      <c r="AD676" s="258">
        <f>+_xlfn.XLOOKUP(PROYECTOS[[#This Row],[MUNICIPIO]],'4.CAP_ENDMNT'!B:B,'4.CAP_ENDMNT'!M:M,0,0,1)</f>
        <v>4721836557.4560003</v>
      </c>
      <c r="AE676" s="134">
        <f>+_xlfn.XLOOKUP(PROYECTOS[[#This Row],[MUNICIPIO]],'4.CAP_ENDMNT'!B:B,'4.CAP_ENDMNT'!N:N,0,0,1)</f>
        <v>0.57615459973911198</v>
      </c>
      <c r="AF676" s="134">
        <f>+_xlfn.XLOOKUP(PROYECTOS[[#This Row],[MUNICIPIO]],'4.CAP_ENDMNT'!B:B,'4.CAP_ENDMNT'!O:O,0,0,1)</f>
        <v>0.61308928502962989</v>
      </c>
      <c r="AG676" s="134">
        <f>+_xlfn.XLOOKUP(PROYECTOS[[#This Row],[MUNICIPIO]],'4.CAP_ENDMNT'!B:B,'4.CAP_ENDMNT'!P:P,0,0,1)</f>
        <v>0.8</v>
      </c>
      <c r="AH676" s="258" t="str">
        <f>+_xlfn.XLOOKUP(PROYECTOS[[#This Row],[MUNICIPIO]],'4.CAP_ENDMNT'!B:B,'4.CAP_ENDMNT'!Q:Q,0,0,1)</f>
        <v>Cumple</v>
      </c>
      <c r="AI676" s="139">
        <f>+_xlfn.XLOOKUP(PROYECTOS[[#This Row],[MUNICIPIO]],'4.CAP_ENDMNT'!B:B,'4.CAP_ENDMNT'!V:V,0,0,1)</f>
        <v>944367311.49120009</v>
      </c>
      <c r="AJ676" s="139">
        <f>+_xlfn.XLOOKUP(PROYECTOS[[#This Row],[MUNICIPIO]],'4.CAP_ENDMNT'!B:B,'4.CAP_ENDMNT'!Y:Y,0,0,1)</f>
        <v>-7856322705.0527992</v>
      </c>
      <c r="AK676"/>
      <c r="AL676"/>
      <c r="AM676"/>
    </row>
    <row r="677" spans="1:39" ht="15" customHeight="1">
      <c r="A677" s="262">
        <v>796</v>
      </c>
      <c r="B677" s="232" t="str">
        <f>+_xlfn.XLOOKUP(PROYECTOS[[#This Row],[ID_NECESIDAD]],'1.RADICADOS'!G:G,'1.RADICADOS'!H:H,0,0,1)</f>
        <v>Pavimentación en concreto rígido y placa huella en la zona urbana del corregimiento Cedro y Pueblito del municipio de Yarumal</v>
      </c>
      <c r="C677" s="118">
        <f>+_xlfn.XLOOKUP(PROYECTOS[[#This Row],[ID_NECESIDAD]],'1.RADICADOS'!G:G,'1.RADICADOS'!C:C,0,0,1)*1</f>
        <v>45925</v>
      </c>
      <c r="D677" s="118" t="str">
        <f>+_xlfn.XLOOKUP(PROYECTOS[[#This Row],[ID_NECESIDAD]],'1.RADICADOS'!G:G,'1.RADICADOS'!F:F,0,0,1)</f>
        <v>Yarumal</v>
      </c>
      <c r="E677" s="257" t="str">
        <f>+_xlfn.XLOOKUP(PROYECTOS[[#This Row],[MUNICIPIO]],MUNICIPIOS!A:A,MUNICIPIOS!E:E,0,0,1)</f>
        <v>Norte</v>
      </c>
      <c r="F677" s="257" t="e" cm="1">
        <f t="array" ref="F677">+_xlfn.XLOOKUP(PROYECTOS[[#This Row],[MUNICIPIO]],Table1[Municipio],MUNICIPIOS!F:F,0,0,1)</f>
        <v>#VALUE!</v>
      </c>
      <c r="G677" s="257" t="str">
        <f>+LOOKUP(PROYECTOS[[#This Row],[MUNICIPIO]],Table1[Municipio],Table1[Latitud])</f>
        <v>6,149903</v>
      </c>
      <c r="H677" s="258">
        <f>+LOOKUP(PROYECTOS[[#This Row],[MUNICIPIO]],Table1[Municipio],Table1[PDET])</f>
        <v>0</v>
      </c>
      <c r="I677" s="259">
        <f>+LOOKUP(PROYECTOS[[#This Row],[MUNICIPIO]],Table1[Municipio],Table1[ZOMAC])</f>
        <v>0</v>
      </c>
      <c r="J677" s="260" t="str" cm="1">
        <f t="array" ref="J677">_xlfn.TEXTJOIN(", ", TRUE, IF(radicados[ID PROYECTOS]=A677, radicados[RADICADO], ""))</f>
        <v>2025010512596</v>
      </c>
      <c r="K677" s="242">
        <v>2</v>
      </c>
      <c r="L677" s="212">
        <f>+_xlfn.XLOOKUP(PROYECTOS[[#This Row],[ID_NECESIDAD]],'1.RADICADOS'!G:G,'1.RADICADOS'!J:J,0,0,1)</f>
        <v>188375713304</v>
      </c>
      <c r="M677" s="247" t="s">
        <v>401</v>
      </c>
      <c r="N677" s="241" t="s">
        <v>398</v>
      </c>
      <c r="O677" s="241" t="s">
        <v>25</v>
      </c>
      <c r="P677" s="255" t="s">
        <v>1911</v>
      </c>
      <c r="Q677" s="45"/>
      <c r="R677" s="166"/>
      <c r="S677" s="166"/>
      <c r="T677" s="258">
        <f>+_xlfn.XLOOKUP(PROYECTOS[[#This Row],[MUNICIPIO]],'4.CAP_ENDMNT'!B:B,'4.CAP_ENDMNT'!C:C,0,0,1)</f>
        <v>5</v>
      </c>
      <c r="U677" s="167">
        <f>+_xlfn.XLOOKUP(PROYECTOS[[#This Row],[MUNICIPIO]],'4.CAP_ENDMNT'!B:B,'4.CAP_ENDMNT'!D:D,0,0,1)</f>
        <v>36204719778.619003</v>
      </c>
      <c r="V677" s="258">
        <f>+_xlfn.XLOOKUP(PROYECTOS[[#This Row],[MUNICIPIO]],'4.CAP_ENDMNT'!B:B,'4.CAP_ENDMNT'!E:E,0,0,1)</f>
        <v>11082623753.610001</v>
      </c>
      <c r="W677" s="258">
        <f>+_xlfn.XLOOKUP(PROYECTOS[[#This Row],[MUNICIPIO]],'4.CAP_ENDMNT'!B:B,'4.CAP_ENDMNT'!F:F,0,0,1)</f>
        <v>25122096025.009003</v>
      </c>
      <c r="X677" s="258">
        <f>+_xlfn.XLOOKUP(PROYECTOS[[#This Row],[MUNICIPIO]],'4.CAP_ENDMNT'!B:B,'4.CAP_ENDMNT'!G:G,0,0,1)</f>
        <v>1291156679</v>
      </c>
      <c r="Y677" s="258">
        <f>+_xlfn.XLOOKUP(PROYECTOS[[#This Row],[MUNICIPIO]],'4.CAP_ENDMNT'!B:B,'4.CAP_ENDMNT'!H:H,0,0,1)</f>
        <v>12320355879.07</v>
      </c>
      <c r="Z677" s="258">
        <f>+_xlfn.XLOOKUP(PROYECTOS[[#This Row],[MUNICIPIO]],'4.CAP_ENDMNT'!B:B,'4.CAP_ENDMNT'!I:I,0,0,1)</f>
        <v>13611512558.07</v>
      </c>
      <c r="AA677" s="134">
        <f>+_xlfn.XLOOKUP(PROYECTOS[[#This Row],[MUNICIPIO]],'4.CAP_ENDMNT'!B:B,'4.CAP_ENDMNT'!J:J,0,0,1)</f>
        <v>0.37595961635113639</v>
      </c>
      <c r="AB677" s="258">
        <f>+_xlfn.XLOOKUP(PROYECTOS[[#This Row],[MUNICIPIO]],'4.CAP_ENDMNT'!B:B,'4.CAP_ENDMNT'!K:K,0,0,1)</f>
        <v>22593207220.549004</v>
      </c>
      <c r="AC677" s="258">
        <f>+_xlfn.XLOOKUP(PROYECTOS[[#This Row],[MUNICIPIO]],'4.CAP_ENDMNT'!B:B,'4.CAP_ENDMNT'!L:L,0,0,1)</f>
        <v>18074565776.439205</v>
      </c>
      <c r="AD677" s="258">
        <f>+_xlfn.XLOOKUP(PROYECTOS[[#This Row],[MUNICIPIO]],'4.CAP_ENDMNT'!B:B,'4.CAP_ENDMNT'!M:M,0,0,1)</f>
        <v>13555924332.329401</v>
      </c>
      <c r="AE677" s="134">
        <f>+_xlfn.XLOOKUP(PROYECTOS[[#This Row],[MUNICIPIO]],'4.CAP_ENDMNT'!B:B,'4.CAP_ENDMNT'!N:N,0,0,1)</f>
        <v>9.4857692963336279E-2</v>
      </c>
      <c r="AF677" s="134">
        <f>+_xlfn.XLOOKUP(PROYECTOS[[#This Row],[MUNICIPIO]],'4.CAP_ENDMNT'!B:B,'4.CAP_ENDMNT'!O:O,0,0,1)</f>
        <v>0.39053077044629697</v>
      </c>
      <c r="AG677" s="134">
        <f>+_xlfn.XLOOKUP(PROYECTOS[[#This Row],[MUNICIPIO]],'4.CAP_ENDMNT'!B:B,'4.CAP_ENDMNT'!P:P,0,0,1)</f>
        <v>0.8</v>
      </c>
      <c r="AH677" s="258" t="str">
        <f>+_xlfn.XLOOKUP(PROYECTOS[[#This Row],[MUNICIPIO]],'4.CAP_ENDMNT'!B:B,'4.CAP_ENDMNT'!Q:Q,0,0,1)</f>
        <v>Cumple</v>
      </c>
      <c r="AI677" s="139">
        <f>+_xlfn.XLOOKUP(PROYECTOS[[#This Row],[MUNICIPIO]],'4.CAP_ENDMNT'!B:B,'4.CAP_ENDMNT'!V:V,0,0,1)</f>
        <v>2711184866.4658804</v>
      </c>
      <c r="AJ677" s="139">
        <f>+_xlfn.XLOOKUP(PROYECTOS[[#This Row],[MUNICIPIO]],'4.CAP_ENDMNT'!B:B,'4.CAP_ENDMNT'!Y:Y,0,0,1)</f>
        <v>-192411827505.20471</v>
      </c>
      <c r="AK677"/>
      <c r="AL677"/>
      <c r="AM677"/>
    </row>
    <row r="678" spans="1:39" ht="15" customHeight="1">
      <c r="A678" s="262">
        <v>797</v>
      </c>
      <c r="B678" s="232" t="str">
        <f>+_xlfn.XLOOKUP(PROYECTOS[[#This Row],[ID_NECESIDAD]],'1.RADICADOS'!G:G,'1.RADICADOS'!H:H,0,0,1)</f>
        <v xml:space="preserve">Placa huella del Corregimiento la Balsilla del municipio de San Juan de Uraba </v>
      </c>
      <c r="C678" s="118">
        <f>+_xlfn.XLOOKUP(PROYECTOS[[#This Row],[ID_NECESIDAD]],'1.RADICADOS'!G:G,'1.RADICADOS'!C:C,0,0,1)*1</f>
        <v>45931</v>
      </c>
      <c r="D678" s="118" t="str">
        <f>+_xlfn.XLOOKUP(PROYECTOS[[#This Row],[ID_NECESIDAD]],'1.RADICADOS'!G:G,'1.RADICADOS'!F:F,0,0,1)</f>
        <v>San Juan de Urabá</v>
      </c>
      <c r="E678" s="257" t="str">
        <f>+_xlfn.XLOOKUP(PROYECTOS[[#This Row],[MUNICIPIO]],MUNICIPIOS!A:A,MUNICIPIOS!E:E,0,0,1)</f>
        <v>Urabá</v>
      </c>
      <c r="F678" s="257" t="e" cm="1">
        <f t="array" ref="F678">+_xlfn.XLOOKUP(PROYECTOS[[#This Row],[MUNICIPIO]],Table1[Municipio],MUNICIPIOS!F:F,0,0,1)</f>
        <v>#VALUE!</v>
      </c>
      <c r="G678" s="257" t="str">
        <f>+LOOKUP(PROYECTOS[[#This Row],[MUNICIPIO]],Table1[Municipio],Table1[Latitud])</f>
        <v>6,149903</v>
      </c>
      <c r="H678" s="258">
        <f>+LOOKUP(PROYECTOS[[#This Row],[MUNICIPIO]],Table1[Municipio],Table1[PDET])</f>
        <v>0</v>
      </c>
      <c r="I678" s="259">
        <f>+LOOKUP(PROYECTOS[[#This Row],[MUNICIPIO]],Table1[Municipio],Table1[ZOMAC])</f>
        <v>0</v>
      </c>
      <c r="J678" s="260" t="str" cm="1">
        <f t="array" ref="J678">_xlfn.TEXTJOIN(", ", TRUE, IF(radicados[ID PROYECTOS]=A678, radicados[RADICADO], ""))</f>
        <v>2025010527047</v>
      </c>
      <c r="K678" s="242">
        <v>2</v>
      </c>
      <c r="L678" s="212">
        <f>+_xlfn.XLOOKUP(PROYECTOS[[#This Row],[ID_NECESIDAD]],'1.RADICADOS'!G:G,'1.RADICADOS'!J:J,0,0,1)</f>
        <v>240000021</v>
      </c>
      <c r="M678" s="34" t="s">
        <v>288</v>
      </c>
      <c r="N678" s="205" t="s">
        <v>398</v>
      </c>
      <c r="O678" s="205" t="s">
        <v>25</v>
      </c>
      <c r="P678" s="256" t="s">
        <v>1912</v>
      </c>
      <c r="Q678" s="45"/>
      <c r="R678" s="166"/>
      <c r="S678" s="166"/>
      <c r="T678" s="258">
        <f>+_xlfn.XLOOKUP(PROYECTOS[[#This Row],[MUNICIPIO]],'4.CAP_ENDMNT'!B:B,'4.CAP_ENDMNT'!C:C,0,0,1)</f>
        <v>6</v>
      </c>
      <c r="U678" s="167">
        <f>+_xlfn.XLOOKUP(PROYECTOS[[#This Row],[MUNICIPIO]],'4.CAP_ENDMNT'!B:B,'4.CAP_ENDMNT'!D:D,0,0,1)</f>
        <v>21558400486.167</v>
      </c>
      <c r="V678" s="258">
        <f>+_xlfn.XLOOKUP(PROYECTOS[[#This Row],[MUNICIPIO]],'4.CAP_ENDMNT'!B:B,'4.CAP_ENDMNT'!E:E,0,0,1)</f>
        <v>4028552935.2600002</v>
      </c>
      <c r="W678" s="258">
        <f>+_xlfn.XLOOKUP(PROYECTOS[[#This Row],[MUNICIPIO]],'4.CAP_ENDMNT'!B:B,'4.CAP_ENDMNT'!F:F,0,0,1)</f>
        <v>17529847550.906998</v>
      </c>
      <c r="X678" s="258">
        <f>+_xlfn.XLOOKUP(PROYECTOS[[#This Row],[MUNICIPIO]],'4.CAP_ENDMNT'!B:B,'4.CAP_ENDMNT'!G:G,0,0,1)</f>
        <v>573337825</v>
      </c>
      <c r="Y678" s="258">
        <f>+_xlfn.XLOOKUP(PROYECTOS[[#This Row],[MUNICIPIO]],'4.CAP_ENDMNT'!B:B,'4.CAP_ENDMNT'!H:H,0,0,1)</f>
        <v>3454671378</v>
      </c>
      <c r="Z678" s="258">
        <f>+_xlfn.XLOOKUP(PROYECTOS[[#This Row],[MUNICIPIO]],'4.CAP_ENDMNT'!B:B,'4.CAP_ENDMNT'!I:I,0,0,1)</f>
        <v>4028009203</v>
      </c>
      <c r="AA678" s="134">
        <f>+_xlfn.XLOOKUP(PROYECTOS[[#This Row],[MUNICIPIO]],'4.CAP_ENDMNT'!B:B,'4.CAP_ENDMNT'!J:J,0,0,1)</f>
        <v>0.18684174670493675</v>
      </c>
      <c r="AB678" s="258">
        <f>+_xlfn.XLOOKUP(PROYECTOS[[#This Row],[MUNICIPIO]],'4.CAP_ENDMNT'!B:B,'4.CAP_ENDMNT'!K:K,0,0,1)</f>
        <v>17530391283.167</v>
      </c>
      <c r="AC678" s="258">
        <f>+_xlfn.XLOOKUP(PROYECTOS[[#This Row],[MUNICIPIO]],'4.CAP_ENDMNT'!B:B,'4.CAP_ENDMNT'!L:L,0,0,1)</f>
        <v>14024313026.5336</v>
      </c>
      <c r="AD678" s="258">
        <f>+_xlfn.XLOOKUP(PROYECTOS[[#This Row],[MUNICIPIO]],'4.CAP_ENDMNT'!B:B,'4.CAP_ENDMNT'!M:M,0,0,1)</f>
        <v>10518234769.9002</v>
      </c>
      <c r="AE678" s="134">
        <f>+_xlfn.XLOOKUP(PROYECTOS[[#This Row],[MUNICIPIO]],'4.CAP_ENDMNT'!B:B,'4.CAP_ENDMNT'!N:N,0,0,1)</f>
        <v>0.14233776441548016</v>
      </c>
      <c r="AF678" s="134">
        <f>+_xlfn.XLOOKUP(PROYECTOS[[#This Row],[MUNICIPIO]],'4.CAP_ENDMNT'!B:B,'4.CAP_ENDMNT'!O:O,0,0,1)</f>
        <v>0.45202185420266422</v>
      </c>
      <c r="AG678" s="134">
        <f>+_xlfn.XLOOKUP(PROYECTOS[[#This Row],[MUNICIPIO]],'4.CAP_ENDMNT'!B:B,'4.CAP_ENDMNT'!P:P,0,0,1)</f>
        <v>0.8</v>
      </c>
      <c r="AH678" s="258" t="str">
        <f>+_xlfn.XLOOKUP(PROYECTOS[[#This Row],[MUNICIPIO]],'4.CAP_ENDMNT'!B:B,'4.CAP_ENDMNT'!Q:Q,0,0,1)</f>
        <v>Cumple</v>
      </c>
      <c r="AI678" s="139">
        <f>+_xlfn.XLOOKUP(PROYECTOS[[#This Row],[MUNICIPIO]],'4.CAP_ENDMNT'!B:B,'4.CAP_ENDMNT'!V:V,0,0,1)</f>
        <v>2103646953.9800401</v>
      </c>
      <c r="AJ678" s="139">
        <f>+_xlfn.XLOOKUP(PROYECTOS[[#This Row],[MUNICIPIO]],'4.CAP_ENDMNT'!B:B,'4.CAP_ENDMNT'!Y:Y,0,0,1)</f>
        <v>5454222483.8802395</v>
      </c>
      <c r="AK678"/>
      <c r="AL678"/>
      <c r="AM678"/>
    </row>
    <row r="679" spans="1:39" ht="15" customHeight="1">
      <c r="A679" s="262">
        <v>798</v>
      </c>
      <c r="B679" s="232" t="str">
        <f>+_xlfn.XLOOKUP(PROYECTOS[[#This Row],[ID_NECESIDAD]],'1.RADICADOS'!G:G,'1.RADICADOS'!H:H,0,0,1)</f>
        <v xml:space="preserve">PLACA HUELLA MINITAS SAN MATÍAS SGR- GRANADA </v>
      </c>
      <c r="C679" s="118">
        <f>+_xlfn.XLOOKUP(PROYECTOS[[#This Row],[ID_NECESIDAD]],'1.RADICADOS'!G:G,'1.RADICADOS'!C:C,0,0,1)*1</f>
        <v>45938</v>
      </c>
      <c r="D679" s="118" t="str">
        <f>+_xlfn.XLOOKUP(PROYECTOS[[#This Row],[ID_NECESIDAD]],'1.RADICADOS'!G:G,'1.RADICADOS'!F:F,0,0,1)</f>
        <v>Granada</v>
      </c>
      <c r="E679" s="257" t="str">
        <f>+_xlfn.XLOOKUP(PROYECTOS[[#This Row],[MUNICIPIO]],MUNICIPIOS!A:A,MUNICIPIOS!E:E,0,0,1)</f>
        <v>Oriente</v>
      </c>
      <c r="F679" s="257" t="e" cm="1">
        <f t="array" ref="F679">+_xlfn.XLOOKUP(PROYECTOS[[#This Row],[MUNICIPIO]],Table1[Municipio],MUNICIPIOS!F:F,0,0,1)</f>
        <v>#VALUE!</v>
      </c>
      <c r="G679" s="257" t="str">
        <f>+LOOKUP(PROYECTOS[[#This Row],[MUNICIPIO]],Table1[Municipio],Table1[Latitud])</f>
        <v>6,142892</v>
      </c>
      <c r="H679" s="258">
        <f>+LOOKUP(PROYECTOS[[#This Row],[MUNICIPIO]],Table1[Municipio],Table1[PDET])</f>
        <v>0</v>
      </c>
      <c r="I679" s="259">
        <f>+LOOKUP(PROYECTOS[[#This Row],[MUNICIPIO]],Table1[Municipio],Table1[ZOMAC])</f>
        <v>1</v>
      </c>
      <c r="J679" s="260" t="str" cm="1">
        <f t="array" ref="J679">_xlfn.TEXTJOIN(", ", TRUE, IF(radicados[ID PROYECTOS]=A679, radicados[RADICADO], ""))</f>
        <v>2025010542346</v>
      </c>
      <c r="K679" s="242">
        <v>3</v>
      </c>
      <c r="L679" s="212">
        <f>+_xlfn.XLOOKUP(PROYECTOS[[#This Row],[ID_NECESIDAD]],'1.RADICADOS'!G:G,'1.RADICADOS'!J:J,0,0,1)</f>
        <v>7498056832</v>
      </c>
      <c r="M679" s="34" t="s">
        <v>288</v>
      </c>
      <c r="N679" s="241" t="s">
        <v>398</v>
      </c>
      <c r="O679" s="241" t="s">
        <v>25</v>
      </c>
      <c r="P679" s="255" t="s">
        <v>1913</v>
      </c>
      <c r="Q679" s="45"/>
      <c r="R679" s="166"/>
      <c r="S679" s="166"/>
      <c r="T679" s="258">
        <f>+_xlfn.XLOOKUP(PROYECTOS[[#This Row],[MUNICIPIO]],'4.CAP_ENDMNT'!B:B,'4.CAP_ENDMNT'!C:C,0,0,1)</f>
        <v>6</v>
      </c>
      <c r="U679" s="167">
        <f>+_xlfn.XLOOKUP(PROYECTOS[[#This Row],[MUNICIPIO]],'4.CAP_ENDMNT'!B:B,'4.CAP_ENDMNT'!D:D,0,0,1)</f>
        <v>9100976268.0305004</v>
      </c>
      <c r="V679" s="258">
        <f>+_xlfn.XLOOKUP(PROYECTOS[[#This Row],[MUNICIPIO]],'4.CAP_ENDMNT'!B:B,'4.CAP_ENDMNT'!E:E,0,0,1)</f>
        <v>3221460794.1700001</v>
      </c>
      <c r="W679" s="258">
        <f>+_xlfn.XLOOKUP(PROYECTOS[[#This Row],[MUNICIPIO]],'4.CAP_ENDMNT'!B:B,'4.CAP_ENDMNT'!F:F,0,0,1)</f>
        <v>5879515473.8605003</v>
      </c>
      <c r="X679" s="258">
        <f>+_xlfn.XLOOKUP(PROYECTOS[[#This Row],[MUNICIPIO]],'4.CAP_ENDMNT'!B:B,'4.CAP_ENDMNT'!G:G,0,0,1)</f>
        <v>1026722956</v>
      </c>
      <c r="Y679" s="258">
        <f>+_xlfn.XLOOKUP(PROYECTOS[[#This Row],[MUNICIPIO]],'4.CAP_ENDMNT'!B:B,'4.CAP_ENDMNT'!H:H,0,0,1)</f>
        <v>190000000</v>
      </c>
      <c r="Z679" s="258">
        <f>+_xlfn.XLOOKUP(PROYECTOS[[#This Row],[MUNICIPIO]],'4.CAP_ENDMNT'!B:B,'4.CAP_ENDMNT'!I:I,0,0,1)</f>
        <v>1216722956</v>
      </c>
      <c r="AA679" s="134">
        <f>+_xlfn.XLOOKUP(PROYECTOS[[#This Row],[MUNICIPIO]],'4.CAP_ENDMNT'!B:B,'4.CAP_ENDMNT'!J:J,0,0,1)</f>
        <v>0.13369147662477152</v>
      </c>
      <c r="AB679" s="258">
        <f>+_xlfn.XLOOKUP(PROYECTOS[[#This Row],[MUNICIPIO]],'4.CAP_ENDMNT'!B:B,'4.CAP_ENDMNT'!K:K,0,0,1)</f>
        <v>7884253312.0305004</v>
      </c>
      <c r="AC679" s="258">
        <f>+_xlfn.XLOOKUP(PROYECTOS[[#This Row],[MUNICIPIO]],'4.CAP_ENDMNT'!B:B,'4.CAP_ENDMNT'!L:L,0,0,1)</f>
        <v>6307402649.6244011</v>
      </c>
      <c r="AD679" s="258">
        <f>+_xlfn.XLOOKUP(PROYECTOS[[#This Row],[MUNICIPIO]],'4.CAP_ENDMNT'!B:B,'4.CAP_ENDMNT'!M:M,0,0,1)</f>
        <v>4730551987.2182999</v>
      </c>
      <c r="AE679" s="134">
        <f>+_xlfn.XLOOKUP(PROYECTOS[[#This Row],[MUNICIPIO]],'4.CAP_ENDMNT'!B:B,'4.CAP_ENDMNT'!N:N,0,0,1)</f>
        <v>0.84384284108140062</v>
      </c>
      <c r="AF679" s="134">
        <f>+_xlfn.XLOOKUP(PROYECTOS[[#This Row],[MUNICIPIO]],'4.CAP_ENDMNT'!B:B,'4.CAP_ENDMNT'!O:O,0,0,1)</f>
        <v>0.65864601932480682</v>
      </c>
      <c r="AG679" s="134">
        <f>+_xlfn.XLOOKUP(PROYECTOS[[#This Row],[MUNICIPIO]],'4.CAP_ENDMNT'!B:B,'4.CAP_ENDMNT'!P:P,0,0,1)</f>
        <v>0.8</v>
      </c>
      <c r="AH679" s="258" t="str">
        <f>+_xlfn.XLOOKUP(PROYECTOS[[#This Row],[MUNICIPIO]],'4.CAP_ENDMNT'!B:B,'4.CAP_ENDMNT'!Q:Q,0,0,1)</f>
        <v>Cumple</v>
      </c>
      <c r="AI679" s="139">
        <f>+_xlfn.XLOOKUP(PROYECTOS[[#This Row],[MUNICIPIO]],'4.CAP_ENDMNT'!B:B,'4.CAP_ENDMNT'!V:V,0,0,1)</f>
        <v>946110397.44366002</v>
      </c>
      <c r="AJ679" s="139">
        <f>+_xlfn.XLOOKUP(PROYECTOS[[#This Row],[MUNICIPIO]],'4.CAP_ENDMNT'!B:B,'4.CAP_ENDMNT'!Y:Y,0,0,1)</f>
        <v>-37054965217.338043</v>
      </c>
      <c r="AK679"/>
      <c r="AL679"/>
      <c r="AM679"/>
    </row>
    <row r="680" spans="1:39" ht="15" customHeight="1">
      <c r="A680" s="262">
        <v>799</v>
      </c>
      <c r="B680" s="232" t="str">
        <f>+_xlfn.XLOOKUP(PROYECTOS[[#This Row],[ID_NECESIDAD]],'1.RADICADOS'!G:G,'1.RADICADOS'!H:H,0,0,1)</f>
        <v>MEJORAMIENTO VIAL MEDIANTE LA CONSTRUCCION DE PLACA HUELLA EN LA VEREDA EL PANDO, TIGRE 1, 2, 3 DEL MUNICIPIO DE CAUCASIA, ANTIOQUIA</v>
      </c>
      <c r="C680" s="118">
        <f>+_xlfn.XLOOKUP(PROYECTOS[[#This Row],[ID_NECESIDAD]],'1.RADICADOS'!G:G,'1.RADICADOS'!C:C,0,0,1)*1</f>
        <v>45933</v>
      </c>
      <c r="D680" s="118" t="str">
        <f>+_xlfn.XLOOKUP(PROYECTOS[[#This Row],[ID_NECESIDAD]],'1.RADICADOS'!G:G,'1.RADICADOS'!F:F,0,0,1)</f>
        <v>Caucasia</v>
      </c>
      <c r="E680" s="257" t="str">
        <f>+_xlfn.XLOOKUP(PROYECTOS[[#This Row],[MUNICIPIO]],MUNICIPIOS!A:A,MUNICIPIOS!E:E,0,0,1)</f>
        <v>Bajo Cauca</v>
      </c>
      <c r="F680" s="257" t="e" cm="1">
        <f t="array" ref="F680">+_xlfn.XLOOKUP(PROYECTOS[[#This Row],[MUNICIPIO]],Table1[Municipio],MUNICIPIOS!F:F,0,0,1)</f>
        <v>#VALUE!</v>
      </c>
      <c r="G680" s="257" t="str">
        <f>+LOOKUP(PROYECTOS[[#This Row],[MUNICIPIO]],Table1[Municipio],Table1[Latitud])</f>
        <v>7,074703</v>
      </c>
      <c r="H680" s="258">
        <f>+LOOKUP(PROYECTOS[[#This Row],[MUNICIPIO]],Table1[Municipio],Table1[PDET])</f>
        <v>1</v>
      </c>
      <c r="I680" s="259">
        <f>+LOOKUP(PROYECTOS[[#This Row],[MUNICIPIO]],Table1[Municipio],Table1[ZOMAC])</f>
        <v>1</v>
      </c>
      <c r="J680" s="260" t="str" cm="1">
        <f t="array" ref="J680">_xlfn.TEXTJOIN(", ", TRUE, IF(radicados[ID PROYECTOS]=A680, radicados[RADICADO], ""))</f>
        <v>2025010531610</v>
      </c>
      <c r="K680" s="242">
        <v>3</v>
      </c>
      <c r="L680" s="212">
        <f>+_xlfn.XLOOKUP(PROYECTOS[[#This Row],[ID_NECESIDAD]],'1.RADICADOS'!G:G,'1.RADICADOS'!J:J,0,0,1)</f>
        <v>5858098263</v>
      </c>
      <c r="M680" s="34" t="s">
        <v>288</v>
      </c>
      <c r="N680" s="205" t="s">
        <v>398</v>
      </c>
      <c r="O680" s="205" t="s">
        <v>25</v>
      </c>
      <c r="P680" s="256" t="s">
        <v>1913</v>
      </c>
      <c r="Q680" s="45"/>
      <c r="R680" s="166"/>
      <c r="S680" s="166"/>
      <c r="T680" s="258">
        <f>+_xlfn.XLOOKUP(PROYECTOS[[#This Row],[MUNICIPIO]],'4.CAP_ENDMNT'!B:B,'4.CAP_ENDMNT'!C:C,0,0,1)</f>
        <v>5</v>
      </c>
      <c r="U680" s="167">
        <f>+_xlfn.XLOOKUP(PROYECTOS[[#This Row],[MUNICIPIO]],'4.CAP_ENDMNT'!B:B,'4.CAP_ENDMNT'!D:D,0,0,1)</f>
        <v>55415011363.643501</v>
      </c>
      <c r="V680" s="258">
        <f>+_xlfn.XLOOKUP(PROYECTOS[[#This Row],[MUNICIPIO]],'4.CAP_ENDMNT'!B:B,'4.CAP_ENDMNT'!E:E,0,0,1)</f>
        <v>24252117123.400002</v>
      </c>
      <c r="W680" s="258">
        <f>+_xlfn.XLOOKUP(PROYECTOS[[#This Row],[MUNICIPIO]],'4.CAP_ENDMNT'!B:B,'4.CAP_ENDMNT'!F:F,0,0,1)</f>
        <v>31162894240.2435</v>
      </c>
      <c r="X680" s="258">
        <f>+_xlfn.XLOOKUP(PROYECTOS[[#This Row],[MUNICIPIO]],'4.CAP_ENDMNT'!B:B,'4.CAP_ENDMNT'!G:G,0,0,1)</f>
        <v>8970758412</v>
      </c>
      <c r="Y680" s="258">
        <f>+_xlfn.XLOOKUP(PROYECTOS[[#This Row],[MUNICIPIO]],'4.CAP_ENDMNT'!B:B,'4.CAP_ENDMNT'!H:H,0,0,1)</f>
        <v>3572173854.98</v>
      </c>
      <c r="Z680" s="258">
        <f>+_xlfn.XLOOKUP(PROYECTOS[[#This Row],[MUNICIPIO]],'4.CAP_ENDMNT'!B:B,'4.CAP_ENDMNT'!I:I,0,0,1)</f>
        <v>12542932266.98</v>
      </c>
      <c r="AA680" s="134">
        <f>+_xlfn.XLOOKUP(PROYECTOS[[#This Row],[MUNICIPIO]],'4.CAP_ENDMNT'!B:B,'4.CAP_ENDMNT'!J:J,0,0,1)</f>
        <v>0.22634538834019124</v>
      </c>
      <c r="AB680" s="258">
        <f>+_xlfn.XLOOKUP(PROYECTOS[[#This Row],[MUNICIPIO]],'4.CAP_ENDMNT'!B:B,'4.CAP_ENDMNT'!K:K,0,0,1)</f>
        <v>42872079096.663498</v>
      </c>
      <c r="AC680" s="258">
        <f>+_xlfn.XLOOKUP(PROYECTOS[[#This Row],[MUNICIPIO]],'4.CAP_ENDMNT'!B:B,'4.CAP_ENDMNT'!L:L,0,0,1)</f>
        <v>34297663277.330799</v>
      </c>
      <c r="AD680" s="258">
        <f>+_xlfn.XLOOKUP(PROYECTOS[[#This Row],[MUNICIPIO]],'4.CAP_ENDMNT'!B:B,'4.CAP_ENDMNT'!M:M,0,0,1)</f>
        <v>25723247457.998096</v>
      </c>
      <c r="AE680" s="134">
        <f>+_xlfn.XLOOKUP(PROYECTOS[[#This Row],[MUNICIPIO]],'4.CAP_ENDMNT'!B:B,'4.CAP_ENDMNT'!N:N,0,0,1)</f>
        <v>0.71520424578996133</v>
      </c>
      <c r="AF680" s="134">
        <f>+_xlfn.XLOOKUP(PROYECTOS[[#This Row],[MUNICIPIO]],'4.CAP_ENDMNT'!B:B,'4.CAP_ENDMNT'!O:O,0,0,1)</f>
        <v>0.67052010826145281</v>
      </c>
      <c r="AG680" s="134">
        <f>+_xlfn.XLOOKUP(PROYECTOS[[#This Row],[MUNICIPIO]],'4.CAP_ENDMNT'!B:B,'4.CAP_ENDMNT'!P:P,0,0,1)</f>
        <v>0.8</v>
      </c>
      <c r="AH680" s="258" t="str">
        <f>+_xlfn.XLOOKUP(PROYECTOS[[#This Row],[MUNICIPIO]],'4.CAP_ENDMNT'!B:B,'4.CAP_ENDMNT'!Q:Q,0,0,1)</f>
        <v>Cumple</v>
      </c>
      <c r="AI680" s="139">
        <f>+_xlfn.XLOOKUP(PROYECTOS[[#This Row],[MUNICIPIO]],'4.CAP_ENDMNT'!B:B,'4.CAP_ENDMNT'!V:V,0,0,1)</f>
        <v>5144649491.5996199</v>
      </c>
      <c r="AJ680" s="139">
        <f>+_xlfn.XLOOKUP(PROYECTOS[[#This Row],[MUNICIPIO]],'4.CAP_ENDMNT'!B:B,'4.CAP_ENDMNT'!Y:Y,0,0,1)</f>
        <v>3549126953.5977173</v>
      </c>
      <c r="AK680"/>
      <c r="AL680"/>
      <c r="AM680"/>
    </row>
    <row r="681" spans="1:39" ht="15" customHeight="1">
      <c r="A681" s="262">
        <v>800</v>
      </c>
      <c r="B681" s="232" t="str">
        <f>+_xlfn.XLOOKUP(PROYECTOS[[#This Row],[ID_NECESIDAD]],'1.RADICADOS'!G:G,'1.RADICADOS'!H:H,0,0,1)</f>
        <v>CONSTRUCCION DE PLACA HUELLA EN LA VÍA QUE CONDUCE DESDE EL CORREGIMIENTO DE CAMPO ALEGRE HACIA EL CORREGIMIENTO DE SANTA ROSITA DESDE LA ABSCISA K1+250 HASTA LA K2+250, ZONA RURAL DEL MUNICIPIO DE CAUCASIA.</v>
      </c>
      <c r="C681" s="118">
        <f>+_xlfn.XLOOKUP(PROYECTOS[[#This Row],[ID_NECESIDAD]],'1.RADICADOS'!G:G,'1.RADICADOS'!C:C,0,0,1)*1</f>
        <v>45940</v>
      </c>
      <c r="D681" s="118" t="str">
        <f>+_xlfn.XLOOKUP(PROYECTOS[[#This Row],[ID_NECESIDAD]],'1.RADICADOS'!G:G,'1.RADICADOS'!F:F,0,0,1)</f>
        <v>Caucasia</v>
      </c>
      <c r="E681" s="257" t="str">
        <f>+_xlfn.XLOOKUP(PROYECTOS[[#This Row],[MUNICIPIO]],MUNICIPIOS!A:A,MUNICIPIOS!E:E,0,0,1)</f>
        <v>Bajo Cauca</v>
      </c>
      <c r="F681" s="257" t="e" cm="1">
        <f t="array" ref="F681">+_xlfn.XLOOKUP(PROYECTOS[[#This Row],[MUNICIPIO]],Table1[Municipio],MUNICIPIOS!F:F,0,0,1)</f>
        <v>#VALUE!</v>
      </c>
      <c r="G681" s="257" t="str">
        <f>+LOOKUP(PROYECTOS[[#This Row],[MUNICIPIO]],Table1[Municipio],Table1[Latitud])</f>
        <v>7,074703</v>
      </c>
      <c r="H681" s="258">
        <f>+LOOKUP(PROYECTOS[[#This Row],[MUNICIPIO]],Table1[Municipio],Table1[PDET])</f>
        <v>1</v>
      </c>
      <c r="I681" s="259">
        <f>+LOOKUP(PROYECTOS[[#This Row],[MUNICIPIO]],Table1[Municipio],Table1[ZOMAC])</f>
        <v>1</v>
      </c>
      <c r="J681" s="260" t="str" cm="1">
        <f t="array" ref="J681">_xlfn.TEXTJOIN(", ", TRUE, IF(radicados[ID PROYECTOS]=A681, radicados[RADICADO], ""))</f>
        <v>2025010547350</v>
      </c>
      <c r="K681" s="242">
        <v>1</v>
      </c>
      <c r="L681" s="212">
        <f>+_xlfn.XLOOKUP(PROYECTOS[[#This Row],[ID_NECESIDAD]],'1.RADICADOS'!G:G,'1.RADICADOS'!J:J,0,0,1)</f>
        <v>2046420844</v>
      </c>
      <c r="M681" s="34" t="s">
        <v>288</v>
      </c>
      <c r="N681" s="241" t="s">
        <v>398</v>
      </c>
      <c r="O681" s="241" t="s">
        <v>25</v>
      </c>
      <c r="P681" s="255" t="s">
        <v>1914</v>
      </c>
      <c r="Q681" s="45"/>
      <c r="R681" s="166"/>
      <c r="S681" s="166"/>
      <c r="T681" s="258">
        <f>+_xlfn.XLOOKUP(PROYECTOS[[#This Row],[MUNICIPIO]],'4.CAP_ENDMNT'!B:B,'4.CAP_ENDMNT'!C:C,0,0,1)</f>
        <v>5</v>
      </c>
      <c r="U681" s="167">
        <f>+_xlfn.XLOOKUP(PROYECTOS[[#This Row],[MUNICIPIO]],'4.CAP_ENDMNT'!B:B,'4.CAP_ENDMNT'!D:D,0,0,1)</f>
        <v>55415011363.643501</v>
      </c>
      <c r="V681" s="258">
        <f>+_xlfn.XLOOKUP(PROYECTOS[[#This Row],[MUNICIPIO]],'4.CAP_ENDMNT'!B:B,'4.CAP_ENDMNT'!E:E,0,0,1)</f>
        <v>24252117123.400002</v>
      </c>
      <c r="W681" s="258">
        <f>+_xlfn.XLOOKUP(PROYECTOS[[#This Row],[MUNICIPIO]],'4.CAP_ENDMNT'!B:B,'4.CAP_ENDMNT'!F:F,0,0,1)</f>
        <v>31162894240.2435</v>
      </c>
      <c r="X681" s="258">
        <f>+_xlfn.XLOOKUP(PROYECTOS[[#This Row],[MUNICIPIO]],'4.CAP_ENDMNT'!B:B,'4.CAP_ENDMNT'!G:G,0,0,1)</f>
        <v>8970758412</v>
      </c>
      <c r="Y681" s="258">
        <f>+_xlfn.XLOOKUP(PROYECTOS[[#This Row],[MUNICIPIO]],'4.CAP_ENDMNT'!B:B,'4.CAP_ENDMNT'!H:H,0,0,1)</f>
        <v>3572173854.98</v>
      </c>
      <c r="Z681" s="258">
        <f>+_xlfn.XLOOKUP(PROYECTOS[[#This Row],[MUNICIPIO]],'4.CAP_ENDMNT'!B:B,'4.CAP_ENDMNT'!I:I,0,0,1)</f>
        <v>12542932266.98</v>
      </c>
      <c r="AA681" s="134">
        <f>+_xlfn.XLOOKUP(PROYECTOS[[#This Row],[MUNICIPIO]],'4.CAP_ENDMNT'!B:B,'4.CAP_ENDMNT'!J:J,0,0,1)</f>
        <v>0.22634538834019124</v>
      </c>
      <c r="AB681" s="258">
        <f>+_xlfn.XLOOKUP(PROYECTOS[[#This Row],[MUNICIPIO]],'4.CAP_ENDMNT'!B:B,'4.CAP_ENDMNT'!K:K,0,0,1)</f>
        <v>42872079096.663498</v>
      </c>
      <c r="AC681" s="258">
        <f>+_xlfn.XLOOKUP(PROYECTOS[[#This Row],[MUNICIPIO]],'4.CAP_ENDMNT'!B:B,'4.CAP_ENDMNT'!L:L,0,0,1)</f>
        <v>34297663277.330799</v>
      </c>
      <c r="AD681" s="258">
        <f>+_xlfn.XLOOKUP(PROYECTOS[[#This Row],[MUNICIPIO]],'4.CAP_ENDMNT'!B:B,'4.CAP_ENDMNT'!M:M,0,0,1)</f>
        <v>25723247457.998096</v>
      </c>
      <c r="AE681" s="134">
        <f>+_xlfn.XLOOKUP(PROYECTOS[[#This Row],[MUNICIPIO]],'4.CAP_ENDMNT'!B:B,'4.CAP_ENDMNT'!N:N,0,0,1)</f>
        <v>0.71520424578996133</v>
      </c>
      <c r="AF681" s="134">
        <f>+_xlfn.XLOOKUP(PROYECTOS[[#This Row],[MUNICIPIO]],'4.CAP_ENDMNT'!B:B,'4.CAP_ENDMNT'!O:O,0,0,1)</f>
        <v>0.67052010826145281</v>
      </c>
      <c r="AG681" s="134">
        <f>+_xlfn.XLOOKUP(PROYECTOS[[#This Row],[MUNICIPIO]],'4.CAP_ENDMNT'!B:B,'4.CAP_ENDMNT'!P:P,0,0,1)</f>
        <v>0.8</v>
      </c>
      <c r="AH681" s="258" t="str">
        <f>+_xlfn.XLOOKUP(PROYECTOS[[#This Row],[MUNICIPIO]],'4.CAP_ENDMNT'!B:B,'4.CAP_ENDMNT'!Q:Q,0,0,1)</f>
        <v>Cumple</v>
      </c>
      <c r="AI681" s="139">
        <f>+_xlfn.XLOOKUP(PROYECTOS[[#This Row],[MUNICIPIO]],'4.CAP_ENDMNT'!B:B,'4.CAP_ENDMNT'!V:V,0,0,1)</f>
        <v>5144649491.5996199</v>
      </c>
      <c r="AJ681" s="139">
        <f>+_xlfn.XLOOKUP(PROYECTOS[[#This Row],[MUNICIPIO]],'4.CAP_ENDMNT'!B:B,'4.CAP_ENDMNT'!Y:Y,0,0,1)</f>
        <v>3549126953.5977173</v>
      </c>
      <c r="AK681"/>
      <c r="AL681"/>
      <c r="AM681"/>
    </row>
    <row r="682" spans="1:39" ht="15" customHeight="1">
      <c r="A682" s="262">
        <v>801</v>
      </c>
      <c r="B682" s="232" t="str">
        <f>+_xlfn.XLOOKUP(PROYECTOS[[#This Row],[ID_NECESIDAD]],'1.RADICADOS'!G:G,'1.RADICADOS'!H:H,0,0,1)</f>
        <v>PROYECTO PLACA HUELLA PAJILLAL ARBOLETES ANTIOQUIA</v>
      </c>
      <c r="C682" s="118">
        <f>+_xlfn.XLOOKUP(PROYECTOS[[#This Row],[ID_NECESIDAD]],'1.RADICADOS'!G:G,'1.RADICADOS'!C:C,0,0,1)*1</f>
        <v>45932</v>
      </c>
      <c r="D682" s="118" t="str">
        <f>+_xlfn.XLOOKUP(PROYECTOS[[#This Row],[ID_NECESIDAD]],'1.RADICADOS'!G:G,'1.RADICADOS'!F:F,0,0,1)</f>
        <v>Arboletes</v>
      </c>
      <c r="E682" s="257" t="str">
        <f>+_xlfn.XLOOKUP(PROYECTOS[[#This Row],[MUNICIPIO]],MUNICIPIOS!A:A,MUNICIPIOS!E:E,0,0,1)</f>
        <v>Urabá</v>
      </c>
      <c r="F682" s="257" t="e" cm="1">
        <f t="array" ref="F682">+_xlfn.XLOOKUP(PROYECTOS[[#This Row],[MUNICIPIO]],Table1[Municipio],MUNICIPIOS!F:F,0,0,1)</f>
        <v>#VALUE!</v>
      </c>
      <c r="G682" s="257" t="str">
        <f>+LOOKUP(PROYECTOS[[#This Row],[MUNICIPIO]],Table1[Municipio],Table1[Latitud])</f>
        <v>7,074703</v>
      </c>
      <c r="H682" s="258">
        <f>+LOOKUP(PROYECTOS[[#This Row],[MUNICIPIO]],Table1[Municipio],Table1[PDET])</f>
        <v>1</v>
      </c>
      <c r="I682" s="259">
        <f>+LOOKUP(PROYECTOS[[#This Row],[MUNICIPIO]],Table1[Municipio],Table1[ZOMAC])</f>
        <v>1</v>
      </c>
      <c r="J682" s="260" t="str" cm="1">
        <f t="array" ref="J682">_xlfn.TEXTJOIN(", ", TRUE, IF(radicados[ID PROYECTOS]=A682, radicados[RADICADO], ""))</f>
        <v>2025010528044</v>
      </c>
      <c r="K682" s="242">
        <v>1</v>
      </c>
      <c r="L682" s="212">
        <f>+_xlfn.XLOOKUP(PROYECTOS[[#This Row],[ID_NECESIDAD]],'1.RADICADOS'!G:G,'1.RADICADOS'!J:J,0,0,1)</f>
        <v>240000021</v>
      </c>
      <c r="M682" s="34" t="s">
        <v>288</v>
      </c>
      <c r="N682" s="205" t="s">
        <v>398</v>
      </c>
      <c r="O682" s="205" t="s">
        <v>25</v>
      </c>
      <c r="P682" s="256" t="s">
        <v>1915</v>
      </c>
      <c r="Q682" s="45"/>
      <c r="R682" s="166"/>
      <c r="S682" s="166"/>
      <c r="T682" s="258">
        <f>+_xlfn.XLOOKUP(PROYECTOS[[#This Row],[MUNICIPIO]],'4.CAP_ENDMNT'!B:B,'4.CAP_ENDMNT'!C:C,0,0,1)</f>
        <v>6</v>
      </c>
      <c r="U682" s="167">
        <f>+_xlfn.XLOOKUP(PROYECTOS[[#This Row],[MUNICIPIO]],'4.CAP_ENDMNT'!B:B,'4.CAP_ENDMNT'!D:D,0,0,1)</f>
        <v>19782037469.424</v>
      </c>
      <c r="V682" s="258">
        <f>+_xlfn.XLOOKUP(PROYECTOS[[#This Row],[MUNICIPIO]],'4.CAP_ENDMNT'!B:B,'4.CAP_ENDMNT'!E:E,0,0,1)</f>
        <v>6224691780.3400002</v>
      </c>
      <c r="W682" s="258">
        <f>+_xlfn.XLOOKUP(PROYECTOS[[#This Row],[MUNICIPIO]],'4.CAP_ENDMNT'!B:B,'4.CAP_ENDMNT'!F:F,0,0,1)</f>
        <v>13557345689.084</v>
      </c>
      <c r="X682" s="258">
        <f>+_xlfn.XLOOKUP(PROYECTOS[[#This Row],[MUNICIPIO]],'4.CAP_ENDMNT'!B:B,'4.CAP_ENDMNT'!G:G,0,0,1)</f>
        <v>5530076291</v>
      </c>
      <c r="Y682" s="258">
        <f>+_xlfn.XLOOKUP(PROYECTOS[[#This Row],[MUNICIPIO]],'4.CAP_ENDMNT'!B:B,'4.CAP_ENDMNT'!H:H,0,0,1)</f>
        <v>135075758</v>
      </c>
      <c r="Z682" s="258">
        <f>+_xlfn.XLOOKUP(PROYECTOS[[#This Row],[MUNICIPIO]],'4.CAP_ENDMNT'!B:B,'4.CAP_ENDMNT'!I:I,0,0,1)</f>
        <v>5665152049</v>
      </c>
      <c r="AA682" s="134">
        <f>+_xlfn.XLOOKUP(PROYECTOS[[#This Row],[MUNICIPIO]],'4.CAP_ENDMNT'!B:B,'4.CAP_ENDMNT'!J:J,0,0,1)</f>
        <v>0.28637859258715448</v>
      </c>
      <c r="AB682" s="258">
        <f>+_xlfn.XLOOKUP(PROYECTOS[[#This Row],[MUNICIPIO]],'4.CAP_ENDMNT'!B:B,'4.CAP_ENDMNT'!K:K,0,0,1)</f>
        <v>14116885420.424</v>
      </c>
      <c r="AC682" s="258">
        <f>+_xlfn.XLOOKUP(PROYECTOS[[#This Row],[MUNICIPIO]],'4.CAP_ENDMNT'!B:B,'4.CAP_ENDMNT'!L:L,0,0,1)</f>
        <v>11293508336.339201</v>
      </c>
      <c r="AD682" s="258">
        <f>+_xlfn.XLOOKUP(PROYECTOS[[#This Row],[MUNICIPIO]],'4.CAP_ENDMNT'!B:B,'4.CAP_ENDMNT'!M:M,0,0,1)</f>
        <v>8470131252.2543993</v>
      </c>
      <c r="AE682" s="134">
        <f>+_xlfn.XLOOKUP(PROYECTOS[[#This Row],[MUNICIPIO]],'4.CAP_ENDMNT'!B:B,'4.CAP_ENDMNT'!N:N,0,0,1)</f>
        <v>0.97615672856938707</v>
      </c>
      <c r="AF682" s="134">
        <f>+_xlfn.XLOOKUP(PROYECTOS[[#This Row],[MUNICIPIO]],'4.CAP_ENDMNT'!B:B,'4.CAP_ENDMNT'!O:O,0,0,1)</f>
        <v>0.63121490876418529</v>
      </c>
      <c r="AG682" s="134">
        <f>+_xlfn.XLOOKUP(PROYECTOS[[#This Row],[MUNICIPIO]],'4.CAP_ENDMNT'!B:B,'4.CAP_ENDMNT'!P:P,0,0,1)</f>
        <v>0.8</v>
      </c>
      <c r="AH682" s="258" t="str">
        <f>+_xlfn.XLOOKUP(PROYECTOS[[#This Row],[MUNICIPIO]],'4.CAP_ENDMNT'!B:B,'4.CAP_ENDMNT'!Q:Q,0,0,1)</f>
        <v>Cumple</v>
      </c>
      <c r="AI682" s="139">
        <f>+_xlfn.XLOOKUP(PROYECTOS[[#This Row],[MUNICIPIO]],'4.CAP_ENDMNT'!B:B,'4.CAP_ENDMNT'!V:V,0,0,1)</f>
        <v>1694026250.4508801</v>
      </c>
      <c r="AJ682" s="139">
        <f>+_xlfn.XLOOKUP(PROYECTOS[[#This Row],[MUNICIPIO]],'4.CAP_ENDMNT'!B:B,'4.CAP_ENDMNT'!Y:Y,0,0,1)</f>
        <v>-28540377224.29472</v>
      </c>
      <c r="AK682"/>
      <c r="AL682"/>
      <c r="AM682"/>
    </row>
    <row r="683" spans="1:39" ht="15" customHeight="1">
      <c r="A683" s="262">
        <v>802</v>
      </c>
      <c r="B683" s="232" t="str">
        <f>+_xlfn.XLOOKUP(PROYECTOS[[#This Row],[ID_NECESIDAD]],'1.RADICADOS'!G:G,'1.RADICADOS'!H:H,0,0,1)</f>
        <v>PLACA HUELLA DE LA VEREDA LA RENTA CORREGIMIENTO EL BRASIL DEL MUNICIPIO DE EBÉJICO, ANTIOQUIA</v>
      </c>
      <c r="C683" s="118">
        <f>+_xlfn.XLOOKUP(PROYECTOS[[#This Row],[ID_NECESIDAD]],'1.RADICADOS'!G:G,'1.RADICADOS'!C:C,0,0,1)*1</f>
        <v>45870</v>
      </c>
      <c r="D683" s="118" t="str">
        <f>+_xlfn.XLOOKUP(PROYECTOS[[#This Row],[ID_NECESIDAD]],'1.RADICADOS'!G:G,'1.RADICADOS'!F:F,0,0,1)</f>
        <v>Ebéjico</v>
      </c>
      <c r="E683" s="257" t="str">
        <f>+_xlfn.XLOOKUP(PROYECTOS[[#This Row],[MUNICIPIO]],MUNICIPIOS!A:A,MUNICIPIOS!E:E,0,0,1)</f>
        <v>Occidente</v>
      </c>
      <c r="F683" s="257" t="e" cm="1">
        <f t="array" ref="F683">+_xlfn.XLOOKUP(PROYECTOS[[#This Row],[MUNICIPIO]],Table1[Municipio],MUNICIPIOS!F:F,0,0,1)</f>
        <v>#VALUE!</v>
      </c>
      <c r="G683" s="257" t="str">
        <f>+LOOKUP(PROYECTOS[[#This Row],[MUNICIPIO]],Table1[Municipio],Table1[Latitud])</f>
        <v>6,394348</v>
      </c>
      <c r="H683" s="258">
        <f>+LOOKUP(PROYECTOS[[#This Row],[MUNICIPIO]],Table1[Municipio],Table1[PDET])</f>
        <v>0</v>
      </c>
      <c r="I683" s="259">
        <f>+LOOKUP(PROYECTOS[[#This Row],[MUNICIPIO]],Table1[Municipio],Table1[ZOMAC])</f>
        <v>1</v>
      </c>
      <c r="J683" s="260" t="str" cm="1">
        <f t="array" ref="J683">_xlfn.TEXTJOIN(", ", TRUE, IF(radicados[ID PROYECTOS]=A683, radicados[RADICADO], ""))</f>
        <v>2025010393877</v>
      </c>
      <c r="K683" s="242">
        <v>1</v>
      </c>
      <c r="L683" s="212"/>
      <c r="M683" s="34" t="s">
        <v>288</v>
      </c>
      <c r="N683" s="241" t="s">
        <v>398</v>
      </c>
      <c r="O683" s="241" t="s">
        <v>25</v>
      </c>
      <c r="P683" s="255" t="s">
        <v>1916</v>
      </c>
      <c r="Q683" s="45"/>
      <c r="R683" s="166"/>
      <c r="S683" s="166"/>
      <c r="T683" s="258">
        <f>+_xlfn.XLOOKUP(PROYECTOS[[#This Row],[MUNICIPIO]],'4.CAP_ENDMNT'!B:B,'4.CAP_ENDMNT'!C:C,0,0,1)</f>
        <v>6</v>
      </c>
      <c r="U683" s="167">
        <f>+_xlfn.XLOOKUP(PROYECTOS[[#This Row],[MUNICIPIO]],'4.CAP_ENDMNT'!B:B,'4.CAP_ENDMNT'!D:D,0,0,1)</f>
        <v>9001864307.6529999</v>
      </c>
      <c r="V683" s="258">
        <f>+_xlfn.XLOOKUP(PROYECTOS[[#This Row],[MUNICIPIO]],'4.CAP_ENDMNT'!B:B,'4.CAP_ENDMNT'!E:E,0,0,1)</f>
        <v>3627307640.0900002</v>
      </c>
      <c r="W683" s="258">
        <f>+_xlfn.XLOOKUP(PROYECTOS[[#This Row],[MUNICIPIO]],'4.CAP_ENDMNT'!B:B,'4.CAP_ENDMNT'!F:F,0,0,1)</f>
        <v>5374556667.5629997</v>
      </c>
      <c r="X683" s="258">
        <f>+_xlfn.XLOOKUP(PROYECTOS[[#This Row],[MUNICIPIO]],'4.CAP_ENDMNT'!B:B,'4.CAP_ENDMNT'!G:G,0,0,1)</f>
        <v>556835774</v>
      </c>
      <c r="Y683" s="258">
        <f>+_xlfn.XLOOKUP(PROYECTOS[[#This Row],[MUNICIPIO]],'4.CAP_ENDMNT'!B:B,'4.CAP_ENDMNT'!H:H,0,0,1)</f>
        <v>0</v>
      </c>
      <c r="Z683" s="258">
        <f>+_xlfn.XLOOKUP(PROYECTOS[[#This Row],[MUNICIPIO]],'4.CAP_ENDMNT'!B:B,'4.CAP_ENDMNT'!I:I,0,0,1)</f>
        <v>556835774</v>
      </c>
      <c r="AA683" s="134">
        <f>+_xlfn.XLOOKUP(PROYECTOS[[#This Row],[MUNICIPIO]],'4.CAP_ENDMNT'!B:B,'4.CAP_ENDMNT'!J:J,0,0,1)</f>
        <v>6.1857827997540693E-2</v>
      </c>
      <c r="AB683" s="258">
        <f>+_xlfn.XLOOKUP(PROYECTOS[[#This Row],[MUNICIPIO]],'4.CAP_ENDMNT'!B:B,'4.CAP_ENDMNT'!K:K,0,0,1)</f>
        <v>8445028533.6529999</v>
      </c>
      <c r="AC683" s="258">
        <f>+_xlfn.XLOOKUP(PROYECTOS[[#This Row],[MUNICIPIO]],'4.CAP_ENDMNT'!B:B,'4.CAP_ENDMNT'!L:L,0,0,1)</f>
        <v>6756022826.9224005</v>
      </c>
      <c r="AD683" s="258">
        <f>+_xlfn.XLOOKUP(PROYECTOS[[#This Row],[MUNICIPIO]],'4.CAP_ENDMNT'!B:B,'4.CAP_ENDMNT'!M:M,0,0,1)</f>
        <v>5067017120.1918001</v>
      </c>
      <c r="AE683" s="134">
        <f>+_xlfn.XLOOKUP(PROYECTOS[[#This Row],[MUNICIPIO]],'4.CAP_ENDMNT'!B:B,'4.CAP_ENDMNT'!N:N,0,0,1)</f>
        <v>1</v>
      </c>
      <c r="AF683" s="134">
        <f>+_xlfn.XLOOKUP(PROYECTOS[[#This Row],[MUNICIPIO]],'4.CAP_ENDMNT'!B:B,'4.CAP_ENDMNT'!O:O,0,0,1)</f>
        <v>0.55157730220974377</v>
      </c>
      <c r="AG683" s="134">
        <f>+_xlfn.XLOOKUP(PROYECTOS[[#This Row],[MUNICIPIO]],'4.CAP_ENDMNT'!B:B,'4.CAP_ENDMNT'!P:P,0,0,1)</f>
        <v>0.8</v>
      </c>
      <c r="AH683" s="258" t="str">
        <f>+_xlfn.XLOOKUP(PROYECTOS[[#This Row],[MUNICIPIO]],'4.CAP_ENDMNT'!B:B,'4.CAP_ENDMNT'!Q:Q,0,0,1)</f>
        <v>Cumple</v>
      </c>
      <c r="AI683" s="139">
        <f>+_xlfn.XLOOKUP(PROYECTOS[[#This Row],[MUNICIPIO]],'4.CAP_ENDMNT'!B:B,'4.CAP_ENDMNT'!V:V,0,0,1)</f>
        <v>1013403424.0383601</v>
      </c>
      <c r="AJ683" s="139">
        <f>+_xlfn.XLOOKUP(PROYECTOS[[#This Row],[MUNICIPIO]],'4.CAP_ENDMNT'!B:B,'4.CAP_ENDMNT'!Y:Y,0,0,1)</f>
        <v>3739073043.2301598</v>
      </c>
      <c r="AK683"/>
      <c r="AL683"/>
      <c r="AM683"/>
    </row>
    <row r="684" spans="1:39" ht="15" customHeight="1">
      <c r="A684" s="262">
        <v>803</v>
      </c>
      <c r="B684" s="232" t="str">
        <f>+_xlfn.XLOOKUP(PROYECTOS[[#This Row],[ID_NECESIDAD]],'1.RADICADOS'!G:G,'1.RADICADOS'!H:H,0,0,1)</f>
        <v>CONSTRUCCIÓN DE PLACA HUELLA EN LA VÍA QUE CONDUCE AL CORREGIMIENTO DE EL JORDÁN VEREDA LLANADAS MUNICIPIO DE SAN CARLOS, ANTIOQUIA</v>
      </c>
      <c r="C684" s="118">
        <f>+_xlfn.XLOOKUP(PROYECTOS[[#This Row],[ID_NECESIDAD]],'1.RADICADOS'!G:G,'1.RADICADOS'!C:C,0,0,1)*1</f>
        <v>45882</v>
      </c>
      <c r="D684" s="118" t="str">
        <f>+_xlfn.XLOOKUP(PROYECTOS[[#This Row],[ID_NECESIDAD]],'1.RADICADOS'!G:G,'1.RADICADOS'!F:F,0,0,1)</f>
        <v>San Carlos</v>
      </c>
      <c r="E684" s="257" t="str">
        <f>+_xlfn.XLOOKUP(PROYECTOS[[#This Row],[MUNICIPIO]],MUNICIPIOS!A:A,MUNICIPIOS!E:E,0,0,1)</f>
        <v>Oriente</v>
      </c>
      <c r="F684" s="257" t="e" cm="1">
        <f t="array" ref="F684">+_xlfn.XLOOKUP(PROYECTOS[[#This Row],[MUNICIPIO]],Table1[Municipio],MUNICIPIOS!F:F,0,0,1)</f>
        <v>#VALUE!</v>
      </c>
      <c r="G684" s="257" t="str">
        <f>+LOOKUP(PROYECTOS[[#This Row],[MUNICIPIO]],Table1[Municipio],Table1[Latitud])</f>
        <v>6,149903</v>
      </c>
      <c r="H684" s="258">
        <f>+LOOKUP(PROYECTOS[[#This Row],[MUNICIPIO]],Table1[Municipio],Table1[PDET])</f>
        <v>0</v>
      </c>
      <c r="I684" s="259">
        <f>+LOOKUP(PROYECTOS[[#This Row],[MUNICIPIO]],Table1[Municipio],Table1[ZOMAC])</f>
        <v>0</v>
      </c>
      <c r="J684" s="260" t="str" cm="1">
        <f t="array" ref="J684">_xlfn.TEXTJOIN(", ", TRUE, IF(radicados[ID PROYECTOS]=A684, radicados[RADICADO], ""))</f>
        <v>2025010418091</v>
      </c>
      <c r="K684" s="242">
        <v>1</v>
      </c>
      <c r="L684" s="212"/>
      <c r="M684" s="34" t="s">
        <v>288</v>
      </c>
      <c r="N684" s="205" t="s">
        <v>398</v>
      </c>
      <c r="O684" s="205" t="s">
        <v>25</v>
      </c>
      <c r="P684" s="256" t="s">
        <v>1929</v>
      </c>
      <c r="Q684" s="45"/>
      <c r="R684" s="166"/>
      <c r="S684" s="166"/>
      <c r="T684" s="258">
        <f>+_xlfn.XLOOKUP(PROYECTOS[[#This Row],[MUNICIPIO]],'4.CAP_ENDMNT'!B:B,'4.CAP_ENDMNT'!C:C,0,0,1)</f>
        <v>6</v>
      </c>
      <c r="U684" s="167">
        <f>+_xlfn.XLOOKUP(PROYECTOS[[#This Row],[MUNICIPIO]],'4.CAP_ENDMNT'!B:B,'4.CAP_ENDMNT'!D:D,0,0,1)</f>
        <v>29325876885.033001</v>
      </c>
      <c r="V684" s="258">
        <f>+_xlfn.XLOOKUP(PROYECTOS[[#This Row],[MUNICIPIO]],'4.CAP_ENDMNT'!B:B,'4.CAP_ENDMNT'!E:E,0,0,1)</f>
        <v>5835926728.4000006</v>
      </c>
      <c r="W684" s="258">
        <f>+_xlfn.XLOOKUP(PROYECTOS[[#This Row],[MUNICIPIO]],'4.CAP_ENDMNT'!B:B,'4.CAP_ENDMNT'!F:F,0,0,1)</f>
        <v>23489950156.632999</v>
      </c>
      <c r="X684" s="258">
        <f>+_xlfn.XLOOKUP(PROYECTOS[[#This Row],[MUNICIPIO]],'4.CAP_ENDMNT'!B:B,'4.CAP_ENDMNT'!G:G,0,0,1)</f>
        <v>5787068508</v>
      </c>
      <c r="Y684" s="258">
        <f>+_xlfn.XLOOKUP(PROYECTOS[[#This Row],[MUNICIPIO]],'4.CAP_ENDMNT'!B:B,'4.CAP_ENDMNT'!H:H,0,0,1)</f>
        <v>0</v>
      </c>
      <c r="Z684" s="258">
        <f>+_xlfn.XLOOKUP(PROYECTOS[[#This Row],[MUNICIPIO]],'4.CAP_ENDMNT'!B:B,'4.CAP_ENDMNT'!I:I,0,0,1)</f>
        <v>5787068508</v>
      </c>
      <c r="AA684" s="134">
        <f>+_xlfn.XLOOKUP(PROYECTOS[[#This Row],[MUNICIPIO]],'4.CAP_ENDMNT'!B:B,'4.CAP_ENDMNT'!J:J,0,0,1)</f>
        <v>0.19733658879791371</v>
      </c>
      <c r="AB684" s="258">
        <f>+_xlfn.XLOOKUP(PROYECTOS[[#This Row],[MUNICIPIO]],'4.CAP_ENDMNT'!B:B,'4.CAP_ENDMNT'!K:K,0,0,1)</f>
        <v>23538808377.033001</v>
      </c>
      <c r="AC684" s="258">
        <f>+_xlfn.XLOOKUP(PROYECTOS[[#This Row],[MUNICIPIO]],'4.CAP_ENDMNT'!B:B,'4.CAP_ENDMNT'!L:L,0,0,1)</f>
        <v>18831046701.6264</v>
      </c>
      <c r="AD684" s="258">
        <f>+_xlfn.XLOOKUP(PROYECTOS[[#This Row],[MUNICIPIO]],'4.CAP_ENDMNT'!B:B,'4.CAP_ENDMNT'!M:M,0,0,1)</f>
        <v>14123285026.219801</v>
      </c>
      <c r="AE684" s="134">
        <f>+_xlfn.XLOOKUP(PROYECTOS[[#This Row],[MUNICIPIO]],'4.CAP_ENDMNT'!B:B,'4.CAP_ENDMNT'!N:N,0,0,1)</f>
        <v>1</v>
      </c>
      <c r="AF684" s="134">
        <f>+_xlfn.XLOOKUP(PROYECTOS[[#This Row],[MUNICIPIO]],'4.CAP_ENDMNT'!B:B,'4.CAP_ENDMNT'!O:O,0,0,1)</f>
        <v>0.67595312063685153</v>
      </c>
      <c r="AG684" s="134">
        <f>+_xlfn.XLOOKUP(PROYECTOS[[#This Row],[MUNICIPIO]],'4.CAP_ENDMNT'!B:B,'4.CAP_ENDMNT'!P:P,0,0,1)</f>
        <v>0.8</v>
      </c>
      <c r="AH684" s="258" t="str">
        <f>+_xlfn.XLOOKUP(PROYECTOS[[#This Row],[MUNICIPIO]],'4.CAP_ENDMNT'!B:B,'4.CAP_ENDMNT'!Q:Q,0,0,1)</f>
        <v>Cumple</v>
      </c>
      <c r="AI684" s="139">
        <f>+_xlfn.XLOOKUP(PROYECTOS[[#This Row],[MUNICIPIO]],'4.CAP_ENDMNT'!B:B,'4.CAP_ENDMNT'!V:V,0,0,1)</f>
        <v>2824657005.2439604</v>
      </c>
      <c r="AJ684" s="139">
        <f>+_xlfn.XLOOKUP(PROYECTOS[[#This Row],[MUNICIPIO]],'4.CAP_ENDMNT'!B:B,'4.CAP_ENDMNT'!Y:Y,0,0,1)</f>
        <v>13840765080.46376</v>
      </c>
      <c r="AK684"/>
      <c r="AL684"/>
      <c r="AM684"/>
    </row>
    <row r="685" spans="1:39" ht="15" customHeight="1">
      <c r="A685" s="262">
        <v>804</v>
      </c>
      <c r="B685" s="232" t="str">
        <f>+_xlfn.XLOOKUP(PROYECTOS[[#This Row],[ID_NECESIDAD]],'1.RADICADOS'!G:G,'1.RADICADOS'!H:H,0,0,1)</f>
        <v>Solicitud de apoyo para la construcción de placa huella en la vereda Piedrecitas</v>
      </c>
      <c r="C685" s="118">
        <f>+_xlfn.XLOOKUP(PROYECTOS[[#This Row],[ID_NECESIDAD]],'1.RADICADOS'!G:G,'1.RADICADOS'!C:C,0,0,1)*1</f>
        <v>45845</v>
      </c>
      <c r="D685" s="118" t="str">
        <f>+_xlfn.XLOOKUP(PROYECTOS[[#This Row],[ID_NECESIDAD]],'1.RADICADOS'!G:G,'1.RADICADOS'!F:F,0,0,1)</f>
        <v>Mutatá</v>
      </c>
      <c r="E685" s="257" t="str">
        <f>+_xlfn.XLOOKUP(PROYECTOS[[#This Row],[MUNICIPIO]],MUNICIPIOS!A:A,MUNICIPIOS!E:E,0,0,1)</f>
        <v>Urabá</v>
      </c>
      <c r="F685" s="257" t="e" cm="1">
        <f t="array" ref="F685">+_xlfn.XLOOKUP(PROYECTOS[[#This Row],[MUNICIPIO]],Table1[Municipio],MUNICIPIOS!F:F,0,0,1)</f>
        <v>#VALUE!</v>
      </c>
      <c r="G685" s="257" t="str">
        <f>+LOOKUP(PROYECTOS[[#This Row],[MUNICIPIO]],Table1[Municipio],Table1[Latitud])</f>
        <v>7,242875</v>
      </c>
      <c r="H685" s="258">
        <f>+LOOKUP(PROYECTOS[[#This Row],[MUNICIPIO]],Table1[Municipio],Table1[PDET])</f>
        <v>1</v>
      </c>
      <c r="I685" s="259">
        <f>+LOOKUP(PROYECTOS[[#This Row],[MUNICIPIO]],Table1[Municipio],Table1[ZOMAC])</f>
        <v>1</v>
      </c>
      <c r="J685" s="260" t="str" cm="1">
        <f t="array" ref="J685">_xlfn.TEXTJOIN(", ", TRUE, IF(radicados[ID PROYECTOS]=A685, radicados[RADICADO], ""))</f>
        <v>2025010361308</v>
      </c>
      <c r="K685" s="242">
        <v>1</v>
      </c>
      <c r="L685" s="212"/>
      <c r="M685" s="34" t="s">
        <v>288</v>
      </c>
      <c r="N685" s="241" t="s">
        <v>398</v>
      </c>
      <c r="O685" s="241" t="s">
        <v>25</v>
      </c>
      <c r="P685" s="255" t="s">
        <v>1918</v>
      </c>
      <c r="Q685" s="45"/>
      <c r="R685" s="166"/>
      <c r="S685" s="166"/>
      <c r="T685" s="258">
        <f>+_xlfn.XLOOKUP(PROYECTOS[[#This Row],[MUNICIPIO]],'4.CAP_ENDMNT'!B:B,'4.CAP_ENDMNT'!C:C,0,0,1)</f>
        <v>6</v>
      </c>
      <c r="U685" s="167">
        <f>+_xlfn.XLOOKUP(PROYECTOS[[#This Row],[MUNICIPIO]],'4.CAP_ENDMNT'!B:B,'4.CAP_ENDMNT'!D:D,0,0,1)</f>
        <v>16247454785.101002</v>
      </c>
      <c r="V685" s="258">
        <f>+_xlfn.XLOOKUP(PROYECTOS[[#This Row],[MUNICIPIO]],'4.CAP_ENDMNT'!B:B,'4.CAP_ENDMNT'!E:E,0,0,1)</f>
        <v>6889489895.2300005</v>
      </c>
      <c r="W685" s="258">
        <f>+_xlfn.XLOOKUP(PROYECTOS[[#This Row],[MUNICIPIO]],'4.CAP_ENDMNT'!B:B,'4.CAP_ENDMNT'!F:F,0,0,1)</f>
        <v>9357964889.8710022</v>
      </c>
      <c r="X685" s="258">
        <f>+_xlfn.XLOOKUP(PROYECTOS[[#This Row],[MUNICIPIO]],'4.CAP_ENDMNT'!B:B,'4.CAP_ENDMNT'!G:G,0,0,1)</f>
        <v>3366685790</v>
      </c>
      <c r="Y685" s="258">
        <f>+_xlfn.XLOOKUP(PROYECTOS[[#This Row],[MUNICIPIO]],'4.CAP_ENDMNT'!B:B,'4.CAP_ENDMNT'!H:H,0,0,1)</f>
        <v>1396955129.74</v>
      </c>
      <c r="Z685" s="258">
        <f>+_xlfn.XLOOKUP(PROYECTOS[[#This Row],[MUNICIPIO]],'4.CAP_ENDMNT'!B:B,'4.CAP_ENDMNT'!I:I,0,0,1)</f>
        <v>4763640919.7399998</v>
      </c>
      <c r="AA685" s="134">
        <f>+_xlfn.XLOOKUP(PROYECTOS[[#This Row],[MUNICIPIO]],'4.CAP_ENDMNT'!B:B,'4.CAP_ENDMNT'!J:J,0,0,1)</f>
        <v>0.29319305594303191</v>
      </c>
      <c r="AB685" s="258">
        <f>+_xlfn.XLOOKUP(PROYECTOS[[#This Row],[MUNICIPIO]],'4.CAP_ENDMNT'!B:B,'4.CAP_ENDMNT'!K:K,0,0,1)</f>
        <v>11483813865.361002</v>
      </c>
      <c r="AC685" s="258">
        <f>+_xlfn.XLOOKUP(PROYECTOS[[#This Row],[MUNICIPIO]],'4.CAP_ENDMNT'!B:B,'4.CAP_ENDMNT'!L:L,0,0,1)</f>
        <v>9187051092.2888012</v>
      </c>
      <c r="AD685" s="258">
        <f>+_xlfn.XLOOKUP(PROYECTOS[[#This Row],[MUNICIPIO]],'4.CAP_ENDMNT'!B:B,'4.CAP_ENDMNT'!M:M,0,0,1)</f>
        <v>6890288319.2166014</v>
      </c>
      <c r="AE685" s="134">
        <f>+_xlfn.XLOOKUP(PROYECTOS[[#This Row],[MUNICIPIO]],'4.CAP_ENDMNT'!B:B,'4.CAP_ENDMNT'!N:N,0,0,1)</f>
        <v>0.70674634102852452</v>
      </c>
      <c r="AF685" s="134">
        <f>+_xlfn.XLOOKUP(PROYECTOS[[#This Row],[MUNICIPIO]],'4.CAP_ENDMNT'!B:B,'4.CAP_ENDMNT'!O:O,0,0,1)</f>
        <v>0.70820805266444298</v>
      </c>
      <c r="AG685" s="134">
        <f>+_xlfn.XLOOKUP(PROYECTOS[[#This Row],[MUNICIPIO]],'4.CAP_ENDMNT'!B:B,'4.CAP_ENDMNT'!P:P,0,0,1)</f>
        <v>0.8</v>
      </c>
      <c r="AH685" s="258" t="str">
        <f>+_xlfn.XLOOKUP(PROYECTOS[[#This Row],[MUNICIPIO]],'4.CAP_ENDMNT'!B:B,'4.CAP_ENDMNT'!Q:Q,0,0,1)</f>
        <v>Cumple</v>
      </c>
      <c r="AI685" s="139">
        <f>+_xlfn.XLOOKUP(PROYECTOS[[#This Row],[MUNICIPIO]],'4.CAP_ENDMNT'!B:B,'4.CAP_ENDMNT'!V:V,0,0,1)</f>
        <v>1378057663.8433204</v>
      </c>
      <c r="AJ685" s="139">
        <f>+_xlfn.XLOOKUP(PROYECTOS[[#This Row],[MUNICIPIO]],'4.CAP_ENDMNT'!B:B,'4.CAP_ENDMNT'!Y:Y,0,0,1)</f>
        <v>3854847855.0599213</v>
      </c>
      <c r="AK685"/>
      <c r="AL685"/>
      <c r="AM685"/>
    </row>
    <row r="686" spans="1:39" ht="15" customHeight="1">
      <c r="A686" s="262">
        <v>805</v>
      </c>
      <c r="B686" s="232" t="str">
        <f>+_xlfn.XLOOKUP(PROYECTOS[[#This Row],[ID_NECESIDAD]],'1.RADICADOS'!G:G,'1.RADICADOS'!H:H,0,0,1)</f>
        <v>ESTUDIOS Y DISENOS PLACA HUELLA MINITAS -SAN MATIAS</v>
      </c>
      <c r="C686" s="118">
        <f>+_xlfn.XLOOKUP(PROYECTOS[[#This Row],[ID_NECESIDAD]],'1.RADICADOS'!G:G,'1.RADICADOS'!C:C,0,0,1)*1</f>
        <v>45873</v>
      </c>
      <c r="D686" s="118" t="str">
        <f>+_xlfn.XLOOKUP(PROYECTOS[[#This Row],[ID_NECESIDAD]],'1.RADICADOS'!G:G,'1.RADICADOS'!F:F,0,0,1)</f>
        <v>Granada</v>
      </c>
      <c r="E686" s="257" t="str">
        <f>+_xlfn.XLOOKUP(PROYECTOS[[#This Row],[MUNICIPIO]],MUNICIPIOS!A:A,MUNICIPIOS!E:E,0,0,1)</f>
        <v>Oriente</v>
      </c>
      <c r="F686" s="257" t="e" cm="1">
        <f t="array" ref="F686">+_xlfn.XLOOKUP(PROYECTOS[[#This Row],[MUNICIPIO]],Table1[Municipio],MUNICIPIOS!F:F,0,0,1)</f>
        <v>#VALUE!</v>
      </c>
      <c r="G686" s="257" t="str">
        <f>+LOOKUP(PROYECTOS[[#This Row],[MUNICIPIO]],Table1[Municipio],Table1[Latitud])</f>
        <v>6,142892</v>
      </c>
      <c r="H686" s="258">
        <f>+LOOKUP(PROYECTOS[[#This Row],[MUNICIPIO]],Table1[Municipio],Table1[PDET])</f>
        <v>0</v>
      </c>
      <c r="I686" s="259">
        <f>+LOOKUP(PROYECTOS[[#This Row],[MUNICIPIO]],Table1[Municipio],Table1[ZOMAC])</f>
        <v>1</v>
      </c>
      <c r="J686" s="260" t="str" cm="1">
        <f t="array" ref="J686">_xlfn.TEXTJOIN(", ", TRUE, IF(radicados[ID PROYECTOS]=A686, radicados[RADICADO], ""))</f>
        <v>2025010399428</v>
      </c>
      <c r="K686" s="242">
        <v>2</v>
      </c>
      <c r="L686" s="212"/>
      <c r="M686" s="34" t="s">
        <v>288</v>
      </c>
      <c r="N686" s="247" t="s">
        <v>398</v>
      </c>
      <c r="O686" s="247" t="s">
        <v>25</v>
      </c>
      <c r="P686" s="247" t="s">
        <v>1919</v>
      </c>
      <c r="Q686" s="247"/>
      <c r="R686" s="166"/>
      <c r="S686" s="166"/>
      <c r="T686" s="258">
        <f>+_xlfn.XLOOKUP(PROYECTOS[[#This Row],[MUNICIPIO]],'4.CAP_ENDMNT'!B:B,'4.CAP_ENDMNT'!C:C,0,0,1)</f>
        <v>6</v>
      </c>
      <c r="U686" s="167">
        <f>+_xlfn.XLOOKUP(PROYECTOS[[#This Row],[MUNICIPIO]],'4.CAP_ENDMNT'!B:B,'4.CAP_ENDMNT'!D:D,0,0,1)</f>
        <v>9100976268.0305004</v>
      </c>
      <c r="V686" s="258">
        <f>+_xlfn.XLOOKUP(PROYECTOS[[#This Row],[MUNICIPIO]],'4.CAP_ENDMNT'!B:B,'4.CAP_ENDMNT'!E:E,0,0,1)</f>
        <v>3221460794.1700001</v>
      </c>
      <c r="W686" s="258">
        <f>+_xlfn.XLOOKUP(PROYECTOS[[#This Row],[MUNICIPIO]],'4.CAP_ENDMNT'!B:B,'4.CAP_ENDMNT'!F:F,0,0,1)</f>
        <v>5879515473.8605003</v>
      </c>
      <c r="X686" s="258">
        <f>+_xlfn.XLOOKUP(PROYECTOS[[#This Row],[MUNICIPIO]],'4.CAP_ENDMNT'!B:B,'4.CAP_ENDMNT'!G:G,0,0,1)</f>
        <v>1026722956</v>
      </c>
      <c r="Y686" s="258">
        <f>+_xlfn.XLOOKUP(PROYECTOS[[#This Row],[MUNICIPIO]],'4.CAP_ENDMNT'!B:B,'4.CAP_ENDMNT'!H:H,0,0,1)</f>
        <v>190000000</v>
      </c>
      <c r="Z686" s="258">
        <f>+_xlfn.XLOOKUP(PROYECTOS[[#This Row],[MUNICIPIO]],'4.CAP_ENDMNT'!B:B,'4.CAP_ENDMNT'!I:I,0,0,1)</f>
        <v>1216722956</v>
      </c>
      <c r="AA686" s="134">
        <f>+_xlfn.XLOOKUP(PROYECTOS[[#This Row],[MUNICIPIO]],'4.CAP_ENDMNT'!B:B,'4.CAP_ENDMNT'!J:J,0,0,1)</f>
        <v>0.13369147662477152</v>
      </c>
      <c r="AB686" s="258">
        <f>+_xlfn.XLOOKUP(PROYECTOS[[#This Row],[MUNICIPIO]],'4.CAP_ENDMNT'!B:B,'4.CAP_ENDMNT'!K:K,0,0,1)</f>
        <v>7884253312.0305004</v>
      </c>
      <c r="AC686" s="258">
        <f>+_xlfn.XLOOKUP(PROYECTOS[[#This Row],[MUNICIPIO]],'4.CAP_ENDMNT'!B:B,'4.CAP_ENDMNT'!L:L,0,0,1)</f>
        <v>6307402649.6244011</v>
      </c>
      <c r="AD686" s="258">
        <f>+_xlfn.XLOOKUP(PROYECTOS[[#This Row],[MUNICIPIO]],'4.CAP_ENDMNT'!B:B,'4.CAP_ENDMNT'!M:M,0,0,1)</f>
        <v>4730551987.2182999</v>
      </c>
      <c r="AE686" s="134">
        <f>+_xlfn.XLOOKUP(PROYECTOS[[#This Row],[MUNICIPIO]],'4.CAP_ENDMNT'!B:B,'4.CAP_ENDMNT'!N:N,0,0,1)</f>
        <v>0.84384284108140062</v>
      </c>
      <c r="AF686" s="134">
        <f>+_xlfn.XLOOKUP(PROYECTOS[[#This Row],[MUNICIPIO]],'4.CAP_ENDMNT'!B:B,'4.CAP_ENDMNT'!O:O,0,0,1)</f>
        <v>0.65864601932480682</v>
      </c>
      <c r="AG686" s="134">
        <f>+_xlfn.XLOOKUP(PROYECTOS[[#This Row],[MUNICIPIO]],'4.CAP_ENDMNT'!B:B,'4.CAP_ENDMNT'!P:P,0,0,1)</f>
        <v>0.8</v>
      </c>
      <c r="AH686" s="258" t="str">
        <f>+_xlfn.XLOOKUP(PROYECTOS[[#This Row],[MUNICIPIO]],'4.CAP_ENDMNT'!B:B,'4.CAP_ENDMNT'!Q:Q,0,0,1)</f>
        <v>Cumple</v>
      </c>
      <c r="AI686" s="139">
        <f>+_xlfn.XLOOKUP(PROYECTOS[[#This Row],[MUNICIPIO]],'4.CAP_ENDMNT'!B:B,'4.CAP_ENDMNT'!V:V,0,0,1)</f>
        <v>946110397.44366002</v>
      </c>
      <c r="AJ686" s="139">
        <f>+_xlfn.XLOOKUP(PROYECTOS[[#This Row],[MUNICIPIO]],'4.CAP_ENDMNT'!B:B,'4.CAP_ENDMNT'!Y:Y,0,0,1)</f>
        <v>-37054965217.338043</v>
      </c>
      <c r="AK686"/>
      <c r="AL686"/>
      <c r="AM686"/>
    </row>
    <row r="687" spans="1:39" ht="15" customHeight="1">
      <c r="A687" s="262">
        <v>806</v>
      </c>
      <c r="B687" s="232" t="str">
        <f>+_xlfn.XLOOKUP(PROYECTOS[[#This Row],[ID_NECESIDAD]],'1.RADICADOS'!G:G,'1.RADICADOS'!H:H,0,0,1)</f>
        <v>PAVIMENTACIÓN TIPO PLACA HUELLA EN LAS VEREDAS (BRISAS - ZANCUDO - RIO GRANDE - PEÑOL) DEL MUNICIPIO DE ENTRERRÍOS</v>
      </c>
      <c r="C687" s="118">
        <f>+_xlfn.XLOOKUP(PROYECTOS[[#This Row],[ID_NECESIDAD]],'1.RADICADOS'!G:G,'1.RADICADOS'!C:C,0,0,1)*1</f>
        <v>45875</v>
      </c>
      <c r="D687" s="118" t="str">
        <f>+_xlfn.XLOOKUP(PROYECTOS[[#This Row],[ID_NECESIDAD]],'1.RADICADOS'!G:G,'1.RADICADOS'!F:F,0,0,1)</f>
        <v>Entrerríos</v>
      </c>
      <c r="E687" s="257" t="str">
        <f>+_xlfn.XLOOKUP(PROYECTOS[[#This Row],[MUNICIPIO]],MUNICIPIOS!A:A,MUNICIPIOS!E:E,0,0,1)</f>
        <v>Norte</v>
      </c>
      <c r="F687" s="257" t="e" cm="1">
        <f t="array" ref="F687">+_xlfn.XLOOKUP(PROYECTOS[[#This Row],[MUNICIPIO]],Table1[Municipio],MUNICIPIOS!F:F,0,0,1)</f>
        <v>#VALUE!</v>
      </c>
      <c r="G687" s="257" t="str">
        <f>+LOOKUP(PROYECTOS[[#This Row],[MUNICIPIO]],Table1[Municipio],Table1[Latitud])</f>
        <v>6,136871</v>
      </c>
      <c r="H687" s="258">
        <f>+LOOKUP(PROYECTOS[[#This Row],[MUNICIPIO]],Table1[Municipio],Table1[PDET])</f>
        <v>0</v>
      </c>
      <c r="I687" s="259">
        <f>+LOOKUP(PROYECTOS[[#This Row],[MUNICIPIO]],Table1[Municipio],Table1[ZOMAC])</f>
        <v>0</v>
      </c>
      <c r="J687" s="260" t="str" cm="1">
        <f t="array" ref="J687">_xlfn.TEXTJOIN(", ", TRUE, IF(radicados[ID PROYECTOS]=A687, radicados[RADICADO], ""))</f>
        <v>2025010402875</v>
      </c>
      <c r="K687" s="242">
        <v>3</v>
      </c>
      <c r="L687" s="212">
        <f>+_xlfn.XLOOKUP(PROYECTOS[[#This Row],[ID_NECESIDAD]],'1.RADICADOS'!G:G,'1.RADICADOS'!J:J,0,0,1)</f>
        <v>5449763081</v>
      </c>
      <c r="M687" s="34" t="s">
        <v>288</v>
      </c>
      <c r="N687" s="247" t="s">
        <v>398</v>
      </c>
      <c r="O687" s="247" t="s">
        <v>25</v>
      </c>
      <c r="P687" s="247" t="s">
        <v>1920</v>
      </c>
      <c r="Q687" s="247"/>
      <c r="R687" s="166"/>
      <c r="S687" s="166"/>
      <c r="T687" s="258">
        <f>+_xlfn.XLOOKUP(PROYECTOS[[#This Row],[MUNICIPIO]],'4.CAP_ENDMNT'!B:B,'4.CAP_ENDMNT'!C:C,0,0,1)</f>
        <v>6</v>
      </c>
      <c r="U687" s="167">
        <f>+_xlfn.XLOOKUP(PROYECTOS[[#This Row],[MUNICIPIO]],'4.CAP_ENDMNT'!B:B,'4.CAP_ENDMNT'!D:D,0,0,1)</f>
        <v>18940820544.593998</v>
      </c>
      <c r="V687" s="258">
        <f>+_xlfn.XLOOKUP(PROYECTOS[[#This Row],[MUNICIPIO]],'4.CAP_ENDMNT'!B:B,'4.CAP_ENDMNT'!E:E,0,0,1)</f>
        <v>5983055403.6199999</v>
      </c>
      <c r="W687" s="258">
        <f>+_xlfn.XLOOKUP(PROYECTOS[[#This Row],[MUNICIPIO]],'4.CAP_ENDMNT'!B:B,'4.CAP_ENDMNT'!F:F,0,0,1)</f>
        <v>12957765140.973999</v>
      </c>
      <c r="X687" s="258">
        <f>+_xlfn.XLOOKUP(PROYECTOS[[#This Row],[MUNICIPIO]],'4.CAP_ENDMNT'!B:B,'4.CAP_ENDMNT'!G:G,0,0,1)</f>
        <v>528703455</v>
      </c>
      <c r="Y687" s="258">
        <f>+_xlfn.XLOOKUP(PROYECTOS[[#This Row],[MUNICIPIO]],'4.CAP_ENDMNT'!B:B,'4.CAP_ENDMNT'!H:H,0,0,1)</f>
        <v>4617666038</v>
      </c>
      <c r="Z687" s="258">
        <f>+_xlfn.XLOOKUP(PROYECTOS[[#This Row],[MUNICIPIO]],'4.CAP_ENDMNT'!B:B,'4.CAP_ENDMNT'!I:I,0,0,1)</f>
        <v>5146369493</v>
      </c>
      <c r="AA687" s="134">
        <f>+_xlfn.XLOOKUP(PROYECTOS[[#This Row],[MUNICIPIO]],'4.CAP_ENDMNT'!B:B,'4.CAP_ENDMNT'!J:J,0,0,1)</f>
        <v>0.27170784290382038</v>
      </c>
      <c r="AB687" s="258">
        <f>+_xlfn.XLOOKUP(PROYECTOS[[#This Row],[MUNICIPIO]],'4.CAP_ENDMNT'!B:B,'4.CAP_ENDMNT'!K:K,0,0,1)</f>
        <v>13794451051.593998</v>
      </c>
      <c r="AC687" s="258">
        <f>+_xlfn.XLOOKUP(PROYECTOS[[#This Row],[MUNICIPIO]],'4.CAP_ENDMNT'!B:B,'4.CAP_ENDMNT'!L:L,0,0,1)</f>
        <v>11035560841.2752</v>
      </c>
      <c r="AD687" s="258">
        <f>+_xlfn.XLOOKUP(PROYECTOS[[#This Row],[MUNICIPIO]],'4.CAP_ENDMNT'!B:B,'4.CAP_ENDMNT'!M:M,0,0,1)</f>
        <v>8276670630.956398</v>
      </c>
      <c r="AE687" s="134">
        <f>+_xlfn.XLOOKUP(PROYECTOS[[#This Row],[MUNICIPIO]],'4.CAP_ENDMNT'!B:B,'4.CAP_ENDMNT'!N:N,0,0,1)</f>
        <v>0.10273328716858224</v>
      </c>
      <c r="AF687" s="134">
        <f>+_xlfn.XLOOKUP(PROYECTOS[[#This Row],[MUNICIPIO]],'4.CAP_ENDMNT'!B:B,'4.CAP_ENDMNT'!O:O,0,0,1)</f>
        <v>0.44981176046067123</v>
      </c>
      <c r="AG687" s="134">
        <f>+_xlfn.XLOOKUP(PROYECTOS[[#This Row],[MUNICIPIO]],'4.CAP_ENDMNT'!B:B,'4.CAP_ENDMNT'!P:P,0,0,1)</f>
        <v>0.8</v>
      </c>
      <c r="AH687" s="258" t="str">
        <f>+_xlfn.XLOOKUP(PROYECTOS[[#This Row],[MUNICIPIO]],'4.CAP_ENDMNT'!B:B,'4.CAP_ENDMNT'!Q:Q,0,0,1)</f>
        <v>Cumple</v>
      </c>
      <c r="AI687" s="139">
        <f>+_xlfn.XLOOKUP(PROYECTOS[[#This Row],[MUNICIPIO]],'4.CAP_ENDMNT'!B:B,'4.CAP_ENDMNT'!V:V,0,0,1)</f>
        <v>1655334126.1912796</v>
      </c>
      <c r="AJ687" s="139">
        <f>+_xlfn.XLOOKUP(PROYECTOS[[#This Row],[MUNICIPIO]],'4.CAP_ENDMNT'!B:B,'4.CAP_ENDMNT'!Y:Y,0,0,1)</f>
        <v>-37406438811.852325</v>
      </c>
      <c r="AK687"/>
      <c r="AL687"/>
      <c r="AM687"/>
    </row>
    <row r="688" spans="1:39" ht="15" customHeight="1">
      <c r="A688" s="262">
        <v>807</v>
      </c>
      <c r="B688" s="232" t="str">
        <f>+_xlfn.XLOOKUP(PROYECTOS[[#This Row],[ID_NECESIDAD]],'1.RADICADOS'!G:G,'1.RADICADOS'!H:H,0,0,1)</f>
        <v>Rehabilitación de tramos críticos en las diferentes veredas del municipio de El Santuario-Construcción de placa huella 2KM</v>
      </c>
      <c r="C688" s="118">
        <f>+_xlfn.XLOOKUP(PROYECTOS[[#This Row],[ID_NECESIDAD]],'1.RADICADOS'!G:G,'1.RADICADOS'!C:C,0,0,1)*1</f>
        <v>45853</v>
      </c>
      <c r="D688" s="118" t="str">
        <f>+_xlfn.XLOOKUP(PROYECTOS[[#This Row],[ID_NECESIDAD]],'1.RADICADOS'!G:G,'1.RADICADOS'!F:F,0,0,1)</f>
        <v>El Santuario</v>
      </c>
      <c r="E688" s="257" t="str">
        <f>+_xlfn.XLOOKUP(PROYECTOS[[#This Row],[MUNICIPIO]],MUNICIPIOS!A:A,MUNICIPIOS!E:E,0,0,1)</f>
        <v>Oriente</v>
      </c>
      <c r="F688" s="257" t="e" cm="1">
        <f t="array" ref="F688">+_xlfn.XLOOKUP(PROYECTOS[[#This Row],[MUNICIPIO]],Table1[Municipio],MUNICIPIOS!F:F,0,0,1)</f>
        <v>#VALUE!</v>
      </c>
      <c r="G688" s="257" t="str">
        <f>+LOOKUP(PROYECTOS[[#This Row],[MUNICIPIO]],Table1[Municipio],Table1[Latitud])</f>
        <v>6,136871</v>
      </c>
      <c r="H688" s="258">
        <f>+LOOKUP(PROYECTOS[[#This Row],[MUNICIPIO]],Table1[Municipio],Table1[PDET])</f>
        <v>0</v>
      </c>
      <c r="I688" s="259">
        <f>+LOOKUP(PROYECTOS[[#This Row],[MUNICIPIO]],Table1[Municipio],Table1[ZOMAC])</f>
        <v>0</v>
      </c>
      <c r="J688" s="260" t="str" cm="1">
        <f t="array" ref="J688">_xlfn.TEXTJOIN(", ", TRUE, IF(radicados[ID PROYECTOS]=A688, radicados[RADICADO], ""))</f>
        <v>2025010357336, 2025010358187, 2025010468678</v>
      </c>
      <c r="K688" s="242">
        <v>3</v>
      </c>
      <c r="L688" s="212">
        <f>+_xlfn.XLOOKUP(PROYECTOS[[#This Row],[ID_NECESIDAD]],'1.RADICADOS'!G:G,'1.RADICADOS'!J:J,0,0,1)</f>
        <v>5112206511</v>
      </c>
      <c r="M688" s="34" t="s">
        <v>288</v>
      </c>
      <c r="N688" s="247" t="s">
        <v>398</v>
      </c>
      <c r="O688" s="247" t="s">
        <v>25</v>
      </c>
      <c r="P688" s="247" t="s">
        <v>1920</v>
      </c>
      <c r="Q688" s="247"/>
      <c r="R688" s="166"/>
      <c r="S688" s="166"/>
      <c r="T688" s="258">
        <f>+_xlfn.XLOOKUP(PROYECTOS[[#This Row],[MUNICIPIO]],'4.CAP_ENDMNT'!B:B,'4.CAP_ENDMNT'!C:C,0,0,1)</f>
        <v>6</v>
      </c>
      <c r="U688" s="167">
        <f>+_xlfn.XLOOKUP(PROYECTOS[[#This Row],[MUNICIPIO]],'4.CAP_ENDMNT'!B:B,'4.CAP_ENDMNT'!D:D,0,0,1)</f>
        <v>28148489568.315498</v>
      </c>
      <c r="V688" s="258">
        <f>+_xlfn.XLOOKUP(PROYECTOS[[#This Row],[MUNICIPIO]],'4.CAP_ENDMNT'!B:B,'4.CAP_ENDMNT'!E:E,0,0,1)</f>
        <v>9574117926.6900005</v>
      </c>
      <c r="W688" s="258">
        <f>+_xlfn.XLOOKUP(PROYECTOS[[#This Row],[MUNICIPIO]],'4.CAP_ENDMNT'!B:B,'4.CAP_ENDMNT'!F:F,0,0,1)</f>
        <v>18574371641.625496</v>
      </c>
      <c r="X688" s="258">
        <f>+_xlfn.XLOOKUP(PROYECTOS[[#This Row],[MUNICIPIO]],'4.CAP_ENDMNT'!B:B,'4.CAP_ENDMNT'!G:G,0,0,1)</f>
        <v>7165025466</v>
      </c>
      <c r="Y688" s="258">
        <f>+_xlfn.XLOOKUP(PROYECTOS[[#This Row],[MUNICIPIO]],'4.CAP_ENDMNT'!B:B,'4.CAP_ENDMNT'!H:H,0,0,1)</f>
        <v>0</v>
      </c>
      <c r="Z688" s="258">
        <f>+_xlfn.XLOOKUP(PROYECTOS[[#This Row],[MUNICIPIO]],'4.CAP_ENDMNT'!B:B,'4.CAP_ENDMNT'!I:I,0,0,1)</f>
        <v>7165025466</v>
      </c>
      <c r="AA688" s="134">
        <f>+_xlfn.XLOOKUP(PROYECTOS[[#This Row],[MUNICIPIO]],'4.CAP_ENDMNT'!B:B,'4.CAP_ENDMNT'!J:J,0,0,1)</f>
        <v>0.25454386988014788</v>
      </c>
      <c r="AB688" s="258">
        <f>+_xlfn.XLOOKUP(PROYECTOS[[#This Row],[MUNICIPIO]],'4.CAP_ENDMNT'!B:B,'4.CAP_ENDMNT'!K:K,0,0,1)</f>
        <v>20983464102.315498</v>
      </c>
      <c r="AC688" s="258">
        <f>+_xlfn.XLOOKUP(PROYECTOS[[#This Row],[MUNICIPIO]],'4.CAP_ENDMNT'!B:B,'4.CAP_ENDMNT'!L:L,0,0,1)</f>
        <v>16786771281.8524</v>
      </c>
      <c r="AD688" s="258">
        <f>+_xlfn.XLOOKUP(PROYECTOS[[#This Row],[MUNICIPIO]],'4.CAP_ENDMNT'!B:B,'4.CAP_ENDMNT'!M:M,0,0,1)</f>
        <v>12590078461.389299</v>
      </c>
      <c r="AE688" s="134">
        <f>+_xlfn.XLOOKUP(PROYECTOS[[#This Row],[MUNICIPIO]],'4.CAP_ENDMNT'!B:B,'4.CAP_ENDMNT'!N:N,0,0,1)</f>
        <v>1</v>
      </c>
      <c r="AF688" s="134">
        <f>+_xlfn.XLOOKUP(PROYECTOS[[#This Row],[MUNICIPIO]],'4.CAP_ENDMNT'!B:B,'4.CAP_ENDMNT'!O:O,0,0,1)</f>
        <v>0.38693852418292884</v>
      </c>
      <c r="AG688" s="134">
        <f>+_xlfn.XLOOKUP(PROYECTOS[[#This Row],[MUNICIPIO]],'4.CAP_ENDMNT'!B:B,'4.CAP_ENDMNT'!P:P,0,0,1)</f>
        <v>0.8</v>
      </c>
      <c r="AH688" s="258" t="str">
        <f>+_xlfn.XLOOKUP(PROYECTOS[[#This Row],[MUNICIPIO]],'4.CAP_ENDMNT'!B:B,'4.CAP_ENDMNT'!Q:Q,0,0,1)</f>
        <v>Cumple</v>
      </c>
      <c r="AI688" s="139">
        <f>+_xlfn.XLOOKUP(PROYECTOS[[#This Row],[MUNICIPIO]],'4.CAP_ENDMNT'!B:B,'4.CAP_ENDMNT'!V:V,0,0,1)</f>
        <v>2518015692.2778602</v>
      </c>
      <c r="AJ688" s="139">
        <f>+_xlfn.XLOOKUP(PROYECTOS[[#This Row],[MUNICIPIO]],'4.CAP_ENDMNT'!B:B,'4.CAP_ENDMNT'!Y:Y,0,0,1)</f>
        <v>-4116653327.33284</v>
      </c>
      <c r="AK688"/>
      <c r="AL688"/>
      <c r="AM688"/>
    </row>
    <row r="689" spans="1:39" ht="15" customHeight="1">
      <c r="A689" s="262">
        <v>809</v>
      </c>
      <c r="B689" s="232" t="str">
        <f>+_xlfn.XLOOKUP(PROYECTOS[[#This Row],[ID_NECESIDAD]],'1.RADICADOS'!G:G,'1.RADICADOS'!H:H,0,0,1)</f>
        <v>MEJORAMIENTO DE VIAS TERCIARIAS MEDIANTE LA CONSTRUCCIÓN DE PLACA HUELLA EN LA VEREDA EL ESPINALDEL MUNICIPIO DE SANTAFÉ DE ANTIOQUIA</v>
      </c>
      <c r="C689" s="118">
        <f>+_xlfn.XLOOKUP(PROYECTOS[[#This Row],[ID_NECESIDAD]],'1.RADICADOS'!G:G,'1.RADICADOS'!C:C,0,0,1)*1</f>
        <v>45854</v>
      </c>
      <c r="D689" s="118" t="str">
        <f>+_xlfn.XLOOKUP(PROYECTOS[[#This Row],[ID_NECESIDAD]],'1.RADICADOS'!G:G,'1.RADICADOS'!F:F,0,0,1)</f>
        <v>Santa Fe de Antioquia</v>
      </c>
      <c r="E689" s="257" t="str">
        <f>+_xlfn.XLOOKUP(PROYECTOS[[#This Row],[MUNICIPIO]],MUNICIPIOS!A:A,MUNICIPIOS!E:E,0,0,1)</f>
        <v>Occidente</v>
      </c>
      <c r="F689" s="257" t="e" cm="1">
        <f t="array" ref="F689">+_xlfn.XLOOKUP(PROYECTOS[[#This Row],[MUNICIPIO]],Table1[Municipio],MUNICIPIOS!F:F,0,0,1)</f>
        <v>#VALUE!</v>
      </c>
      <c r="G689" s="257" t="str">
        <f>+LOOKUP(PROYECTOS[[#This Row],[MUNICIPIO]],Table1[Municipio],Table1[Latitud])</f>
        <v>6,149903</v>
      </c>
      <c r="H689" s="258">
        <f>+LOOKUP(PROYECTOS[[#This Row],[MUNICIPIO]],Table1[Municipio],Table1[PDET])</f>
        <v>0</v>
      </c>
      <c r="I689" s="259">
        <f>+LOOKUP(PROYECTOS[[#This Row],[MUNICIPIO]],Table1[Municipio],Table1[ZOMAC])</f>
        <v>0</v>
      </c>
      <c r="J689" s="260" t="str" cm="1">
        <f t="array" ref="J689">_xlfn.TEXTJOIN(", ", TRUE, IF(radicados[ID PROYECTOS]=A689, radicados[RADICADO], ""))</f>
        <v>2025010358990</v>
      </c>
      <c r="K689" s="242">
        <v>3</v>
      </c>
      <c r="L689" s="212">
        <f>+_xlfn.XLOOKUP(PROYECTOS[[#This Row],[ID_NECESIDAD]],'1.RADICADOS'!G:G,'1.RADICADOS'!J:J,0,0,1)</f>
        <v>4791687834</v>
      </c>
      <c r="M689" s="34" t="s">
        <v>288</v>
      </c>
      <c r="N689" s="247" t="s">
        <v>398</v>
      </c>
      <c r="O689" s="247" t="s">
        <v>25</v>
      </c>
      <c r="P689" s="247" t="s">
        <v>1920</v>
      </c>
      <c r="Q689" s="247"/>
      <c r="R689" s="166"/>
      <c r="S689" s="166"/>
      <c r="T689" s="258">
        <f>+_xlfn.XLOOKUP(PROYECTOS[[#This Row],[MUNICIPIO]],'4.CAP_ENDMNT'!B:B,'4.CAP_ENDMNT'!C:C,0,0,1)</f>
        <v>5</v>
      </c>
      <c r="U689" s="167">
        <f>+_xlfn.XLOOKUP(PROYECTOS[[#This Row],[MUNICIPIO]],'4.CAP_ENDMNT'!B:B,'4.CAP_ENDMNT'!D:D,0,0,1)</f>
        <v>40656193467.687004</v>
      </c>
      <c r="V689" s="258">
        <f>+_xlfn.XLOOKUP(PROYECTOS[[#This Row],[MUNICIPIO]],'4.CAP_ENDMNT'!B:B,'4.CAP_ENDMNT'!E:E,0,0,1)</f>
        <v>18778286398.540001</v>
      </c>
      <c r="W689" s="258">
        <f>+_xlfn.XLOOKUP(PROYECTOS[[#This Row],[MUNICIPIO]],'4.CAP_ENDMNT'!B:B,'4.CAP_ENDMNT'!F:F,0,0,1)</f>
        <v>21877907069.147003</v>
      </c>
      <c r="X689" s="258">
        <f>+_xlfn.XLOOKUP(PROYECTOS[[#This Row],[MUNICIPIO]],'4.CAP_ENDMNT'!B:B,'4.CAP_ENDMNT'!G:G,0,0,1)</f>
        <v>5492975516</v>
      </c>
      <c r="Y689" s="258">
        <f>+_xlfn.XLOOKUP(PROYECTOS[[#This Row],[MUNICIPIO]],'4.CAP_ENDMNT'!B:B,'4.CAP_ENDMNT'!H:H,0,0,1)</f>
        <v>2014055909</v>
      </c>
      <c r="Z689" s="258">
        <f>+_xlfn.XLOOKUP(PROYECTOS[[#This Row],[MUNICIPIO]],'4.CAP_ENDMNT'!B:B,'4.CAP_ENDMNT'!I:I,0,0,1)</f>
        <v>7507031425</v>
      </c>
      <c r="AA689" s="134">
        <f>+_xlfn.XLOOKUP(PROYECTOS[[#This Row],[MUNICIPIO]],'4.CAP_ENDMNT'!B:B,'4.CAP_ENDMNT'!J:J,0,0,1)</f>
        <v>0.18464668688096655</v>
      </c>
      <c r="AB689" s="258">
        <f>+_xlfn.XLOOKUP(PROYECTOS[[#This Row],[MUNICIPIO]],'4.CAP_ENDMNT'!B:B,'4.CAP_ENDMNT'!K:K,0,0,1)</f>
        <v>33149162042.687004</v>
      </c>
      <c r="AC689" s="258">
        <f>+_xlfn.XLOOKUP(PROYECTOS[[#This Row],[MUNICIPIO]],'4.CAP_ENDMNT'!B:B,'4.CAP_ENDMNT'!L:L,0,0,1)</f>
        <v>26519329634.149605</v>
      </c>
      <c r="AD689" s="258">
        <f>+_xlfn.XLOOKUP(PROYECTOS[[#This Row],[MUNICIPIO]],'4.CAP_ENDMNT'!B:B,'4.CAP_ENDMNT'!M:M,0,0,1)</f>
        <v>19889497225.612202</v>
      </c>
      <c r="AE689" s="134">
        <f>+_xlfn.XLOOKUP(PROYECTOS[[#This Row],[MUNICIPIO]],'4.CAP_ENDMNT'!B:B,'4.CAP_ENDMNT'!N:N,0,0,1)</f>
        <v>0.73171073957506449</v>
      </c>
      <c r="AF689" s="134">
        <f>+_xlfn.XLOOKUP(PROYECTOS[[#This Row],[MUNICIPIO]],'4.CAP_ENDMNT'!B:B,'4.CAP_ENDMNT'!O:O,0,0,1)</f>
        <v>0.53391906125286837</v>
      </c>
      <c r="AG689" s="134">
        <f>+_xlfn.XLOOKUP(PROYECTOS[[#This Row],[MUNICIPIO]],'4.CAP_ENDMNT'!B:B,'4.CAP_ENDMNT'!P:P,0,0,1)</f>
        <v>0.8</v>
      </c>
      <c r="AH689" s="258" t="str">
        <f>+_xlfn.XLOOKUP(PROYECTOS[[#This Row],[MUNICIPIO]],'4.CAP_ENDMNT'!B:B,'4.CAP_ENDMNT'!Q:Q,0,0,1)</f>
        <v>Cumple</v>
      </c>
      <c r="AI689" s="139">
        <f>+_xlfn.XLOOKUP(PROYECTOS[[#This Row],[MUNICIPIO]],'4.CAP_ENDMNT'!B:B,'4.CAP_ENDMNT'!V:V,0,0,1)</f>
        <v>3977899445.1224403</v>
      </c>
      <c r="AJ689" s="139">
        <f>+_xlfn.XLOOKUP(PROYECTOS[[#This Row],[MUNICIPIO]],'4.CAP_ENDMNT'!B:B,'4.CAP_ENDMNT'!Y:Y,0,0,1)</f>
        <v>-34393689178.265358</v>
      </c>
      <c r="AK689"/>
      <c r="AL689"/>
      <c r="AM689"/>
    </row>
    <row r="690" spans="1:39" ht="15" customHeight="1">
      <c r="A690" s="262">
        <v>810</v>
      </c>
      <c r="B690" s="232" t="str">
        <f>+_xlfn.XLOOKUP(PROYECTOS[[#This Row],[ID_NECESIDAD]],'1.RADICADOS'!G:G,'1.RADICADOS'!H:H,0,0,1)</f>
        <v>CONSTRUCCION DE PLACA HUELLA VEREDA CHUSCALITO MUNICIPIO DE LA UNIÓN, ANTIOQUIA</v>
      </c>
      <c r="C690" s="118">
        <f>+_xlfn.XLOOKUP(PROYECTOS[[#This Row],[ID_NECESIDAD]],'1.RADICADOS'!G:G,'1.RADICADOS'!C:C,0,0,1)*1</f>
        <v>45852</v>
      </c>
      <c r="D690" s="118" t="str">
        <f>+_xlfn.XLOOKUP(PROYECTOS[[#This Row],[ID_NECESIDAD]],'1.RADICADOS'!G:G,'1.RADICADOS'!F:F,0,0,1)</f>
        <v>La Unión</v>
      </c>
      <c r="E690" s="257" t="str">
        <f>+_xlfn.XLOOKUP(PROYECTOS[[#This Row],[MUNICIPIO]],MUNICIPIOS!A:A,MUNICIPIOS!E:E,0,0,1)</f>
        <v>Oriente</v>
      </c>
      <c r="F690" s="257" t="e" cm="1">
        <f t="array" ref="F690">+_xlfn.XLOOKUP(PROYECTOS[[#This Row],[MUNICIPIO]],Table1[Municipio],MUNICIPIOS!F:F,0,0,1)</f>
        <v>#VALUE!</v>
      </c>
      <c r="G690" s="257" t="str">
        <f>+LOOKUP(PROYECTOS[[#This Row],[MUNICIPIO]],Table1[Municipio],Table1[Latitud])</f>
        <v>5,743808</v>
      </c>
      <c r="H690" s="258">
        <f>+LOOKUP(PROYECTOS[[#This Row],[MUNICIPIO]],Table1[Municipio],Table1[PDET])</f>
        <v>0</v>
      </c>
      <c r="I690" s="259">
        <f>+LOOKUP(PROYECTOS[[#This Row],[MUNICIPIO]],Table1[Municipio],Table1[ZOMAC])</f>
        <v>0</v>
      </c>
      <c r="J690" s="260" t="str" cm="1">
        <f t="array" ref="J690">_xlfn.TEXTJOIN(", ", TRUE, IF(radicados[ID PROYECTOS]=A690, radicados[RADICADO], ""))</f>
        <v>2025010353581, 2025010353572</v>
      </c>
      <c r="K690" s="242">
        <v>1</v>
      </c>
      <c r="L690" s="212"/>
      <c r="M690" s="34" t="s">
        <v>288</v>
      </c>
      <c r="N690" s="247" t="s">
        <v>398</v>
      </c>
      <c r="O690" s="247" t="s">
        <v>78</v>
      </c>
      <c r="P690" s="247" t="s">
        <v>1930</v>
      </c>
      <c r="Q690" s="247"/>
      <c r="R690" s="166"/>
      <c r="S690" s="166"/>
      <c r="T690" s="258">
        <f>+_xlfn.XLOOKUP(PROYECTOS[[#This Row],[MUNICIPIO]],'4.CAP_ENDMNT'!B:B,'4.CAP_ENDMNT'!C:C,0,0,1)</f>
        <v>6</v>
      </c>
      <c r="U690" s="167">
        <f>+_xlfn.XLOOKUP(PROYECTOS[[#This Row],[MUNICIPIO]],'4.CAP_ENDMNT'!B:B,'4.CAP_ENDMNT'!D:D,0,0,1)</f>
        <v>22781121123.307999</v>
      </c>
      <c r="V690" s="258">
        <f>+_xlfn.XLOOKUP(PROYECTOS[[#This Row],[MUNICIPIO]],'4.CAP_ENDMNT'!B:B,'4.CAP_ENDMNT'!E:E,0,0,1)</f>
        <v>7460247261.1800003</v>
      </c>
      <c r="W690" s="258">
        <f>+_xlfn.XLOOKUP(PROYECTOS[[#This Row],[MUNICIPIO]],'4.CAP_ENDMNT'!B:B,'4.CAP_ENDMNT'!F:F,0,0,1)</f>
        <v>15320873862.127998</v>
      </c>
      <c r="X690" s="258">
        <f>+_xlfn.XLOOKUP(PROYECTOS[[#This Row],[MUNICIPIO]],'4.CAP_ENDMNT'!B:B,'4.CAP_ENDMNT'!G:G,0,0,1)</f>
        <v>8372353142.5600004</v>
      </c>
      <c r="Y690" s="258">
        <f>+_xlfn.XLOOKUP(PROYECTOS[[#This Row],[MUNICIPIO]],'4.CAP_ENDMNT'!B:B,'4.CAP_ENDMNT'!H:H,0,0,1)</f>
        <v>142113074</v>
      </c>
      <c r="Z690" s="258">
        <f>+_xlfn.XLOOKUP(PROYECTOS[[#This Row],[MUNICIPIO]],'4.CAP_ENDMNT'!B:B,'4.CAP_ENDMNT'!I:I,0,0,1)</f>
        <v>8514466216.5600004</v>
      </c>
      <c r="AA690" s="134">
        <f>+_xlfn.XLOOKUP(PROYECTOS[[#This Row],[MUNICIPIO]],'4.CAP_ENDMNT'!B:B,'4.CAP_ENDMNT'!J:J,0,0,1)</f>
        <v>0.37375097434729027</v>
      </c>
      <c r="AB690" s="258">
        <f>+_xlfn.XLOOKUP(PROYECTOS[[#This Row],[MUNICIPIO]],'4.CAP_ENDMNT'!B:B,'4.CAP_ENDMNT'!K:K,0,0,1)</f>
        <v>14266654906.747997</v>
      </c>
      <c r="AC690" s="258">
        <f>+_xlfn.XLOOKUP(PROYECTOS[[#This Row],[MUNICIPIO]],'4.CAP_ENDMNT'!B:B,'4.CAP_ENDMNT'!L:L,0,0,1)</f>
        <v>11413323925.398399</v>
      </c>
      <c r="AD690" s="258">
        <f>+_xlfn.XLOOKUP(PROYECTOS[[#This Row],[MUNICIPIO]],'4.CAP_ENDMNT'!B:B,'4.CAP_ENDMNT'!M:M,0,0,1)</f>
        <v>8559992944.0487976</v>
      </c>
      <c r="AE690" s="134">
        <f>+_xlfn.XLOOKUP(PROYECTOS[[#This Row],[MUNICIPIO]],'4.CAP_ENDMNT'!B:B,'4.CAP_ENDMNT'!N:N,0,0,1)</f>
        <v>0.98330922099102336</v>
      </c>
      <c r="AF690" s="134">
        <f>+_xlfn.XLOOKUP(PROYECTOS[[#This Row],[MUNICIPIO]],'4.CAP_ENDMNT'!B:B,'4.CAP_ENDMNT'!O:O,0,0,1)</f>
        <v>0.47573857187041646</v>
      </c>
      <c r="AG690" s="134">
        <f>+_xlfn.XLOOKUP(PROYECTOS[[#This Row],[MUNICIPIO]],'4.CAP_ENDMNT'!B:B,'4.CAP_ENDMNT'!P:P,0,0,1)</f>
        <v>0.8</v>
      </c>
      <c r="AH690" s="258" t="str">
        <f>+_xlfn.XLOOKUP(PROYECTOS[[#This Row],[MUNICIPIO]],'4.CAP_ENDMNT'!B:B,'4.CAP_ENDMNT'!Q:Q,0,0,1)</f>
        <v>Cumple</v>
      </c>
      <c r="AI690" s="139">
        <f>+_xlfn.XLOOKUP(PROYECTOS[[#This Row],[MUNICIPIO]],'4.CAP_ENDMNT'!B:B,'4.CAP_ENDMNT'!V:V,0,0,1)</f>
        <v>1711998588.8097596</v>
      </c>
      <c r="AJ690" s="139">
        <f>+_xlfn.XLOOKUP(PROYECTOS[[#This Row],[MUNICIPIO]],'4.CAP_ENDMNT'!B:B,'4.CAP_ENDMNT'!Y:Y,0,0,1)</f>
        <v>-9965414152.1414433</v>
      </c>
      <c r="AK690"/>
      <c r="AL690"/>
      <c r="AM690"/>
    </row>
    <row r="691" spans="1:39" ht="15" customHeight="1">
      <c r="A691" s="262">
        <v>812</v>
      </c>
      <c r="B691" s="232" t="str">
        <f>+_xlfn.XLOOKUP(PROYECTOS[[#This Row],[ID_NECESIDAD]],'1.RADICADOS'!G:G,'1.RADICADOS'!H:H,0,0,1)</f>
        <v>CONSTRUCCION DE 5.0 KM DE PLACA HUELLA ENEL CORREGIMIENTO DE BARRO BLANCO PARA COFINANCIACION</v>
      </c>
      <c r="C691" s="118">
        <f>+_xlfn.XLOOKUP(PROYECTOS[[#This Row],[ID_NECESIDAD]],'1.RADICADOS'!G:G,'1.RADICADOS'!C:C,0,0,1)*1</f>
        <v>45849</v>
      </c>
      <c r="D691" s="118" t="str">
        <f>+_xlfn.XLOOKUP(PROYECTOS[[#This Row],[ID_NECESIDAD]],'1.RADICADOS'!G:G,'1.RADICADOS'!F:F,0,0,1)</f>
        <v>Caramanta</v>
      </c>
      <c r="E691" s="257" t="str">
        <f>+_xlfn.XLOOKUP(PROYECTOS[[#This Row],[MUNICIPIO]],MUNICIPIOS!A:A,MUNICIPIOS!E:E,0,0,1)</f>
        <v>Suroeste</v>
      </c>
      <c r="F691" s="257" t="e" cm="1">
        <f t="array" ref="F691">+_xlfn.XLOOKUP(PROYECTOS[[#This Row],[MUNICIPIO]],Table1[Municipio],MUNICIPIOS!F:F,0,0,1)</f>
        <v>#VALUE!</v>
      </c>
      <c r="G691" s="257" t="str">
        <f>+LOOKUP(PROYECTOS[[#This Row],[MUNICIPIO]],Table1[Municipio],Table1[Latitud])</f>
        <v>7,074703</v>
      </c>
      <c r="H691" s="258">
        <f>+LOOKUP(PROYECTOS[[#This Row],[MUNICIPIO]],Table1[Municipio],Table1[PDET])</f>
        <v>1</v>
      </c>
      <c r="I691" s="259">
        <f>+LOOKUP(PROYECTOS[[#This Row],[MUNICIPIO]],Table1[Municipio],Table1[ZOMAC])</f>
        <v>1</v>
      </c>
      <c r="J691" s="260" t="str" cm="1">
        <f t="array" ref="J691">_xlfn.TEXTJOIN(", ", TRUE, IF(radicados[ID PROYECTOS]=A691, radicados[RADICADO], ""))</f>
        <v>2025010348936</v>
      </c>
      <c r="K691" s="242">
        <v>3</v>
      </c>
      <c r="L691" s="212">
        <f>+_xlfn.XLOOKUP(PROYECTOS[[#This Row],[ID_NECESIDAD]],'1.RADICADOS'!G:G,'1.RADICADOS'!J:J,0,0,1)</f>
        <v>9582637940</v>
      </c>
      <c r="M691" s="34" t="s">
        <v>288</v>
      </c>
      <c r="N691" s="247" t="s">
        <v>398</v>
      </c>
      <c r="O691" s="247" t="s">
        <v>25</v>
      </c>
      <c r="P691" s="247" t="s">
        <v>1920</v>
      </c>
      <c r="Q691" s="247"/>
      <c r="R691" s="166"/>
      <c r="S691" s="166"/>
      <c r="T691" s="258">
        <f>+_xlfn.XLOOKUP(PROYECTOS[[#This Row],[MUNICIPIO]],'4.CAP_ENDMNT'!B:B,'4.CAP_ENDMNT'!C:C,0,0,1)</f>
        <v>6</v>
      </c>
      <c r="U691" s="167">
        <f>+_xlfn.XLOOKUP(PROYECTOS[[#This Row],[MUNICIPIO]],'4.CAP_ENDMNT'!B:B,'4.CAP_ENDMNT'!D:D,0,0,1)</f>
        <v>4632250570.3755007</v>
      </c>
      <c r="V691" s="258">
        <f>+_xlfn.XLOOKUP(PROYECTOS[[#This Row],[MUNICIPIO]],'4.CAP_ENDMNT'!B:B,'4.CAP_ENDMNT'!E:E,0,0,1)</f>
        <v>2678094476.75</v>
      </c>
      <c r="W691" s="258">
        <f>+_xlfn.XLOOKUP(PROYECTOS[[#This Row],[MUNICIPIO]],'4.CAP_ENDMNT'!B:B,'4.CAP_ENDMNT'!F:F,0,0,1)</f>
        <v>1954156093.6255007</v>
      </c>
      <c r="X691" s="258">
        <f>+_xlfn.XLOOKUP(PROYECTOS[[#This Row],[MUNICIPIO]],'4.CAP_ENDMNT'!B:B,'4.CAP_ENDMNT'!G:G,0,0,1)</f>
        <v>1940610936.6700001</v>
      </c>
      <c r="Y691" s="258">
        <f>+_xlfn.XLOOKUP(PROYECTOS[[#This Row],[MUNICIPIO]],'4.CAP_ENDMNT'!B:B,'4.CAP_ENDMNT'!H:H,0,0,1)</f>
        <v>0</v>
      </c>
      <c r="Z691" s="258">
        <f>+_xlfn.XLOOKUP(PROYECTOS[[#This Row],[MUNICIPIO]],'4.CAP_ENDMNT'!B:B,'4.CAP_ENDMNT'!I:I,0,0,1)</f>
        <v>1940610936.6700001</v>
      </c>
      <c r="AA691" s="134">
        <f>+_xlfn.XLOOKUP(PROYECTOS[[#This Row],[MUNICIPIO]],'4.CAP_ENDMNT'!B:B,'4.CAP_ENDMNT'!J:J,0,0,1)</f>
        <v>0.41893479361430352</v>
      </c>
      <c r="AB691" s="258">
        <f>+_xlfn.XLOOKUP(PROYECTOS[[#This Row],[MUNICIPIO]],'4.CAP_ENDMNT'!B:B,'4.CAP_ENDMNT'!K:K,0,0,1)</f>
        <v>2691639633.7055006</v>
      </c>
      <c r="AC691" s="258">
        <f>+_xlfn.XLOOKUP(PROYECTOS[[#This Row],[MUNICIPIO]],'4.CAP_ENDMNT'!B:B,'4.CAP_ENDMNT'!L:L,0,0,1)</f>
        <v>2153311706.9644008</v>
      </c>
      <c r="AD691" s="258">
        <f>+_xlfn.XLOOKUP(PROYECTOS[[#This Row],[MUNICIPIO]],'4.CAP_ENDMNT'!B:B,'4.CAP_ENDMNT'!M:M,0,0,1)</f>
        <v>1614983780.2233002</v>
      </c>
      <c r="AE691" s="134">
        <f>+_xlfn.XLOOKUP(PROYECTOS[[#This Row],[MUNICIPIO]],'4.CAP_ENDMNT'!B:B,'4.CAP_ENDMNT'!N:N,0,0,1)</f>
        <v>1</v>
      </c>
      <c r="AF691" s="134">
        <f>+_xlfn.XLOOKUP(PROYECTOS[[#This Row],[MUNICIPIO]],'4.CAP_ENDMNT'!B:B,'4.CAP_ENDMNT'!O:O,0,0,1)</f>
        <v>0.76459744811231467</v>
      </c>
      <c r="AG691" s="134">
        <f>+_xlfn.XLOOKUP(PROYECTOS[[#This Row],[MUNICIPIO]],'4.CAP_ENDMNT'!B:B,'4.CAP_ENDMNT'!P:P,0,0,1)</f>
        <v>0.8</v>
      </c>
      <c r="AH691" s="258" t="str">
        <f>+_xlfn.XLOOKUP(PROYECTOS[[#This Row],[MUNICIPIO]],'4.CAP_ENDMNT'!B:B,'4.CAP_ENDMNT'!Q:Q,0,0,1)</f>
        <v>Riesgo</v>
      </c>
      <c r="AI691" s="139">
        <f>+_xlfn.XLOOKUP(PROYECTOS[[#This Row],[MUNICIPIO]],'4.CAP_ENDMNT'!B:B,'4.CAP_ENDMNT'!V:V,0,0,1)</f>
        <v>322996756.04466009</v>
      </c>
      <c r="AJ691" s="139">
        <f>+_xlfn.XLOOKUP(PROYECTOS[[#This Row],[MUNICIPIO]],'4.CAP_ENDMNT'!B:B,'4.CAP_ENDMNT'!Y:Y,0,0,1)</f>
        <v>-11822870077.73204</v>
      </c>
      <c r="AK691"/>
      <c r="AL691"/>
      <c r="AM691"/>
    </row>
    <row r="692" spans="1:39" ht="15" customHeight="1">
      <c r="A692" s="262">
        <v>815</v>
      </c>
      <c r="B692" s="232" t="str">
        <f>+_xlfn.XLOOKUP(PROYECTOS[[#This Row],[ID_NECESIDAD]],'1.RADICADOS'!G:G,'1.RADICADOS'!H:H,0,0,1)</f>
        <v>Construcción de obra hidráulica en el municipio de Chigorodó del departamento de Antioquia</v>
      </c>
      <c r="C692" s="118">
        <f>+_xlfn.XLOOKUP(PROYECTOS[[#This Row],[ID_NECESIDAD]],'1.RADICADOS'!G:G,'1.RADICADOS'!C:C,0,0,1)*1</f>
        <v>45946</v>
      </c>
      <c r="D692" s="118" t="str">
        <f>+_xlfn.XLOOKUP(PROYECTOS[[#This Row],[ID_NECESIDAD]],'1.RADICADOS'!G:G,'1.RADICADOS'!F:F,0,0,1)</f>
        <v>Chigorodó</v>
      </c>
      <c r="E692" s="257" t="str">
        <f>+_xlfn.XLOOKUP(PROYECTOS[[#This Row],[MUNICIPIO]],MUNICIPIOS!A:A,MUNICIPIOS!E:E,0,0,1)</f>
        <v>Urabá</v>
      </c>
      <c r="F692" s="257" t="e" cm="1">
        <f t="array" ref="F692">+_xlfn.XLOOKUP(PROYECTOS[[#This Row],[MUNICIPIO]],Table1[Municipio],MUNICIPIOS!F:F,0,0,1)</f>
        <v>#VALUE!</v>
      </c>
      <c r="G692" s="257" t="str">
        <f>+LOOKUP(PROYECTOS[[#This Row],[MUNICIPIO]],Table1[Municipio],Table1[Latitud])</f>
        <v>7,074703</v>
      </c>
      <c r="H692" s="258">
        <f>+LOOKUP(PROYECTOS[[#This Row],[MUNICIPIO]],Table1[Municipio],Table1[PDET])</f>
        <v>1</v>
      </c>
      <c r="I692" s="259">
        <f>+LOOKUP(PROYECTOS[[#This Row],[MUNICIPIO]],Table1[Municipio],Table1[ZOMAC])</f>
        <v>1</v>
      </c>
      <c r="J692" s="260" t="str" cm="1">
        <f t="array" ref="J692">_xlfn.TEXTJOIN(", ", TRUE, IF(radicados[ID PROYECTOS]=A692, radicados[RADICADO], ""))</f>
        <v>2025010000000</v>
      </c>
      <c r="K692" s="242">
        <v>3</v>
      </c>
      <c r="L692" s="212">
        <f>+_xlfn.XLOOKUP(PROYECTOS[[#This Row],[ID_NECESIDAD]],'1.RADICADOS'!G:G,'1.RADICADOS'!J:J,0,0,1)</f>
        <v>544606368</v>
      </c>
      <c r="M692" s="34" t="s">
        <v>40</v>
      </c>
      <c r="N692" s="40" t="s">
        <v>1079</v>
      </c>
      <c r="O692" s="40" t="s">
        <v>40</v>
      </c>
      <c r="P692" s="247"/>
      <c r="Q692" s="247"/>
      <c r="R692" s="166"/>
      <c r="S692" s="166"/>
      <c r="T692" s="258">
        <f>+_xlfn.XLOOKUP(PROYECTOS[[#This Row],[MUNICIPIO]],'4.CAP_ENDMNT'!B:B,'4.CAP_ENDMNT'!C:C,0,0,1)</f>
        <v>6</v>
      </c>
      <c r="U692" s="167">
        <f>+_xlfn.XLOOKUP(PROYECTOS[[#This Row],[MUNICIPIO]],'4.CAP_ENDMNT'!B:B,'4.CAP_ENDMNT'!D:D,0,0,1)</f>
        <v>31480625713.601501</v>
      </c>
      <c r="V692" s="258">
        <f>+_xlfn.XLOOKUP(PROYECTOS[[#This Row],[MUNICIPIO]],'4.CAP_ENDMNT'!B:B,'4.CAP_ENDMNT'!E:E,0,0,1)</f>
        <v>12012746210.970001</v>
      </c>
      <c r="W692" s="258">
        <f>+_xlfn.XLOOKUP(PROYECTOS[[#This Row],[MUNICIPIO]],'4.CAP_ENDMNT'!B:B,'4.CAP_ENDMNT'!F:F,0,0,1)</f>
        <v>19467879502.6315</v>
      </c>
      <c r="X692" s="258">
        <f>+_xlfn.XLOOKUP(PROYECTOS[[#This Row],[MUNICIPIO]],'4.CAP_ENDMNT'!B:B,'4.CAP_ENDMNT'!G:G,0,0,1)</f>
        <v>990257688</v>
      </c>
      <c r="Y692" s="258">
        <f>+_xlfn.XLOOKUP(PROYECTOS[[#This Row],[MUNICIPIO]],'4.CAP_ENDMNT'!B:B,'4.CAP_ENDMNT'!H:H,0,0,1)</f>
        <v>4241046406.5999999</v>
      </c>
      <c r="Z692" s="258">
        <f>+_xlfn.XLOOKUP(PROYECTOS[[#This Row],[MUNICIPIO]],'4.CAP_ENDMNT'!B:B,'4.CAP_ENDMNT'!I:I,0,0,1)</f>
        <v>5231304094.6000004</v>
      </c>
      <c r="AA692" s="134">
        <f>+_xlfn.XLOOKUP(PROYECTOS[[#This Row],[MUNICIPIO]],'4.CAP_ENDMNT'!B:B,'4.CAP_ENDMNT'!J:J,0,0,1)</f>
        <v>0.16617535312647125</v>
      </c>
      <c r="AB692" s="258">
        <f>+_xlfn.XLOOKUP(PROYECTOS[[#This Row],[MUNICIPIO]],'4.CAP_ENDMNT'!B:B,'4.CAP_ENDMNT'!K:K,0,0,1)</f>
        <v>26249321619.001503</v>
      </c>
      <c r="AC692" s="258">
        <f>+_xlfn.XLOOKUP(PROYECTOS[[#This Row],[MUNICIPIO]],'4.CAP_ENDMNT'!B:B,'4.CAP_ENDMNT'!L:L,0,0,1)</f>
        <v>20999457295.201202</v>
      </c>
      <c r="AD692" s="258">
        <f>+_xlfn.XLOOKUP(PROYECTOS[[#This Row],[MUNICIPIO]],'4.CAP_ENDMNT'!B:B,'4.CAP_ENDMNT'!M:M,0,0,1)</f>
        <v>15749592971.400902</v>
      </c>
      <c r="AE692" s="134">
        <f>+_xlfn.XLOOKUP(PROYECTOS[[#This Row],[MUNICIPIO]],'4.CAP_ENDMNT'!B:B,'4.CAP_ENDMNT'!N:N,0,0,1)</f>
        <v>0.18929461375074541</v>
      </c>
      <c r="AF692" s="134">
        <f>+_xlfn.XLOOKUP(PROYECTOS[[#This Row],[MUNICIPIO]],'4.CAP_ENDMNT'!B:B,'4.CAP_ENDMNT'!O:O,0,0,1)</f>
        <v>0.57128723877428544</v>
      </c>
      <c r="AG692" s="134">
        <f>+_xlfn.XLOOKUP(PROYECTOS[[#This Row],[MUNICIPIO]],'4.CAP_ENDMNT'!B:B,'4.CAP_ENDMNT'!P:P,0,0,1)</f>
        <v>0.8</v>
      </c>
      <c r="AH692" s="258" t="str">
        <f>+_xlfn.XLOOKUP(PROYECTOS[[#This Row],[MUNICIPIO]],'4.CAP_ENDMNT'!B:B,'4.CAP_ENDMNT'!Q:Q,0,0,1)</f>
        <v>Cumple</v>
      </c>
      <c r="AI692" s="139">
        <f>+_xlfn.XLOOKUP(PROYECTOS[[#This Row],[MUNICIPIO]],'4.CAP_ENDMNT'!B:B,'4.CAP_ENDMNT'!V:V,0,0,1)</f>
        <v>3149918594.2801805</v>
      </c>
      <c r="AJ692" s="139">
        <f>+_xlfn.XLOOKUP(PROYECTOS[[#This Row],[MUNICIPIO]],'4.CAP_ENDMNT'!B:B,'4.CAP_ENDMNT'!Y:Y,0,0,1)</f>
        <v>-159577103574.2489</v>
      </c>
      <c r="AK692"/>
      <c r="AL692"/>
      <c r="AM692"/>
    </row>
    <row r="693" spans="1:39" ht="15" customHeight="1">
      <c r="A693" s="262">
        <v>816</v>
      </c>
      <c r="B693" s="232" t="str">
        <f>+_xlfn.XLOOKUP(PROYECTOS[[#This Row],[ID_NECESIDAD]],'1.RADICADOS'!G:G,'1.RADICADOS'!H:H,0,0,1)</f>
        <v>Mejoramiento de las vías en el marco del parque principal con adoquín.</v>
      </c>
      <c r="C693" s="118">
        <f>+_xlfn.XLOOKUP(PROYECTOS[[#This Row],[ID_NECESIDAD]],'1.RADICADOS'!G:G,'1.RADICADOS'!C:C,0,0,1)*1</f>
        <v>45953</v>
      </c>
      <c r="D693" s="118" t="str">
        <f>+_xlfn.XLOOKUP(PROYECTOS[[#This Row],[ID_NECESIDAD]],'1.RADICADOS'!G:G,'1.RADICADOS'!F:F,0,0,1)</f>
        <v>Ciudad Bolívar</v>
      </c>
      <c r="E693" s="257" t="str">
        <f>+_xlfn.XLOOKUP(PROYECTOS[[#This Row],[MUNICIPIO]],MUNICIPIOS!A:A,MUNICIPIOS!E:E,0,0,1)</f>
        <v>Suroeste</v>
      </c>
      <c r="F693" s="257" t="e" cm="1">
        <f t="array" ref="F693">+_xlfn.XLOOKUP(PROYECTOS[[#This Row],[MUNICIPIO]],Table1[Municipio],MUNICIPIOS!F:F,0,0,1)</f>
        <v>#VALUE!</v>
      </c>
      <c r="G693" s="257" t="str">
        <f>+LOOKUP(PROYECTOS[[#This Row],[MUNICIPIO]],Table1[Municipio],Table1[Latitud])</f>
        <v>6,537829</v>
      </c>
      <c r="H693" s="258">
        <f>+LOOKUP(PROYECTOS[[#This Row],[MUNICIPIO]],Table1[Municipio],Table1[PDET])</f>
        <v>0</v>
      </c>
      <c r="I693" s="259">
        <f>+LOOKUP(PROYECTOS[[#This Row],[MUNICIPIO]],Table1[Municipio],Table1[ZOMAC])</f>
        <v>0</v>
      </c>
      <c r="J693" s="260" t="str" cm="1">
        <f t="array" ref="J693">_xlfn.TEXTJOIN(", ", TRUE, IF(radicados[ID PROYECTOS]=A693, radicados[RADICADO], ""))</f>
        <v>2025010572842</v>
      </c>
      <c r="K693" s="242">
        <v>1</v>
      </c>
      <c r="L693" s="212">
        <f>+_xlfn.XLOOKUP(PROYECTOS[[#This Row],[ID_NECESIDAD]],'1.RADICADOS'!G:G,'1.RADICADOS'!J:J,0,0,1)</f>
        <v>40000000</v>
      </c>
      <c r="M693" s="247" t="s">
        <v>426</v>
      </c>
      <c r="N693" s="247" t="s">
        <v>394</v>
      </c>
      <c r="O693" s="247" t="s">
        <v>18</v>
      </c>
      <c r="P693" s="247" t="s">
        <v>1924</v>
      </c>
      <c r="Q693" s="247"/>
      <c r="R693" s="166"/>
      <c r="S693" s="166"/>
      <c r="T693" s="258">
        <f>+_xlfn.XLOOKUP(PROYECTOS[[#This Row],[MUNICIPIO]],'4.CAP_ENDMNT'!B:B,'4.CAP_ENDMNT'!C:C,0,0,1)</f>
        <v>6</v>
      </c>
      <c r="U693" s="167">
        <f>+_xlfn.XLOOKUP(PROYECTOS[[#This Row],[MUNICIPIO]],'4.CAP_ENDMNT'!B:B,'4.CAP_ENDMNT'!D:D,0,0,1)</f>
        <v>18608617574.017002</v>
      </c>
      <c r="V693" s="258">
        <f>+_xlfn.XLOOKUP(PROYECTOS[[#This Row],[MUNICIPIO]],'4.CAP_ENDMNT'!B:B,'4.CAP_ENDMNT'!E:E,0,0,1)</f>
        <v>7376218347.0799999</v>
      </c>
      <c r="W693" s="258">
        <f>+_xlfn.XLOOKUP(PROYECTOS[[#This Row],[MUNICIPIO]],'4.CAP_ENDMNT'!B:B,'4.CAP_ENDMNT'!F:F,0,0,1)</f>
        <v>11232399226.937002</v>
      </c>
      <c r="X693" s="258">
        <f>+_xlfn.XLOOKUP(PROYECTOS[[#This Row],[MUNICIPIO]],'4.CAP_ENDMNT'!B:B,'4.CAP_ENDMNT'!G:G,0,0,1)</f>
        <v>2665498102.3000002</v>
      </c>
      <c r="Y693" s="258">
        <f>+_xlfn.XLOOKUP(PROYECTOS[[#This Row],[MUNICIPIO]],'4.CAP_ENDMNT'!B:B,'4.CAP_ENDMNT'!H:H,0,0,1)</f>
        <v>2057047588</v>
      </c>
      <c r="Z693" s="258">
        <f>+_xlfn.XLOOKUP(PROYECTOS[[#This Row],[MUNICIPIO]],'4.CAP_ENDMNT'!B:B,'4.CAP_ENDMNT'!I:I,0,0,1)</f>
        <v>4722545690.3000002</v>
      </c>
      <c r="AA693" s="134">
        <f>+_xlfn.XLOOKUP(PROYECTOS[[#This Row],[MUNICIPIO]],'4.CAP_ENDMNT'!B:B,'4.CAP_ENDMNT'!J:J,0,0,1)</f>
        <v>0.25378272574605631</v>
      </c>
      <c r="AB693" s="258">
        <f>+_xlfn.XLOOKUP(PROYECTOS[[#This Row],[MUNICIPIO]],'4.CAP_ENDMNT'!B:B,'4.CAP_ENDMNT'!K:K,0,0,1)</f>
        <v>13886071883.717003</v>
      </c>
      <c r="AC693" s="258">
        <f>+_xlfn.XLOOKUP(PROYECTOS[[#This Row],[MUNICIPIO]],'4.CAP_ENDMNT'!B:B,'4.CAP_ENDMNT'!L:L,0,0,1)</f>
        <v>11108857506.973602</v>
      </c>
      <c r="AD693" s="258">
        <f>+_xlfn.XLOOKUP(PROYECTOS[[#This Row],[MUNICIPIO]],'4.CAP_ENDMNT'!B:B,'4.CAP_ENDMNT'!M:M,0,0,1)</f>
        <v>8331643130.2302017</v>
      </c>
      <c r="AE693" s="134">
        <f>+_xlfn.XLOOKUP(PROYECTOS[[#This Row],[MUNICIPIO]],'4.CAP_ENDMNT'!B:B,'4.CAP_ENDMNT'!N:N,0,0,1)</f>
        <v>0.56441975940537148</v>
      </c>
      <c r="AF693" s="134">
        <f>+_xlfn.XLOOKUP(PROYECTOS[[#This Row],[MUNICIPIO]],'4.CAP_ENDMNT'!B:B,'4.CAP_ENDMNT'!O:O,0,0,1)</f>
        <v>0.57306836090110702</v>
      </c>
      <c r="AG693" s="134">
        <f>+_xlfn.XLOOKUP(PROYECTOS[[#This Row],[MUNICIPIO]],'4.CAP_ENDMNT'!B:B,'4.CAP_ENDMNT'!P:P,0,0,1)</f>
        <v>0.8</v>
      </c>
      <c r="AH693" s="258" t="str">
        <f>+_xlfn.XLOOKUP(PROYECTOS[[#This Row],[MUNICIPIO]],'4.CAP_ENDMNT'!B:B,'4.CAP_ENDMNT'!Q:Q,0,0,1)</f>
        <v>Cumple</v>
      </c>
      <c r="AI693" s="139">
        <f>+_xlfn.XLOOKUP(PROYECTOS[[#This Row],[MUNICIPIO]],'4.CAP_ENDMNT'!B:B,'4.CAP_ENDMNT'!V:V,0,0,1)</f>
        <v>1666328626.0460405</v>
      </c>
      <c r="AJ693" s="139">
        <f>+_xlfn.XLOOKUP(PROYECTOS[[#This Row],[MUNICIPIO]],'4.CAP_ENDMNT'!B:B,'4.CAP_ENDMNT'!Y:Y,0,0,1)</f>
        <v>-31544185823.723759</v>
      </c>
      <c r="AK693"/>
      <c r="AL693"/>
      <c r="AM693"/>
    </row>
    <row r="694" spans="1:39" ht="15" customHeight="1">
      <c r="A694" s="262">
        <v>817</v>
      </c>
      <c r="B694" s="232" t="str">
        <f>+_xlfn.XLOOKUP(PROYECTOS[[#This Row],[ID_NECESIDAD]],'1.RADICADOS'!G:G,'1.RADICADOS'!H:H,0,0,1)</f>
        <v>SOLICITUD DE APOYO DEL MEJORAMIENTO DE LA MALLA VIAL DEL CASCO URBANO DEL MUNICIPIO DE LIBORINA</v>
      </c>
      <c r="C694" s="118">
        <f>+_xlfn.XLOOKUP(PROYECTOS[[#This Row],[ID_NECESIDAD]],'1.RADICADOS'!G:G,'1.RADICADOS'!C:C,0,0,1)*1</f>
        <v>45965</v>
      </c>
      <c r="D694" s="118" t="str">
        <f>+_xlfn.XLOOKUP(PROYECTOS[[#This Row],[ID_NECESIDAD]],'1.RADICADOS'!G:G,'1.RADICADOS'!F:F,0,0,1)</f>
        <v>Liborina</v>
      </c>
      <c r="E694" s="257" t="str">
        <f>+_xlfn.XLOOKUP(PROYECTOS[[#This Row],[MUNICIPIO]],MUNICIPIOS!A:A,MUNICIPIOS!E:E,0,0,1)</f>
        <v>Occidente</v>
      </c>
      <c r="F694" s="257" t="e" cm="1">
        <f t="array" ref="F694">+_xlfn.XLOOKUP(PROYECTOS[[#This Row],[MUNICIPIO]],Table1[Municipio],MUNICIPIOS!F:F,0,0,1)</f>
        <v>#VALUE!</v>
      </c>
      <c r="G694" s="257" t="str">
        <f>+LOOKUP(PROYECTOS[[#This Row],[MUNICIPIO]],Table1[Municipio],Table1[Latitud])</f>
        <v>5,743808</v>
      </c>
      <c r="H694" s="258">
        <f>+LOOKUP(PROYECTOS[[#This Row],[MUNICIPIO]],Table1[Municipio],Table1[PDET])</f>
        <v>0</v>
      </c>
      <c r="I694" s="259">
        <f>+LOOKUP(PROYECTOS[[#This Row],[MUNICIPIO]],Table1[Municipio],Table1[ZOMAC])</f>
        <v>0</v>
      </c>
      <c r="J694" s="260" t="str" cm="1">
        <f t="array" ref="J694">_xlfn.TEXTJOIN(", ", TRUE, IF(radicados[ID PROYECTOS]=A694, radicados[RADICADO], ""))</f>
        <v>2025010587328</v>
      </c>
      <c r="K694" s="242">
        <v>1</v>
      </c>
      <c r="L694" s="212">
        <f>+_xlfn.XLOOKUP(PROYECTOS[[#This Row],[ID_NECESIDAD]],'1.RADICADOS'!G:G,'1.RADICADOS'!J:J,0,0,1)</f>
        <v>950000000</v>
      </c>
      <c r="M694" s="247" t="s">
        <v>396</v>
      </c>
      <c r="N694" s="247" t="s">
        <v>394</v>
      </c>
      <c r="O694" s="247" t="s">
        <v>18</v>
      </c>
      <c r="P694" s="247" t="s">
        <v>1933</v>
      </c>
      <c r="Q694" s="247"/>
      <c r="R694" s="166"/>
      <c r="S694" s="166"/>
      <c r="T694" s="258">
        <f>+_xlfn.XLOOKUP(PROYECTOS[[#This Row],[MUNICIPIO]],'4.CAP_ENDMNT'!B:B,'4.CAP_ENDMNT'!C:C,0,0,1)</f>
        <v>6</v>
      </c>
      <c r="U694" s="167">
        <f>+_xlfn.XLOOKUP(PROYECTOS[[#This Row],[MUNICIPIO]],'4.CAP_ENDMNT'!B:B,'4.CAP_ENDMNT'!D:D,0,0,1)</f>
        <v>8030428413.9210014</v>
      </c>
      <c r="V694" s="258">
        <f>+_xlfn.XLOOKUP(PROYECTOS[[#This Row],[MUNICIPIO]],'4.CAP_ENDMNT'!B:B,'4.CAP_ENDMNT'!E:E,0,0,1)</f>
        <v>3080588699.4500003</v>
      </c>
      <c r="W694" s="258">
        <f>+_xlfn.XLOOKUP(PROYECTOS[[#This Row],[MUNICIPIO]],'4.CAP_ENDMNT'!B:B,'4.CAP_ENDMNT'!F:F,0,0,1)</f>
        <v>4949839714.4710007</v>
      </c>
      <c r="X694" s="258">
        <f>+_xlfn.XLOOKUP(PROYECTOS[[#This Row],[MUNICIPIO]],'4.CAP_ENDMNT'!B:B,'4.CAP_ENDMNT'!G:G,0,0,1)</f>
        <v>1577607418.01</v>
      </c>
      <c r="Y694" s="258">
        <f>+_xlfn.XLOOKUP(PROYECTOS[[#This Row],[MUNICIPIO]],'4.CAP_ENDMNT'!B:B,'4.CAP_ENDMNT'!H:H,0,0,1)</f>
        <v>1800000000</v>
      </c>
      <c r="Z694" s="258">
        <f>+_xlfn.XLOOKUP(PROYECTOS[[#This Row],[MUNICIPIO]],'4.CAP_ENDMNT'!B:B,'4.CAP_ENDMNT'!I:I,0,0,1)</f>
        <v>3377607418.0100002</v>
      </c>
      <c r="AA694" s="134">
        <f>+_xlfn.XLOOKUP(PROYECTOS[[#This Row],[MUNICIPIO]],'4.CAP_ENDMNT'!B:B,'4.CAP_ENDMNT'!J:J,0,0,1)</f>
        <v>0.42060114901900014</v>
      </c>
      <c r="AB694" s="258">
        <f>+_xlfn.XLOOKUP(PROYECTOS[[#This Row],[MUNICIPIO]],'4.CAP_ENDMNT'!B:B,'4.CAP_ENDMNT'!K:K,0,0,1)</f>
        <v>4652820995.9110012</v>
      </c>
      <c r="AC694" s="258">
        <f>+_xlfn.XLOOKUP(PROYECTOS[[#This Row],[MUNICIPIO]],'4.CAP_ENDMNT'!B:B,'4.CAP_ENDMNT'!L:L,0,0,1)</f>
        <v>3722256796.7288013</v>
      </c>
      <c r="AD694" s="258">
        <f>+_xlfn.XLOOKUP(PROYECTOS[[#This Row],[MUNICIPIO]],'4.CAP_ENDMNT'!B:B,'4.CAP_ENDMNT'!M:M,0,0,1)</f>
        <v>2791692597.5466008</v>
      </c>
      <c r="AE694" s="134">
        <f>+_xlfn.XLOOKUP(PROYECTOS[[#This Row],[MUNICIPIO]],'4.CAP_ENDMNT'!B:B,'4.CAP_ENDMNT'!N:N,0,0,1)</f>
        <v>0.46707838501239612</v>
      </c>
      <c r="AF694" s="134">
        <f>+_xlfn.XLOOKUP(PROYECTOS[[#This Row],[MUNICIPIO]],'4.CAP_ENDMNT'!B:B,'4.CAP_ENDMNT'!O:O,0,0,1)</f>
        <v>0.73590701114566914</v>
      </c>
      <c r="AG694" s="134">
        <f>+_xlfn.XLOOKUP(PROYECTOS[[#This Row],[MUNICIPIO]],'4.CAP_ENDMNT'!B:B,'4.CAP_ENDMNT'!P:P,0,0,1)</f>
        <v>0.8</v>
      </c>
      <c r="AH694" s="258" t="str">
        <f>+_xlfn.XLOOKUP(PROYECTOS[[#This Row],[MUNICIPIO]],'4.CAP_ENDMNT'!B:B,'4.CAP_ENDMNT'!Q:Q,0,0,1)</f>
        <v>Cumple</v>
      </c>
      <c r="AI694" s="139">
        <f>+_xlfn.XLOOKUP(PROYECTOS[[#This Row],[MUNICIPIO]],'4.CAP_ENDMNT'!B:B,'4.CAP_ENDMNT'!V:V,0,0,1)</f>
        <v>558338519.50932014</v>
      </c>
      <c r="AJ694" s="139">
        <f>+_xlfn.XLOOKUP(PROYECTOS[[#This Row],[MUNICIPIO]],'4.CAP_ENDMNT'!B:B,'4.CAP_ENDMNT'!Y:Y,0,0,1)</f>
        <v>-4580433251.9440784</v>
      </c>
      <c r="AK694"/>
      <c r="AL694"/>
      <c r="AM694"/>
    </row>
    <row r="695" spans="1:39" ht="15" customHeight="1">
      <c r="A695" s="262">
        <v>818</v>
      </c>
      <c r="B695" s="232" t="str">
        <f>+_xlfn.XLOOKUP(PROYECTOS[[#This Row],[ID_NECESIDAD]],'1.RADICADOS'!G:G,'1.RADICADOS'!H:H,0,0,1)</f>
        <v>MEJORAMIENTO EN PAVIMENTO FLEXIBLE Y URBANISMO EN EL SECTOR PUERTO HORMIGA DEL CORREGIMIENTO SAN  MIGUEL DEL TIGRE EN EL MUNICIPIO DE YONDÓ</v>
      </c>
      <c r="C695" s="118">
        <f>+_xlfn.XLOOKUP(PROYECTOS[[#This Row],[ID_NECESIDAD]],'1.RADICADOS'!G:G,'1.RADICADOS'!C:C,0,0,1)*1</f>
        <v>45952</v>
      </c>
      <c r="D695" s="118" t="str">
        <f>+_xlfn.XLOOKUP(PROYECTOS[[#This Row],[ID_NECESIDAD]],'1.RADICADOS'!G:G,'1.RADICADOS'!F:F,0,0,1)</f>
        <v>Yondó</v>
      </c>
      <c r="E695" s="257" t="str">
        <f>+_xlfn.XLOOKUP(PROYECTOS[[#This Row],[MUNICIPIO]],MUNICIPIOS!A:A,MUNICIPIOS!E:E,0,0,1)</f>
        <v>Magdalena Medio</v>
      </c>
      <c r="F695" s="257" t="e" cm="1">
        <f t="array" ref="F695">+_xlfn.XLOOKUP(PROYECTOS[[#This Row],[MUNICIPIO]],Table1[Municipio],MUNICIPIOS!F:F,0,0,1)</f>
        <v>#VALUE!</v>
      </c>
      <c r="G695" s="257" t="str">
        <f>+LOOKUP(PROYECTOS[[#This Row],[MUNICIPIO]],Table1[Municipio],Table1[Latitud])</f>
        <v>6,149903</v>
      </c>
      <c r="H695" s="258">
        <f>+LOOKUP(PROYECTOS[[#This Row],[MUNICIPIO]],Table1[Municipio],Table1[PDET])</f>
        <v>0</v>
      </c>
      <c r="I695" s="259">
        <f>+LOOKUP(PROYECTOS[[#This Row],[MUNICIPIO]],Table1[Municipio],Table1[ZOMAC])</f>
        <v>0</v>
      </c>
      <c r="J695" s="260" t="str" cm="1">
        <f t="array" ref="J695">_xlfn.TEXTJOIN(", ", TRUE, IF(radicados[ID PROYECTOS]=A695, radicados[RADICADO], ""))</f>
        <v>2025010565886</v>
      </c>
      <c r="K695" s="242">
        <v>3</v>
      </c>
      <c r="L695" s="212">
        <f>+_xlfn.XLOOKUP(PROYECTOS[[#This Row],[ID_NECESIDAD]],'1.RADICADOS'!G:G,'1.RADICADOS'!J:J,0,0,1)</f>
        <v>1936181795</v>
      </c>
      <c r="M695" s="247" t="s">
        <v>396</v>
      </c>
      <c r="N695" s="247" t="s">
        <v>398</v>
      </c>
      <c r="O695" s="247" t="s">
        <v>25</v>
      </c>
      <c r="P695" s="247"/>
      <c r="Q695" s="247"/>
      <c r="R695" s="166"/>
      <c r="S695" s="166"/>
      <c r="T695" s="258">
        <f>+_xlfn.XLOOKUP(PROYECTOS[[#This Row],[MUNICIPIO]],'4.CAP_ENDMNT'!B:B,'4.CAP_ENDMNT'!C:C,0,0,1)</f>
        <v>6</v>
      </c>
      <c r="U695" s="167">
        <f>+_xlfn.XLOOKUP(PROYECTOS[[#This Row],[MUNICIPIO]],'4.CAP_ENDMNT'!B:B,'4.CAP_ENDMNT'!D:D,0,0,1)</f>
        <v>30235702409.850498</v>
      </c>
      <c r="V695" s="258">
        <f>+_xlfn.XLOOKUP(PROYECTOS[[#This Row],[MUNICIPIO]],'4.CAP_ENDMNT'!B:B,'4.CAP_ENDMNT'!E:E,0,0,1)</f>
        <v>8068276995.0799999</v>
      </c>
      <c r="W695" s="258">
        <f>+_xlfn.XLOOKUP(PROYECTOS[[#This Row],[MUNICIPIO]],'4.CAP_ENDMNT'!B:B,'4.CAP_ENDMNT'!F:F,0,0,1)</f>
        <v>22167425414.7705</v>
      </c>
      <c r="X695" s="258">
        <f>+_xlfn.XLOOKUP(PROYECTOS[[#This Row],[MUNICIPIO]],'4.CAP_ENDMNT'!B:B,'4.CAP_ENDMNT'!G:G,0,0,1)</f>
        <v>0</v>
      </c>
      <c r="Y695" s="258">
        <f>+_xlfn.XLOOKUP(PROYECTOS[[#This Row],[MUNICIPIO]],'4.CAP_ENDMNT'!B:B,'4.CAP_ENDMNT'!H:H,0,0,1)</f>
        <v>0</v>
      </c>
      <c r="Z695" s="258">
        <f>+_xlfn.XLOOKUP(PROYECTOS[[#This Row],[MUNICIPIO]],'4.CAP_ENDMNT'!B:B,'4.CAP_ENDMNT'!I:I,0,0,1)</f>
        <v>0</v>
      </c>
      <c r="AA695" s="134">
        <f>+_xlfn.XLOOKUP(PROYECTOS[[#This Row],[MUNICIPIO]],'4.CAP_ENDMNT'!B:B,'4.CAP_ENDMNT'!J:J,0,0,1)</f>
        <v>0</v>
      </c>
      <c r="AB695" s="258">
        <f>+_xlfn.XLOOKUP(PROYECTOS[[#This Row],[MUNICIPIO]],'4.CAP_ENDMNT'!B:B,'4.CAP_ENDMNT'!K:K,0,0,1)</f>
        <v>30235702409.850498</v>
      </c>
      <c r="AC695" s="258">
        <f>+_xlfn.XLOOKUP(PROYECTOS[[#This Row],[MUNICIPIO]],'4.CAP_ENDMNT'!B:B,'4.CAP_ENDMNT'!L:L,0,0,1)</f>
        <v>24188561927.880402</v>
      </c>
      <c r="AD695" s="258">
        <f>+_xlfn.XLOOKUP(PROYECTOS[[#This Row],[MUNICIPIO]],'4.CAP_ENDMNT'!B:B,'4.CAP_ENDMNT'!M:M,0,0,1)</f>
        <v>18141421445.910297</v>
      </c>
      <c r="AE695" s="134">
        <f>+_xlfn.XLOOKUP(PROYECTOS[[#This Row],[MUNICIPIO]],'4.CAP_ENDMNT'!B:B,'4.CAP_ENDMNT'!N:N,0,0,1)</f>
        <v>0</v>
      </c>
      <c r="AF695" s="134">
        <f>+_xlfn.XLOOKUP(PROYECTOS[[#This Row],[MUNICIPIO]],'4.CAP_ENDMNT'!B:B,'4.CAP_ENDMNT'!O:O,0,0,1)</f>
        <v>0.48110149713114325</v>
      </c>
      <c r="AG695" s="134">
        <f>+_xlfn.XLOOKUP(PROYECTOS[[#This Row],[MUNICIPIO]],'4.CAP_ENDMNT'!B:B,'4.CAP_ENDMNT'!P:P,0,0,1)</f>
        <v>0.8</v>
      </c>
      <c r="AH695" s="258" t="str">
        <f>+_xlfn.XLOOKUP(PROYECTOS[[#This Row],[MUNICIPIO]],'4.CAP_ENDMNT'!B:B,'4.CAP_ENDMNT'!Q:Q,0,0,1)</f>
        <v>Cumple</v>
      </c>
      <c r="AI695" s="139">
        <f>+_xlfn.XLOOKUP(PROYECTOS[[#This Row],[MUNICIPIO]],'4.CAP_ENDMNT'!B:B,'4.CAP_ENDMNT'!V:V,0,0,1)</f>
        <v>3628284289.1820598</v>
      </c>
      <c r="AJ695" s="139">
        <f>+_xlfn.XLOOKUP(PROYECTOS[[#This Row],[MUNICIPIO]],'4.CAP_ENDMNT'!B:B,'4.CAP_ENDMNT'!Y:Y,0,0,1)</f>
        <v>13348657652.092358</v>
      </c>
      <c r="AK695"/>
      <c r="AL695"/>
      <c r="AM695"/>
    </row>
    <row r="696" spans="1:39" ht="15" customHeight="1">
      <c r="A696" s="262">
        <v>819</v>
      </c>
      <c r="B696" s="232" t="str">
        <f>+_xlfn.XLOOKUP(PROYECTOS[[#This Row],[ID_NECESIDAD]],'1.RADICADOS'!G:G,'1.RADICADOS'!H:H,0,0,1)</f>
        <v>Semi – peatonalización polígono de conservación, Municipio de El Retiro</v>
      </c>
      <c r="C696" s="118">
        <f>+_xlfn.XLOOKUP(PROYECTOS[[#This Row],[ID_NECESIDAD]],'1.RADICADOS'!G:G,'1.RADICADOS'!C:C,0,0,1)*1</f>
        <v>45946</v>
      </c>
      <c r="D696" s="118" t="str">
        <f>+_xlfn.XLOOKUP(PROYECTOS[[#This Row],[ID_NECESIDAD]],'1.RADICADOS'!G:G,'1.RADICADOS'!F:F,0,0,1)</f>
        <v>El Retiro</v>
      </c>
      <c r="E696" s="257" t="str">
        <f>+_xlfn.XLOOKUP(PROYECTOS[[#This Row],[MUNICIPIO]],MUNICIPIOS!A:A,MUNICIPIOS!E:E,0,0,1)</f>
        <v>Oriente</v>
      </c>
      <c r="F696" s="257" t="e" cm="1">
        <f t="array" ref="F696">+_xlfn.XLOOKUP(PROYECTOS[[#This Row],[MUNICIPIO]],Table1[Municipio],MUNICIPIOS!F:F,0,0,1)</f>
        <v>#VALUE!</v>
      </c>
      <c r="G696" s="257" t="str">
        <f>+LOOKUP(PROYECTOS[[#This Row],[MUNICIPIO]],Table1[Municipio],Table1[Latitud])</f>
        <v>6,062454</v>
      </c>
      <c r="H696" s="258">
        <f>+LOOKUP(PROYECTOS[[#This Row],[MUNICIPIO]],Table1[Municipio],Table1[PDET])</f>
        <v>0</v>
      </c>
      <c r="I696" s="259">
        <f>+LOOKUP(PROYECTOS[[#This Row],[MUNICIPIO]],Table1[Municipio],Table1[ZOMAC])</f>
        <v>0</v>
      </c>
      <c r="J696" s="260" t="str" cm="1">
        <f t="array" ref="J696">_xlfn.TEXTJOIN(", ", TRUE, IF(radicados[ID PROYECTOS]=A696, radicados[RADICADO], ""))</f>
        <v>2025010558139</v>
      </c>
      <c r="K696" s="242">
        <v>1</v>
      </c>
      <c r="L696" s="212">
        <f>+_xlfn.XLOOKUP(PROYECTOS[[#This Row],[ID_NECESIDAD]],'1.RADICADOS'!G:G,'1.RADICADOS'!J:J,0,0,1)</f>
        <v>7986933277</v>
      </c>
      <c r="M696" s="34" t="s">
        <v>754</v>
      </c>
      <c r="N696" s="247" t="s">
        <v>394</v>
      </c>
      <c r="O696" s="247" t="s">
        <v>40</v>
      </c>
      <c r="P696" s="247" t="s">
        <v>1934</v>
      </c>
      <c r="Q696" s="247"/>
      <c r="R696" s="166"/>
      <c r="S696" s="166"/>
      <c r="T696" s="258">
        <f>+_xlfn.XLOOKUP(PROYECTOS[[#This Row],[MUNICIPIO]],'4.CAP_ENDMNT'!B:B,'4.CAP_ENDMNT'!C:C,0,0,1)</f>
        <v>3</v>
      </c>
      <c r="U696" s="167">
        <f>+_xlfn.XLOOKUP(PROYECTOS[[#This Row],[MUNICIPIO]],'4.CAP_ENDMNT'!B:B,'4.CAP_ENDMNT'!D:D,0,0,1)</f>
        <v>69187005609.695007</v>
      </c>
      <c r="V696" s="258">
        <f>+_xlfn.XLOOKUP(PROYECTOS[[#This Row],[MUNICIPIO]],'4.CAP_ENDMNT'!B:B,'4.CAP_ENDMNT'!E:E,0,0,1)</f>
        <v>24929217109.209999</v>
      </c>
      <c r="W696" s="258">
        <f>+_xlfn.XLOOKUP(PROYECTOS[[#This Row],[MUNICIPIO]],'4.CAP_ENDMNT'!B:B,'4.CAP_ENDMNT'!F:F,0,0,1)</f>
        <v>44257788500.485008</v>
      </c>
      <c r="X696" s="258">
        <f>+_xlfn.XLOOKUP(PROYECTOS[[#This Row],[MUNICIPIO]],'4.CAP_ENDMNT'!B:B,'4.CAP_ENDMNT'!G:G,0,0,1)</f>
        <v>0</v>
      </c>
      <c r="Y696" s="258">
        <f>+_xlfn.XLOOKUP(PROYECTOS[[#This Row],[MUNICIPIO]],'4.CAP_ENDMNT'!B:B,'4.CAP_ENDMNT'!H:H,0,0,1)</f>
        <v>0</v>
      </c>
      <c r="Z696" s="258">
        <f>+_xlfn.XLOOKUP(PROYECTOS[[#This Row],[MUNICIPIO]],'4.CAP_ENDMNT'!B:B,'4.CAP_ENDMNT'!I:I,0,0,1)</f>
        <v>0</v>
      </c>
      <c r="AA696" s="134">
        <f>+_xlfn.XLOOKUP(PROYECTOS[[#This Row],[MUNICIPIO]],'4.CAP_ENDMNT'!B:B,'4.CAP_ENDMNT'!J:J,0,0,1)</f>
        <v>0</v>
      </c>
      <c r="AB696" s="258">
        <f>+_xlfn.XLOOKUP(PROYECTOS[[#This Row],[MUNICIPIO]],'4.CAP_ENDMNT'!B:B,'4.CAP_ENDMNT'!K:K,0,0,1)</f>
        <v>69187005609.695007</v>
      </c>
      <c r="AC696" s="258">
        <f>+_xlfn.XLOOKUP(PROYECTOS[[#This Row],[MUNICIPIO]],'4.CAP_ENDMNT'!B:B,'4.CAP_ENDMNT'!L:L,0,0,1)</f>
        <v>55349604487.756012</v>
      </c>
      <c r="AD696" s="258">
        <f>+_xlfn.XLOOKUP(PROYECTOS[[#This Row],[MUNICIPIO]],'4.CAP_ENDMNT'!B:B,'4.CAP_ENDMNT'!M:M,0,0,1)</f>
        <v>41512203365.817001</v>
      </c>
      <c r="AE696" s="134">
        <f>+_xlfn.XLOOKUP(PROYECTOS[[#This Row],[MUNICIPIO]],'4.CAP_ENDMNT'!B:B,'4.CAP_ENDMNT'!N:N,0,0,1)</f>
        <v>0</v>
      </c>
      <c r="AF696" s="134">
        <f>+_xlfn.XLOOKUP(PROYECTOS[[#This Row],[MUNICIPIO]],'4.CAP_ENDMNT'!B:B,'4.CAP_ENDMNT'!O:O,0,0,1)</f>
        <v>0.36680132048521774</v>
      </c>
      <c r="AG696" s="134">
        <f>+_xlfn.XLOOKUP(PROYECTOS[[#This Row],[MUNICIPIO]],'4.CAP_ENDMNT'!B:B,'4.CAP_ENDMNT'!P:P,0,0,1)</f>
        <v>0.7</v>
      </c>
      <c r="AH696" s="258" t="str">
        <f>+_xlfn.XLOOKUP(PROYECTOS[[#This Row],[MUNICIPIO]],'4.CAP_ENDMNT'!B:B,'4.CAP_ENDMNT'!Q:Q,0,0,1)</f>
        <v>Cumple</v>
      </c>
      <c r="AI696" s="139">
        <f>+_xlfn.XLOOKUP(PROYECTOS[[#This Row],[MUNICIPIO]],'4.CAP_ENDMNT'!B:B,'4.CAP_ENDMNT'!V:V,0,0,1)</f>
        <v>8302440673.1634007</v>
      </c>
      <c r="AJ696" s="139">
        <f>+_xlfn.XLOOKUP(PROYECTOS[[#This Row],[MUNICIPIO]],'4.CAP_ENDMNT'!B:B,'4.CAP_ENDMNT'!Y:Y,0,0,1)</f>
        <v>9066808020.9804001</v>
      </c>
      <c r="AK696"/>
      <c r="AL696"/>
      <c r="AM696"/>
    </row>
    <row r="697" spans="1:39" ht="15" customHeight="1">
      <c r="A697" s="262">
        <v>820</v>
      </c>
      <c r="B697" s="232" t="str">
        <f>+_xlfn.XLOOKUP(PROYECTOS[[#This Row],[ID_NECESIDAD]],'1.RADICADOS'!G:G,'1.RADICADOS'!H:H,0,0,1)</f>
        <v>PRESENTACION Y SOLICITUD RECURSOS PROYECTO CONSTRUCCION DE PAVIMENTO RIGIDO EN LA CALLE 92 ENTRE LA CARRERA 102 HASTA LA CARRERA 105 Y CALLE 98B ENTRE CARRERA 104 - 105 DEL MUNICIPIO DE CHIGORODO ANTIOQUIA.</v>
      </c>
      <c r="C697" s="118">
        <f>+_xlfn.XLOOKUP(PROYECTOS[[#This Row],[ID_NECESIDAD]],'1.RADICADOS'!G:G,'1.RADICADOS'!C:C,0,0,1)*1</f>
        <v>45922</v>
      </c>
      <c r="D697" s="118" t="str">
        <f>+_xlfn.XLOOKUP(PROYECTOS[[#This Row],[ID_NECESIDAD]],'1.RADICADOS'!G:G,'1.RADICADOS'!F:F,0,0,1)</f>
        <v>Chigorodó</v>
      </c>
      <c r="E697" s="257" t="str">
        <f>+_xlfn.XLOOKUP(PROYECTOS[[#This Row],[MUNICIPIO]],MUNICIPIOS!A:A,MUNICIPIOS!E:E,0,0,1)</f>
        <v>Urabá</v>
      </c>
      <c r="F697" s="257" t="e" cm="1">
        <f t="array" ref="F697">+_xlfn.XLOOKUP(PROYECTOS[[#This Row],[MUNICIPIO]],Table1[Municipio],MUNICIPIOS!F:F,0,0,1)</f>
        <v>#VALUE!</v>
      </c>
      <c r="G697" s="257" t="str">
        <f>+LOOKUP(PROYECTOS[[#This Row],[MUNICIPIO]],Table1[Municipio],Table1[Latitud])</f>
        <v>7,074703</v>
      </c>
      <c r="H697" s="258">
        <f>+LOOKUP(PROYECTOS[[#This Row],[MUNICIPIO]],Table1[Municipio],Table1[PDET])</f>
        <v>1</v>
      </c>
      <c r="I697" s="259">
        <f>+LOOKUP(PROYECTOS[[#This Row],[MUNICIPIO]],Table1[Municipio],Table1[ZOMAC])</f>
        <v>1</v>
      </c>
      <c r="J697" s="260" t="str" cm="1">
        <f t="array" ref="J697">_xlfn.TEXTJOIN(", ", TRUE, IF(radicados[ID PROYECTOS]=A697, radicados[RADICADO], ""))</f>
        <v>2025010504042</v>
      </c>
      <c r="K697" s="242">
        <v>3</v>
      </c>
      <c r="L697" s="212">
        <v>1859624545</v>
      </c>
      <c r="M697" s="247" t="s">
        <v>401</v>
      </c>
      <c r="N697" s="247" t="s">
        <v>394</v>
      </c>
      <c r="O697" s="247" t="s">
        <v>18</v>
      </c>
      <c r="P697" s="247" t="s">
        <v>1926</v>
      </c>
      <c r="Q697" s="247"/>
      <c r="R697" s="166"/>
      <c r="S697" s="166"/>
      <c r="T697" s="258">
        <f>+_xlfn.XLOOKUP(PROYECTOS[[#This Row],[MUNICIPIO]],'4.CAP_ENDMNT'!B:B,'4.CAP_ENDMNT'!C:C,0,0,1)</f>
        <v>6</v>
      </c>
      <c r="U697" s="167">
        <f>+_xlfn.XLOOKUP(PROYECTOS[[#This Row],[MUNICIPIO]],'4.CAP_ENDMNT'!B:B,'4.CAP_ENDMNT'!D:D,0,0,1)</f>
        <v>31480625713.601501</v>
      </c>
      <c r="V697" s="258">
        <f>+_xlfn.XLOOKUP(PROYECTOS[[#This Row],[MUNICIPIO]],'4.CAP_ENDMNT'!B:B,'4.CAP_ENDMNT'!E:E,0,0,1)</f>
        <v>12012746210.970001</v>
      </c>
      <c r="W697" s="258">
        <f>+_xlfn.XLOOKUP(PROYECTOS[[#This Row],[MUNICIPIO]],'4.CAP_ENDMNT'!B:B,'4.CAP_ENDMNT'!F:F,0,0,1)</f>
        <v>19467879502.6315</v>
      </c>
      <c r="X697" s="258">
        <f>+_xlfn.XLOOKUP(PROYECTOS[[#This Row],[MUNICIPIO]],'4.CAP_ENDMNT'!B:B,'4.CAP_ENDMNT'!G:G,0,0,1)</f>
        <v>990257688</v>
      </c>
      <c r="Y697" s="258">
        <f>+_xlfn.XLOOKUP(PROYECTOS[[#This Row],[MUNICIPIO]],'4.CAP_ENDMNT'!B:B,'4.CAP_ENDMNT'!H:H,0,0,1)</f>
        <v>4241046406.5999999</v>
      </c>
      <c r="Z697" s="258">
        <f>+_xlfn.XLOOKUP(PROYECTOS[[#This Row],[MUNICIPIO]],'4.CAP_ENDMNT'!B:B,'4.CAP_ENDMNT'!I:I,0,0,1)</f>
        <v>5231304094.6000004</v>
      </c>
      <c r="AA697" s="134">
        <f>+_xlfn.XLOOKUP(PROYECTOS[[#This Row],[MUNICIPIO]],'4.CAP_ENDMNT'!B:B,'4.CAP_ENDMNT'!J:J,0,0,1)</f>
        <v>0.16617535312647125</v>
      </c>
      <c r="AB697" s="258">
        <f>+_xlfn.XLOOKUP(PROYECTOS[[#This Row],[MUNICIPIO]],'4.CAP_ENDMNT'!B:B,'4.CAP_ENDMNT'!K:K,0,0,1)</f>
        <v>26249321619.001503</v>
      </c>
      <c r="AC697" s="258">
        <f>+_xlfn.XLOOKUP(PROYECTOS[[#This Row],[MUNICIPIO]],'4.CAP_ENDMNT'!B:B,'4.CAP_ENDMNT'!L:L,0,0,1)</f>
        <v>20999457295.201202</v>
      </c>
      <c r="AD697" s="258">
        <f>+_xlfn.XLOOKUP(PROYECTOS[[#This Row],[MUNICIPIO]],'4.CAP_ENDMNT'!B:B,'4.CAP_ENDMNT'!M:M,0,0,1)</f>
        <v>15749592971.400902</v>
      </c>
      <c r="AE697" s="134">
        <f>+_xlfn.XLOOKUP(PROYECTOS[[#This Row],[MUNICIPIO]],'4.CAP_ENDMNT'!B:B,'4.CAP_ENDMNT'!N:N,0,0,1)</f>
        <v>0.18929461375074541</v>
      </c>
      <c r="AF697" s="134">
        <f>+_xlfn.XLOOKUP(PROYECTOS[[#This Row],[MUNICIPIO]],'4.CAP_ENDMNT'!B:B,'4.CAP_ENDMNT'!O:O,0,0,1)</f>
        <v>0.57128723877428544</v>
      </c>
      <c r="AG697" s="134">
        <f>+_xlfn.XLOOKUP(PROYECTOS[[#This Row],[MUNICIPIO]],'4.CAP_ENDMNT'!B:B,'4.CAP_ENDMNT'!P:P,0,0,1)</f>
        <v>0.8</v>
      </c>
      <c r="AH697" s="258" t="str">
        <f>+_xlfn.XLOOKUP(PROYECTOS[[#This Row],[MUNICIPIO]],'4.CAP_ENDMNT'!B:B,'4.CAP_ENDMNT'!Q:Q,0,0,1)</f>
        <v>Cumple</v>
      </c>
      <c r="AI697" s="139">
        <f>+_xlfn.XLOOKUP(PROYECTOS[[#This Row],[MUNICIPIO]],'4.CAP_ENDMNT'!B:B,'4.CAP_ENDMNT'!V:V,0,0,1)</f>
        <v>3149918594.2801805</v>
      </c>
      <c r="AJ697" s="139">
        <f>+_xlfn.XLOOKUP(PROYECTOS[[#This Row],[MUNICIPIO]],'4.CAP_ENDMNT'!B:B,'4.CAP_ENDMNT'!Y:Y,0,0,1)</f>
        <v>-159577103574.2489</v>
      </c>
      <c r="AK697"/>
      <c r="AL697"/>
      <c r="AM697"/>
    </row>
    <row r="698" spans="1:39" ht="15" customHeight="1">
      <c r="A698" s="262">
        <v>822</v>
      </c>
      <c r="B698" s="232" t="str">
        <f>+_xlfn.XLOOKUP(PROYECTOS[[#This Row],[ID_NECESIDAD]],'1.RADICADOS'!G:G,'1.RADICADOS'!H:H,0,0,1)</f>
        <v xml:space="preserve">Puente colgante en el corregimiento de pueblo bello hasta la vereda la ilusion, la union y nueva esperanza del municipio de Turbo </v>
      </c>
      <c r="C698" s="118">
        <f>+_xlfn.XLOOKUP(PROYECTOS[[#This Row],[ID_NECESIDAD]],'1.RADICADOS'!G:G,'1.RADICADOS'!C:C,0,0,1)*1</f>
        <v>45945</v>
      </c>
      <c r="D698" s="118" t="str">
        <f>+_xlfn.XLOOKUP(PROYECTOS[[#This Row],[ID_NECESIDAD]],'1.RADICADOS'!G:G,'1.RADICADOS'!F:F,0,0,1)</f>
        <v>Turbo</v>
      </c>
      <c r="E698" s="257" t="str">
        <f>+_xlfn.XLOOKUP(PROYECTOS[[#This Row],[MUNICIPIO]],MUNICIPIOS!A:A,MUNICIPIOS!E:E,0,0,1)</f>
        <v>Urabá</v>
      </c>
      <c r="F698" s="257" t="e" cm="1">
        <f t="array" ref="F698">+_xlfn.XLOOKUP(PROYECTOS[[#This Row],[MUNICIPIO]],Table1[Municipio],MUNICIPIOS!F:F,0,0,1)</f>
        <v>#VALUE!</v>
      </c>
      <c r="G698" s="257" t="str">
        <f>+LOOKUP(PROYECTOS[[#This Row],[MUNICIPIO]],Table1[Municipio],Table1[Latitud])</f>
        <v>6,149903</v>
      </c>
      <c r="H698" s="258">
        <f>+LOOKUP(PROYECTOS[[#This Row],[MUNICIPIO]],Table1[Municipio],Table1[PDET])</f>
        <v>0</v>
      </c>
      <c r="I698" s="259">
        <f>+LOOKUP(PROYECTOS[[#This Row],[MUNICIPIO]],Table1[Municipio],Table1[ZOMAC])</f>
        <v>0</v>
      </c>
      <c r="J698" s="260" t="str" cm="1">
        <f t="array" ref="J698">_xlfn.TEXTJOIN(", ", TRUE, IF(radicados[ID PROYECTOS]=A698, radicados[RADICADO], ""))</f>
        <v>2025010554166</v>
      </c>
      <c r="K698" s="267">
        <v>1</v>
      </c>
      <c r="L698" s="268"/>
      <c r="M698" s="34" t="s">
        <v>428</v>
      </c>
      <c r="N698" s="269" t="s">
        <v>398</v>
      </c>
      <c r="O698" s="241" t="s">
        <v>25</v>
      </c>
      <c r="P698" s="247" t="s">
        <v>1927</v>
      </c>
      <c r="Q698" s="270"/>
      <c r="R698" s="166"/>
      <c r="S698" s="166"/>
      <c r="T698" s="258">
        <f>+_xlfn.XLOOKUP(PROYECTOS[[#This Row],[MUNICIPIO]],'4.CAP_ENDMNT'!B:B,'4.CAP_ENDMNT'!C:C,0,0,1)</f>
        <v>5</v>
      </c>
      <c r="U698" s="167">
        <f>+_xlfn.XLOOKUP(PROYECTOS[[#This Row],[MUNICIPIO]],'4.CAP_ENDMNT'!B:B,'4.CAP_ENDMNT'!D:D,0,0,1)</f>
        <v>57277943756.629501</v>
      </c>
      <c r="V698" s="258">
        <f>+_xlfn.XLOOKUP(PROYECTOS[[#This Row],[MUNICIPIO]],'4.CAP_ENDMNT'!B:B,'4.CAP_ENDMNT'!E:E,0,0,1)</f>
        <v>34159399600.959999</v>
      </c>
      <c r="W698" s="258">
        <f>+_xlfn.XLOOKUP(PROYECTOS[[#This Row],[MUNICIPIO]],'4.CAP_ENDMNT'!B:B,'4.CAP_ENDMNT'!F:F,0,0,1)</f>
        <v>23118544155.669502</v>
      </c>
      <c r="X698" s="258">
        <f>+_xlfn.XLOOKUP(PROYECTOS[[#This Row],[MUNICIPIO]],'4.CAP_ENDMNT'!B:B,'4.CAP_ENDMNT'!G:G,0,0,1)</f>
        <v>3450000000</v>
      </c>
      <c r="Y698" s="258">
        <f>+_xlfn.XLOOKUP(PROYECTOS[[#This Row],[MUNICIPIO]],'4.CAP_ENDMNT'!B:B,'4.CAP_ENDMNT'!H:H,0,0,1)</f>
        <v>21452083665</v>
      </c>
      <c r="Z698" s="258">
        <f>+_xlfn.XLOOKUP(PROYECTOS[[#This Row],[MUNICIPIO]],'4.CAP_ENDMNT'!B:B,'4.CAP_ENDMNT'!I:I,0,0,1)</f>
        <v>24902083665</v>
      </c>
      <c r="AA698" s="134">
        <f>+_xlfn.XLOOKUP(PROYECTOS[[#This Row],[MUNICIPIO]],'4.CAP_ENDMNT'!B:B,'4.CAP_ENDMNT'!J:J,0,0,1)</f>
        <v>0.43475868775610099</v>
      </c>
      <c r="AB698" s="258">
        <f>+_xlfn.XLOOKUP(PROYECTOS[[#This Row],[MUNICIPIO]],'4.CAP_ENDMNT'!B:B,'4.CAP_ENDMNT'!K:K,0,0,1)</f>
        <v>32375860091.629501</v>
      </c>
      <c r="AC698" s="258">
        <f>+_xlfn.XLOOKUP(PROYECTOS[[#This Row],[MUNICIPIO]],'4.CAP_ENDMNT'!B:B,'4.CAP_ENDMNT'!L:L,0,0,1)</f>
        <v>25900688073.303604</v>
      </c>
      <c r="AD698" s="258">
        <f>+_xlfn.XLOOKUP(PROYECTOS[[#This Row],[MUNICIPIO]],'4.CAP_ENDMNT'!B:B,'4.CAP_ENDMNT'!M:M,0,0,1)</f>
        <v>19425516054.977699</v>
      </c>
      <c r="AE698" s="134">
        <f>+_xlfn.XLOOKUP(PROYECTOS[[#This Row],[MUNICIPIO]],'4.CAP_ENDMNT'!B:B,'4.CAP_ENDMNT'!N:N,0,0,1)</f>
        <v>0.13854262343712995</v>
      </c>
      <c r="AF698" s="134">
        <f>+_xlfn.XLOOKUP(PROYECTOS[[#This Row],[MUNICIPIO]],'4.CAP_ENDMNT'!B:B,'4.CAP_ENDMNT'!O:O,0,0,1)</f>
        <v>0.87015152665365447</v>
      </c>
      <c r="AG698" s="134">
        <f>+_xlfn.XLOOKUP(PROYECTOS[[#This Row],[MUNICIPIO]],'4.CAP_ENDMNT'!B:B,'4.CAP_ENDMNT'!P:P,0,0,1)</f>
        <v>0.8</v>
      </c>
      <c r="AH698" s="258" t="str">
        <f>+_xlfn.XLOOKUP(PROYECTOS[[#This Row],[MUNICIPIO]],'4.CAP_ENDMNT'!B:B,'4.CAP_ENDMNT'!Q:Q,0,0,1)</f>
        <v>Incumple</v>
      </c>
      <c r="AI698" s="139">
        <f>+_xlfn.XLOOKUP(PROYECTOS[[#This Row],[MUNICIPIO]],'4.CAP_ENDMNT'!B:B,'4.CAP_ENDMNT'!V:V,0,0,1)</f>
        <v>3885103210.9955401</v>
      </c>
      <c r="AJ698" s="139">
        <f>+_xlfn.XLOOKUP(PROYECTOS[[#This Row],[MUNICIPIO]],'4.CAP_ENDMNT'!B:B,'4.CAP_ENDMNT'!Y:Y,0,0,1)</f>
        <v>-114052861009.72676</v>
      </c>
      <c r="AK698"/>
      <c r="AL698"/>
      <c r="AM698"/>
    </row>
    <row r="699" spans="1:39" ht="15" customHeight="1">
      <c r="A699" s="262">
        <v>823</v>
      </c>
      <c r="B699" s="271" t="s">
        <v>1935</v>
      </c>
      <c r="C699" s="272">
        <v>45981</v>
      </c>
      <c r="D699" s="262" t="s">
        <v>23</v>
      </c>
      <c r="E699" s="257" t="str">
        <f>+_xlfn.XLOOKUP(PROYECTOS[[#This Row],[MUNICIPIO]],MUNICIPIOS!A:A,MUNICIPIOS!E:E,0,0,1)</f>
        <v>Suroeste</v>
      </c>
      <c r="F699" s="257" t="e" cm="1">
        <f t="array" ref="F699">+_xlfn.XLOOKUP(PROYECTOS[[#This Row],[MUNICIPIO]],Table1[Municipio],MUNICIPIOS!F:F,0,0,1)</f>
        <v>#VALUE!</v>
      </c>
      <c r="G699" s="257" t="str">
        <f>+LOOKUP(PROYECTOS[[#This Row],[MUNICIPIO]],Table1[Municipio],Table1[Latitud])</f>
        <v>6,149903</v>
      </c>
      <c r="H699" s="258">
        <f>+LOOKUP(PROYECTOS[[#This Row],[MUNICIPIO]],Table1[Municipio],Table1[PDET])</f>
        <v>0</v>
      </c>
      <c r="I699" s="259">
        <f>+LOOKUP(PROYECTOS[[#This Row],[MUNICIPIO]],Table1[Municipio],Table1[ZOMAC])</f>
        <v>0</v>
      </c>
      <c r="J699" s="260" t="str" cm="1">
        <f t="array" ref="J699">_xlfn.TEXTJOIN(", ", TRUE, IF(radicados[ID PROYECTOS]=A699, radicados[RADICADO], ""))</f>
        <v/>
      </c>
      <c r="K699" s="242">
        <v>3</v>
      </c>
      <c r="L699" s="273">
        <v>1648889003</v>
      </c>
      <c r="M699" s="247" t="s">
        <v>435</v>
      </c>
      <c r="N699" s="241" t="s">
        <v>398</v>
      </c>
      <c r="O699" s="241" t="s">
        <v>25</v>
      </c>
      <c r="P699" s="255" t="s">
        <v>1936</v>
      </c>
      <c r="Q699" s="270"/>
      <c r="R699" s="166"/>
      <c r="S699" s="166"/>
      <c r="T699" s="258">
        <f>+_xlfn.XLOOKUP(PROYECTOS[[#This Row],[MUNICIPIO]],'4.CAP_ENDMNT'!B:B,'4.CAP_ENDMNT'!C:C,0,0,1)</f>
        <v>6</v>
      </c>
      <c r="U699" s="167">
        <f>+_xlfn.XLOOKUP(PROYECTOS[[#This Row],[MUNICIPIO]],'4.CAP_ENDMNT'!B:B,'4.CAP_ENDMNT'!D:D,0,0,1)</f>
        <v>16589184003.816</v>
      </c>
      <c r="V699" s="258">
        <f>+_xlfn.XLOOKUP(PROYECTOS[[#This Row],[MUNICIPIO]],'4.CAP_ENDMNT'!B:B,'4.CAP_ENDMNT'!E:E,0,0,1)</f>
        <v>7984390195.2300005</v>
      </c>
      <c r="W699" s="258">
        <f>+_xlfn.XLOOKUP(PROYECTOS[[#This Row],[MUNICIPIO]],'4.CAP_ENDMNT'!B:B,'4.CAP_ENDMNT'!F:F,0,0,1)</f>
        <v>8604793808.5859985</v>
      </c>
      <c r="X699" s="258">
        <f>+_xlfn.XLOOKUP(PROYECTOS[[#This Row],[MUNICIPIO]],'4.CAP_ENDMNT'!B:B,'4.CAP_ENDMNT'!G:G,0,0,1)</f>
        <v>1709535383</v>
      </c>
      <c r="Y699" s="258">
        <f>+_xlfn.XLOOKUP(PROYECTOS[[#This Row],[MUNICIPIO]],'4.CAP_ENDMNT'!B:B,'4.CAP_ENDMNT'!H:H,0,0,1)</f>
        <v>1454838487</v>
      </c>
      <c r="Z699" s="258">
        <f>+_xlfn.XLOOKUP(PROYECTOS[[#This Row],[MUNICIPIO]],'4.CAP_ENDMNT'!B:B,'4.CAP_ENDMNT'!I:I,0,0,1)</f>
        <v>3164373870</v>
      </c>
      <c r="AA699" s="134">
        <f>+_xlfn.XLOOKUP(PROYECTOS[[#This Row],[MUNICIPIO]],'4.CAP_ENDMNT'!B:B,'4.CAP_ENDMNT'!J:J,0,0,1)</f>
        <v>0.19074921763916181</v>
      </c>
      <c r="AB699" s="258">
        <f>+_xlfn.XLOOKUP(PROYECTOS[[#This Row],[MUNICIPIO]],'4.CAP_ENDMNT'!B:B,'4.CAP_ENDMNT'!K:K,0,0,1)</f>
        <v>13424810133.816</v>
      </c>
      <c r="AC699" s="258">
        <f>+_xlfn.XLOOKUP(PROYECTOS[[#This Row],[MUNICIPIO]],'4.CAP_ENDMNT'!B:B,'4.CAP_ENDMNT'!L:L,0,0,1)</f>
        <v>10739848107.052801</v>
      </c>
      <c r="AD699" s="258">
        <f>+_xlfn.XLOOKUP(PROYECTOS[[#This Row],[MUNICIPIO]],'4.CAP_ENDMNT'!B:B,'4.CAP_ENDMNT'!M:M,0,0,1)</f>
        <v>8054886080.2895994</v>
      </c>
      <c r="AE699" s="134">
        <f>+_xlfn.XLOOKUP(PROYECTOS[[#This Row],[MUNICIPIO]],'4.CAP_ENDMNT'!B:B,'4.CAP_ENDMNT'!N:N,0,0,1)</f>
        <v>0.5402444379936685</v>
      </c>
      <c r="AF699" s="134">
        <f>+_xlfn.XLOOKUP(PROYECTOS[[#This Row],[MUNICIPIO]],'4.CAP_ENDMNT'!B:B,'4.CAP_ENDMNT'!O:O,0,0,1)</f>
        <v>0.52370394920362784</v>
      </c>
      <c r="AG699" s="134">
        <f>+_xlfn.XLOOKUP(PROYECTOS[[#This Row],[MUNICIPIO]],'4.CAP_ENDMNT'!B:B,'4.CAP_ENDMNT'!P:P,0,0,1)</f>
        <v>0.8</v>
      </c>
      <c r="AH699" s="258" t="str">
        <f>+_xlfn.XLOOKUP(PROYECTOS[[#This Row],[MUNICIPIO]],'4.CAP_ENDMNT'!B:B,'4.CAP_ENDMNT'!Q:Q,0,0,1)</f>
        <v>Cumple</v>
      </c>
      <c r="AI699" s="139">
        <f>+_xlfn.XLOOKUP(PROYECTOS[[#This Row],[MUNICIPIO]],'4.CAP_ENDMNT'!B:B,'4.CAP_ENDMNT'!V:V,0,0,1)</f>
        <v>1610977216.05792</v>
      </c>
      <c r="AJ699" s="139">
        <f>+_xlfn.XLOOKUP(PROYECTOS[[#This Row],[MUNICIPIO]],'4.CAP_ENDMNT'!B:B,'4.CAP_ENDMNT'!Y:Y,0,0,1)</f>
        <v>-7388444742.6524811</v>
      </c>
      <c r="AK699"/>
      <c r="AL699"/>
      <c r="AM699"/>
    </row>
    <row r="700" spans="1:39" ht="15" customHeight="1">
      <c r="A700" s="44"/>
      <c r="C700" s="118"/>
      <c r="D700" s="46" t="s">
        <v>858</v>
      </c>
      <c r="E700" s="47" t="str">
        <f>+_xlfn.XLOOKUP(PROYECTOS[[#This Row],[MUNICIPIO]],MUNICIPIOS!A:A,MUNICIPIOS!E:E,0,0,1)</f>
        <v>Nordeste</v>
      </c>
      <c r="F700" s="44">
        <f>+_xlfn.XLOOKUP(PROYECTOS[[#This Row],[MUNICIPIO]],MUNICIPIOS!A:A,MUNICIPIOS!F:F,0,0,1)</f>
        <v>-74.698134999999994</v>
      </c>
      <c r="G700" s="44" t="str">
        <f>+_xlfn.XLOOKUP(PROYECTOS[[#This Row],[MUNICIPIO]],MUNICIPIOS!A:A,MUNICIPIOS!G:G,0,0,1)</f>
        <v>7,029424</v>
      </c>
      <c r="H700" s="44">
        <f>+_xlfn.XLOOKUP(PROYECTOS[[#This Row],[MUNICIPIO]],MUNICIPIOS!A:A,MUNICIPIOS!B:B,0,0,1)</f>
        <v>1</v>
      </c>
      <c r="I700" s="44">
        <f>+_xlfn.XLOOKUP(PROYECTOS[[#This Row],[MUNICIPIO]],MUNICIPIOS!A:A,MUNICIPIOS!C:C,0,0,1)</f>
        <v>1</v>
      </c>
      <c r="J700" s="34"/>
      <c r="K700" s="45"/>
      <c r="L700" s="36"/>
      <c r="M700" s="34"/>
      <c r="N700" s="40"/>
      <c r="O700" s="40"/>
      <c r="P700" s="37"/>
      <c r="Q700" s="45"/>
      <c r="R700" s="166"/>
      <c r="S700" s="166"/>
      <c r="T700" s="44">
        <f>+_xlfn.XLOOKUP(PROYECTOS[[#This Row],[MUNICIPIO]],'4.CAP_ENDMNT'!B:B,'4.CAP_ENDMNT'!C:C,0,0,1)</f>
        <v>6</v>
      </c>
      <c r="U700" s="167">
        <f>+_xlfn.XLOOKUP(PROYECTOS[[#This Row],[MUNICIPIO]],'4.CAP_ENDMNT'!B:B,'4.CAP_ENDMNT'!D:D,0,0,1)</f>
        <v>31836256303.883995</v>
      </c>
      <c r="V700" s="44">
        <f>+_xlfn.XLOOKUP(PROYECTOS[[#This Row],[MUNICIPIO]],'4.CAP_ENDMNT'!B:B,'4.CAP_ENDMNT'!E:E,0,0,1)</f>
        <v>12586903103.25</v>
      </c>
      <c r="W700" s="44">
        <f>+_xlfn.XLOOKUP(PROYECTOS[[#This Row],[MUNICIPIO]],'4.CAP_ENDMNT'!B:B,'4.CAP_ENDMNT'!F:F,0,0,1)</f>
        <v>19249353200.633995</v>
      </c>
      <c r="X700" s="44">
        <f>+_xlfn.XLOOKUP(PROYECTOS[[#This Row],[MUNICIPIO]],'4.CAP_ENDMNT'!B:B,'4.CAP_ENDMNT'!G:G,0,0,1)</f>
        <v>0</v>
      </c>
      <c r="Y700" s="44">
        <f>+_xlfn.XLOOKUP(PROYECTOS[[#This Row],[MUNICIPIO]],'4.CAP_ENDMNT'!B:B,'4.CAP_ENDMNT'!H:H,0,0,1)</f>
        <v>0</v>
      </c>
      <c r="Z700" s="44">
        <f>+_xlfn.XLOOKUP(PROYECTOS[[#This Row],[MUNICIPIO]],'4.CAP_ENDMNT'!B:B,'4.CAP_ENDMNT'!I:I,0,0,1)</f>
        <v>0</v>
      </c>
      <c r="AA700" s="134">
        <f>+_xlfn.XLOOKUP(PROYECTOS[[#This Row],[MUNICIPIO]],'4.CAP_ENDMNT'!B:B,'4.CAP_ENDMNT'!J:J,0,0,1)</f>
        <v>0</v>
      </c>
      <c r="AB700" s="140">
        <f>+_xlfn.XLOOKUP(PROYECTOS[[#This Row],[MUNICIPIO]],'4.CAP_ENDMNT'!B:B,'4.CAP_ENDMNT'!K:K,0,0,1)</f>
        <v>31836256303.883995</v>
      </c>
      <c r="AC700" s="140">
        <f>+_xlfn.XLOOKUP(PROYECTOS[[#This Row],[MUNICIPIO]],'4.CAP_ENDMNT'!B:B,'4.CAP_ENDMNT'!L:L,0,0,1)</f>
        <v>25469005043.107197</v>
      </c>
      <c r="AD700" s="140">
        <f>+_xlfn.XLOOKUP(PROYECTOS[[#This Row],[MUNICIPIO]],'4.CAP_ENDMNT'!B:B,'4.CAP_ENDMNT'!M:M,0,0,1)</f>
        <v>19101753782.330395</v>
      </c>
      <c r="AE700" s="134">
        <f>+_xlfn.XLOOKUP(PROYECTOS[[#This Row],[MUNICIPIO]],'4.CAP_ENDMNT'!B:B,'4.CAP_ENDMNT'!N:N,0,0,1)</f>
        <v>0</v>
      </c>
      <c r="AF700" s="134">
        <f>+_xlfn.XLOOKUP(PROYECTOS[[#This Row],[MUNICIPIO]],'4.CAP_ENDMNT'!B:B,'4.CAP_ENDMNT'!O:O,0,0,1)</f>
        <v>1.3391267531682534</v>
      </c>
      <c r="AG700" s="134">
        <f>+_xlfn.XLOOKUP(PROYECTOS[[#This Row],[MUNICIPIO]],'4.CAP_ENDMNT'!B:B,'4.CAP_ENDMNT'!P:P,0,0,1)</f>
        <v>0.8</v>
      </c>
      <c r="AH700" s="44" t="str">
        <f>+_xlfn.XLOOKUP(PROYECTOS[[#This Row],[MUNICIPIO]],'4.CAP_ENDMNT'!B:B,'4.CAP_ENDMNT'!Q:Q,0,0,1)</f>
        <v>Incumple</v>
      </c>
      <c r="AI700" s="139">
        <f>+_xlfn.XLOOKUP(PROYECTOS[[#This Row],[MUNICIPIO]],'4.CAP_ENDMNT'!B:B,'4.CAP_ENDMNT'!V:V,0,0,1)</f>
        <v>3820350756.4660792</v>
      </c>
      <c r="AJ700" s="139">
        <f>+_xlfn.XLOOKUP(PROYECTOS[[#This Row],[MUNICIPIO]],'4.CAP_ENDMNT'!B:B,'4.CAP_ENDMNT'!Y:Y,0,0,1)</f>
        <v>20085989687.796474</v>
      </c>
      <c r="AK700"/>
      <c r="AL700"/>
      <c r="AM700"/>
    </row>
    <row r="701" spans="1:39" ht="15" customHeight="1">
      <c r="A701" s="44"/>
      <c r="C701" s="118"/>
      <c r="D701" s="46" t="s">
        <v>861</v>
      </c>
      <c r="E701" s="47" t="str">
        <f>+_xlfn.XLOOKUP(PROYECTOS[[#This Row],[MUNICIPIO]],MUNICIPIOS!A:A,MUNICIPIOS!E:E,0,0,1)</f>
        <v>Occidente</v>
      </c>
      <c r="F701" s="44">
        <f>+_xlfn.XLOOKUP(PROYECTOS[[#This Row],[MUNICIPIO]],MUNICIPIOS!A:A,MUNICIPIOS!F:F,0,0,1)</f>
        <v>-75.816644999999994</v>
      </c>
      <c r="G701" s="44" t="str">
        <f>+_xlfn.XLOOKUP(PROYECTOS[[#This Row],[MUNICIPIO]],MUNICIPIOS!A:A,MUNICIPIOS!G:G,0,0,1)</f>
        <v>6,850028</v>
      </c>
      <c r="H701" s="44">
        <f>+_xlfn.XLOOKUP(PROYECTOS[[#This Row],[MUNICIPIO]],MUNICIPIOS!A:A,MUNICIPIOS!B:B,0,0,1)</f>
        <v>0</v>
      </c>
      <c r="I701" s="44">
        <f>+_xlfn.XLOOKUP(PROYECTOS[[#This Row],[MUNICIPIO]],MUNICIPIOS!A:A,MUNICIPIOS!C:C,0,0,1)</f>
        <v>0</v>
      </c>
      <c r="J701" s="34"/>
      <c r="K701" s="45"/>
      <c r="L701" s="36"/>
      <c r="M701" s="34"/>
      <c r="N701" s="40"/>
      <c r="O701" s="40"/>
      <c r="P701" s="37"/>
      <c r="Q701" s="45"/>
      <c r="R701" s="166"/>
      <c r="S701" s="166"/>
      <c r="T701" s="44">
        <f>+_xlfn.XLOOKUP(PROYECTOS[[#This Row],[MUNICIPIO]],'4.CAP_ENDMNT'!B:B,'4.CAP_ENDMNT'!C:C,0,0,1)</f>
        <v>6</v>
      </c>
      <c r="U701" s="167">
        <f>+_xlfn.XLOOKUP(PROYECTOS[[#This Row],[MUNICIPIO]],'4.CAP_ENDMNT'!B:B,'4.CAP_ENDMNT'!D:D,0,0,1)</f>
        <v>14810352113.535</v>
      </c>
      <c r="V701" s="44">
        <f>+_xlfn.XLOOKUP(PROYECTOS[[#This Row],[MUNICIPIO]],'4.CAP_ENDMNT'!B:B,'4.CAP_ENDMNT'!E:E,0,0,1)</f>
        <v>3480047239.2000003</v>
      </c>
      <c r="W701" s="44">
        <f>+_xlfn.XLOOKUP(PROYECTOS[[#This Row],[MUNICIPIO]],'4.CAP_ENDMNT'!B:B,'4.CAP_ENDMNT'!F:F,0,0,1)</f>
        <v>11330304874.334999</v>
      </c>
      <c r="X701" s="44">
        <f>+_xlfn.XLOOKUP(PROYECTOS[[#This Row],[MUNICIPIO]],'4.CAP_ENDMNT'!B:B,'4.CAP_ENDMNT'!G:G,0,0,1)</f>
        <v>2077277075</v>
      </c>
      <c r="Y701" s="44">
        <f>+_xlfn.XLOOKUP(PROYECTOS[[#This Row],[MUNICIPIO]],'4.CAP_ENDMNT'!B:B,'4.CAP_ENDMNT'!H:H,0,0,1)</f>
        <v>0</v>
      </c>
      <c r="Z701" s="44">
        <f>+_xlfn.XLOOKUP(PROYECTOS[[#This Row],[MUNICIPIO]],'4.CAP_ENDMNT'!B:B,'4.CAP_ENDMNT'!I:I,0,0,1)</f>
        <v>2077277075</v>
      </c>
      <c r="AA701" s="134">
        <f>+_xlfn.XLOOKUP(PROYECTOS[[#This Row],[MUNICIPIO]],'4.CAP_ENDMNT'!B:B,'4.CAP_ENDMNT'!J:J,0,0,1)</f>
        <v>0.1402584529439784</v>
      </c>
      <c r="AB701" s="140">
        <f>+_xlfn.XLOOKUP(PROYECTOS[[#This Row],[MUNICIPIO]],'4.CAP_ENDMNT'!B:B,'4.CAP_ENDMNT'!K:K,0,0,1)</f>
        <v>12733075038.535</v>
      </c>
      <c r="AC701" s="140">
        <f>+_xlfn.XLOOKUP(PROYECTOS[[#This Row],[MUNICIPIO]],'4.CAP_ENDMNT'!B:B,'4.CAP_ENDMNT'!L:L,0,0,1)</f>
        <v>10186460030.828001</v>
      </c>
      <c r="AD701" s="140">
        <f>+_xlfn.XLOOKUP(PROYECTOS[[#This Row],[MUNICIPIO]],'4.CAP_ENDMNT'!B:B,'4.CAP_ENDMNT'!M:M,0,0,1)</f>
        <v>7639845023.1209993</v>
      </c>
      <c r="AE701" s="134">
        <f>+_xlfn.XLOOKUP(PROYECTOS[[#This Row],[MUNICIPIO]],'4.CAP_ENDMNT'!B:B,'4.CAP_ENDMNT'!N:N,0,0,1)</f>
        <v>1</v>
      </c>
      <c r="AF701" s="134">
        <f>+_xlfn.XLOOKUP(PROYECTOS[[#This Row],[MUNICIPIO]],'4.CAP_ENDMNT'!B:B,'4.CAP_ENDMNT'!O:O,0,0,1)</f>
        <v>0.71063823778658097</v>
      </c>
      <c r="AG701" s="134">
        <f>+_xlfn.XLOOKUP(PROYECTOS[[#This Row],[MUNICIPIO]],'4.CAP_ENDMNT'!B:B,'4.CAP_ENDMNT'!P:P,0,0,1)</f>
        <v>0.8</v>
      </c>
      <c r="AH701" s="44" t="str">
        <f>+_xlfn.XLOOKUP(PROYECTOS[[#This Row],[MUNICIPIO]],'4.CAP_ENDMNT'!B:B,'4.CAP_ENDMNT'!Q:Q,0,0,1)</f>
        <v>Cumple</v>
      </c>
      <c r="AI701" s="139">
        <f>+_xlfn.XLOOKUP(PROYECTOS[[#This Row],[MUNICIPIO]],'4.CAP_ENDMNT'!B:B,'4.CAP_ENDMNT'!V:V,0,0,1)</f>
        <v>1527969004.6241999</v>
      </c>
      <c r="AJ701" s="139">
        <f>+_xlfn.XLOOKUP(PROYECTOS[[#This Row],[MUNICIPIO]],'4.CAP_ENDMNT'!B:B,'4.CAP_ENDMNT'!Y:Y,0,0,1)</f>
        <v>6715294285.7451992</v>
      </c>
      <c r="AK701"/>
      <c r="AL701"/>
      <c r="AM701"/>
    </row>
    <row r="702" spans="1:39" ht="15" customHeight="1">
      <c r="A702" s="44"/>
      <c r="C702" s="118"/>
      <c r="D702" s="46" t="s">
        <v>884</v>
      </c>
      <c r="E702" s="47" t="str">
        <f>+_xlfn.XLOOKUP(PROYECTOS[[#This Row],[MUNICIPIO]],MUNICIPIOS!A:A,MUNICIPIOS!E:E,0,0,1)</f>
        <v>Norte</v>
      </c>
      <c r="F702" s="44">
        <f>+_xlfn.XLOOKUP(PROYECTOS[[#This Row],[MUNICIPIO]],MUNICIPIOS!A:A,MUNICIPIOS!F:F,0,0,1)</f>
        <v>-75.692280999999994</v>
      </c>
      <c r="G702" s="44">
        <f>+_xlfn.XLOOKUP(PROYECTOS[[#This Row],[MUNICIPIO]],MUNICIPIOS!A:A,MUNICIPIOS!G:G,0,0,1)</f>
        <v>7.0103280000000003</v>
      </c>
      <c r="H702" s="44">
        <f>+_xlfn.XLOOKUP(PROYECTOS[[#This Row],[MUNICIPIO]],MUNICIPIOS!A:A,MUNICIPIOS!B:B,0,0,1)</f>
        <v>0</v>
      </c>
      <c r="I702" s="44">
        <f>+_xlfn.XLOOKUP(PROYECTOS[[#This Row],[MUNICIPIO]],MUNICIPIOS!A:A,MUNICIPIOS!C:C,0,0,1)</f>
        <v>1</v>
      </c>
      <c r="J702" s="34"/>
      <c r="K702" s="45"/>
      <c r="L702" s="36"/>
      <c r="M702" s="34"/>
      <c r="N702" s="40"/>
      <c r="O702" s="40"/>
      <c r="P702" s="37"/>
      <c r="Q702" s="45"/>
      <c r="R702" s="166"/>
      <c r="S702" s="166"/>
      <c r="T702" s="44">
        <f>+_xlfn.XLOOKUP(PROYECTOS[[#This Row],[MUNICIPIO]],'4.CAP_ENDMNT'!B:B,'4.CAP_ENDMNT'!C:C,0,0,1)</f>
        <v>6</v>
      </c>
      <c r="U702" s="167">
        <f>+_xlfn.XLOOKUP(PROYECTOS[[#This Row],[MUNICIPIO]],'4.CAP_ENDMNT'!B:B,'4.CAP_ENDMNT'!D:D,0,0,1)</f>
        <v>11658945302.2845</v>
      </c>
      <c r="V702" s="44">
        <f>+_xlfn.XLOOKUP(PROYECTOS[[#This Row],[MUNICIPIO]],'4.CAP_ENDMNT'!B:B,'4.CAP_ENDMNT'!E:E,0,0,1)</f>
        <v>3873327651.4900002</v>
      </c>
      <c r="W702" s="44">
        <f>+_xlfn.XLOOKUP(PROYECTOS[[#This Row],[MUNICIPIO]],'4.CAP_ENDMNT'!B:B,'4.CAP_ENDMNT'!F:F,0,0,1)</f>
        <v>7785617650.7945004</v>
      </c>
      <c r="X702" s="44">
        <f>+_xlfn.XLOOKUP(PROYECTOS[[#This Row],[MUNICIPIO]],'4.CAP_ENDMNT'!B:B,'4.CAP_ENDMNT'!G:G,0,0,1)</f>
        <v>358053435</v>
      </c>
      <c r="Y702" s="44">
        <f>+_xlfn.XLOOKUP(PROYECTOS[[#This Row],[MUNICIPIO]],'4.CAP_ENDMNT'!B:B,'4.CAP_ENDMNT'!H:H,0,0,1)</f>
        <v>0</v>
      </c>
      <c r="Z702" s="44">
        <f>+_xlfn.XLOOKUP(PROYECTOS[[#This Row],[MUNICIPIO]],'4.CAP_ENDMNT'!B:B,'4.CAP_ENDMNT'!I:I,0,0,1)</f>
        <v>358053435</v>
      </c>
      <c r="AA702" s="134">
        <f>+_xlfn.XLOOKUP(PROYECTOS[[#This Row],[MUNICIPIO]],'4.CAP_ENDMNT'!B:B,'4.CAP_ENDMNT'!J:J,0,0,1)</f>
        <v>3.0710619675850231E-2</v>
      </c>
      <c r="AB702" s="140">
        <f>+_xlfn.XLOOKUP(PROYECTOS[[#This Row],[MUNICIPIO]],'4.CAP_ENDMNT'!B:B,'4.CAP_ENDMNT'!K:K,0,0,1)</f>
        <v>11300891867.2845</v>
      </c>
      <c r="AC702" s="140">
        <f>+_xlfn.XLOOKUP(PROYECTOS[[#This Row],[MUNICIPIO]],'4.CAP_ENDMNT'!B:B,'4.CAP_ENDMNT'!L:L,0,0,1)</f>
        <v>9040713493.8276005</v>
      </c>
      <c r="AD702" s="140">
        <f>+_xlfn.XLOOKUP(PROYECTOS[[#This Row],[MUNICIPIO]],'4.CAP_ENDMNT'!B:B,'4.CAP_ENDMNT'!M:M,0,0,1)</f>
        <v>6780535120.3706999</v>
      </c>
      <c r="AE702" s="134">
        <f>+_xlfn.XLOOKUP(PROYECTOS[[#This Row],[MUNICIPIO]],'4.CAP_ENDMNT'!B:B,'4.CAP_ENDMNT'!N:N,0,0,1)</f>
        <v>1</v>
      </c>
      <c r="AF702" s="134">
        <f>+_xlfn.XLOOKUP(PROYECTOS[[#This Row],[MUNICIPIO]],'4.CAP_ENDMNT'!B:B,'4.CAP_ENDMNT'!O:O,0,0,1)</f>
        <v>0.73337464913949513</v>
      </c>
      <c r="AG702" s="134">
        <f>+_xlfn.XLOOKUP(PROYECTOS[[#This Row],[MUNICIPIO]],'4.CAP_ENDMNT'!B:B,'4.CAP_ENDMNT'!P:P,0,0,1)</f>
        <v>0.8</v>
      </c>
      <c r="AH702" s="44" t="str">
        <f>+_xlfn.XLOOKUP(PROYECTOS[[#This Row],[MUNICIPIO]],'4.CAP_ENDMNT'!B:B,'4.CAP_ENDMNT'!Q:Q,0,0,1)</f>
        <v>Cumple</v>
      </c>
      <c r="AI702" s="139">
        <f>+_xlfn.XLOOKUP(PROYECTOS[[#This Row],[MUNICIPIO]],'4.CAP_ENDMNT'!B:B,'4.CAP_ENDMNT'!V:V,0,0,1)</f>
        <v>1356107024.0741401</v>
      </c>
      <c r="AJ702" s="139">
        <f>+_xlfn.XLOOKUP(PROYECTOS[[#This Row],[MUNICIPIO]],'4.CAP_ENDMNT'!B:B,'4.CAP_ENDMNT'!Y:Y,0,0,1)</f>
        <v>177652909.44483948</v>
      </c>
      <c r="AK702"/>
      <c r="AL702"/>
      <c r="AM702"/>
    </row>
  </sheetData>
  <phoneticPr fontId="11" type="noConversion"/>
  <conditionalFormatting sqref="B80">
    <cfRule type="duplicateValues" dxfId="51" priority="6"/>
    <cfRule type="duplicateValues" dxfId="50" priority="7"/>
  </conditionalFormatting>
  <conditionalFormatting sqref="B140:B163">
    <cfRule type="duplicateValues" dxfId="49" priority="567"/>
  </conditionalFormatting>
  <conditionalFormatting sqref="B206">
    <cfRule type="duplicateValues" dxfId="48" priority="318"/>
  </conditionalFormatting>
  <conditionalFormatting sqref="B206:B223 B2:B79 B81:B203">
    <cfRule type="duplicateValues" dxfId="47" priority="773"/>
  </conditionalFormatting>
  <conditionalFormatting sqref="B210">
    <cfRule type="duplicateValues" dxfId="46" priority="319"/>
  </conditionalFormatting>
  <conditionalFormatting sqref="B211">
    <cfRule type="duplicateValues" dxfId="45" priority="320"/>
  </conditionalFormatting>
  <conditionalFormatting sqref="B435">
    <cfRule type="duplicateValues" dxfId="44" priority="37"/>
    <cfRule type="duplicateValues" dxfId="43" priority="36"/>
  </conditionalFormatting>
  <conditionalFormatting sqref="B436">
    <cfRule type="duplicateValues" dxfId="42" priority="34"/>
    <cfRule type="duplicateValues" dxfId="41" priority="33"/>
  </conditionalFormatting>
  <conditionalFormatting sqref="B437">
    <cfRule type="duplicateValues" dxfId="40" priority="31"/>
    <cfRule type="duplicateValues" dxfId="39" priority="30"/>
  </conditionalFormatting>
  <conditionalFormatting sqref="B438">
    <cfRule type="duplicateValues" dxfId="38" priority="27"/>
    <cfRule type="duplicateValues" dxfId="37" priority="28"/>
  </conditionalFormatting>
  <conditionalFormatting sqref="B439">
    <cfRule type="duplicateValues" dxfId="36" priority="24"/>
    <cfRule type="duplicateValues" dxfId="35" priority="25"/>
  </conditionalFormatting>
  <conditionalFormatting sqref="B440">
    <cfRule type="duplicateValues" dxfId="34" priority="21"/>
    <cfRule type="duplicateValues" dxfId="33" priority="22"/>
  </conditionalFormatting>
  <conditionalFormatting sqref="B441">
    <cfRule type="duplicateValues" dxfId="32" priority="18"/>
    <cfRule type="duplicateValues" dxfId="31" priority="19"/>
  </conditionalFormatting>
  <conditionalFormatting sqref="B442">
    <cfRule type="duplicateValues" dxfId="30" priority="792"/>
    <cfRule type="duplicateValues" dxfId="29" priority="793"/>
  </conditionalFormatting>
  <conditionalFormatting sqref="B443:B521">
    <cfRule type="duplicateValues" dxfId="28" priority="1053"/>
    <cfRule type="duplicateValues" dxfId="27" priority="1054"/>
  </conditionalFormatting>
  <conditionalFormatting sqref="L1:L698 L700:L1048576">
    <cfRule type="duplicateValues" dxfId="26" priority="1"/>
  </conditionalFormatting>
  <conditionalFormatting sqref="L80">
    <cfRule type="duplicateValues" dxfId="25" priority="5"/>
  </conditionalFormatting>
  <conditionalFormatting sqref="L222">
    <cfRule type="duplicateValues" dxfId="24" priority="8"/>
  </conditionalFormatting>
  <conditionalFormatting sqref="L435">
    <cfRule type="duplicateValues" dxfId="23" priority="35"/>
  </conditionalFormatting>
  <conditionalFormatting sqref="L436">
    <cfRule type="duplicateValues" dxfId="22" priority="32"/>
  </conditionalFormatting>
  <conditionalFormatting sqref="L437">
    <cfRule type="duplicateValues" dxfId="21" priority="29"/>
  </conditionalFormatting>
  <conditionalFormatting sqref="L438">
    <cfRule type="duplicateValues" dxfId="20" priority="26"/>
  </conditionalFormatting>
  <conditionalFormatting sqref="L439">
    <cfRule type="duplicateValues" dxfId="19" priority="23"/>
  </conditionalFormatting>
  <conditionalFormatting sqref="L440">
    <cfRule type="duplicateValues" dxfId="18" priority="20"/>
  </conditionalFormatting>
  <conditionalFormatting sqref="L441">
    <cfRule type="duplicateValues" dxfId="17" priority="17"/>
  </conditionalFormatting>
  <conditionalFormatting sqref="L442:L508 L510:L520">
    <cfRule type="duplicateValues" dxfId="16" priority="1099"/>
  </conditionalFormatting>
  <conditionalFormatting sqref="R1:S1 A1:B1 D1:H1">
    <cfRule type="duplicateValues" dxfId="15" priority="612"/>
  </conditionalFormatting>
  <conditionalFormatting sqref="U703:U1048576 B700:B1048576 L1:L79 B389 B328:B379 B384 B391 R541:S541 L372:L380 R356:S362 R329:S329 B1:B79 R350:S352 R386:S397 R334:S338 R399:S406 R411:S412 R431:S432 R345:S345 R340:S343 R332:S332 R318:S327 L189:L221 L223:L330 B81:B326 L81:L153 L332:L369 R597:S617 R408:S409 R378:S384 R428:S428 R366:S376 R419:S421 R543:S546 R364:S364 R415:S415 R423:S426 R548:S549 S547 L155:L187 R619:S702">
    <cfRule type="duplicateValues" dxfId="14" priority="788"/>
  </conditionalFormatting>
  <pageMargins left="0.7" right="0.7" top="0.75" bottom="0.75" header="0.3" footer="0.3"/>
  <pageSetup paperSize="9" fitToHeight="0" orientation="portrait" r:id="rId1"/>
  <legacyDrawing r:id="rId2"/>
  <tableParts count="1">
    <tablePart r:id="rId3"/>
  </tableParts>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100-000002000000}">
          <x14:formula1>
            <xm:f>MUNICIPIOS!$A$2:$A$127</xm:f>
          </x14:formula1>
          <xm:sqref>D241 D273:D323 D245 D327:D358 D386:D388 D360:D384 D505 D391:D412 D516:D530 D535 D537:D540 D542:D563</xm:sqref>
        </x14:dataValidation>
        <x14:dataValidation type="list" allowBlank="1" showInputMessage="1" showErrorMessage="1" xr:uid="{00000000-0002-0000-0100-000001000000}">
          <x14:formula1>
            <xm:f>Desplegables!#REF!</xm:f>
          </x14:formula1>
          <xm:sqref>D224:D227 D231:D235 D246:D272 D242:D244 D359 D238:D240</xm:sqref>
        </x14:dataValidation>
        <x14:dataValidation type="list" allowBlank="1" showInputMessage="1" showErrorMessage="1" error="Ingrese solo nombres de municipios contenidos en la lista desplegable" xr:uid="{00000000-0002-0000-0100-000000000000}">
          <x14:formula1>
            <xm:f>MUNICIPIOS!$A$2:$A$127</xm:f>
          </x14:formula1>
          <xm:sqref>D237 D2:D223</xm:sqref>
        </x14:dataValidation>
        <x14:dataValidation type="list" allowBlank="1" showInputMessage="1" showErrorMessage="1" xr:uid="{00000000-0002-0000-0100-000004000000}">
          <x14:formula1>
            <xm:f>Desplegables!$A$69:$A$75</xm:f>
          </x14:formula1>
          <xm:sqref>S350:S352 S242:S312 S326:S327 S329 S345 S199:S205 S332 S340:S343 S318:S322 S334:S338 R472 R398 R410 R433 R504 R516:R519 R526 R459 R465:R469 R493 R502 R407 R532 S378:S384 R427 S2:S5 S7:S46 R562 R437 S366:S376 R441 S364 R416:R418 R413:R414 R422 R429:R430 R547 S356:S362 R2:R385 R580</xm:sqref>
        </x14:dataValidation>
        <x14:dataValidation type="list" allowBlank="1" showInputMessage="1" showErrorMessage="1" xr:uid="{2A76BD1A-19B8-48A1-8E24-EA8EB9A4CF49}">
          <x14:formula1>
            <xm:f>Desplegables!$A$43:$A$60</xm:f>
          </x14:formula1>
          <xm:sqref>O444 O459 O465:O470 O473 O454 O2:O434 O480:O629 O700:O702 O692 O663:O664</xm:sqref>
        </x14:dataValidation>
        <x14:dataValidation type="list" allowBlank="1" showInputMessage="1" showErrorMessage="1" xr:uid="{0F88468F-E1B4-4DA8-8927-B7B65EF8E130}">
          <x14:formula1>
            <xm:f>Desplegables!$A$129:$A$155</xm:f>
          </x14:formula1>
          <xm:sqref>M2:M434 M443:M629 M700:M702 M696 M678:M692 M698</xm:sqref>
        </x14:dataValidation>
        <x14:dataValidation type="list" allowBlank="1" showInputMessage="1" showErrorMessage="1" xr:uid="{8752C901-E6F5-4C51-AAF1-71A4BEE9C058}">
          <x14:formula1>
            <xm:f>Desplegables!$A$158:$A$162</xm:f>
          </x14:formula1>
          <xm:sqref>N470 N473 N480 N2:N434 N502:N629 N700:N702 N692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EB756-854A-44AE-AD73-C7AE818A908B}">
  <sheetPr codeName="Sheet2">
    <tabColor theme="7" tint="0.79998168889431442"/>
    <pageSetUpPr fitToPage="1"/>
  </sheetPr>
  <dimension ref="A1:AJ478"/>
  <sheetViews>
    <sheetView topLeftCell="E1" zoomScale="85" zoomScaleNormal="85" workbookViewId="0">
      <selection activeCell="H29" sqref="H29"/>
    </sheetView>
  </sheetViews>
  <sheetFormatPr baseColWidth="10" defaultColWidth="9.140625" defaultRowHeight="15" customHeight="1"/>
  <cols>
    <col min="1" max="1" width="15.42578125" style="3" customWidth="1"/>
    <col min="2" max="2" width="109.7109375" style="37" customWidth="1"/>
    <col min="3" max="3" width="22.42578125" style="34" hidden="1" customWidth="1"/>
    <col min="4" max="4" width="25" style="32" customWidth="1"/>
    <col min="5" max="5" width="18.140625" style="3" customWidth="1"/>
    <col min="6" max="8" width="15" style="156" customWidth="1"/>
    <col min="9" max="10" width="21" style="40" customWidth="1"/>
    <col min="11" max="12" width="15.140625" style="9" customWidth="1"/>
    <col min="13" max="13" width="22.28515625" style="157" customWidth="1"/>
    <col min="14" max="17" width="25.85546875" style="37" customWidth="1"/>
    <col min="18" max="18" width="23.28515625" style="40" customWidth="1"/>
    <col min="19" max="20" width="29.140625" style="34" customWidth="1"/>
    <col min="21" max="21" width="22.85546875" customWidth="1"/>
    <col min="22" max="22" width="16.140625" customWidth="1"/>
    <col min="23" max="23" width="26.85546875" style="158" bestFit="1" customWidth="1"/>
    <col min="24" max="24" width="26.85546875" style="3" bestFit="1" customWidth="1"/>
    <col min="25" max="25" width="22.5703125" style="3" bestFit="1" customWidth="1"/>
    <col min="26" max="26" width="21" style="3" bestFit="1" customWidth="1"/>
    <col min="27" max="27" width="30.140625" style="3" bestFit="1" customWidth="1"/>
    <col min="28" max="28" width="20.42578125" style="3" bestFit="1" customWidth="1"/>
    <col min="29" max="29" width="22.42578125" style="3" bestFit="1" customWidth="1"/>
    <col min="30" max="32" width="27.5703125" style="3" bestFit="1" customWidth="1"/>
    <col min="33" max="33" width="16.85546875" style="3" bestFit="1" customWidth="1"/>
    <col min="34" max="34" width="13.7109375" style="3" bestFit="1" customWidth="1"/>
    <col min="35" max="35" width="12.42578125" style="3" bestFit="1" customWidth="1"/>
    <col min="36" max="36" width="13" style="3" bestFit="1" customWidth="1"/>
  </cols>
  <sheetData>
    <row r="1" spans="1:36" s="28" customFormat="1" ht="48" customHeight="1">
      <c r="A1" s="56" t="s">
        <v>381</v>
      </c>
      <c r="B1" s="35" t="s">
        <v>382</v>
      </c>
      <c r="C1" s="35" t="s">
        <v>916</v>
      </c>
      <c r="D1" s="51" t="s">
        <v>2</v>
      </c>
      <c r="E1" s="26" t="s">
        <v>383</v>
      </c>
      <c r="F1" s="6" t="s">
        <v>384</v>
      </c>
      <c r="G1" s="6" t="s">
        <v>385</v>
      </c>
      <c r="H1" s="25" t="s">
        <v>386</v>
      </c>
      <c r="I1" s="6" t="s">
        <v>387</v>
      </c>
      <c r="J1" s="6" t="s">
        <v>388</v>
      </c>
      <c r="K1" s="38" t="s">
        <v>389</v>
      </c>
      <c r="L1" s="38" t="s">
        <v>979</v>
      </c>
      <c r="M1" s="25" t="s">
        <v>904</v>
      </c>
      <c r="N1" s="39" t="s">
        <v>1128</v>
      </c>
      <c r="O1" s="39" t="s">
        <v>1127</v>
      </c>
      <c r="P1" s="39" t="s">
        <v>917</v>
      </c>
      <c r="Q1" s="39" t="s">
        <v>980</v>
      </c>
      <c r="R1" s="149" t="s">
        <v>946</v>
      </c>
      <c r="S1" s="60" t="s">
        <v>390</v>
      </c>
      <c r="T1" s="60" t="s">
        <v>945</v>
      </c>
      <c r="U1" s="24" t="s">
        <v>391</v>
      </c>
      <c r="V1" s="129" t="s">
        <v>887</v>
      </c>
      <c r="W1" s="138" t="s">
        <v>893</v>
      </c>
      <c r="X1" s="129" t="s">
        <v>894</v>
      </c>
      <c r="Y1" s="129" t="s">
        <v>895</v>
      </c>
      <c r="Z1" s="130" t="s">
        <v>896</v>
      </c>
      <c r="AA1" s="130" t="s">
        <v>897</v>
      </c>
      <c r="AB1" s="130" t="s">
        <v>898</v>
      </c>
      <c r="AC1" s="131" t="s">
        <v>899</v>
      </c>
      <c r="AD1" s="129" t="s">
        <v>900</v>
      </c>
      <c r="AE1" s="129" t="s">
        <v>901</v>
      </c>
      <c r="AF1" s="129" t="s">
        <v>902</v>
      </c>
      <c r="AG1" s="132" t="s">
        <v>903</v>
      </c>
      <c r="AH1" s="133" t="s">
        <v>888</v>
      </c>
      <c r="AI1" s="133" t="s">
        <v>889</v>
      </c>
      <c r="AJ1" s="133" t="s">
        <v>890</v>
      </c>
    </row>
    <row r="2" spans="1:36">
      <c r="A2" s="44">
        <v>1</v>
      </c>
      <c r="B2" s="37" t="s">
        <v>5</v>
      </c>
      <c r="C2" s="118">
        <f>+_xlfn.XLOOKUP(PROYECTOS2[[#This Row],[ID_NECESIDAD]],'1.RADICADOS'!G:G,'1.RADICADOS'!C:C,0,0,1)*1</f>
        <v>45327</v>
      </c>
      <c r="D2" s="46" t="s">
        <v>4</v>
      </c>
      <c r="E2" s="47" t="str">
        <f>+_xlfn.XLOOKUP(PROYECTOS2[[#This Row],[MUNICIPIO]],MUNICIPIOS!A:A,MUNICIPIOS!E:E,0,0,1)</f>
        <v>Nordeste</v>
      </c>
      <c r="F2" s="44" t="e" cm="1">
        <f t="array" ref="F2">+_xlfn.XLOOKUP(PROYECTOS2[[#This Row],[MUNICIPIO]],Table1[Municipio],MUNICIPIOS!F:F,0,0,1)</f>
        <v>#VALUE!</v>
      </c>
      <c r="G2" s="44" t="str">
        <f>+LOOKUP(PROYECTOS2[[#This Row],[MUNICIPIO]],Table1[Municipio],Table1[Latitud])</f>
        <v>6,149903</v>
      </c>
      <c r="H2" s="44">
        <f>+LOOKUP(PROYECTOS2[[#This Row],[MUNICIPIO]],Table1[Municipio],Table1[PDET])</f>
        <v>0</v>
      </c>
      <c r="I2" s="44">
        <f>+LOOKUP(PROYECTOS2[[#This Row],[MUNICIPIO]],Table1[Municipio],Table1[ZOMAC])</f>
        <v>0</v>
      </c>
      <c r="J2" s="3" t="str" cm="1">
        <f t="array" ref="J2">_xlfn.TEXTJOIN(", ", TRUE, IF(radicados[ID PROYECTOS]=A2, radicados[RADICADO], ""))</f>
        <v>2024010048235</v>
      </c>
      <c r="K2" s="45">
        <v>1</v>
      </c>
      <c r="L2" s="45"/>
      <c r="M2" s="43"/>
      <c r="N2" s="48">
        <v>666322545</v>
      </c>
      <c r="O2" s="48"/>
      <c r="P2" s="48"/>
      <c r="Q2" s="148" t="s">
        <v>1067</v>
      </c>
      <c r="R2" s="34" t="s">
        <v>392</v>
      </c>
      <c r="S2" s="40"/>
      <c r="T2" s="40" t="s">
        <v>7</v>
      </c>
      <c r="U2" s="37"/>
      <c r="V2" s="44">
        <f>+_xlfn.XLOOKUP(PROYECTOS2[[#This Row],[MUNICIPIO]],'4.CAP_ENDMNT'!B:B,'4.CAP_ENDMNT'!C:C,0,0,1)</f>
        <v>6</v>
      </c>
      <c r="W2" s="139">
        <f>+_xlfn.XLOOKUP(PROYECTOS2[[#This Row],[MUNICIPIO]],'4.CAP_ENDMNT'!B:B,'4.CAP_ENDMNT'!D:D,0,0,1)</f>
        <v>14438255937.0725</v>
      </c>
      <c r="X2" s="139">
        <f>+_xlfn.XLOOKUP(PROYECTOS2[[#This Row],[MUNICIPIO]],'4.CAP_ENDMNT'!B:B,'4.CAP_ENDMNT'!E:E,0,0,1)</f>
        <v>4668200945.8400002</v>
      </c>
      <c r="Y2" s="139">
        <f>+_xlfn.XLOOKUP(PROYECTOS2[[#This Row],[MUNICIPIO]],'4.CAP_ENDMNT'!B:B,'4.CAP_ENDMNT'!F:F,0,0,1)</f>
        <v>9770054991.2325001</v>
      </c>
      <c r="Z2" s="139">
        <f>+_xlfn.XLOOKUP(PROYECTOS2[[#This Row],[MUNICIPIO]],'4.CAP_ENDMNT'!B:B,'4.CAP_ENDMNT'!G:G,0,0,1)</f>
        <v>2534414723</v>
      </c>
      <c r="AA2" s="139">
        <f>+_xlfn.XLOOKUP(PROYECTOS2[[#This Row],[MUNICIPIO]],'4.CAP_ENDMNT'!B:B,'4.CAP_ENDMNT'!H:H,0,0,1)</f>
        <v>0</v>
      </c>
      <c r="AB2" s="139">
        <f>+_xlfn.XLOOKUP(PROYECTOS2[[#This Row],[MUNICIPIO]],'4.CAP_ENDMNT'!B:B,'4.CAP_ENDMNT'!I:I,0,0,1)</f>
        <v>2534414723</v>
      </c>
      <c r="AC2" s="134">
        <f>+_xlfn.XLOOKUP(PROYECTOS2[[#This Row],[MUNICIPIO]],'4.CAP_ENDMNT'!B:B,'4.CAP_ENDMNT'!J:J,0,0,1)</f>
        <v>0.17553468604836753</v>
      </c>
      <c r="AD2" s="139">
        <f>+_xlfn.XLOOKUP(PROYECTOS2[[#This Row],[MUNICIPIO]],'4.CAP_ENDMNT'!B:B,'4.CAP_ENDMNT'!K:K,0,0,1)</f>
        <v>11903841214.0725</v>
      </c>
      <c r="AE2" s="139">
        <f>+_xlfn.XLOOKUP(PROYECTOS2[[#This Row],[MUNICIPIO]],'4.CAP_ENDMNT'!B:B,'4.CAP_ENDMNT'!L:L,0,0,1)</f>
        <v>9523072971.2580013</v>
      </c>
      <c r="AF2" s="139">
        <f>+_xlfn.XLOOKUP(PROYECTOS2[[#This Row],[MUNICIPIO]],'4.CAP_ENDMNT'!B:B,'4.CAP_ENDMNT'!M:M,0,0,1)</f>
        <v>7142304728.4434996</v>
      </c>
      <c r="AG2" s="134">
        <f>+_xlfn.XLOOKUP(PROYECTOS2[[#This Row],[MUNICIPIO]],'4.CAP_ENDMNT'!B:B,'4.CAP_ENDMNT'!N:N,0,0,1)</f>
        <v>1</v>
      </c>
      <c r="AH2" s="134">
        <f>+_xlfn.XLOOKUP(PROYECTOS2[[#This Row],[MUNICIPIO]],'4.CAP_ENDMNT'!B:B,'4.CAP_ENDMNT'!O:O,0,0,1)</f>
        <v>0.5148707777903756</v>
      </c>
      <c r="AI2" s="134">
        <f>+_xlfn.XLOOKUP(PROYECTOS2[[#This Row],[MUNICIPIO]],'4.CAP_ENDMNT'!B:B,'4.CAP_ENDMNT'!P:P,0,0,1)</f>
        <v>0.8</v>
      </c>
      <c r="AJ2" s="44" t="str">
        <f>+_xlfn.XLOOKUP(PROYECTOS2[[#This Row],[MUNICIPIO]],'4.CAP_ENDMNT'!B:B,'4.CAP_ENDMNT'!Q:Q,0,0,1)</f>
        <v>Cumple</v>
      </c>
    </row>
    <row r="3" spans="1:36">
      <c r="A3" s="44">
        <v>3</v>
      </c>
      <c r="B3" s="37" t="s">
        <v>16</v>
      </c>
      <c r="C3" s="118">
        <f>+_xlfn.XLOOKUP(PROYECTOS2[[#This Row],[ID_NECESIDAD]],'1.RADICADOS'!G:G,'1.RADICADOS'!C:C,0,0,1)*1</f>
        <v>45629</v>
      </c>
      <c r="D3" s="46" t="s">
        <v>15</v>
      </c>
      <c r="E3" s="47" t="str">
        <f>+_xlfn.XLOOKUP(PROYECTOS2[[#This Row],[MUNICIPIO]],MUNICIPIOS!A:A,MUNICIPIOS!E:E,0,0,1)</f>
        <v>Valle de Aburrá</v>
      </c>
      <c r="F3" s="44" t="e" cm="1">
        <f t="array" ref="F3">+_xlfn.XLOOKUP(PROYECTOS2[[#This Row],[MUNICIPIO]],Table1[Municipio],MUNICIPIOS!F:F,0,0,1)</f>
        <v>#VALUE!</v>
      </c>
      <c r="G3" s="44" t="str">
        <f>+LOOKUP(PROYECTOS2[[#This Row],[MUNICIPIO]],Table1[Municipio],Table1[Latitud])</f>
        <v>7,074703</v>
      </c>
      <c r="H3" s="44">
        <f>+LOOKUP(PROYECTOS2[[#This Row],[MUNICIPIO]],Table1[Municipio],Table1[PDET])</f>
        <v>1</v>
      </c>
      <c r="I3" s="44">
        <f>+LOOKUP(PROYECTOS2[[#This Row],[MUNICIPIO]],Table1[Municipio],Table1[ZOMAC])</f>
        <v>1</v>
      </c>
      <c r="J3" s="3" t="str" cm="1">
        <f t="array" ref="J3">_xlfn.TEXTJOIN(", ", TRUE, IF(radicados[ID PROYECTOS]=A3, radicados[RADICADO], ""))</f>
        <v>2024010111694</v>
      </c>
      <c r="K3" s="45">
        <v>3</v>
      </c>
      <c r="L3" s="45"/>
      <c r="M3" s="43"/>
      <c r="N3" s="48">
        <v>54654511129</v>
      </c>
      <c r="O3" s="48"/>
      <c r="P3" s="48"/>
      <c r="Q3" s="148" t="s">
        <v>1067</v>
      </c>
      <c r="R3" s="34" t="s">
        <v>393</v>
      </c>
      <c r="S3" s="34" t="s">
        <v>394</v>
      </c>
      <c r="T3" s="34" t="s">
        <v>18</v>
      </c>
      <c r="U3" s="37"/>
      <c r="V3" s="44">
        <f>+_xlfn.XLOOKUP(PROYECTOS2[[#This Row],[MUNICIPIO]],'4.CAP_ENDMNT'!B:B,'4.CAP_ENDMNT'!C:C,0,0,1)</f>
        <v>4</v>
      </c>
      <c r="W3" s="139">
        <f>+_xlfn.XLOOKUP(PROYECTOS2[[#This Row],[MUNICIPIO]],'4.CAP_ENDMNT'!B:B,'4.CAP_ENDMNT'!D:D,0,0,1)</f>
        <v>56592203197.536499</v>
      </c>
      <c r="X3" s="140">
        <f>+_xlfn.XLOOKUP(PROYECTOS2[[#This Row],[MUNICIPIO]],'4.CAP_ENDMNT'!B:B,'4.CAP_ENDMNT'!E:E,0,0,1)</f>
        <v>24375972647.860001</v>
      </c>
      <c r="Y3" s="140">
        <f>+_xlfn.XLOOKUP(PROYECTOS2[[#This Row],[MUNICIPIO]],'4.CAP_ENDMNT'!B:B,'4.CAP_ENDMNT'!F:F,0,0,1)</f>
        <v>32216230549.676498</v>
      </c>
      <c r="Z3" s="140">
        <f>+_xlfn.XLOOKUP(PROYECTOS2[[#This Row],[MUNICIPIO]],'4.CAP_ENDMNT'!B:B,'4.CAP_ENDMNT'!G:G,0,0,1)</f>
        <v>0</v>
      </c>
      <c r="AA3" s="140">
        <f>+_xlfn.XLOOKUP(PROYECTOS2[[#This Row],[MUNICIPIO]],'4.CAP_ENDMNT'!B:B,'4.CAP_ENDMNT'!H:H,0,0,1)</f>
        <v>15044963334.42</v>
      </c>
      <c r="AB3" s="140">
        <f>+_xlfn.XLOOKUP(PROYECTOS2[[#This Row],[MUNICIPIO]],'4.CAP_ENDMNT'!B:B,'4.CAP_ENDMNT'!I:I,0,0,1)</f>
        <v>15044963334.42</v>
      </c>
      <c r="AC3" s="134">
        <f>+_xlfn.XLOOKUP(PROYECTOS2[[#This Row],[MUNICIPIO]],'4.CAP_ENDMNT'!B:B,'4.CAP_ENDMNT'!J:J,0,0,1)</f>
        <v>0.26584869442006315</v>
      </c>
      <c r="AD3" s="140">
        <f>+_xlfn.XLOOKUP(PROYECTOS2[[#This Row],[MUNICIPIO]],'4.CAP_ENDMNT'!B:B,'4.CAP_ENDMNT'!K:K,0,0,1)</f>
        <v>41547239863.116501</v>
      </c>
      <c r="AE3" s="140">
        <f>+_xlfn.XLOOKUP(PROYECTOS2[[#This Row],[MUNICIPIO]],'4.CAP_ENDMNT'!B:B,'4.CAP_ENDMNT'!L:L,0,0,1)</f>
        <v>33237791890.493202</v>
      </c>
      <c r="AF3" s="140">
        <f>+_xlfn.XLOOKUP(PROYECTOS2[[#This Row],[MUNICIPIO]],'4.CAP_ENDMNT'!B:B,'4.CAP_ENDMNT'!M:M,0,0,1)</f>
        <v>24928343917.8699</v>
      </c>
      <c r="AG3" s="134">
        <f>+_xlfn.XLOOKUP(PROYECTOS2[[#This Row],[MUNICIPIO]],'4.CAP_ENDMNT'!B:B,'4.CAP_ENDMNT'!N:N,0,0,1)</f>
        <v>0</v>
      </c>
      <c r="AH3" s="134">
        <f>+_xlfn.XLOOKUP(PROYECTOS2[[#This Row],[MUNICIPIO]],'4.CAP_ENDMNT'!B:B,'4.CAP_ENDMNT'!O:O,0,0,1)</f>
        <v>0.60385208261970102</v>
      </c>
      <c r="AI3" s="134">
        <f>+_xlfn.XLOOKUP(PROYECTOS2[[#This Row],[MUNICIPIO]],'4.CAP_ENDMNT'!B:B,'4.CAP_ENDMNT'!P:P,0,0,1)</f>
        <v>0.8</v>
      </c>
      <c r="AJ3" s="44" t="str">
        <f>+_xlfn.XLOOKUP(PROYECTOS2[[#This Row],[MUNICIPIO]],'4.CAP_ENDMNT'!B:B,'4.CAP_ENDMNT'!Q:Q,0,0,1)</f>
        <v>Cumple</v>
      </c>
    </row>
    <row r="4" spans="1:36">
      <c r="A4" s="44">
        <v>4</v>
      </c>
      <c r="B4" s="37" t="s">
        <v>987</v>
      </c>
      <c r="C4" s="118">
        <f>+_xlfn.XLOOKUP(PROYECTOS2[[#This Row],[ID_NECESIDAD]],'1.RADICADOS'!G:G,'1.RADICADOS'!C:C,0,0,1)*1</f>
        <v>45476</v>
      </c>
      <c r="D4" s="46" t="s">
        <v>27</v>
      </c>
      <c r="E4" s="47" t="str">
        <f>+_xlfn.XLOOKUP(PROYECTOS2[[#This Row],[MUNICIPIO]],MUNICIPIOS!A:A,MUNICIPIOS!E:E,0,0,1)</f>
        <v>Oriente</v>
      </c>
      <c r="F4" s="44" t="e" cm="1">
        <f t="array" ref="F4">+_xlfn.XLOOKUP(PROYECTOS2[[#This Row],[MUNICIPIO]],Table1[Municipio],MUNICIPIOS!F:F,0,0,1)</f>
        <v>#VALUE!</v>
      </c>
      <c r="G4" s="44" t="str">
        <f>+LOOKUP(PROYECTOS2[[#This Row],[MUNICIPIO]],Table1[Municipio],Table1[Latitud])</f>
        <v>6,246631</v>
      </c>
      <c r="H4" s="44">
        <f>+LOOKUP(PROYECTOS2[[#This Row],[MUNICIPIO]],Table1[Municipio],Table1[PDET])</f>
        <v>0</v>
      </c>
      <c r="I4" s="44">
        <f>+LOOKUP(PROYECTOS2[[#This Row],[MUNICIPIO]],Table1[Municipio],Table1[ZOMAC])</f>
        <v>0</v>
      </c>
      <c r="J4" s="3" t="str" cm="1">
        <f t="array" ref="J4">_xlfn.TEXTJOIN(", ", TRUE, IF(radicados[ID PROYECTOS]=A4, radicados[RADICADO], ""))</f>
        <v>2024010105045</v>
      </c>
      <c r="K4" s="142">
        <v>3</v>
      </c>
      <c r="L4" s="45"/>
      <c r="M4" s="43"/>
      <c r="N4" s="48">
        <v>8594513471</v>
      </c>
      <c r="O4" s="48"/>
      <c r="P4" s="48"/>
      <c r="Q4" s="148" t="s">
        <v>1067</v>
      </c>
      <c r="R4" s="34" t="s">
        <v>395</v>
      </c>
      <c r="S4" s="40"/>
      <c r="T4" s="40" t="s">
        <v>29</v>
      </c>
      <c r="U4" s="37" t="s">
        <v>988</v>
      </c>
      <c r="V4" s="44">
        <f>+_xlfn.XLOOKUP(PROYECTOS2[[#This Row],[MUNICIPIO]],'4.CAP_ENDMNT'!B:B,'4.CAP_ENDMNT'!C:C,0,0,1)</f>
        <v>1</v>
      </c>
      <c r="W4" s="139">
        <f>+_xlfn.XLOOKUP(PROYECTOS2[[#This Row],[MUNICIPIO]],'4.CAP_ENDMNT'!B:B,'4.CAP_ENDMNT'!D:D,0,0,1)</f>
        <v>501236439904.31354</v>
      </c>
      <c r="X4" s="140">
        <f>+_xlfn.XLOOKUP(PROYECTOS2[[#This Row],[MUNICIPIO]],'4.CAP_ENDMNT'!B:B,'4.CAP_ENDMNT'!E:E,0,0,1)</f>
        <v>112502020079.39</v>
      </c>
      <c r="Y4" s="140">
        <f>+_xlfn.XLOOKUP(PROYECTOS2[[#This Row],[MUNICIPIO]],'4.CAP_ENDMNT'!B:B,'4.CAP_ENDMNT'!F:F,0,0,1)</f>
        <v>388734419824.92352</v>
      </c>
      <c r="Z4" s="140">
        <f>+_xlfn.XLOOKUP(PROYECTOS2[[#This Row],[MUNICIPIO]],'4.CAP_ENDMNT'!B:B,'4.CAP_ENDMNT'!G:G,0,0,1)</f>
        <v>85394840514</v>
      </c>
      <c r="AA4" s="140">
        <f>+_xlfn.XLOOKUP(PROYECTOS2[[#This Row],[MUNICIPIO]],'4.CAP_ENDMNT'!B:B,'4.CAP_ENDMNT'!H:H,0,0,1)</f>
        <v>114109886446.23999</v>
      </c>
      <c r="AB4" s="140">
        <f>+_xlfn.XLOOKUP(PROYECTOS2[[#This Row],[MUNICIPIO]],'4.CAP_ENDMNT'!B:B,'4.CAP_ENDMNT'!I:I,0,0,1)</f>
        <v>199504726960.23999</v>
      </c>
      <c r="AC4" s="134">
        <f>+_xlfn.XLOOKUP(PROYECTOS2[[#This Row],[MUNICIPIO]],'4.CAP_ENDMNT'!B:B,'4.CAP_ENDMNT'!J:J,0,0,1)</f>
        <v>0.39802518547599136</v>
      </c>
      <c r="AD4" s="140">
        <f>+_xlfn.XLOOKUP(PROYECTOS2[[#This Row],[MUNICIPIO]],'4.CAP_ENDMNT'!B:B,'4.CAP_ENDMNT'!K:K,0,0,1)</f>
        <v>301731712944.07355</v>
      </c>
      <c r="AE4" s="140">
        <f>+_xlfn.XLOOKUP(PROYECTOS2[[#This Row],[MUNICIPIO]],'4.CAP_ENDMNT'!B:B,'4.CAP_ENDMNT'!L:L,0,0,1)</f>
        <v>241385370355.25885</v>
      </c>
      <c r="AF4" s="140">
        <f>+_xlfn.XLOOKUP(PROYECTOS2[[#This Row],[MUNICIPIO]],'4.CAP_ENDMNT'!B:B,'4.CAP_ENDMNT'!M:M,0,0,1)</f>
        <v>181039027766.44412</v>
      </c>
      <c r="AG4" s="134">
        <f>+_xlfn.XLOOKUP(PROYECTOS2[[#This Row],[MUNICIPIO]],'4.CAP_ENDMNT'!B:B,'4.CAP_ENDMNT'!N:N,0,0,1)</f>
        <v>0.42803417149619039</v>
      </c>
      <c r="AH4" s="134">
        <f>+_xlfn.XLOOKUP(PROYECTOS2[[#This Row],[MUNICIPIO]],'4.CAP_ENDMNT'!B:B,'4.CAP_ENDMNT'!O:O,0,0,1)</f>
        <v>0.23207277402530038</v>
      </c>
      <c r="AI4" s="134">
        <f>+_xlfn.XLOOKUP(PROYECTOS2[[#This Row],[MUNICIPIO]],'4.CAP_ENDMNT'!B:B,'4.CAP_ENDMNT'!P:P,0,0,1)</f>
        <v>0.65</v>
      </c>
      <c r="AJ4" s="44" t="str">
        <f>+_xlfn.XLOOKUP(PROYECTOS2[[#This Row],[MUNICIPIO]],'4.CAP_ENDMNT'!B:B,'4.CAP_ENDMNT'!Q:Q,0,0,1)</f>
        <v>Cumple</v>
      </c>
    </row>
    <row r="5" spans="1:36">
      <c r="A5" s="44">
        <v>5</v>
      </c>
      <c r="B5" s="37" t="s">
        <v>31</v>
      </c>
      <c r="C5" s="118">
        <f>+_xlfn.XLOOKUP(PROYECTOS2[[#This Row],[ID_NECESIDAD]],'1.RADICADOS'!G:G,'1.RADICADOS'!C:C,0,0,1)*1</f>
        <v>45338</v>
      </c>
      <c r="D5" s="46" t="s">
        <v>30</v>
      </c>
      <c r="E5" s="47" t="str">
        <f>+_xlfn.XLOOKUP(PROYECTOS2[[#This Row],[MUNICIPIO]],MUNICIPIOS!A:A,MUNICIPIOS!E:E,0,0,1)</f>
        <v>Suroeste</v>
      </c>
      <c r="F5" s="44" t="e" cm="1">
        <f t="array" ref="F5">+_xlfn.XLOOKUP(PROYECTOS2[[#This Row],[MUNICIPIO]],Table1[Municipio],MUNICIPIOS!F:F,0,0,1)</f>
        <v>#VALUE!</v>
      </c>
      <c r="G5" s="44" t="str">
        <f>+LOOKUP(PROYECTOS2[[#This Row],[MUNICIPIO]],Table1[Municipio],Table1[Latitud])</f>
        <v>6,149903</v>
      </c>
      <c r="H5" s="44">
        <f>+LOOKUP(PROYECTOS2[[#This Row],[MUNICIPIO]],Table1[Municipio],Table1[PDET])</f>
        <v>0</v>
      </c>
      <c r="I5" s="44">
        <f>+LOOKUP(PROYECTOS2[[#This Row],[MUNICIPIO]],Table1[Municipio],Table1[ZOMAC])</f>
        <v>0</v>
      </c>
      <c r="J5" s="3" t="str" cm="1">
        <f t="array" ref="J5">_xlfn.TEXTJOIN(", ", TRUE, IF(radicados[ID PROYECTOS]=A5, radicados[RADICADO], ""))</f>
        <v>2024010070587</v>
      </c>
      <c r="K5" s="45">
        <v>2</v>
      </c>
      <c r="L5" s="45"/>
      <c r="M5" s="43"/>
      <c r="N5" s="48"/>
      <c r="O5" s="48"/>
      <c r="P5" s="48"/>
      <c r="Q5" s="148" t="s">
        <v>1067</v>
      </c>
      <c r="R5" s="34" t="s">
        <v>396</v>
      </c>
      <c r="S5" s="40" t="s">
        <v>397</v>
      </c>
      <c r="T5" s="40" t="s">
        <v>56</v>
      </c>
      <c r="U5" s="37" t="s">
        <v>1101</v>
      </c>
      <c r="V5" s="44">
        <f>+_xlfn.XLOOKUP(PROYECTOS2[[#This Row],[MUNICIPIO]],'4.CAP_ENDMNT'!B:B,'4.CAP_ENDMNT'!C:C,0,0,1)</f>
        <v>6</v>
      </c>
      <c r="W5" s="139">
        <f>+_xlfn.XLOOKUP(PROYECTOS2[[#This Row],[MUNICIPIO]],'4.CAP_ENDMNT'!B:B,'4.CAP_ENDMNT'!D:D,0,0,1)</f>
        <v>12109127304.486</v>
      </c>
      <c r="X5" s="140">
        <f>+_xlfn.XLOOKUP(PROYECTOS2[[#This Row],[MUNICIPIO]],'4.CAP_ENDMNT'!B:B,'4.CAP_ENDMNT'!E:E,0,0,1)</f>
        <v>6485076277.8299999</v>
      </c>
      <c r="Y5" s="140">
        <f>+_xlfn.XLOOKUP(PROYECTOS2[[#This Row],[MUNICIPIO]],'4.CAP_ENDMNT'!B:B,'4.CAP_ENDMNT'!F:F,0,0,1)</f>
        <v>5624051026.6560001</v>
      </c>
      <c r="Z5" s="140">
        <f>+_xlfn.XLOOKUP(PROYECTOS2[[#This Row],[MUNICIPIO]],'4.CAP_ENDMNT'!B:B,'4.CAP_ENDMNT'!G:G,0,0,1)</f>
        <v>3662325591</v>
      </c>
      <c r="AA5" s="140">
        <f>+_xlfn.XLOOKUP(PROYECTOS2[[#This Row],[MUNICIPIO]],'4.CAP_ENDMNT'!B:B,'4.CAP_ENDMNT'!H:H,0,0,1)</f>
        <v>0</v>
      </c>
      <c r="AB5" s="140">
        <f>+_xlfn.XLOOKUP(PROYECTOS2[[#This Row],[MUNICIPIO]],'4.CAP_ENDMNT'!B:B,'4.CAP_ENDMNT'!I:I,0,0,1)</f>
        <v>3662325591</v>
      </c>
      <c r="AC5" s="134">
        <f>+_xlfn.XLOOKUP(PROYECTOS2[[#This Row],[MUNICIPIO]],'4.CAP_ENDMNT'!B:B,'4.CAP_ENDMNT'!J:J,0,0,1)</f>
        <v>0.30244339653141139</v>
      </c>
      <c r="AD5" s="140">
        <f>+_xlfn.XLOOKUP(PROYECTOS2[[#This Row],[MUNICIPIO]],'4.CAP_ENDMNT'!B:B,'4.CAP_ENDMNT'!K:K,0,0,1)</f>
        <v>8446801713.4860001</v>
      </c>
      <c r="AE5" s="140">
        <f>+_xlfn.XLOOKUP(PROYECTOS2[[#This Row],[MUNICIPIO]],'4.CAP_ENDMNT'!B:B,'4.CAP_ENDMNT'!L:L,0,0,1)</f>
        <v>6757441370.7888002</v>
      </c>
      <c r="AF5" s="140">
        <f>+_xlfn.XLOOKUP(PROYECTOS2[[#This Row],[MUNICIPIO]],'4.CAP_ENDMNT'!B:B,'4.CAP_ENDMNT'!M:M,0,0,1)</f>
        <v>5068081028.0915995</v>
      </c>
      <c r="AG5" s="134">
        <f>+_xlfn.XLOOKUP(PROYECTOS2[[#This Row],[MUNICIPIO]],'4.CAP_ENDMNT'!B:B,'4.CAP_ENDMNT'!N:N,0,0,1)</f>
        <v>1</v>
      </c>
      <c r="AH5" s="134">
        <f>+_xlfn.XLOOKUP(PROYECTOS2[[#This Row],[MUNICIPIO]],'4.CAP_ENDMNT'!B:B,'4.CAP_ENDMNT'!O:O,0,0,1)</f>
        <v>0.55253262293583549</v>
      </c>
      <c r="AI5" s="134">
        <f>+_xlfn.XLOOKUP(PROYECTOS2[[#This Row],[MUNICIPIO]],'4.CAP_ENDMNT'!B:B,'4.CAP_ENDMNT'!P:P,0,0,1)</f>
        <v>0.8</v>
      </c>
      <c r="AJ5" s="44" t="str">
        <f>+_xlfn.XLOOKUP(PROYECTOS2[[#This Row],[MUNICIPIO]],'4.CAP_ENDMNT'!B:B,'4.CAP_ENDMNT'!Q:Q,0,0,1)</f>
        <v>Cumple</v>
      </c>
    </row>
    <row r="6" spans="1:36">
      <c r="A6" s="44">
        <v>6</v>
      </c>
      <c r="B6" s="37" t="s">
        <v>33</v>
      </c>
      <c r="C6" s="118">
        <f>+_xlfn.XLOOKUP(PROYECTOS2[[#This Row],[ID_NECESIDAD]],'1.RADICADOS'!G:G,'1.RADICADOS'!C:C,0,0,1)*1</f>
        <v>45341</v>
      </c>
      <c r="D6" s="46" t="s">
        <v>32</v>
      </c>
      <c r="E6" s="47" t="str">
        <f>+_xlfn.XLOOKUP(PROYECTOS2[[#This Row],[MUNICIPIO]],MUNICIPIOS!A:A,MUNICIPIOS!E:E,0,0,1)</f>
        <v>Oriente</v>
      </c>
      <c r="F6" s="44" t="e" cm="1">
        <f t="array" ref="F6">+_xlfn.XLOOKUP(PROYECTOS2[[#This Row],[MUNICIPIO]],Table1[Municipio],MUNICIPIOS!F:F,0,0,1)</f>
        <v>#VALUE!</v>
      </c>
      <c r="G6" s="44" t="e">
        <f>+LOOKUP(PROYECTOS2[[#This Row],[MUNICIPIO]],Table1[Municipio],Table1[Latitud])</f>
        <v>#N/A</v>
      </c>
      <c r="H6" s="44" t="e">
        <f>+LOOKUP(PROYECTOS2[[#This Row],[MUNICIPIO]],Table1[Municipio],Table1[PDET])</f>
        <v>#N/A</v>
      </c>
      <c r="I6" s="44" t="e">
        <f>+LOOKUP(PROYECTOS2[[#This Row],[MUNICIPIO]],Table1[Municipio],Table1[ZOMAC])</f>
        <v>#N/A</v>
      </c>
      <c r="J6" s="3" t="str" cm="1">
        <f t="array" ref="J6">_xlfn.TEXTJOIN(", ", TRUE, IF(radicados[ID PROYECTOS]=A6, radicados[RADICADO], ""))</f>
        <v>2024010071479</v>
      </c>
      <c r="K6" s="45">
        <v>1</v>
      </c>
      <c r="L6" s="45"/>
      <c r="M6" s="43"/>
      <c r="N6" s="48">
        <v>6800000000</v>
      </c>
      <c r="O6" s="48"/>
      <c r="P6" s="48"/>
      <c r="Q6" s="148" t="s">
        <v>1067</v>
      </c>
      <c r="R6" s="34" t="s">
        <v>288</v>
      </c>
      <c r="S6" s="40" t="s">
        <v>398</v>
      </c>
      <c r="T6" s="40" t="s">
        <v>25</v>
      </c>
      <c r="U6" s="37" t="s">
        <v>963</v>
      </c>
      <c r="V6" s="44">
        <f>+_xlfn.XLOOKUP(PROYECTOS2[[#This Row],[MUNICIPIO]],'4.CAP_ENDMNT'!B:B,'4.CAP_ENDMNT'!C:C,0,0,1)</f>
        <v>6</v>
      </c>
      <c r="W6" s="139">
        <f>+_xlfn.XLOOKUP(PROYECTOS2[[#This Row],[MUNICIPIO]],'4.CAP_ENDMNT'!B:B,'4.CAP_ENDMNT'!D:D,0,0,1)</f>
        <v>15030770872.282</v>
      </c>
      <c r="X6" s="140">
        <f>+_xlfn.XLOOKUP(PROYECTOS2[[#This Row],[MUNICIPIO]],'4.CAP_ENDMNT'!B:B,'4.CAP_ENDMNT'!E:E,0,0,1)</f>
        <v>4409672661.8199997</v>
      </c>
      <c r="Y6" s="140">
        <f>+_xlfn.XLOOKUP(PROYECTOS2[[#This Row],[MUNICIPIO]],'4.CAP_ENDMNT'!B:B,'4.CAP_ENDMNT'!F:F,0,0,1)</f>
        <v>10621098210.462</v>
      </c>
      <c r="Z6" s="140">
        <f>+_xlfn.XLOOKUP(PROYECTOS2[[#This Row],[MUNICIPIO]],'4.CAP_ENDMNT'!B:B,'4.CAP_ENDMNT'!G:G,0,0,1)</f>
        <v>1969764886</v>
      </c>
      <c r="AA6" s="140">
        <f>+_xlfn.XLOOKUP(PROYECTOS2[[#This Row],[MUNICIPIO]],'4.CAP_ENDMNT'!B:B,'4.CAP_ENDMNT'!H:H,0,0,1)</f>
        <v>0</v>
      </c>
      <c r="AB6" s="140">
        <f>+_xlfn.XLOOKUP(PROYECTOS2[[#This Row],[MUNICIPIO]],'4.CAP_ENDMNT'!B:B,'4.CAP_ENDMNT'!I:I,0,0,1)</f>
        <v>1969764886</v>
      </c>
      <c r="AC6" s="134">
        <f>+_xlfn.XLOOKUP(PROYECTOS2[[#This Row],[MUNICIPIO]],'4.CAP_ENDMNT'!B:B,'4.CAP_ENDMNT'!J:J,0,0,1)</f>
        <v>0.13104882661955891</v>
      </c>
      <c r="AD6" s="140">
        <f>+_xlfn.XLOOKUP(PROYECTOS2[[#This Row],[MUNICIPIO]],'4.CAP_ENDMNT'!B:B,'4.CAP_ENDMNT'!K:K,0,0,1)</f>
        <v>13061005986.282</v>
      </c>
      <c r="AE6" s="140">
        <f>+_xlfn.XLOOKUP(PROYECTOS2[[#This Row],[MUNICIPIO]],'4.CAP_ENDMNT'!B:B,'4.CAP_ENDMNT'!L:L,0,0,1)</f>
        <v>10448804789.0256</v>
      </c>
      <c r="AF6" s="140">
        <f>+_xlfn.XLOOKUP(PROYECTOS2[[#This Row],[MUNICIPIO]],'4.CAP_ENDMNT'!B:B,'4.CAP_ENDMNT'!M:M,0,0,1)</f>
        <v>7836603591.7691994</v>
      </c>
      <c r="AG6" s="134">
        <f>+_xlfn.XLOOKUP(PROYECTOS2[[#This Row],[MUNICIPIO]],'4.CAP_ENDMNT'!B:B,'4.CAP_ENDMNT'!N:N,0,0,1)</f>
        <v>1</v>
      </c>
      <c r="AH6" s="134">
        <f>+_xlfn.XLOOKUP(PROYECTOS2[[#This Row],[MUNICIPIO]],'4.CAP_ENDMNT'!B:B,'4.CAP_ENDMNT'!O:O,0,0,1)</f>
        <v>0.39507659260977307</v>
      </c>
      <c r="AI6" s="134">
        <f>+_xlfn.XLOOKUP(PROYECTOS2[[#This Row],[MUNICIPIO]],'4.CAP_ENDMNT'!B:B,'4.CAP_ENDMNT'!P:P,0,0,1)</f>
        <v>0.8</v>
      </c>
      <c r="AJ6" s="44" t="str">
        <f>+_xlfn.XLOOKUP(PROYECTOS2[[#This Row],[MUNICIPIO]],'4.CAP_ENDMNT'!B:B,'4.CAP_ENDMNT'!Q:Q,0,0,1)</f>
        <v>Cumple</v>
      </c>
    </row>
    <row r="7" spans="1:36">
      <c r="A7" s="44">
        <v>7</v>
      </c>
      <c r="B7" s="37" t="s">
        <v>36</v>
      </c>
      <c r="C7" s="118">
        <f>+_xlfn.XLOOKUP(PROYECTOS2[[#This Row],[ID_NECESIDAD]],'1.RADICADOS'!G:G,'1.RADICADOS'!C:C,0,0,1)*1</f>
        <v>45308</v>
      </c>
      <c r="D7" s="46" t="s">
        <v>35</v>
      </c>
      <c r="E7" s="47" t="str">
        <f>+_xlfn.XLOOKUP(PROYECTOS2[[#This Row],[MUNICIPIO]],MUNICIPIOS!A:A,MUNICIPIOS!E:E,0,0,1)</f>
        <v>Norte</v>
      </c>
      <c r="F7" s="44" t="e" cm="1">
        <f t="array" ref="F7">+_xlfn.XLOOKUP(PROYECTOS2[[#This Row],[MUNICIPIO]],Table1[Municipio],MUNICIPIOS!F:F,0,0,1)</f>
        <v>#VALUE!</v>
      </c>
      <c r="G7" s="44" t="str">
        <f>+LOOKUP(PROYECTOS2[[#This Row],[MUNICIPIO]],Table1[Municipio],Table1[Latitud])</f>
        <v>6,394348</v>
      </c>
      <c r="H7" s="44">
        <f>+LOOKUP(PROYECTOS2[[#This Row],[MUNICIPIO]],Table1[Municipio],Table1[PDET])</f>
        <v>0</v>
      </c>
      <c r="I7" s="44">
        <f>+LOOKUP(PROYECTOS2[[#This Row],[MUNICIPIO]],Table1[Municipio],Table1[ZOMAC])</f>
        <v>1</v>
      </c>
      <c r="J7" s="3" t="str" cm="1">
        <f t="array" ref="J7">_xlfn.TEXTJOIN(", ", TRUE, IF(radicados[ID PROYECTOS]=A7, radicados[RADICADO], ""))</f>
        <v>2024010019030</v>
      </c>
      <c r="K7" s="45">
        <v>1</v>
      </c>
      <c r="L7" s="45"/>
      <c r="M7" s="43"/>
      <c r="N7" s="48"/>
      <c r="O7" s="48"/>
      <c r="P7" s="48"/>
      <c r="Q7" s="148" t="s">
        <v>1067</v>
      </c>
      <c r="R7" s="34" t="s">
        <v>396</v>
      </c>
      <c r="S7" s="34" t="s">
        <v>398</v>
      </c>
      <c r="T7" s="34" t="s">
        <v>25</v>
      </c>
      <c r="U7" s="37"/>
      <c r="V7" s="44">
        <f>+_xlfn.XLOOKUP(PROYECTOS2[[#This Row],[MUNICIPIO]],'4.CAP_ENDMNT'!B:B,'4.CAP_ENDMNT'!C:C,0,0,1)</f>
        <v>6</v>
      </c>
      <c r="W7" s="139">
        <f>+_xlfn.XLOOKUP(PROYECTOS2[[#This Row],[MUNICIPIO]],'4.CAP_ENDMNT'!B:B,'4.CAP_ENDMNT'!D:D,0,0,1)</f>
        <v>24529039369.539501</v>
      </c>
      <c r="X7" s="140">
        <f>+_xlfn.XLOOKUP(PROYECTOS2[[#This Row],[MUNICIPIO]],'4.CAP_ENDMNT'!B:B,'4.CAP_ENDMNT'!E:E,0,0,1)</f>
        <v>8973012363.6700001</v>
      </c>
      <c r="Y7" s="140">
        <f>+_xlfn.XLOOKUP(PROYECTOS2[[#This Row],[MUNICIPIO]],'4.CAP_ENDMNT'!B:B,'4.CAP_ENDMNT'!F:F,0,0,1)</f>
        <v>15556027005.869501</v>
      </c>
      <c r="Z7" s="140">
        <f>+_xlfn.XLOOKUP(PROYECTOS2[[#This Row],[MUNICIPIO]],'4.CAP_ENDMNT'!B:B,'4.CAP_ENDMNT'!G:G,0,0,1)</f>
        <v>7973050390</v>
      </c>
      <c r="AA7" s="140">
        <f>+_xlfn.XLOOKUP(PROYECTOS2[[#This Row],[MUNICIPIO]],'4.CAP_ENDMNT'!B:B,'4.CAP_ENDMNT'!H:H,0,0,1)</f>
        <v>1625381984</v>
      </c>
      <c r="AB7" s="140">
        <f>+_xlfn.XLOOKUP(PROYECTOS2[[#This Row],[MUNICIPIO]],'4.CAP_ENDMNT'!B:B,'4.CAP_ENDMNT'!I:I,0,0,1)</f>
        <v>9598432374</v>
      </c>
      <c r="AC7" s="134">
        <f>+_xlfn.XLOOKUP(PROYECTOS2[[#This Row],[MUNICIPIO]],'4.CAP_ENDMNT'!B:B,'4.CAP_ENDMNT'!J:J,0,0,1)</f>
        <v>0.39130893914742809</v>
      </c>
      <c r="AD7" s="140">
        <f>+_xlfn.XLOOKUP(PROYECTOS2[[#This Row],[MUNICIPIO]],'4.CAP_ENDMNT'!B:B,'4.CAP_ENDMNT'!K:K,0,0,1)</f>
        <v>14930606995.539501</v>
      </c>
      <c r="AE7" s="140">
        <f>+_xlfn.XLOOKUP(PROYECTOS2[[#This Row],[MUNICIPIO]],'4.CAP_ENDMNT'!B:B,'4.CAP_ENDMNT'!L:L,0,0,1)</f>
        <v>11944485596.431602</v>
      </c>
      <c r="AF7" s="140">
        <f>+_xlfn.XLOOKUP(PROYECTOS2[[#This Row],[MUNICIPIO]],'4.CAP_ENDMNT'!B:B,'4.CAP_ENDMNT'!M:M,0,0,1)</f>
        <v>8958364197.3237</v>
      </c>
      <c r="AG7" s="134">
        <f>+_xlfn.XLOOKUP(PROYECTOS2[[#This Row],[MUNICIPIO]],'4.CAP_ENDMNT'!B:B,'4.CAP_ENDMNT'!N:N,0,0,1)</f>
        <v>0.83066172467883448</v>
      </c>
      <c r="AH7" s="134">
        <f>+_xlfn.XLOOKUP(PROYECTOS2[[#This Row],[MUNICIPIO]],'4.CAP_ENDMNT'!B:B,'4.CAP_ENDMNT'!O:O,0,0,1)</f>
        <v>0.53024343717246458</v>
      </c>
      <c r="AI7" s="134">
        <f>+_xlfn.XLOOKUP(PROYECTOS2[[#This Row],[MUNICIPIO]],'4.CAP_ENDMNT'!B:B,'4.CAP_ENDMNT'!P:P,0,0,1)</f>
        <v>0.8</v>
      </c>
      <c r="AJ7" s="44" t="str">
        <f>+_xlfn.XLOOKUP(PROYECTOS2[[#This Row],[MUNICIPIO]],'4.CAP_ENDMNT'!B:B,'4.CAP_ENDMNT'!Q:Q,0,0,1)</f>
        <v>Cumple</v>
      </c>
    </row>
    <row r="8" spans="1:36">
      <c r="A8" s="44">
        <v>8</v>
      </c>
      <c r="B8" s="37" t="s">
        <v>39</v>
      </c>
      <c r="C8" s="118">
        <f>+_xlfn.XLOOKUP(PROYECTOS2[[#This Row],[ID_NECESIDAD]],'1.RADICADOS'!G:G,'1.RADICADOS'!C:C,0,0,1)*1</f>
        <v>45308</v>
      </c>
      <c r="D8" s="46" t="s">
        <v>38</v>
      </c>
      <c r="E8" s="47" t="str">
        <f>+_xlfn.XLOOKUP(PROYECTOS2[[#This Row],[MUNICIPIO]],MUNICIPIOS!A:A,MUNICIPIOS!E:E,0,0,1)</f>
        <v>Urabá</v>
      </c>
      <c r="F8" s="44" t="e" cm="1">
        <f t="array" ref="F8">+_xlfn.XLOOKUP(PROYECTOS2[[#This Row],[MUNICIPIO]],Table1[Municipio],MUNICIPIOS!F:F,0,0,1)</f>
        <v>#VALUE!</v>
      </c>
      <c r="G8" s="44" t="str">
        <f>+LOOKUP(PROYECTOS2[[#This Row],[MUNICIPIO]],Table1[Municipio],Table1[Latitud])</f>
        <v>7,074703</v>
      </c>
      <c r="H8" s="44">
        <f>+LOOKUP(PROYECTOS2[[#This Row],[MUNICIPIO]],Table1[Municipio],Table1[PDET])</f>
        <v>1</v>
      </c>
      <c r="I8" s="44">
        <f>+LOOKUP(PROYECTOS2[[#This Row],[MUNICIPIO]],Table1[Municipio],Table1[ZOMAC])</f>
        <v>1</v>
      </c>
      <c r="J8" s="3" t="str" cm="1">
        <f t="array" ref="J8">_xlfn.TEXTJOIN(", ", TRUE, IF(radicados[ID PROYECTOS]=A8, radicados[RADICADO], ""))</f>
        <v>2024010020020</v>
      </c>
      <c r="K8" s="45"/>
      <c r="L8" s="45"/>
      <c r="M8" s="43"/>
      <c r="N8" s="48"/>
      <c r="O8" s="48"/>
      <c r="P8" s="48"/>
      <c r="Q8" s="148" t="s">
        <v>1067</v>
      </c>
      <c r="R8" s="34" t="s">
        <v>40</v>
      </c>
      <c r="S8" s="40"/>
      <c r="T8" s="40" t="s">
        <v>40</v>
      </c>
      <c r="U8" s="37"/>
      <c r="V8" s="44">
        <f>+_xlfn.XLOOKUP(PROYECTOS2[[#This Row],[MUNICIPIO]],'4.CAP_ENDMNT'!B:B,'4.CAP_ENDMNT'!C:C,0,0,1)</f>
        <v>6</v>
      </c>
      <c r="W8" s="139">
        <f>+_xlfn.XLOOKUP(PROYECTOS2[[#This Row],[MUNICIPIO]],'4.CAP_ENDMNT'!B:B,'4.CAP_ENDMNT'!D:D,0,0,1)</f>
        <v>31551501799.776001</v>
      </c>
      <c r="X8" s="140">
        <f>+_xlfn.XLOOKUP(PROYECTOS2[[#This Row],[MUNICIPIO]],'4.CAP_ENDMNT'!B:B,'4.CAP_ENDMNT'!E:E,0,0,1)</f>
        <v>12896901947.809999</v>
      </c>
      <c r="Y8" s="140">
        <f>+_xlfn.XLOOKUP(PROYECTOS2[[#This Row],[MUNICIPIO]],'4.CAP_ENDMNT'!B:B,'4.CAP_ENDMNT'!F:F,0,0,1)</f>
        <v>18654599851.966003</v>
      </c>
      <c r="Z8" s="140">
        <f>+_xlfn.XLOOKUP(PROYECTOS2[[#This Row],[MUNICIPIO]],'4.CAP_ENDMNT'!B:B,'4.CAP_ENDMNT'!G:G,0,0,1)</f>
        <v>4320802475</v>
      </c>
      <c r="AA8" s="140">
        <f>+_xlfn.XLOOKUP(PROYECTOS2[[#This Row],[MUNICIPIO]],'4.CAP_ENDMNT'!B:B,'4.CAP_ENDMNT'!H:H,0,0,1)</f>
        <v>2118562934.45</v>
      </c>
      <c r="AB8" s="140">
        <f>+_xlfn.XLOOKUP(PROYECTOS2[[#This Row],[MUNICIPIO]],'4.CAP_ENDMNT'!B:B,'4.CAP_ENDMNT'!I:I,0,0,1)</f>
        <v>6439365409.4499998</v>
      </c>
      <c r="AC8" s="134">
        <f>+_xlfn.XLOOKUP(PROYECTOS2[[#This Row],[MUNICIPIO]],'4.CAP_ENDMNT'!B:B,'4.CAP_ENDMNT'!J:J,0,0,1)</f>
        <v>0.20409061509381832</v>
      </c>
      <c r="AD8" s="140">
        <f>+_xlfn.XLOOKUP(PROYECTOS2[[#This Row],[MUNICIPIO]],'4.CAP_ENDMNT'!B:B,'4.CAP_ENDMNT'!K:K,0,0,1)</f>
        <v>25112136390.326</v>
      </c>
      <c r="AE8" s="140">
        <f>+_xlfn.XLOOKUP(PROYECTOS2[[#This Row],[MUNICIPIO]],'4.CAP_ENDMNT'!B:B,'4.CAP_ENDMNT'!L:L,0,0,1)</f>
        <v>20089709112.260799</v>
      </c>
      <c r="AF8" s="140">
        <f>+_xlfn.XLOOKUP(PROYECTOS2[[#This Row],[MUNICIPIO]],'4.CAP_ENDMNT'!B:B,'4.CAP_ENDMNT'!M:M,0,0,1)</f>
        <v>15067281834.195601</v>
      </c>
      <c r="AG8" s="134">
        <f>+_xlfn.XLOOKUP(PROYECTOS2[[#This Row],[MUNICIPIO]],'4.CAP_ENDMNT'!B:B,'4.CAP_ENDMNT'!N:N,0,0,1)</f>
        <v>0.67099818076158058</v>
      </c>
      <c r="AH8" s="134">
        <f>+_xlfn.XLOOKUP(PROYECTOS2[[#This Row],[MUNICIPIO]],'4.CAP_ENDMNT'!B:B,'4.CAP_ENDMNT'!O:O,0,0,1)</f>
        <v>0.60103296352987046</v>
      </c>
      <c r="AI8" s="134">
        <f>+_xlfn.XLOOKUP(PROYECTOS2[[#This Row],[MUNICIPIO]],'4.CAP_ENDMNT'!B:B,'4.CAP_ENDMNT'!P:P,0,0,1)</f>
        <v>0.8</v>
      </c>
      <c r="AJ8" s="44" t="str">
        <f>+_xlfn.XLOOKUP(PROYECTOS2[[#This Row],[MUNICIPIO]],'4.CAP_ENDMNT'!B:B,'4.CAP_ENDMNT'!Q:Q,0,0,1)</f>
        <v>Cumple</v>
      </c>
    </row>
    <row r="9" spans="1:36">
      <c r="A9" s="44">
        <v>9</v>
      </c>
      <c r="B9" s="37" t="s">
        <v>42</v>
      </c>
      <c r="C9" s="118">
        <f>+_xlfn.XLOOKUP(PROYECTOS2[[#This Row],[ID_NECESIDAD]],'1.RADICADOS'!G:G,'1.RADICADOS'!C:C,0,0,1)*1</f>
        <v>45414</v>
      </c>
      <c r="D9" s="46" t="s">
        <v>4</v>
      </c>
      <c r="E9" s="47" t="str">
        <f>+_xlfn.XLOOKUP(PROYECTOS2[[#This Row],[MUNICIPIO]],MUNICIPIOS!A:A,MUNICIPIOS!E:E,0,0,1)</f>
        <v>Nordeste</v>
      </c>
      <c r="F9" s="44" t="e" cm="1">
        <f t="array" ref="F9">+_xlfn.XLOOKUP(PROYECTOS2[[#This Row],[MUNICIPIO]],Table1[Municipio],MUNICIPIOS!F:F,0,0,1)</f>
        <v>#VALUE!</v>
      </c>
      <c r="G9" s="44" t="str">
        <f>+LOOKUP(PROYECTOS2[[#This Row],[MUNICIPIO]],Table1[Municipio],Table1[Latitud])</f>
        <v>6,149903</v>
      </c>
      <c r="H9" s="44">
        <f>+LOOKUP(PROYECTOS2[[#This Row],[MUNICIPIO]],Table1[Municipio],Table1[PDET])</f>
        <v>0</v>
      </c>
      <c r="I9" s="44">
        <f>+LOOKUP(PROYECTOS2[[#This Row],[MUNICIPIO]],Table1[Municipio],Table1[ZOMAC])</f>
        <v>0</v>
      </c>
      <c r="J9" s="3" t="str" cm="1">
        <f t="array" ref="J9">_xlfn.TEXTJOIN(", ", TRUE, IF(radicados[ID PROYECTOS]=A9, radicados[RADICADO], ""))</f>
        <v>2024010048752</v>
      </c>
      <c r="K9" s="45">
        <v>1</v>
      </c>
      <c r="L9" s="45"/>
      <c r="M9" s="43"/>
      <c r="N9" s="48"/>
      <c r="O9" s="48"/>
      <c r="P9" s="48"/>
      <c r="Q9" s="148" t="s">
        <v>1067</v>
      </c>
      <c r="R9" s="34" t="s">
        <v>396</v>
      </c>
      <c r="S9" s="34" t="s">
        <v>398</v>
      </c>
      <c r="T9" s="34" t="s">
        <v>25</v>
      </c>
      <c r="U9" s="37"/>
      <c r="V9" s="44">
        <f>+_xlfn.XLOOKUP(PROYECTOS2[[#This Row],[MUNICIPIO]],'4.CAP_ENDMNT'!B:B,'4.CAP_ENDMNT'!C:C,0,0,1)</f>
        <v>6</v>
      </c>
      <c r="W9" s="139">
        <f>+_xlfn.XLOOKUP(PROYECTOS2[[#This Row],[MUNICIPIO]],'4.CAP_ENDMNT'!B:B,'4.CAP_ENDMNT'!D:D,0,0,1)</f>
        <v>14438255937.0725</v>
      </c>
      <c r="X9" s="140">
        <f>+_xlfn.XLOOKUP(PROYECTOS2[[#This Row],[MUNICIPIO]],'4.CAP_ENDMNT'!B:B,'4.CAP_ENDMNT'!E:E,0,0,1)</f>
        <v>4668200945.8400002</v>
      </c>
      <c r="Y9" s="140">
        <f>+_xlfn.XLOOKUP(PROYECTOS2[[#This Row],[MUNICIPIO]],'4.CAP_ENDMNT'!B:B,'4.CAP_ENDMNT'!F:F,0,0,1)</f>
        <v>9770054991.2325001</v>
      </c>
      <c r="Z9" s="140">
        <f>+_xlfn.XLOOKUP(PROYECTOS2[[#This Row],[MUNICIPIO]],'4.CAP_ENDMNT'!B:B,'4.CAP_ENDMNT'!G:G,0,0,1)</f>
        <v>2534414723</v>
      </c>
      <c r="AA9" s="140">
        <f>+_xlfn.XLOOKUP(PROYECTOS2[[#This Row],[MUNICIPIO]],'4.CAP_ENDMNT'!B:B,'4.CAP_ENDMNT'!H:H,0,0,1)</f>
        <v>0</v>
      </c>
      <c r="AB9" s="140">
        <f>+_xlfn.XLOOKUP(PROYECTOS2[[#This Row],[MUNICIPIO]],'4.CAP_ENDMNT'!B:B,'4.CAP_ENDMNT'!I:I,0,0,1)</f>
        <v>2534414723</v>
      </c>
      <c r="AC9" s="134">
        <f>+_xlfn.XLOOKUP(PROYECTOS2[[#This Row],[MUNICIPIO]],'4.CAP_ENDMNT'!B:B,'4.CAP_ENDMNT'!J:J,0,0,1)</f>
        <v>0.17553468604836753</v>
      </c>
      <c r="AD9" s="140">
        <f>+_xlfn.XLOOKUP(PROYECTOS2[[#This Row],[MUNICIPIO]],'4.CAP_ENDMNT'!B:B,'4.CAP_ENDMNT'!K:K,0,0,1)</f>
        <v>11903841214.0725</v>
      </c>
      <c r="AE9" s="140">
        <f>+_xlfn.XLOOKUP(PROYECTOS2[[#This Row],[MUNICIPIO]],'4.CAP_ENDMNT'!B:B,'4.CAP_ENDMNT'!L:L,0,0,1)</f>
        <v>9523072971.2580013</v>
      </c>
      <c r="AF9" s="140">
        <f>+_xlfn.XLOOKUP(PROYECTOS2[[#This Row],[MUNICIPIO]],'4.CAP_ENDMNT'!B:B,'4.CAP_ENDMNT'!M:M,0,0,1)</f>
        <v>7142304728.4434996</v>
      </c>
      <c r="AG9" s="134">
        <f>+_xlfn.XLOOKUP(PROYECTOS2[[#This Row],[MUNICIPIO]],'4.CAP_ENDMNT'!B:B,'4.CAP_ENDMNT'!N:N,0,0,1)</f>
        <v>1</v>
      </c>
      <c r="AH9" s="134">
        <f>+_xlfn.XLOOKUP(PROYECTOS2[[#This Row],[MUNICIPIO]],'4.CAP_ENDMNT'!B:B,'4.CAP_ENDMNT'!O:O,0,0,1)</f>
        <v>0.5148707777903756</v>
      </c>
      <c r="AI9" s="134">
        <f>+_xlfn.XLOOKUP(PROYECTOS2[[#This Row],[MUNICIPIO]],'4.CAP_ENDMNT'!B:B,'4.CAP_ENDMNT'!P:P,0,0,1)</f>
        <v>0.8</v>
      </c>
      <c r="AJ9" s="44" t="str">
        <f>+_xlfn.XLOOKUP(PROYECTOS2[[#This Row],[MUNICIPIO]],'4.CAP_ENDMNT'!B:B,'4.CAP_ENDMNT'!Q:Q,0,0,1)</f>
        <v>Cumple</v>
      </c>
    </row>
    <row r="10" spans="1:36">
      <c r="A10" s="44">
        <v>10</v>
      </c>
      <c r="B10" s="37" t="s">
        <v>983</v>
      </c>
      <c r="C10" s="118">
        <f>+_xlfn.XLOOKUP(PROYECTOS2[[#This Row],[ID_NECESIDAD]],'1.RADICADOS'!G:G,'1.RADICADOS'!C:C,0,0,1)*1</f>
        <v>45293</v>
      </c>
      <c r="D10" s="46" t="s">
        <v>45</v>
      </c>
      <c r="E10" s="47" t="str">
        <f>+_xlfn.XLOOKUP(PROYECTOS2[[#This Row],[MUNICIPIO]],MUNICIPIOS!A:A,MUNICIPIOS!E:E,0,0,1)</f>
        <v>Bajo Cauca</v>
      </c>
      <c r="F10" s="44" t="e" cm="1">
        <f t="array" ref="F10">+_xlfn.XLOOKUP(PROYECTOS2[[#This Row],[MUNICIPIO]],Table1[Municipio],MUNICIPIOS!F:F,0,0,1)</f>
        <v>#VALUE!</v>
      </c>
      <c r="G10" s="44" t="str">
        <f>+LOOKUP(PROYECTOS2[[#This Row],[MUNICIPIO]],Table1[Municipio],Table1[Latitud])</f>
        <v>7,074703</v>
      </c>
      <c r="H10" s="44">
        <f>+LOOKUP(PROYECTOS2[[#This Row],[MUNICIPIO]],Table1[Municipio],Table1[PDET])</f>
        <v>1</v>
      </c>
      <c r="I10" s="44">
        <f>+LOOKUP(PROYECTOS2[[#This Row],[MUNICIPIO]],Table1[Municipio],Table1[ZOMAC])</f>
        <v>1</v>
      </c>
      <c r="J10" s="3" t="str" cm="1">
        <f t="array" ref="J10">_xlfn.TEXTJOIN(", ", TRUE, IF(radicados[ID PROYECTOS]=A10, radicados[RADICADO], ""))</f>
        <v>2024010043395</v>
      </c>
      <c r="K10" s="45">
        <v>2</v>
      </c>
      <c r="L10" s="45"/>
      <c r="M10" s="43"/>
      <c r="N10" s="48"/>
      <c r="O10" s="48"/>
      <c r="P10" s="48"/>
      <c r="Q10" s="148" t="s">
        <v>1067</v>
      </c>
      <c r="R10" s="34" t="s">
        <v>392</v>
      </c>
      <c r="S10" s="40"/>
      <c r="T10" s="40" t="s">
        <v>7</v>
      </c>
      <c r="U10" s="37" t="s">
        <v>982</v>
      </c>
      <c r="V10" s="44">
        <f>+_xlfn.XLOOKUP(PROYECTOS2[[#This Row],[MUNICIPIO]],'4.CAP_ENDMNT'!B:B,'4.CAP_ENDMNT'!C:C,0,0,1)</f>
        <v>5</v>
      </c>
      <c r="W10" s="139">
        <f>+_xlfn.XLOOKUP(PROYECTOS2[[#This Row],[MUNICIPIO]],'4.CAP_ENDMNT'!B:B,'4.CAP_ENDMNT'!D:D,0,0,1)</f>
        <v>55415011363.643501</v>
      </c>
      <c r="X10" s="140">
        <f>+_xlfn.XLOOKUP(PROYECTOS2[[#This Row],[MUNICIPIO]],'4.CAP_ENDMNT'!B:B,'4.CAP_ENDMNT'!E:E,0,0,1)</f>
        <v>24252117123.400002</v>
      </c>
      <c r="Y10" s="140">
        <f>+_xlfn.XLOOKUP(PROYECTOS2[[#This Row],[MUNICIPIO]],'4.CAP_ENDMNT'!B:B,'4.CAP_ENDMNT'!F:F,0,0,1)</f>
        <v>31162894240.2435</v>
      </c>
      <c r="Z10" s="140">
        <f>+_xlfn.XLOOKUP(PROYECTOS2[[#This Row],[MUNICIPIO]],'4.CAP_ENDMNT'!B:B,'4.CAP_ENDMNT'!G:G,0,0,1)</f>
        <v>8970758412</v>
      </c>
      <c r="AA10" s="140">
        <f>+_xlfn.XLOOKUP(PROYECTOS2[[#This Row],[MUNICIPIO]],'4.CAP_ENDMNT'!B:B,'4.CAP_ENDMNT'!H:H,0,0,1)</f>
        <v>3572173854.98</v>
      </c>
      <c r="AB10" s="140">
        <f>+_xlfn.XLOOKUP(PROYECTOS2[[#This Row],[MUNICIPIO]],'4.CAP_ENDMNT'!B:B,'4.CAP_ENDMNT'!I:I,0,0,1)</f>
        <v>12542932266.98</v>
      </c>
      <c r="AC10" s="134">
        <f>+_xlfn.XLOOKUP(PROYECTOS2[[#This Row],[MUNICIPIO]],'4.CAP_ENDMNT'!B:B,'4.CAP_ENDMNT'!J:J,0,0,1)</f>
        <v>0.22634538834019124</v>
      </c>
      <c r="AD10" s="140">
        <f>+_xlfn.XLOOKUP(PROYECTOS2[[#This Row],[MUNICIPIO]],'4.CAP_ENDMNT'!B:B,'4.CAP_ENDMNT'!K:K,0,0,1)</f>
        <v>42872079096.663498</v>
      </c>
      <c r="AE10" s="140">
        <f>+_xlfn.XLOOKUP(PROYECTOS2[[#This Row],[MUNICIPIO]],'4.CAP_ENDMNT'!B:B,'4.CAP_ENDMNT'!L:L,0,0,1)</f>
        <v>34297663277.330799</v>
      </c>
      <c r="AF10" s="140">
        <f>+_xlfn.XLOOKUP(PROYECTOS2[[#This Row],[MUNICIPIO]],'4.CAP_ENDMNT'!B:B,'4.CAP_ENDMNT'!M:M,0,0,1)</f>
        <v>25723247457.998096</v>
      </c>
      <c r="AG10" s="134">
        <f>+_xlfn.XLOOKUP(PROYECTOS2[[#This Row],[MUNICIPIO]],'4.CAP_ENDMNT'!B:B,'4.CAP_ENDMNT'!N:N,0,0,1)</f>
        <v>0.71520424578996133</v>
      </c>
      <c r="AH10" s="134">
        <f>+_xlfn.XLOOKUP(PROYECTOS2[[#This Row],[MUNICIPIO]],'4.CAP_ENDMNT'!B:B,'4.CAP_ENDMNT'!O:O,0,0,1)</f>
        <v>0.67052010826145281</v>
      </c>
      <c r="AI10" s="134">
        <f>+_xlfn.XLOOKUP(PROYECTOS2[[#This Row],[MUNICIPIO]],'4.CAP_ENDMNT'!B:B,'4.CAP_ENDMNT'!P:P,0,0,1)</f>
        <v>0.8</v>
      </c>
      <c r="AJ10" s="44" t="str">
        <f>+_xlfn.XLOOKUP(PROYECTOS2[[#This Row],[MUNICIPIO]],'4.CAP_ENDMNT'!B:B,'4.CAP_ENDMNT'!Q:Q,0,0,1)</f>
        <v>Cumple</v>
      </c>
    </row>
    <row r="11" spans="1:36">
      <c r="A11" s="44">
        <v>11</v>
      </c>
      <c r="B11" s="37" t="s">
        <v>49</v>
      </c>
      <c r="C11" s="118">
        <f>+_xlfn.XLOOKUP(PROYECTOS2[[#This Row],[ID_NECESIDAD]],'1.RADICADOS'!G:G,'1.RADICADOS'!C:C,0,0,1)*1</f>
        <v>45338</v>
      </c>
      <c r="D11" s="46" t="s">
        <v>48</v>
      </c>
      <c r="E11" s="47" t="str">
        <f>+_xlfn.XLOOKUP(PROYECTOS2[[#This Row],[MUNICIPIO]],MUNICIPIOS!A:A,MUNICIPIOS!E:E,0,0,1)</f>
        <v>Occidente</v>
      </c>
      <c r="F11" s="44" t="e" cm="1">
        <f t="array" ref="F11">+_xlfn.XLOOKUP(PROYECTOS2[[#This Row],[MUNICIPIO]],Table1[Municipio],MUNICIPIOS!F:F,0,0,1)</f>
        <v>#VALUE!</v>
      </c>
      <c r="G11" s="44" t="str">
        <f>+LOOKUP(PROYECTOS2[[#This Row],[MUNICIPIO]],Table1[Municipio],Table1[Latitud])</f>
        <v>7,074703</v>
      </c>
      <c r="H11" s="44">
        <f>+LOOKUP(PROYECTOS2[[#This Row],[MUNICIPIO]],Table1[Municipio],Table1[PDET])</f>
        <v>1</v>
      </c>
      <c r="I11" s="44">
        <f>+LOOKUP(PROYECTOS2[[#This Row],[MUNICIPIO]],Table1[Municipio],Table1[ZOMAC])</f>
        <v>1</v>
      </c>
      <c r="J11" s="3" t="str" cm="1">
        <f t="array" ref="J11">_xlfn.TEXTJOIN(", ", TRUE, IF(radicados[ID PROYECTOS]=A11, radicados[RADICADO], ""))</f>
        <v>2024010068835</v>
      </c>
      <c r="K11" s="45">
        <v>1</v>
      </c>
      <c r="L11" s="45"/>
      <c r="M11" s="43"/>
      <c r="N11" s="48"/>
      <c r="O11" s="48"/>
      <c r="P11" s="48"/>
      <c r="Q11" s="148" t="s">
        <v>1067</v>
      </c>
      <c r="R11" s="34" t="s">
        <v>396</v>
      </c>
      <c r="S11" s="34" t="s">
        <v>398</v>
      </c>
      <c r="T11" s="34" t="s">
        <v>78</v>
      </c>
      <c r="U11" s="37"/>
      <c r="V11" s="44">
        <f>+_xlfn.XLOOKUP(PROYECTOS2[[#This Row],[MUNICIPIO]],'4.CAP_ENDMNT'!B:B,'4.CAP_ENDMNT'!C:C,0,0,1)</f>
        <v>6</v>
      </c>
      <c r="W11" s="139">
        <f>+_xlfn.XLOOKUP(PROYECTOS2[[#This Row],[MUNICIPIO]],'4.CAP_ENDMNT'!B:B,'4.CAP_ENDMNT'!D:D,0,0,1)</f>
        <v>4667939777.7010002</v>
      </c>
      <c r="X11" s="140">
        <f>+_xlfn.XLOOKUP(PROYECTOS2[[#This Row],[MUNICIPIO]],'4.CAP_ENDMNT'!B:B,'4.CAP_ENDMNT'!E:E,0,0,1)</f>
        <v>2029602941.79</v>
      </c>
      <c r="Y11" s="140">
        <f>+_xlfn.XLOOKUP(PROYECTOS2[[#This Row],[MUNICIPIO]],'4.CAP_ENDMNT'!B:B,'4.CAP_ENDMNT'!F:F,0,0,1)</f>
        <v>2638336835.9110003</v>
      </c>
      <c r="Z11" s="140">
        <f>+_xlfn.XLOOKUP(PROYECTOS2[[#This Row],[MUNICIPIO]],'4.CAP_ENDMNT'!B:B,'4.CAP_ENDMNT'!G:G,0,0,1)</f>
        <v>355713183</v>
      </c>
      <c r="AA11" s="140">
        <f>+_xlfn.XLOOKUP(PROYECTOS2[[#This Row],[MUNICIPIO]],'4.CAP_ENDMNT'!B:B,'4.CAP_ENDMNT'!H:H,0,0,1)</f>
        <v>0</v>
      </c>
      <c r="AB11" s="140">
        <f>+_xlfn.XLOOKUP(PROYECTOS2[[#This Row],[MUNICIPIO]],'4.CAP_ENDMNT'!B:B,'4.CAP_ENDMNT'!I:I,0,0,1)</f>
        <v>355713183</v>
      </c>
      <c r="AC11" s="134">
        <f>+_xlfn.XLOOKUP(PROYECTOS2[[#This Row],[MUNICIPIO]],'4.CAP_ENDMNT'!B:B,'4.CAP_ENDMNT'!J:J,0,0,1)</f>
        <v>7.6203464470398913E-2</v>
      </c>
      <c r="AD11" s="140">
        <f>+_xlfn.XLOOKUP(PROYECTOS2[[#This Row],[MUNICIPIO]],'4.CAP_ENDMNT'!B:B,'4.CAP_ENDMNT'!K:K,0,0,1)</f>
        <v>4312226594.7010002</v>
      </c>
      <c r="AE11" s="140">
        <f>+_xlfn.XLOOKUP(PROYECTOS2[[#This Row],[MUNICIPIO]],'4.CAP_ENDMNT'!B:B,'4.CAP_ENDMNT'!L:L,0,0,1)</f>
        <v>3449781275.7608004</v>
      </c>
      <c r="AF11" s="140">
        <f>+_xlfn.XLOOKUP(PROYECTOS2[[#This Row],[MUNICIPIO]],'4.CAP_ENDMNT'!B:B,'4.CAP_ENDMNT'!M:M,0,0,1)</f>
        <v>2587335956.8206</v>
      </c>
      <c r="AG11" s="134">
        <f>+_xlfn.XLOOKUP(PROYECTOS2[[#This Row],[MUNICIPIO]],'4.CAP_ENDMNT'!B:B,'4.CAP_ENDMNT'!N:N,0,0,1)</f>
        <v>1</v>
      </c>
      <c r="AH11" s="134">
        <f>+_xlfn.XLOOKUP(PROYECTOS2[[#This Row],[MUNICIPIO]],'4.CAP_ENDMNT'!B:B,'4.CAP_ENDMNT'!O:O,0,0,1)</f>
        <v>0.65637281757364385</v>
      </c>
      <c r="AI11" s="134">
        <f>+_xlfn.XLOOKUP(PROYECTOS2[[#This Row],[MUNICIPIO]],'4.CAP_ENDMNT'!B:B,'4.CAP_ENDMNT'!P:P,0,0,1)</f>
        <v>0.8</v>
      </c>
      <c r="AJ11" s="44" t="str">
        <f>+_xlfn.XLOOKUP(PROYECTOS2[[#This Row],[MUNICIPIO]],'4.CAP_ENDMNT'!B:B,'4.CAP_ENDMNT'!Q:Q,0,0,1)</f>
        <v>Cumple</v>
      </c>
    </row>
    <row r="12" spans="1:36">
      <c r="A12" s="44">
        <v>13</v>
      </c>
      <c r="B12" s="37" t="s">
        <v>53</v>
      </c>
      <c r="C12" s="118">
        <f>+_xlfn.XLOOKUP(PROYECTOS2[[#This Row],[ID_NECESIDAD]],'1.RADICADOS'!G:G,'1.RADICADOS'!C:C,0,0,1)*1</f>
        <v>0</v>
      </c>
      <c r="D12" s="46" t="s">
        <v>52</v>
      </c>
      <c r="E12" s="47" t="str">
        <f>+_xlfn.XLOOKUP(PROYECTOS2[[#This Row],[MUNICIPIO]],MUNICIPIOS!A:A,MUNICIPIOS!E:E,0,0,1)</f>
        <v>Suroeste</v>
      </c>
      <c r="F12" s="44" t="e" cm="1">
        <f t="array" ref="F12">+_xlfn.XLOOKUP(PROYECTOS2[[#This Row],[MUNICIPIO]],Table1[Municipio],MUNICIPIOS!F:F,0,0,1)</f>
        <v>#VALUE!</v>
      </c>
      <c r="G12" s="44" t="str">
        <f>+LOOKUP(PROYECTOS2[[#This Row],[MUNICIPIO]],Table1[Municipio],Table1[Latitud])</f>
        <v>6,149903</v>
      </c>
      <c r="H12" s="44">
        <f>+LOOKUP(PROYECTOS2[[#This Row],[MUNICIPIO]],Table1[Municipio],Table1[PDET])</f>
        <v>0</v>
      </c>
      <c r="I12" s="44">
        <f>+LOOKUP(PROYECTOS2[[#This Row],[MUNICIPIO]],Table1[Municipio],Table1[ZOMAC])</f>
        <v>0</v>
      </c>
      <c r="J12" s="3" t="str" cm="1">
        <f t="array" ref="J12">_xlfn.TEXTJOIN(", ", TRUE, IF(radicados[ID PROYECTOS]=A12, radicados[RADICADO], ""))</f>
        <v/>
      </c>
      <c r="K12" s="45">
        <v>1</v>
      </c>
      <c r="L12" s="45"/>
      <c r="M12" s="43" t="s">
        <v>179</v>
      </c>
      <c r="N12" s="48"/>
      <c r="O12" s="48"/>
      <c r="P12" s="48"/>
      <c r="Q12" s="148" t="s">
        <v>1067</v>
      </c>
      <c r="R12" s="34" t="s">
        <v>288</v>
      </c>
      <c r="S12" s="40" t="s">
        <v>398</v>
      </c>
      <c r="T12" s="40" t="s">
        <v>25</v>
      </c>
      <c r="U12" s="37" t="s">
        <v>1102</v>
      </c>
      <c r="V12" s="44">
        <f>+_xlfn.XLOOKUP(PROYECTOS2[[#This Row],[MUNICIPIO]],'4.CAP_ENDMNT'!B:B,'4.CAP_ENDMNT'!C:C,0,0,1)</f>
        <v>6</v>
      </c>
      <c r="W12" s="139">
        <f>+_xlfn.XLOOKUP(PROYECTOS2[[#This Row],[MUNICIPIO]],'4.CAP_ENDMNT'!B:B,'4.CAP_ENDMNT'!D:D,0,0,1)</f>
        <v>13939577899.640499</v>
      </c>
      <c r="X12" s="140">
        <f>+_xlfn.XLOOKUP(PROYECTOS2[[#This Row],[MUNICIPIO]],'4.CAP_ENDMNT'!B:B,'4.CAP_ENDMNT'!E:E,0,0,1)</f>
        <v>5408645166.3600006</v>
      </c>
      <c r="Y12" s="140">
        <f>+_xlfn.XLOOKUP(PROYECTOS2[[#This Row],[MUNICIPIO]],'4.CAP_ENDMNT'!B:B,'4.CAP_ENDMNT'!F:F,0,0,1)</f>
        <v>8530932733.2804985</v>
      </c>
      <c r="Z12" s="140">
        <f>+_xlfn.XLOOKUP(PROYECTOS2[[#This Row],[MUNICIPIO]],'4.CAP_ENDMNT'!B:B,'4.CAP_ENDMNT'!G:G,0,0,1)</f>
        <v>2408239973</v>
      </c>
      <c r="AA12" s="140">
        <f>+_xlfn.XLOOKUP(PROYECTOS2[[#This Row],[MUNICIPIO]],'4.CAP_ENDMNT'!B:B,'4.CAP_ENDMNT'!H:H,0,0,1)</f>
        <v>812109375</v>
      </c>
      <c r="AB12" s="140">
        <f>+_xlfn.XLOOKUP(PROYECTOS2[[#This Row],[MUNICIPIO]],'4.CAP_ENDMNT'!B:B,'4.CAP_ENDMNT'!I:I,0,0,1)</f>
        <v>3220349348</v>
      </c>
      <c r="AC12" s="134">
        <f>+_xlfn.XLOOKUP(PROYECTOS2[[#This Row],[MUNICIPIO]],'4.CAP_ENDMNT'!B:B,'4.CAP_ENDMNT'!J:J,0,0,1)</f>
        <v>0.23102201309001277</v>
      </c>
      <c r="AD12" s="140">
        <f>+_xlfn.XLOOKUP(PROYECTOS2[[#This Row],[MUNICIPIO]],'4.CAP_ENDMNT'!B:B,'4.CAP_ENDMNT'!K:K,0,0,1)</f>
        <v>10719228551.640499</v>
      </c>
      <c r="AE12" s="140">
        <f>+_xlfn.XLOOKUP(PROYECTOS2[[#This Row],[MUNICIPIO]],'4.CAP_ENDMNT'!B:B,'4.CAP_ENDMNT'!L:L,0,0,1)</f>
        <v>8575382841.3123999</v>
      </c>
      <c r="AF12" s="140">
        <f>+_xlfn.XLOOKUP(PROYECTOS2[[#This Row],[MUNICIPIO]],'4.CAP_ENDMNT'!B:B,'4.CAP_ENDMNT'!M:M,0,0,1)</f>
        <v>6431537130.9842997</v>
      </c>
      <c r="AG12" s="134">
        <f>+_xlfn.XLOOKUP(PROYECTOS2[[#This Row],[MUNICIPIO]],'4.CAP_ENDMNT'!B:B,'4.CAP_ENDMNT'!N:N,0,0,1)</f>
        <v>0.74781947942872684</v>
      </c>
      <c r="AH12" s="134">
        <f>+_xlfn.XLOOKUP(PROYECTOS2[[#This Row],[MUNICIPIO]],'4.CAP_ENDMNT'!B:B,'4.CAP_ENDMNT'!O:O,0,0,1)</f>
        <v>0.48148969869574604</v>
      </c>
      <c r="AI12" s="134">
        <f>+_xlfn.XLOOKUP(PROYECTOS2[[#This Row],[MUNICIPIO]],'4.CAP_ENDMNT'!B:B,'4.CAP_ENDMNT'!P:P,0,0,1)</f>
        <v>0.8</v>
      </c>
      <c r="AJ12" s="44" t="str">
        <f>+_xlfn.XLOOKUP(PROYECTOS2[[#This Row],[MUNICIPIO]],'4.CAP_ENDMNT'!B:B,'4.CAP_ENDMNT'!Q:Q,0,0,1)</f>
        <v>Cumple</v>
      </c>
    </row>
    <row r="13" spans="1:36">
      <c r="A13" s="44">
        <v>14</v>
      </c>
      <c r="B13" s="37" t="s">
        <v>55</v>
      </c>
      <c r="C13" s="118">
        <f>+_xlfn.XLOOKUP(PROYECTOS2[[#This Row],[ID_NECESIDAD]],'1.RADICADOS'!G:G,'1.RADICADOS'!C:C,0,0,1)*1</f>
        <v>45348</v>
      </c>
      <c r="D13" s="46" t="s">
        <v>54</v>
      </c>
      <c r="E13" s="47" t="str">
        <f>+_xlfn.XLOOKUP(PROYECTOS2[[#This Row],[MUNICIPIO]],MUNICIPIOS!A:A,MUNICIPIOS!E:E,0,0,1)</f>
        <v>Suroeste</v>
      </c>
      <c r="F13" s="44" t="e" cm="1">
        <f t="array" ref="F13">+_xlfn.XLOOKUP(PROYECTOS2[[#This Row],[MUNICIPIO]],Table1[Municipio],MUNICIPIOS!F:F,0,0,1)</f>
        <v>#VALUE!</v>
      </c>
      <c r="G13" s="44" t="str">
        <f>+LOOKUP(PROYECTOS2[[#This Row],[MUNICIPIO]],Table1[Municipio],Table1[Latitud])</f>
        <v>6,149903</v>
      </c>
      <c r="H13" s="44">
        <f>+LOOKUP(PROYECTOS2[[#This Row],[MUNICIPIO]],Table1[Municipio],Table1[PDET])</f>
        <v>0</v>
      </c>
      <c r="I13" s="44">
        <f>+LOOKUP(PROYECTOS2[[#This Row],[MUNICIPIO]],Table1[Municipio],Table1[ZOMAC])</f>
        <v>0</v>
      </c>
      <c r="J13" s="3" t="str" cm="1">
        <f t="array" ref="J13">_xlfn.TEXTJOIN(", ", TRUE, IF(radicados[ID PROYECTOS]=A13, radicados[RADICADO], ""))</f>
        <v>2024010084216</v>
      </c>
      <c r="K13" s="45">
        <v>2</v>
      </c>
      <c r="L13" s="45"/>
      <c r="M13" s="43"/>
      <c r="N13" s="48">
        <v>51682398</v>
      </c>
      <c r="O13" s="48"/>
      <c r="P13" s="48"/>
      <c r="Q13" s="148" t="s">
        <v>1067</v>
      </c>
      <c r="R13" s="34" t="s">
        <v>396</v>
      </c>
      <c r="S13" s="34" t="s">
        <v>397</v>
      </c>
      <c r="T13" s="34" t="s">
        <v>56</v>
      </c>
      <c r="U13" s="37" t="s">
        <v>1103</v>
      </c>
      <c r="V13" s="44">
        <f>+_xlfn.XLOOKUP(PROYECTOS2[[#This Row],[MUNICIPIO]],'4.CAP_ENDMNT'!B:B,'4.CAP_ENDMNT'!C:C,0,0,1)</f>
        <v>6</v>
      </c>
      <c r="W13" s="139">
        <f>+_xlfn.XLOOKUP(PROYECTOS2[[#This Row],[MUNICIPIO]],'4.CAP_ENDMNT'!B:B,'4.CAP_ENDMNT'!D:D,0,0,1)</f>
        <v>9297204605.9125004</v>
      </c>
      <c r="X13" s="140">
        <f>+_xlfn.XLOOKUP(PROYECTOS2[[#This Row],[MUNICIPIO]],'4.CAP_ENDMNT'!B:B,'4.CAP_ENDMNT'!E:E,0,0,1)</f>
        <v>4650900904.1300001</v>
      </c>
      <c r="Y13" s="140">
        <f>+_xlfn.XLOOKUP(PROYECTOS2[[#This Row],[MUNICIPIO]],'4.CAP_ENDMNT'!B:B,'4.CAP_ENDMNT'!F:F,0,0,1)</f>
        <v>4646303701.7825003</v>
      </c>
      <c r="Z13" s="140">
        <f>+_xlfn.XLOOKUP(PROYECTOS2[[#This Row],[MUNICIPIO]],'4.CAP_ENDMNT'!B:B,'4.CAP_ENDMNT'!G:G,0,0,1)</f>
        <v>1308996768</v>
      </c>
      <c r="AA13" s="140">
        <f>+_xlfn.XLOOKUP(PROYECTOS2[[#This Row],[MUNICIPIO]],'4.CAP_ENDMNT'!B:B,'4.CAP_ENDMNT'!H:H,0,0,1)</f>
        <v>0</v>
      </c>
      <c r="AB13" s="140">
        <f>+_xlfn.XLOOKUP(PROYECTOS2[[#This Row],[MUNICIPIO]],'4.CAP_ENDMNT'!B:B,'4.CAP_ENDMNT'!I:I,0,0,1)</f>
        <v>1308996768</v>
      </c>
      <c r="AC13" s="134">
        <f>+_xlfn.XLOOKUP(PROYECTOS2[[#This Row],[MUNICIPIO]],'4.CAP_ENDMNT'!B:B,'4.CAP_ENDMNT'!J:J,0,0,1)</f>
        <v>0.14079466070560084</v>
      </c>
      <c r="AD13" s="140">
        <f>+_xlfn.XLOOKUP(PROYECTOS2[[#This Row],[MUNICIPIO]],'4.CAP_ENDMNT'!B:B,'4.CAP_ENDMNT'!K:K,0,0,1)</f>
        <v>7988207837.9125004</v>
      </c>
      <c r="AE13" s="140">
        <f>+_xlfn.XLOOKUP(PROYECTOS2[[#This Row],[MUNICIPIO]],'4.CAP_ENDMNT'!B:B,'4.CAP_ENDMNT'!L:L,0,0,1)</f>
        <v>6390566270.3300009</v>
      </c>
      <c r="AF13" s="140">
        <f>+_xlfn.XLOOKUP(PROYECTOS2[[#This Row],[MUNICIPIO]],'4.CAP_ENDMNT'!B:B,'4.CAP_ENDMNT'!M:M,0,0,1)</f>
        <v>4792924702.7475004</v>
      </c>
      <c r="AG13" s="134">
        <f>+_xlfn.XLOOKUP(PROYECTOS2[[#This Row],[MUNICIPIO]],'4.CAP_ENDMNT'!B:B,'4.CAP_ENDMNT'!N:N,0,0,1)</f>
        <v>1</v>
      </c>
      <c r="AH13" s="134">
        <f>+_xlfn.XLOOKUP(PROYECTOS2[[#This Row],[MUNICIPIO]],'4.CAP_ENDMNT'!B:B,'4.CAP_ENDMNT'!O:O,0,0,1)</f>
        <v>0.67267671220391811</v>
      </c>
      <c r="AI13" s="134">
        <f>+_xlfn.XLOOKUP(PROYECTOS2[[#This Row],[MUNICIPIO]],'4.CAP_ENDMNT'!B:B,'4.CAP_ENDMNT'!P:P,0,0,1)</f>
        <v>0.8</v>
      </c>
      <c r="AJ13" s="44" t="str">
        <f>+_xlfn.XLOOKUP(PROYECTOS2[[#This Row],[MUNICIPIO]],'4.CAP_ENDMNT'!B:B,'4.CAP_ENDMNT'!Q:Q,0,0,1)</f>
        <v>Cumple</v>
      </c>
    </row>
    <row r="14" spans="1:36">
      <c r="A14" s="44">
        <v>15</v>
      </c>
      <c r="B14" s="37" t="s">
        <v>58</v>
      </c>
      <c r="C14" s="118">
        <f>+_xlfn.XLOOKUP(PROYECTOS2[[#This Row],[ID_NECESIDAD]],'1.RADICADOS'!G:G,'1.RADICADOS'!C:C,0,0,1)*1</f>
        <v>45322</v>
      </c>
      <c r="D14" s="46" t="s">
        <v>57</v>
      </c>
      <c r="E14" s="47" t="str">
        <f>+_xlfn.XLOOKUP(PROYECTOS2[[#This Row],[MUNICIPIO]],MUNICIPIOS!A:A,MUNICIPIOS!E:E,0,0,1)</f>
        <v>Norte</v>
      </c>
      <c r="F14" s="44" t="e" cm="1">
        <f t="array" ref="F14">+_xlfn.XLOOKUP(PROYECTOS2[[#This Row],[MUNICIPIO]],Table1[Municipio],MUNICIPIOS!F:F,0,0,1)</f>
        <v>#VALUE!</v>
      </c>
      <c r="G14" s="44" t="str">
        <f>+LOOKUP(PROYECTOS2[[#This Row],[MUNICIPIO]],Table1[Municipio],Table1[Latitud])</f>
        <v>6,149903</v>
      </c>
      <c r="H14" s="44">
        <f>+LOOKUP(PROYECTOS2[[#This Row],[MUNICIPIO]],Table1[Municipio],Table1[PDET])</f>
        <v>0</v>
      </c>
      <c r="I14" s="44">
        <f>+LOOKUP(PROYECTOS2[[#This Row],[MUNICIPIO]],Table1[Municipio],Table1[ZOMAC])</f>
        <v>0</v>
      </c>
      <c r="J14" s="3" t="str" cm="1">
        <f t="array" ref="J14">_xlfn.TEXTJOIN(", ", TRUE, IF(radicados[ID PROYECTOS]=A14, radicados[RADICADO], ""))</f>
        <v>2024010041849</v>
      </c>
      <c r="K14" s="45">
        <v>1</v>
      </c>
      <c r="L14" s="45"/>
      <c r="M14" s="43"/>
      <c r="N14" s="48">
        <v>294694981</v>
      </c>
      <c r="O14" s="48"/>
      <c r="P14" s="48"/>
      <c r="Q14" s="148" t="s">
        <v>1067</v>
      </c>
      <c r="R14" s="34" t="s">
        <v>396</v>
      </c>
      <c r="S14" s="34" t="s">
        <v>394</v>
      </c>
      <c r="T14" s="34" t="s">
        <v>18</v>
      </c>
      <c r="U14" s="37"/>
      <c r="V14" s="44">
        <f>+_xlfn.XLOOKUP(PROYECTOS2[[#This Row],[MUNICIPIO]],'4.CAP_ENDMNT'!B:B,'4.CAP_ENDMNT'!C:C,0,0,1)</f>
        <v>6</v>
      </c>
      <c r="W14" s="139">
        <f>+_xlfn.XLOOKUP(PROYECTOS2[[#This Row],[MUNICIPIO]],'4.CAP_ENDMNT'!B:B,'4.CAP_ENDMNT'!D:D,0,0,1)</f>
        <v>5437802568.3275003</v>
      </c>
      <c r="X14" s="140">
        <f>+_xlfn.XLOOKUP(PROYECTOS2[[#This Row],[MUNICIPIO]],'4.CAP_ENDMNT'!B:B,'4.CAP_ENDMNT'!E:E,0,0,1)</f>
        <v>2195257843.8499999</v>
      </c>
      <c r="Y14" s="140">
        <f>+_xlfn.XLOOKUP(PROYECTOS2[[#This Row],[MUNICIPIO]],'4.CAP_ENDMNT'!B:B,'4.CAP_ENDMNT'!F:F,0,0,1)</f>
        <v>3242544724.4775004</v>
      </c>
      <c r="Z14" s="140">
        <f>+_xlfn.XLOOKUP(PROYECTOS2[[#This Row],[MUNICIPIO]],'4.CAP_ENDMNT'!B:B,'4.CAP_ENDMNT'!G:G,0,0,1)</f>
        <v>1389038990</v>
      </c>
      <c r="AA14" s="140">
        <f>+_xlfn.XLOOKUP(PROYECTOS2[[#This Row],[MUNICIPIO]],'4.CAP_ENDMNT'!B:B,'4.CAP_ENDMNT'!H:H,0,0,1)</f>
        <v>0</v>
      </c>
      <c r="AB14" s="140">
        <f>+_xlfn.XLOOKUP(PROYECTOS2[[#This Row],[MUNICIPIO]],'4.CAP_ENDMNT'!B:B,'4.CAP_ENDMNT'!I:I,0,0,1)</f>
        <v>1389038990</v>
      </c>
      <c r="AC14" s="134">
        <f>+_xlfn.XLOOKUP(PROYECTOS2[[#This Row],[MUNICIPIO]],'4.CAP_ENDMNT'!B:B,'4.CAP_ENDMNT'!J:J,0,0,1)</f>
        <v>0.25544123247329026</v>
      </c>
      <c r="AD14" s="140">
        <f>+_xlfn.XLOOKUP(PROYECTOS2[[#This Row],[MUNICIPIO]],'4.CAP_ENDMNT'!B:B,'4.CAP_ENDMNT'!K:K,0,0,1)</f>
        <v>4048763578.3275003</v>
      </c>
      <c r="AE14" s="140">
        <f>+_xlfn.XLOOKUP(PROYECTOS2[[#This Row],[MUNICIPIO]],'4.CAP_ENDMNT'!B:B,'4.CAP_ENDMNT'!L:L,0,0,1)</f>
        <v>3239010862.6620007</v>
      </c>
      <c r="AF14" s="140">
        <f>+_xlfn.XLOOKUP(PROYECTOS2[[#This Row],[MUNICIPIO]],'4.CAP_ENDMNT'!B:B,'4.CAP_ENDMNT'!M:M,0,0,1)</f>
        <v>2429258146.9965</v>
      </c>
      <c r="AG14" s="134">
        <f>+_xlfn.XLOOKUP(PROYECTOS2[[#This Row],[MUNICIPIO]],'4.CAP_ENDMNT'!B:B,'4.CAP_ENDMNT'!N:N,0,0,1)</f>
        <v>1</v>
      </c>
      <c r="AH14" s="134">
        <f>+_xlfn.XLOOKUP(PROYECTOS2[[#This Row],[MUNICIPIO]],'4.CAP_ENDMNT'!B:B,'4.CAP_ENDMNT'!O:O,0,0,1)</f>
        <v>0.74230580339650343</v>
      </c>
      <c r="AI14" s="134">
        <f>+_xlfn.XLOOKUP(PROYECTOS2[[#This Row],[MUNICIPIO]],'4.CAP_ENDMNT'!B:B,'4.CAP_ENDMNT'!P:P,0,0,1)</f>
        <v>0.8</v>
      </c>
      <c r="AJ14" s="44" t="str">
        <f>+_xlfn.XLOOKUP(PROYECTOS2[[#This Row],[MUNICIPIO]],'4.CAP_ENDMNT'!B:B,'4.CAP_ENDMNT'!Q:Q,0,0,1)</f>
        <v>Cumple</v>
      </c>
    </row>
    <row r="15" spans="1:36">
      <c r="A15" s="44">
        <v>16</v>
      </c>
      <c r="B15" s="37" t="s">
        <v>60</v>
      </c>
      <c r="C15" s="118">
        <f>+_xlfn.XLOOKUP(PROYECTOS2[[#This Row],[ID_NECESIDAD]],'1.RADICADOS'!G:G,'1.RADICADOS'!C:C,0,0,1)*1</f>
        <v>45475</v>
      </c>
      <c r="D15" s="46" t="s">
        <v>57</v>
      </c>
      <c r="E15" s="47" t="str">
        <f>+_xlfn.XLOOKUP(PROYECTOS2[[#This Row],[MUNICIPIO]],MUNICIPIOS!A:A,MUNICIPIOS!E:E,0,0,1)</f>
        <v>Norte</v>
      </c>
      <c r="F15" s="44" t="e" cm="1">
        <f t="array" ref="F15">+_xlfn.XLOOKUP(PROYECTOS2[[#This Row],[MUNICIPIO]],Table1[Municipio],MUNICIPIOS!F:F,0,0,1)</f>
        <v>#VALUE!</v>
      </c>
      <c r="G15" s="44" t="str">
        <f>+LOOKUP(PROYECTOS2[[#This Row],[MUNICIPIO]],Table1[Municipio],Table1[Latitud])</f>
        <v>6,149903</v>
      </c>
      <c r="H15" s="44">
        <f>+LOOKUP(PROYECTOS2[[#This Row],[MUNICIPIO]],Table1[Municipio],Table1[PDET])</f>
        <v>0</v>
      </c>
      <c r="I15" s="44">
        <f>+LOOKUP(PROYECTOS2[[#This Row],[MUNICIPIO]],Table1[Municipio],Table1[ZOMAC])</f>
        <v>0</v>
      </c>
      <c r="J15" s="3" t="str" cm="1">
        <f t="array" ref="J15">_xlfn.TEXTJOIN(", ", TRUE, IF(radicados[ID PROYECTOS]=A15, radicados[RADICADO], ""))</f>
        <v>2024010054228</v>
      </c>
      <c r="K15" s="45">
        <v>3</v>
      </c>
      <c r="L15" s="45"/>
      <c r="M15" s="43"/>
      <c r="N15" s="48">
        <v>3142000000</v>
      </c>
      <c r="O15" s="48"/>
      <c r="P15" s="48"/>
      <c r="Q15" s="148" t="s">
        <v>1067</v>
      </c>
      <c r="R15" s="34" t="s">
        <v>396</v>
      </c>
      <c r="S15" s="34" t="s">
        <v>398</v>
      </c>
      <c r="T15" s="34" t="s">
        <v>25</v>
      </c>
      <c r="U15" s="37"/>
      <c r="V15" s="44">
        <f>+_xlfn.XLOOKUP(PROYECTOS2[[#This Row],[MUNICIPIO]],'4.CAP_ENDMNT'!B:B,'4.CAP_ENDMNT'!C:C,0,0,1)</f>
        <v>6</v>
      </c>
      <c r="W15" s="139">
        <f>+_xlfn.XLOOKUP(PROYECTOS2[[#This Row],[MUNICIPIO]],'4.CAP_ENDMNT'!B:B,'4.CAP_ENDMNT'!D:D,0,0,1)</f>
        <v>5437802568.3275003</v>
      </c>
      <c r="X15" s="140">
        <f>+_xlfn.XLOOKUP(PROYECTOS2[[#This Row],[MUNICIPIO]],'4.CAP_ENDMNT'!B:B,'4.CAP_ENDMNT'!E:E,0,0,1)</f>
        <v>2195257843.8499999</v>
      </c>
      <c r="Y15" s="140">
        <f>+_xlfn.XLOOKUP(PROYECTOS2[[#This Row],[MUNICIPIO]],'4.CAP_ENDMNT'!B:B,'4.CAP_ENDMNT'!F:F,0,0,1)</f>
        <v>3242544724.4775004</v>
      </c>
      <c r="Z15" s="140">
        <f>+_xlfn.XLOOKUP(PROYECTOS2[[#This Row],[MUNICIPIO]],'4.CAP_ENDMNT'!B:B,'4.CAP_ENDMNT'!G:G,0,0,1)</f>
        <v>1389038990</v>
      </c>
      <c r="AA15" s="140">
        <f>+_xlfn.XLOOKUP(PROYECTOS2[[#This Row],[MUNICIPIO]],'4.CAP_ENDMNT'!B:B,'4.CAP_ENDMNT'!H:H,0,0,1)</f>
        <v>0</v>
      </c>
      <c r="AB15" s="140">
        <f>+_xlfn.XLOOKUP(PROYECTOS2[[#This Row],[MUNICIPIO]],'4.CAP_ENDMNT'!B:B,'4.CAP_ENDMNT'!I:I,0,0,1)</f>
        <v>1389038990</v>
      </c>
      <c r="AC15" s="134">
        <f>+_xlfn.XLOOKUP(PROYECTOS2[[#This Row],[MUNICIPIO]],'4.CAP_ENDMNT'!B:B,'4.CAP_ENDMNT'!J:J,0,0,1)</f>
        <v>0.25544123247329026</v>
      </c>
      <c r="AD15" s="140">
        <f>+_xlfn.XLOOKUP(PROYECTOS2[[#This Row],[MUNICIPIO]],'4.CAP_ENDMNT'!B:B,'4.CAP_ENDMNT'!K:K,0,0,1)</f>
        <v>4048763578.3275003</v>
      </c>
      <c r="AE15" s="140">
        <f>+_xlfn.XLOOKUP(PROYECTOS2[[#This Row],[MUNICIPIO]],'4.CAP_ENDMNT'!B:B,'4.CAP_ENDMNT'!L:L,0,0,1)</f>
        <v>3239010862.6620007</v>
      </c>
      <c r="AF15" s="140">
        <f>+_xlfn.XLOOKUP(PROYECTOS2[[#This Row],[MUNICIPIO]],'4.CAP_ENDMNT'!B:B,'4.CAP_ENDMNT'!M:M,0,0,1)</f>
        <v>2429258146.9965</v>
      </c>
      <c r="AG15" s="134">
        <f>+_xlfn.XLOOKUP(PROYECTOS2[[#This Row],[MUNICIPIO]],'4.CAP_ENDMNT'!B:B,'4.CAP_ENDMNT'!N:N,0,0,1)</f>
        <v>1</v>
      </c>
      <c r="AH15" s="134">
        <f>+_xlfn.XLOOKUP(PROYECTOS2[[#This Row],[MUNICIPIO]],'4.CAP_ENDMNT'!B:B,'4.CAP_ENDMNT'!O:O,0,0,1)</f>
        <v>0.74230580339650343</v>
      </c>
      <c r="AI15" s="134">
        <f>+_xlfn.XLOOKUP(PROYECTOS2[[#This Row],[MUNICIPIO]],'4.CAP_ENDMNT'!B:B,'4.CAP_ENDMNT'!P:P,0,0,1)</f>
        <v>0.8</v>
      </c>
      <c r="AJ15" s="44" t="str">
        <f>+_xlfn.XLOOKUP(PROYECTOS2[[#This Row],[MUNICIPIO]],'4.CAP_ENDMNT'!B:B,'4.CAP_ENDMNT'!Q:Q,0,0,1)</f>
        <v>Cumple</v>
      </c>
    </row>
    <row r="16" spans="1:36">
      <c r="A16" s="44">
        <v>17</v>
      </c>
      <c r="B16" s="37" t="s">
        <v>62</v>
      </c>
      <c r="C16" s="118">
        <f>+_xlfn.XLOOKUP(PROYECTOS2[[#This Row],[ID_NECESIDAD]],'1.RADICADOS'!G:G,'1.RADICADOS'!C:C,0,0,1)*1</f>
        <v>45306</v>
      </c>
      <c r="D16" s="46" t="s">
        <v>61</v>
      </c>
      <c r="E16" s="47" t="str">
        <f>+_xlfn.XLOOKUP(PROYECTOS2[[#This Row],[MUNICIPIO]],MUNICIPIOS!A:A,MUNICIPIOS!E:E,0,0,1)</f>
        <v>Suroeste</v>
      </c>
      <c r="F16" s="44" t="e" cm="1">
        <f t="array" ref="F16">+_xlfn.XLOOKUP(PROYECTOS2[[#This Row],[MUNICIPIO]],Table1[Municipio],MUNICIPIOS!F:F,0,0,1)</f>
        <v>#VALUE!</v>
      </c>
      <c r="G16" s="44" t="str">
        <f>+LOOKUP(PROYECTOS2[[#This Row],[MUNICIPIO]],Table1[Municipio],Table1[Latitud])</f>
        <v>6,136871</v>
      </c>
      <c r="H16" s="44">
        <f>+LOOKUP(PROYECTOS2[[#This Row],[MUNICIPIO]],Table1[Municipio],Table1[PDET])</f>
        <v>0</v>
      </c>
      <c r="I16" s="44">
        <f>+LOOKUP(PROYECTOS2[[#This Row],[MUNICIPIO]],Table1[Municipio],Table1[ZOMAC])</f>
        <v>0</v>
      </c>
      <c r="J16" s="3" t="str" cm="1">
        <f t="array" ref="J16">_xlfn.TEXTJOIN(", ", TRUE, IF(radicados[ID PROYECTOS]=A16, radicados[RADICADO], ""))</f>
        <v>2024010013378</v>
      </c>
      <c r="K16" s="45">
        <v>1</v>
      </c>
      <c r="L16" s="45"/>
      <c r="M16" s="43"/>
      <c r="N16" s="48"/>
      <c r="O16" s="48"/>
      <c r="P16" s="48"/>
      <c r="Q16" s="148" t="s">
        <v>1067</v>
      </c>
      <c r="R16" s="34" t="s">
        <v>396</v>
      </c>
      <c r="S16" s="34" t="s">
        <v>397</v>
      </c>
      <c r="T16" s="34" t="s">
        <v>56</v>
      </c>
      <c r="U16" s="37" t="s">
        <v>1094</v>
      </c>
      <c r="V16" s="44">
        <f>+_xlfn.XLOOKUP(PROYECTOS2[[#This Row],[MUNICIPIO]],'4.CAP_ENDMNT'!B:B,'4.CAP_ENDMNT'!C:C,0,0,1)</f>
        <v>6</v>
      </c>
      <c r="W16" s="139">
        <f>+_xlfn.XLOOKUP(PROYECTOS2[[#This Row],[MUNICIPIO]],'4.CAP_ENDMNT'!B:B,'4.CAP_ENDMNT'!D:D,0,0,1)</f>
        <v>17515986067.273998</v>
      </c>
      <c r="X16" s="140">
        <f>+_xlfn.XLOOKUP(PROYECTOS2[[#This Row],[MUNICIPIO]],'4.CAP_ENDMNT'!B:B,'4.CAP_ENDMNT'!E:E,0,0,1)</f>
        <v>8346764868.3600006</v>
      </c>
      <c r="Y16" s="140">
        <f>+_xlfn.XLOOKUP(PROYECTOS2[[#This Row],[MUNICIPIO]],'4.CAP_ENDMNT'!B:B,'4.CAP_ENDMNT'!F:F,0,0,1)</f>
        <v>9169221198.9139977</v>
      </c>
      <c r="Z16" s="140">
        <f>+_xlfn.XLOOKUP(PROYECTOS2[[#This Row],[MUNICIPIO]],'4.CAP_ENDMNT'!B:B,'4.CAP_ENDMNT'!G:G,0,0,1)</f>
        <v>0</v>
      </c>
      <c r="AA16" s="140">
        <f>+_xlfn.XLOOKUP(PROYECTOS2[[#This Row],[MUNICIPIO]],'4.CAP_ENDMNT'!B:B,'4.CAP_ENDMNT'!H:H,0,0,1)</f>
        <v>6328650461</v>
      </c>
      <c r="AB16" s="140">
        <f>+_xlfn.XLOOKUP(PROYECTOS2[[#This Row],[MUNICIPIO]],'4.CAP_ENDMNT'!B:B,'4.CAP_ENDMNT'!I:I,0,0,1)</f>
        <v>6328650461</v>
      </c>
      <c r="AC16" s="134">
        <f>+_xlfn.XLOOKUP(PROYECTOS2[[#This Row],[MUNICIPIO]],'4.CAP_ENDMNT'!B:B,'4.CAP_ENDMNT'!J:J,0,0,1)</f>
        <v>0.36130711891945022</v>
      </c>
      <c r="AD16" s="140">
        <f>+_xlfn.XLOOKUP(PROYECTOS2[[#This Row],[MUNICIPIO]],'4.CAP_ENDMNT'!B:B,'4.CAP_ENDMNT'!K:K,0,0,1)</f>
        <v>11187335606.273998</v>
      </c>
      <c r="AE16" s="140">
        <f>+_xlfn.XLOOKUP(PROYECTOS2[[#This Row],[MUNICIPIO]],'4.CAP_ENDMNT'!B:B,'4.CAP_ENDMNT'!L:L,0,0,1)</f>
        <v>8949868485.0191994</v>
      </c>
      <c r="AF16" s="140">
        <f>+_xlfn.XLOOKUP(PROYECTOS2[[#This Row],[MUNICIPIO]],'4.CAP_ENDMNT'!B:B,'4.CAP_ENDMNT'!M:M,0,0,1)</f>
        <v>6712401363.7643986</v>
      </c>
      <c r="AG16" s="134">
        <f>+_xlfn.XLOOKUP(PROYECTOS2[[#This Row],[MUNICIPIO]],'4.CAP_ENDMNT'!B:B,'4.CAP_ENDMNT'!N:N,0,0,1)</f>
        <v>0</v>
      </c>
      <c r="AH16" s="134">
        <f>+_xlfn.XLOOKUP(PROYECTOS2[[#This Row],[MUNICIPIO]],'4.CAP_ENDMNT'!B:B,'4.CAP_ENDMNT'!O:O,0,0,1)</f>
        <v>0.67376313277740918</v>
      </c>
      <c r="AI16" s="134">
        <f>+_xlfn.XLOOKUP(PROYECTOS2[[#This Row],[MUNICIPIO]],'4.CAP_ENDMNT'!B:B,'4.CAP_ENDMNT'!P:P,0,0,1)</f>
        <v>0.8</v>
      </c>
      <c r="AJ16" s="44" t="str">
        <f>+_xlfn.XLOOKUP(PROYECTOS2[[#This Row],[MUNICIPIO]],'4.CAP_ENDMNT'!B:B,'4.CAP_ENDMNT'!Q:Q,0,0,1)</f>
        <v>Cumple</v>
      </c>
    </row>
    <row r="17" spans="1:36">
      <c r="A17" s="44">
        <v>18</v>
      </c>
      <c r="B17" s="37" t="s">
        <v>64</v>
      </c>
      <c r="C17" s="118">
        <f>+_xlfn.XLOOKUP(PROYECTOS2[[#This Row],[ID_NECESIDAD]],'1.RADICADOS'!G:G,'1.RADICADOS'!C:C,0,0,1)*1</f>
        <v>45406</v>
      </c>
      <c r="D17" s="46" t="s">
        <v>63</v>
      </c>
      <c r="E17" s="47" t="str">
        <f>+_xlfn.XLOOKUP(PROYECTOS2[[#This Row],[MUNICIPIO]],MUNICIPIOS!A:A,MUNICIPIOS!E:E,0,0,1)</f>
        <v>Urabá</v>
      </c>
      <c r="F17" s="44" t="e" cm="1">
        <f t="array" ref="F17">+_xlfn.XLOOKUP(PROYECTOS2[[#This Row],[MUNICIPIO]],Table1[Municipio],MUNICIPIOS!F:F,0,0,1)</f>
        <v>#VALUE!</v>
      </c>
      <c r="G17" s="44" t="str">
        <f>+LOOKUP(PROYECTOS2[[#This Row],[MUNICIPIO]],Table1[Municipio],Table1[Latitud])</f>
        <v>6,149903</v>
      </c>
      <c r="H17" s="44">
        <f>+LOOKUP(PROYECTOS2[[#This Row],[MUNICIPIO]],Table1[Municipio],Table1[PDET])</f>
        <v>0</v>
      </c>
      <c r="I17" s="44">
        <f>+LOOKUP(PROYECTOS2[[#This Row],[MUNICIPIO]],Table1[Municipio],Table1[ZOMAC])</f>
        <v>0</v>
      </c>
      <c r="J17" s="3" t="str" cm="1">
        <f t="array" ref="J17">_xlfn.TEXTJOIN(", ", TRUE, IF(radicados[ID PROYECTOS]=A17, radicados[RADICADO], ""))</f>
        <v>2024010179553</v>
      </c>
      <c r="K17" s="45"/>
      <c r="L17" s="45"/>
      <c r="M17" s="43"/>
      <c r="N17" s="48"/>
      <c r="O17" s="48"/>
      <c r="P17" s="48"/>
      <c r="Q17" s="148" t="s">
        <v>1067</v>
      </c>
      <c r="R17" s="34" t="s">
        <v>401</v>
      </c>
      <c r="S17" s="34" t="s">
        <v>394</v>
      </c>
      <c r="T17" s="34" t="s">
        <v>18</v>
      </c>
      <c r="U17" s="37"/>
      <c r="V17" s="44">
        <f>+_xlfn.XLOOKUP(PROYECTOS2[[#This Row],[MUNICIPIO]],'4.CAP_ENDMNT'!B:B,'4.CAP_ENDMNT'!C:C,0,0,1)</f>
        <v>6</v>
      </c>
      <c r="W17" s="139">
        <f>+_xlfn.XLOOKUP(PROYECTOS2[[#This Row],[MUNICIPIO]],'4.CAP_ENDMNT'!B:B,'4.CAP_ENDMNT'!D:D,0,0,1)</f>
        <v>19508372714.52</v>
      </c>
      <c r="X17" s="140">
        <f>+_xlfn.XLOOKUP(PROYECTOS2[[#This Row],[MUNICIPIO]],'4.CAP_ENDMNT'!B:B,'4.CAP_ENDMNT'!E:E,0,0,1)</f>
        <v>5389834315.5</v>
      </c>
      <c r="Y17" s="140">
        <f>+_xlfn.XLOOKUP(PROYECTOS2[[#This Row],[MUNICIPIO]],'4.CAP_ENDMNT'!B:B,'4.CAP_ENDMNT'!F:F,0,0,1)</f>
        <v>14118538399.02</v>
      </c>
      <c r="Z17" s="140">
        <f>+_xlfn.XLOOKUP(PROYECTOS2[[#This Row],[MUNICIPIO]],'4.CAP_ENDMNT'!B:B,'4.CAP_ENDMNT'!G:G,0,0,1)</f>
        <v>2594281047</v>
      </c>
      <c r="AA17" s="140">
        <f>+_xlfn.XLOOKUP(PROYECTOS2[[#This Row],[MUNICIPIO]],'4.CAP_ENDMNT'!B:B,'4.CAP_ENDMNT'!H:H,0,0,1)</f>
        <v>1833333333</v>
      </c>
      <c r="AB17" s="140">
        <f>+_xlfn.XLOOKUP(PROYECTOS2[[#This Row],[MUNICIPIO]],'4.CAP_ENDMNT'!B:B,'4.CAP_ENDMNT'!I:I,0,0,1)</f>
        <v>4427614380</v>
      </c>
      <c r="AC17" s="134">
        <f>+_xlfn.XLOOKUP(PROYECTOS2[[#This Row],[MUNICIPIO]],'4.CAP_ENDMNT'!B:B,'4.CAP_ENDMNT'!J:J,0,0,1)</f>
        <v>0.22695969801235882</v>
      </c>
      <c r="AD17" s="140">
        <f>+_xlfn.XLOOKUP(PROYECTOS2[[#This Row],[MUNICIPIO]],'4.CAP_ENDMNT'!B:B,'4.CAP_ENDMNT'!K:K,0,0,1)</f>
        <v>15080758334.52</v>
      </c>
      <c r="AE17" s="140">
        <f>+_xlfn.XLOOKUP(PROYECTOS2[[#This Row],[MUNICIPIO]],'4.CAP_ENDMNT'!B:B,'4.CAP_ENDMNT'!L:L,0,0,1)</f>
        <v>12064606667.616001</v>
      </c>
      <c r="AF17" s="140">
        <f>+_xlfn.XLOOKUP(PROYECTOS2[[#This Row],[MUNICIPIO]],'4.CAP_ENDMNT'!B:B,'4.CAP_ENDMNT'!M:M,0,0,1)</f>
        <v>9048455000.7119999</v>
      </c>
      <c r="AG17" s="134">
        <f>+_xlfn.XLOOKUP(PROYECTOS2[[#This Row],[MUNICIPIO]],'4.CAP_ENDMNT'!B:B,'4.CAP_ENDMNT'!N:N,0,0,1)</f>
        <v>0.58593202215591322</v>
      </c>
      <c r="AH17" s="134">
        <f>+_xlfn.XLOOKUP(PROYECTOS2[[#This Row],[MUNICIPIO]],'4.CAP_ENDMNT'!B:B,'4.CAP_ENDMNT'!O:O,0,0,1)</f>
        <v>0.58851112900500024</v>
      </c>
      <c r="AI17" s="134">
        <f>+_xlfn.XLOOKUP(PROYECTOS2[[#This Row],[MUNICIPIO]],'4.CAP_ENDMNT'!B:B,'4.CAP_ENDMNT'!P:P,0,0,1)</f>
        <v>0.8</v>
      </c>
      <c r="AJ17" s="44" t="str">
        <f>+_xlfn.XLOOKUP(PROYECTOS2[[#This Row],[MUNICIPIO]],'4.CAP_ENDMNT'!B:B,'4.CAP_ENDMNT'!Q:Q,0,0,1)</f>
        <v>Cumple</v>
      </c>
    </row>
    <row r="18" spans="1:36">
      <c r="A18" s="44">
        <v>20</v>
      </c>
      <c r="B18" s="37" t="s">
        <v>68</v>
      </c>
      <c r="C18" s="118">
        <f>+_xlfn.XLOOKUP(PROYECTOS2[[#This Row],[ID_NECESIDAD]],'1.RADICADOS'!G:G,'1.RADICADOS'!C:C,0,0,1)*1</f>
        <v>45405</v>
      </c>
      <c r="D18" s="46" t="s">
        <v>67</v>
      </c>
      <c r="E18" s="47" t="str">
        <f>+_xlfn.XLOOKUP(PROYECTOS2[[#This Row],[MUNICIPIO]],MUNICIPIOS!A:A,MUNICIPIOS!E:E,0,0,1)</f>
        <v>Nordeste</v>
      </c>
      <c r="F18" s="44" t="e" cm="1">
        <f t="array" ref="F18">+_xlfn.XLOOKUP(PROYECTOS2[[#This Row],[MUNICIPIO]],Table1[Municipio],MUNICIPIOS!F:F,0,0,1)</f>
        <v>#VALUE!</v>
      </c>
      <c r="G18" s="44" t="str">
        <f>+LOOKUP(PROYECTOS2[[#This Row],[MUNICIPIO]],Table1[Municipio],Table1[Latitud])</f>
        <v>6,149903</v>
      </c>
      <c r="H18" s="44">
        <f>+LOOKUP(PROYECTOS2[[#This Row],[MUNICIPIO]],Table1[Municipio],Table1[PDET])</f>
        <v>0</v>
      </c>
      <c r="I18" s="44">
        <f>+LOOKUP(PROYECTOS2[[#This Row],[MUNICIPIO]],Table1[Municipio],Table1[ZOMAC])</f>
        <v>0</v>
      </c>
      <c r="J18" s="3" t="str" cm="1">
        <f t="array" ref="J18">_xlfn.TEXTJOIN(", ", TRUE, IF(radicados[ID PROYECTOS]=A18, radicados[RADICADO], ""))</f>
        <v>2024010178733</v>
      </c>
      <c r="K18" s="128">
        <v>1</v>
      </c>
      <c r="L18" s="45"/>
      <c r="M18" s="43"/>
      <c r="N18" s="48">
        <v>750000000</v>
      </c>
      <c r="O18" s="48"/>
      <c r="P18" s="48"/>
      <c r="Q18" s="148" t="s">
        <v>1067</v>
      </c>
      <c r="R18" s="34" t="s">
        <v>396</v>
      </c>
      <c r="S18" s="34" t="s">
        <v>394</v>
      </c>
      <c r="T18" s="34" t="s">
        <v>18</v>
      </c>
      <c r="U18" s="37" t="s">
        <v>948</v>
      </c>
      <c r="V18" s="44">
        <f>+_xlfn.XLOOKUP(PROYECTOS2[[#This Row],[MUNICIPIO]],'4.CAP_ENDMNT'!B:B,'4.CAP_ENDMNT'!C:C,0,0,1)</f>
        <v>6</v>
      </c>
      <c r="W18" s="139">
        <f>+_xlfn.XLOOKUP(PROYECTOS2[[#This Row],[MUNICIPIO]],'4.CAP_ENDMNT'!B:B,'4.CAP_ENDMNT'!D:D,0,0,1)</f>
        <v>18632663202.9925</v>
      </c>
      <c r="X18" s="140">
        <f>+_xlfn.XLOOKUP(PROYECTOS2[[#This Row],[MUNICIPIO]],'4.CAP_ENDMNT'!B:B,'4.CAP_ENDMNT'!E:E,0,0,1)</f>
        <v>4332293517.3299999</v>
      </c>
      <c r="Y18" s="140">
        <f>+_xlfn.XLOOKUP(PROYECTOS2[[#This Row],[MUNICIPIO]],'4.CAP_ENDMNT'!B:B,'4.CAP_ENDMNT'!F:F,0,0,1)</f>
        <v>14300369685.6625</v>
      </c>
      <c r="Z18" s="140">
        <f>+_xlfn.XLOOKUP(PROYECTOS2[[#This Row],[MUNICIPIO]],'4.CAP_ENDMNT'!B:B,'4.CAP_ENDMNT'!G:G,0,0,1)</f>
        <v>3970281006</v>
      </c>
      <c r="AA18" s="140">
        <f>+_xlfn.XLOOKUP(PROYECTOS2[[#This Row],[MUNICIPIO]],'4.CAP_ENDMNT'!B:B,'4.CAP_ENDMNT'!H:H,0,0,1)</f>
        <v>1500000000</v>
      </c>
      <c r="AB18" s="140">
        <f>+_xlfn.XLOOKUP(PROYECTOS2[[#This Row],[MUNICIPIO]],'4.CAP_ENDMNT'!B:B,'4.CAP_ENDMNT'!I:I,0,0,1)</f>
        <v>5470281006</v>
      </c>
      <c r="AC18" s="134">
        <f>+_xlfn.XLOOKUP(PROYECTOS2[[#This Row],[MUNICIPIO]],'4.CAP_ENDMNT'!B:B,'4.CAP_ENDMNT'!J:J,0,0,1)</f>
        <v>0.29358556779588252</v>
      </c>
      <c r="AD18" s="140">
        <f>+_xlfn.XLOOKUP(PROYECTOS2[[#This Row],[MUNICIPIO]],'4.CAP_ENDMNT'!B:B,'4.CAP_ENDMNT'!K:K,0,0,1)</f>
        <v>13162382196.9925</v>
      </c>
      <c r="AE18" s="140">
        <f>+_xlfn.XLOOKUP(PROYECTOS2[[#This Row],[MUNICIPIO]],'4.CAP_ENDMNT'!B:B,'4.CAP_ENDMNT'!L:L,0,0,1)</f>
        <v>10529905757.594002</v>
      </c>
      <c r="AF18" s="140">
        <f>+_xlfn.XLOOKUP(PROYECTOS2[[#This Row],[MUNICIPIO]],'4.CAP_ENDMNT'!B:B,'4.CAP_ENDMNT'!M:M,0,0,1)</f>
        <v>7897429318.1954994</v>
      </c>
      <c r="AG18" s="134">
        <f>+_xlfn.XLOOKUP(PROYECTOS2[[#This Row],[MUNICIPIO]],'4.CAP_ENDMNT'!B:B,'4.CAP_ENDMNT'!N:N,0,0,1)</f>
        <v>0.72579105198531002</v>
      </c>
      <c r="AH18" s="134">
        <f>+_xlfn.XLOOKUP(PROYECTOS2[[#This Row],[MUNICIPIO]],'4.CAP_ENDMNT'!B:B,'4.CAP_ENDMNT'!O:O,0,0,1)</f>
        <v>0.44683077557401057</v>
      </c>
      <c r="AI18" s="134">
        <f>+_xlfn.XLOOKUP(PROYECTOS2[[#This Row],[MUNICIPIO]],'4.CAP_ENDMNT'!B:B,'4.CAP_ENDMNT'!P:P,0,0,1)</f>
        <v>0.8</v>
      </c>
      <c r="AJ18" s="44" t="str">
        <f>+_xlfn.XLOOKUP(PROYECTOS2[[#This Row],[MUNICIPIO]],'4.CAP_ENDMNT'!B:B,'4.CAP_ENDMNT'!Q:Q,0,0,1)</f>
        <v>Cumple</v>
      </c>
    </row>
    <row r="19" spans="1:36">
      <c r="A19" s="44">
        <v>21</v>
      </c>
      <c r="B19" s="37" t="s">
        <v>989</v>
      </c>
      <c r="C19" s="118">
        <f>+_xlfn.XLOOKUP(PROYECTOS2[[#This Row],[ID_NECESIDAD]],'1.RADICADOS'!G:G,'1.RADICADOS'!C:C,0,0,1)*1</f>
        <v>45398</v>
      </c>
      <c r="D19" s="46" t="s">
        <v>27</v>
      </c>
      <c r="E19" s="47" t="str">
        <f>+_xlfn.XLOOKUP(PROYECTOS2[[#This Row],[MUNICIPIO]],MUNICIPIOS!A:A,MUNICIPIOS!E:E,0,0,1)</f>
        <v>Oriente</v>
      </c>
      <c r="F19" s="44" t="e" cm="1">
        <f t="array" ref="F19">+_xlfn.XLOOKUP(PROYECTOS2[[#This Row],[MUNICIPIO]],Table1[Municipio],MUNICIPIOS!F:F,0,0,1)</f>
        <v>#VALUE!</v>
      </c>
      <c r="G19" s="44" t="str">
        <f>+LOOKUP(PROYECTOS2[[#This Row],[MUNICIPIO]],Table1[Municipio],Table1[Latitud])</f>
        <v>6,246631</v>
      </c>
      <c r="H19" s="44">
        <f>+LOOKUP(PROYECTOS2[[#This Row],[MUNICIPIO]],Table1[Municipio],Table1[PDET])</f>
        <v>0</v>
      </c>
      <c r="I19" s="44">
        <f>+LOOKUP(PROYECTOS2[[#This Row],[MUNICIPIO]],Table1[Municipio],Table1[ZOMAC])</f>
        <v>0</v>
      </c>
      <c r="J19" s="3" t="str" cm="1">
        <f t="array" ref="J19">_xlfn.TEXTJOIN(", ", TRUE, IF(radicados[ID PROYECTOS]=A19, radicados[RADICADO], ""))</f>
        <v>2024020016404</v>
      </c>
      <c r="K19" s="45">
        <v>3</v>
      </c>
      <c r="L19" s="45"/>
      <c r="M19" s="43"/>
      <c r="N19" s="48">
        <v>1578945342</v>
      </c>
      <c r="O19" s="48"/>
      <c r="P19" s="48"/>
      <c r="Q19" s="148" t="s">
        <v>1067</v>
      </c>
      <c r="R19" s="34" t="s">
        <v>392</v>
      </c>
      <c r="S19" s="40"/>
      <c r="T19" s="40" t="s">
        <v>7</v>
      </c>
      <c r="U19" s="37" t="s">
        <v>988</v>
      </c>
      <c r="V19" s="44">
        <f>+_xlfn.XLOOKUP(PROYECTOS2[[#This Row],[MUNICIPIO]],'4.CAP_ENDMNT'!B:B,'4.CAP_ENDMNT'!C:C,0,0,1)</f>
        <v>1</v>
      </c>
      <c r="W19" s="139">
        <f>+_xlfn.XLOOKUP(PROYECTOS2[[#This Row],[MUNICIPIO]],'4.CAP_ENDMNT'!B:B,'4.CAP_ENDMNT'!D:D,0,0,1)</f>
        <v>501236439904.31354</v>
      </c>
      <c r="X19" s="140">
        <f>+_xlfn.XLOOKUP(PROYECTOS2[[#This Row],[MUNICIPIO]],'4.CAP_ENDMNT'!B:B,'4.CAP_ENDMNT'!E:E,0,0,1)</f>
        <v>112502020079.39</v>
      </c>
      <c r="Y19" s="140">
        <f>+_xlfn.XLOOKUP(PROYECTOS2[[#This Row],[MUNICIPIO]],'4.CAP_ENDMNT'!B:B,'4.CAP_ENDMNT'!F:F,0,0,1)</f>
        <v>388734419824.92352</v>
      </c>
      <c r="Z19" s="140">
        <f>+_xlfn.XLOOKUP(PROYECTOS2[[#This Row],[MUNICIPIO]],'4.CAP_ENDMNT'!B:B,'4.CAP_ENDMNT'!G:G,0,0,1)</f>
        <v>85394840514</v>
      </c>
      <c r="AA19" s="140">
        <f>+_xlfn.XLOOKUP(PROYECTOS2[[#This Row],[MUNICIPIO]],'4.CAP_ENDMNT'!B:B,'4.CAP_ENDMNT'!H:H,0,0,1)</f>
        <v>114109886446.23999</v>
      </c>
      <c r="AB19" s="140">
        <f>+_xlfn.XLOOKUP(PROYECTOS2[[#This Row],[MUNICIPIO]],'4.CAP_ENDMNT'!B:B,'4.CAP_ENDMNT'!I:I,0,0,1)</f>
        <v>199504726960.23999</v>
      </c>
      <c r="AC19" s="134">
        <f>+_xlfn.XLOOKUP(PROYECTOS2[[#This Row],[MUNICIPIO]],'4.CAP_ENDMNT'!B:B,'4.CAP_ENDMNT'!J:J,0,0,1)</f>
        <v>0.39802518547599136</v>
      </c>
      <c r="AD19" s="140">
        <f>+_xlfn.XLOOKUP(PROYECTOS2[[#This Row],[MUNICIPIO]],'4.CAP_ENDMNT'!B:B,'4.CAP_ENDMNT'!K:K,0,0,1)</f>
        <v>301731712944.07355</v>
      </c>
      <c r="AE19" s="140">
        <f>+_xlfn.XLOOKUP(PROYECTOS2[[#This Row],[MUNICIPIO]],'4.CAP_ENDMNT'!B:B,'4.CAP_ENDMNT'!L:L,0,0,1)</f>
        <v>241385370355.25885</v>
      </c>
      <c r="AF19" s="140">
        <f>+_xlfn.XLOOKUP(PROYECTOS2[[#This Row],[MUNICIPIO]],'4.CAP_ENDMNT'!B:B,'4.CAP_ENDMNT'!M:M,0,0,1)</f>
        <v>181039027766.44412</v>
      </c>
      <c r="AG19" s="134">
        <f>+_xlfn.XLOOKUP(PROYECTOS2[[#This Row],[MUNICIPIO]],'4.CAP_ENDMNT'!B:B,'4.CAP_ENDMNT'!N:N,0,0,1)</f>
        <v>0.42803417149619039</v>
      </c>
      <c r="AH19" s="134">
        <f>+_xlfn.XLOOKUP(PROYECTOS2[[#This Row],[MUNICIPIO]],'4.CAP_ENDMNT'!B:B,'4.CAP_ENDMNT'!O:O,0,0,1)</f>
        <v>0.23207277402530038</v>
      </c>
      <c r="AI19" s="134">
        <f>+_xlfn.XLOOKUP(PROYECTOS2[[#This Row],[MUNICIPIO]],'4.CAP_ENDMNT'!B:B,'4.CAP_ENDMNT'!P:P,0,0,1)</f>
        <v>0.65</v>
      </c>
      <c r="AJ19" s="44" t="str">
        <f>+_xlfn.XLOOKUP(PROYECTOS2[[#This Row],[MUNICIPIO]],'4.CAP_ENDMNT'!B:B,'4.CAP_ENDMNT'!Q:Q,0,0,1)</f>
        <v>Cumple</v>
      </c>
    </row>
    <row r="20" spans="1:36">
      <c r="A20" s="44">
        <v>22</v>
      </c>
      <c r="B20" s="37" t="s">
        <v>71</v>
      </c>
      <c r="C20" s="118">
        <f>+_xlfn.XLOOKUP(PROYECTOS2[[#This Row],[ID_NECESIDAD]],'1.RADICADOS'!G:G,'1.RADICADOS'!C:C,0,0,1)*1</f>
        <v>45400</v>
      </c>
      <c r="D20" s="46" t="s">
        <v>70</v>
      </c>
      <c r="E20" s="47" t="str">
        <f>+_xlfn.XLOOKUP(PROYECTOS2[[#This Row],[MUNICIPIO]],MUNICIPIOS!A:A,MUNICIPIOS!E:E,0,0,1)</f>
        <v>Oriente</v>
      </c>
      <c r="F20" s="44" t="e" cm="1">
        <f t="array" ref="F20">+_xlfn.XLOOKUP(PROYECTOS2[[#This Row],[MUNICIPIO]],Table1[Municipio],MUNICIPIOS!F:F,0,0,1)</f>
        <v>#VALUE!</v>
      </c>
      <c r="G20" s="44" t="e">
        <f>+LOOKUP(PROYECTOS2[[#This Row],[MUNICIPIO]],Table1[Municipio],Table1[Latitud])</f>
        <v>#N/A</v>
      </c>
      <c r="H20" s="44" t="e">
        <f>+LOOKUP(PROYECTOS2[[#This Row],[MUNICIPIO]],Table1[Municipio],Table1[PDET])</f>
        <v>#N/A</v>
      </c>
      <c r="I20" s="44" t="e">
        <f>+LOOKUP(PROYECTOS2[[#This Row],[MUNICIPIO]],Table1[Municipio],Table1[ZOMAC])</f>
        <v>#N/A</v>
      </c>
      <c r="J20" s="3" t="str" cm="1">
        <f t="array" ref="J20">_xlfn.TEXTJOIN(", ", TRUE, IF(radicados[ID PROYECTOS]=A20, radicados[RADICADO], ""))</f>
        <v>2024010171235</v>
      </c>
      <c r="K20" s="45">
        <v>1</v>
      </c>
      <c r="L20" s="45"/>
      <c r="M20" s="43"/>
      <c r="N20" s="48">
        <v>112000000</v>
      </c>
      <c r="O20" s="48"/>
      <c r="P20" s="48"/>
      <c r="Q20" s="148" t="s">
        <v>1067</v>
      </c>
      <c r="R20" s="34" t="s">
        <v>402</v>
      </c>
      <c r="S20" s="40"/>
      <c r="T20" s="40" t="s">
        <v>72</v>
      </c>
      <c r="U20" s="37" t="s">
        <v>964</v>
      </c>
      <c r="V20" s="44">
        <f>+_xlfn.XLOOKUP(PROYECTOS2[[#This Row],[MUNICIPIO]],'4.CAP_ENDMNT'!B:B,'4.CAP_ENDMNT'!C:C,0,0,1)</f>
        <v>6</v>
      </c>
      <c r="W20" s="139">
        <f>+_xlfn.XLOOKUP(PROYECTOS2[[#This Row],[MUNICIPIO]],'4.CAP_ENDMNT'!B:B,'4.CAP_ENDMNT'!D:D,0,0,1)</f>
        <v>8362831920.7600002</v>
      </c>
      <c r="X20" s="140">
        <f>+_xlfn.XLOOKUP(PROYECTOS2[[#This Row],[MUNICIPIO]],'4.CAP_ENDMNT'!B:B,'4.CAP_ENDMNT'!E:E,0,0,1)</f>
        <v>2199279418.0799999</v>
      </c>
      <c r="Y20" s="140">
        <f>+_xlfn.XLOOKUP(PROYECTOS2[[#This Row],[MUNICIPIO]],'4.CAP_ENDMNT'!B:B,'4.CAP_ENDMNT'!F:F,0,0,1)</f>
        <v>6163552502.6800003</v>
      </c>
      <c r="Z20" s="140">
        <f>+_xlfn.XLOOKUP(PROYECTOS2[[#This Row],[MUNICIPIO]],'4.CAP_ENDMNT'!B:B,'4.CAP_ENDMNT'!G:G,0,0,1)</f>
        <v>284104325</v>
      </c>
      <c r="AA20" s="140">
        <f>+_xlfn.XLOOKUP(PROYECTOS2[[#This Row],[MUNICIPIO]],'4.CAP_ENDMNT'!B:B,'4.CAP_ENDMNT'!H:H,0,0,1)</f>
        <v>209000000</v>
      </c>
      <c r="AB20" s="140">
        <f>+_xlfn.XLOOKUP(PROYECTOS2[[#This Row],[MUNICIPIO]],'4.CAP_ENDMNT'!B:B,'4.CAP_ENDMNT'!I:I,0,0,1)</f>
        <v>493104325</v>
      </c>
      <c r="AC20" s="134">
        <f>+_xlfn.XLOOKUP(PROYECTOS2[[#This Row],[MUNICIPIO]],'4.CAP_ENDMNT'!B:B,'4.CAP_ENDMNT'!J:J,0,0,1)</f>
        <v>5.8963797152961017E-2</v>
      </c>
      <c r="AD20" s="140">
        <f>+_xlfn.XLOOKUP(PROYECTOS2[[#This Row],[MUNICIPIO]],'4.CAP_ENDMNT'!B:B,'4.CAP_ENDMNT'!K:K,0,0,1)</f>
        <v>7869727595.7600002</v>
      </c>
      <c r="AE20" s="140">
        <f>+_xlfn.XLOOKUP(PROYECTOS2[[#This Row],[MUNICIPIO]],'4.CAP_ENDMNT'!B:B,'4.CAP_ENDMNT'!L:L,0,0,1)</f>
        <v>6295782076.6080008</v>
      </c>
      <c r="AF20" s="140">
        <f>+_xlfn.XLOOKUP(PROYECTOS2[[#This Row],[MUNICIPIO]],'4.CAP_ENDMNT'!B:B,'4.CAP_ENDMNT'!M:M,0,0,1)</f>
        <v>4721836557.4560003</v>
      </c>
      <c r="AG20" s="134">
        <f>+_xlfn.XLOOKUP(PROYECTOS2[[#This Row],[MUNICIPIO]],'4.CAP_ENDMNT'!B:B,'4.CAP_ENDMNT'!N:N,0,0,1)</f>
        <v>0.57615459973911198</v>
      </c>
      <c r="AH20" s="134">
        <f>+_xlfn.XLOOKUP(PROYECTOS2[[#This Row],[MUNICIPIO]],'4.CAP_ENDMNT'!B:B,'4.CAP_ENDMNT'!O:O,0,0,1)</f>
        <v>0.61308928502962989</v>
      </c>
      <c r="AI20" s="134">
        <f>+_xlfn.XLOOKUP(PROYECTOS2[[#This Row],[MUNICIPIO]],'4.CAP_ENDMNT'!B:B,'4.CAP_ENDMNT'!P:P,0,0,1)</f>
        <v>0.8</v>
      </c>
      <c r="AJ20" s="44" t="str">
        <f>+_xlfn.XLOOKUP(PROYECTOS2[[#This Row],[MUNICIPIO]],'4.CAP_ENDMNT'!B:B,'4.CAP_ENDMNT'!Q:Q,0,0,1)</f>
        <v>Cumple</v>
      </c>
    </row>
    <row r="21" spans="1:36">
      <c r="A21" s="44">
        <v>23</v>
      </c>
      <c r="B21" s="37" t="s">
        <v>73</v>
      </c>
      <c r="C21" s="118">
        <f>+_xlfn.XLOOKUP(PROYECTOS2[[#This Row],[ID_NECESIDAD]],'1.RADICADOS'!G:G,'1.RADICADOS'!C:C,0,0,1)*1</f>
        <v>45569</v>
      </c>
      <c r="D21" s="46" t="s">
        <v>35</v>
      </c>
      <c r="E21" s="47" t="str">
        <f>+_xlfn.XLOOKUP(PROYECTOS2[[#This Row],[MUNICIPIO]],MUNICIPIOS!A:A,MUNICIPIOS!E:E,0,0,1)</f>
        <v>Norte</v>
      </c>
      <c r="F21" s="44" t="e" cm="1">
        <f t="array" ref="F21">+_xlfn.XLOOKUP(PROYECTOS2[[#This Row],[MUNICIPIO]],Table1[Municipio],MUNICIPIOS!F:F,0,0,1)</f>
        <v>#VALUE!</v>
      </c>
      <c r="G21" s="44" t="str">
        <f>+LOOKUP(PROYECTOS2[[#This Row],[MUNICIPIO]],Table1[Municipio],Table1[Latitud])</f>
        <v>6,394348</v>
      </c>
      <c r="H21" s="44">
        <f>+LOOKUP(PROYECTOS2[[#This Row],[MUNICIPIO]],Table1[Municipio],Table1[PDET])</f>
        <v>0</v>
      </c>
      <c r="I21" s="44">
        <f>+LOOKUP(PROYECTOS2[[#This Row],[MUNICIPIO]],Table1[Municipio],Table1[ZOMAC])</f>
        <v>1</v>
      </c>
      <c r="J21" s="3" t="str" cm="1">
        <f t="array" ref="J21">_xlfn.TEXTJOIN(", ", TRUE, IF(radicados[ID PROYECTOS]=A21, radicados[RADICADO], ""))</f>
        <v>2024010153392, 2024010238427</v>
      </c>
      <c r="K21" s="45">
        <v>1</v>
      </c>
      <c r="L21" s="45"/>
      <c r="M21" s="43"/>
      <c r="N21" s="48">
        <v>764624487</v>
      </c>
      <c r="O21" s="48"/>
      <c r="P21" s="48"/>
      <c r="Q21" s="148" t="s">
        <v>1067</v>
      </c>
      <c r="R21" s="34" t="s">
        <v>392</v>
      </c>
      <c r="S21" s="40"/>
      <c r="T21" s="40" t="s">
        <v>7</v>
      </c>
      <c r="U21" s="37" t="s">
        <v>943</v>
      </c>
      <c r="V21" s="44">
        <f>+_xlfn.XLOOKUP(PROYECTOS2[[#This Row],[MUNICIPIO]],'4.CAP_ENDMNT'!B:B,'4.CAP_ENDMNT'!C:C,0,0,1)</f>
        <v>6</v>
      </c>
      <c r="W21" s="139">
        <f>+_xlfn.XLOOKUP(PROYECTOS2[[#This Row],[MUNICIPIO]],'4.CAP_ENDMNT'!B:B,'4.CAP_ENDMNT'!D:D,0,0,1)</f>
        <v>24529039369.539501</v>
      </c>
      <c r="X21" s="140">
        <f>+_xlfn.XLOOKUP(PROYECTOS2[[#This Row],[MUNICIPIO]],'4.CAP_ENDMNT'!B:B,'4.CAP_ENDMNT'!E:E,0,0,1)</f>
        <v>8973012363.6700001</v>
      </c>
      <c r="Y21" s="140">
        <f>+_xlfn.XLOOKUP(PROYECTOS2[[#This Row],[MUNICIPIO]],'4.CAP_ENDMNT'!B:B,'4.CAP_ENDMNT'!F:F,0,0,1)</f>
        <v>15556027005.869501</v>
      </c>
      <c r="Z21" s="140">
        <f>+_xlfn.XLOOKUP(PROYECTOS2[[#This Row],[MUNICIPIO]],'4.CAP_ENDMNT'!B:B,'4.CAP_ENDMNT'!G:G,0,0,1)</f>
        <v>7973050390</v>
      </c>
      <c r="AA21" s="140">
        <f>+_xlfn.XLOOKUP(PROYECTOS2[[#This Row],[MUNICIPIO]],'4.CAP_ENDMNT'!B:B,'4.CAP_ENDMNT'!H:H,0,0,1)</f>
        <v>1625381984</v>
      </c>
      <c r="AB21" s="140">
        <f>+_xlfn.XLOOKUP(PROYECTOS2[[#This Row],[MUNICIPIO]],'4.CAP_ENDMNT'!B:B,'4.CAP_ENDMNT'!I:I,0,0,1)</f>
        <v>9598432374</v>
      </c>
      <c r="AC21" s="134">
        <f>+_xlfn.XLOOKUP(PROYECTOS2[[#This Row],[MUNICIPIO]],'4.CAP_ENDMNT'!B:B,'4.CAP_ENDMNT'!J:J,0,0,1)</f>
        <v>0.39130893914742809</v>
      </c>
      <c r="AD21" s="140">
        <f>+_xlfn.XLOOKUP(PROYECTOS2[[#This Row],[MUNICIPIO]],'4.CAP_ENDMNT'!B:B,'4.CAP_ENDMNT'!K:K,0,0,1)</f>
        <v>14930606995.539501</v>
      </c>
      <c r="AE21" s="140">
        <f>+_xlfn.XLOOKUP(PROYECTOS2[[#This Row],[MUNICIPIO]],'4.CAP_ENDMNT'!B:B,'4.CAP_ENDMNT'!L:L,0,0,1)</f>
        <v>11944485596.431602</v>
      </c>
      <c r="AF21" s="140">
        <f>+_xlfn.XLOOKUP(PROYECTOS2[[#This Row],[MUNICIPIO]],'4.CAP_ENDMNT'!B:B,'4.CAP_ENDMNT'!M:M,0,0,1)</f>
        <v>8958364197.3237</v>
      </c>
      <c r="AG21" s="134">
        <f>+_xlfn.XLOOKUP(PROYECTOS2[[#This Row],[MUNICIPIO]],'4.CAP_ENDMNT'!B:B,'4.CAP_ENDMNT'!N:N,0,0,1)</f>
        <v>0.83066172467883448</v>
      </c>
      <c r="AH21" s="134">
        <f>+_xlfn.XLOOKUP(PROYECTOS2[[#This Row],[MUNICIPIO]],'4.CAP_ENDMNT'!B:B,'4.CAP_ENDMNT'!O:O,0,0,1)</f>
        <v>0.53024343717246458</v>
      </c>
      <c r="AI21" s="134">
        <f>+_xlfn.XLOOKUP(PROYECTOS2[[#This Row],[MUNICIPIO]],'4.CAP_ENDMNT'!B:B,'4.CAP_ENDMNT'!P:P,0,0,1)</f>
        <v>0.8</v>
      </c>
      <c r="AJ21" s="44" t="str">
        <f>+_xlfn.XLOOKUP(PROYECTOS2[[#This Row],[MUNICIPIO]],'4.CAP_ENDMNT'!B:B,'4.CAP_ENDMNT'!Q:Q,0,0,1)</f>
        <v>Cumple</v>
      </c>
    </row>
    <row r="22" spans="1:36">
      <c r="A22" s="44">
        <v>24</v>
      </c>
      <c r="B22" s="37" t="s">
        <v>75</v>
      </c>
      <c r="C22" s="118">
        <f>+_xlfn.XLOOKUP(PROYECTOS2[[#This Row],[ID_NECESIDAD]],'1.RADICADOS'!G:G,'1.RADICADOS'!C:C,0,0,1)*1</f>
        <v>45509</v>
      </c>
      <c r="D22" s="46" t="s">
        <v>74</v>
      </c>
      <c r="E22" s="47" t="str">
        <f>+_xlfn.XLOOKUP(PROYECTOS2[[#This Row],[MUNICIPIO]],MUNICIPIOS!A:A,MUNICIPIOS!E:E,0,0,1)</f>
        <v>Urabá</v>
      </c>
      <c r="F22" s="44" t="e" cm="1">
        <f t="array" ref="F22">+_xlfn.XLOOKUP(PROYECTOS2[[#This Row],[MUNICIPIO]],Table1[Municipio],MUNICIPIOS!F:F,0,0,1)</f>
        <v>#VALUE!</v>
      </c>
      <c r="G22" s="44" t="str">
        <f>+LOOKUP(PROYECTOS2[[#This Row],[MUNICIPIO]],Table1[Municipio],Table1[Latitud])</f>
        <v>6,149903</v>
      </c>
      <c r="H22" s="44">
        <f>+LOOKUP(PROYECTOS2[[#This Row],[MUNICIPIO]],Table1[Municipio],Table1[PDET])</f>
        <v>0</v>
      </c>
      <c r="I22" s="44">
        <f>+LOOKUP(PROYECTOS2[[#This Row],[MUNICIPIO]],Table1[Municipio],Table1[ZOMAC])</f>
        <v>0</v>
      </c>
      <c r="J22" s="3" t="str" cm="1">
        <f t="array" ref="J22">_xlfn.TEXTJOIN(", ", TRUE, IF(radicados[ID PROYECTOS]=A22, radicados[RADICADO], ""))</f>
        <v>2024010207402</v>
      </c>
      <c r="K22" s="45">
        <v>2</v>
      </c>
      <c r="L22" s="45"/>
      <c r="M22" s="43"/>
      <c r="N22" s="48"/>
      <c r="O22" s="48"/>
      <c r="P22" s="48"/>
      <c r="Q22" s="148" t="s">
        <v>1067</v>
      </c>
      <c r="R22" s="34" t="s">
        <v>403</v>
      </c>
      <c r="S22" s="40"/>
      <c r="T22" s="40" t="s">
        <v>7</v>
      </c>
      <c r="U22" s="37"/>
      <c r="V22" s="44">
        <f>+_xlfn.XLOOKUP(PROYECTOS2[[#This Row],[MUNICIPIO]],'4.CAP_ENDMNT'!B:B,'4.CAP_ENDMNT'!C:C,0,0,1)</f>
        <v>5</v>
      </c>
      <c r="W22" s="139">
        <f>+_xlfn.XLOOKUP(PROYECTOS2[[#This Row],[MUNICIPIO]],'4.CAP_ENDMNT'!B:B,'4.CAP_ENDMNT'!D:D,0,0,1)</f>
        <v>57277943756.629501</v>
      </c>
      <c r="X22" s="140">
        <f>+_xlfn.XLOOKUP(PROYECTOS2[[#This Row],[MUNICIPIO]],'4.CAP_ENDMNT'!B:B,'4.CAP_ENDMNT'!E:E,0,0,1)</f>
        <v>34159399600.959999</v>
      </c>
      <c r="Y22" s="140">
        <f>+_xlfn.XLOOKUP(PROYECTOS2[[#This Row],[MUNICIPIO]],'4.CAP_ENDMNT'!B:B,'4.CAP_ENDMNT'!F:F,0,0,1)</f>
        <v>23118544155.669502</v>
      </c>
      <c r="Z22" s="140">
        <f>+_xlfn.XLOOKUP(PROYECTOS2[[#This Row],[MUNICIPIO]],'4.CAP_ENDMNT'!B:B,'4.CAP_ENDMNT'!G:G,0,0,1)</f>
        <v>3450000000</v>
      </c>
      <c r="AA22" s="140">
        <f>+_xlfn.XLOOKUP(PROYECTOS2[[#This Row],[MUNICIPIO]],'4.CAP_ENDMNT'!B:B,'4.CAP_ENDMNT'!H:H,0,0,1)</f>
        <v>21452083665</v>
      </c>
      <c r="AB22" s="140">
        <f>+_xlfn.XLOOKUP(PROYECTOS2[[#This Row],[MUNICIPIO]],'4.CAP_ENDMNT'!B:B,'4.CAP_ENDMNT'!I:I,0,0,1)</f>
        <v>24902083665</v>
      </c>
      <c r="AC22" s="134">
        <f>+_xlfn.XLOOKUP(PROYECTOS2[[#This Row],[MUNICIPIO]],'4.CAP_ENDMNT'!B:B,'4.CAP_ENDMNT'!J:J,0,0,1)</f>
        <v>0.43475868775610099</v>
      </c>
      <c r="AD22" s="140">
        <f>+_xlfn.XLOOKUP(PROYECTOS2[[#This Row],[MUNICIPIO]],'4.CAP_ENDMNT'!B:B,'4.CAP_ENDMNT'!K:K,0,0,1)</f>
        <v>32375860091.629501</v>
      </c>
      <c r="AE22" s="140">
        <f>+_xlfn.XLOOKUP(PROYECTOS2[[#This Row],[MUNICIPIO]],'4.CAP_ENDMNT'!B:B,'4.CAP_ENDMNT'!L:L,0,0,1)</f>
        <v>25900688073.303604</v>
      </c>
      <c r="AF22" s="140">
        <f>+_xlfn.XLOOKUP(PROYECTOS2[[#This Row],[MUNICIPIO]],'4.CAP_ENDMNT'!B:B,'4.CAP_ENDMNT'!M:M,0,0,1)</f>
        <v>19425516054.977699</v>
      </c>
      <c r="AG22" s="134">
        <f>+_xlfn.XLOOKUP(PROYECTOS2[[#This Row],[MUNICIPIO]],'4.CAP_ENDMNT'!B:B,'4.CAP_ENDMNT'!N:N,0,0,1)</f>
        <v>0.13854262343712995</v>
      </c>
      <c r="AH22" s="134">
        <f>+_xlfn.XLOOKUP(PROYECTOS2[[#This Row],[MUNICIPIO]],'4.CAP_ENDMNT'!B:B,'4.CAP_ENDMNT'!O:O,0,0,1)</f>
        <v>0.87015152665365447</v>
      </c>
      <c r="AI22" s="134">
        <f>+_xlfn.XLOOKUP(PROYECTOS2[[#This Row],[MUNICIPIO]],'4.CAP_ENDMNT'!B:B,'4.CAP_ENDMNT'!P:P,0,0,1)</f>
        <v>0.8</v>
      </c>
      <c r="AJ22" s="44" t="str">
        <f>+_xlfn.XLOOKUP(PROYECTOS2[[#This Row],[MUNICIPIO]],'4.CAP_ENDMNT'!B:B,'4.CAP_ENDMNT'!Q:Q,0,0,1)</f>
        <v>Incumple</v>
      </c>
    </row>
    <row r="23" spans="1:36">
      <c r="A23" s="44">
        <v>26</v>
      </c>
      <c r="B23" s="37" t="s">
        <v>79</v>
      </c>
      <c r="C23" s="118">
        <f>+_xlfn.XLOOKUP(PROYECTOS2[[#This Row],[ID_NECESIDAD]],'1.RADICADOS'!G:G,'1.RADICADOS'!C:C,0,0,1)*1</f>
        <v>45436</v>
      </c>
      <c r="D23" s="46" t="s">
        <v>70</v>
      </c>
      <c r="E23" s="47" t="str">
        <f>+_xlfn.XLOOKUP(PROYECTOS2[[#This Row],[MUNICIPIO]],MUNICIPIOS!A:A,MUNICIPIOS!E:E,0,0,1)</f>
        <v>Oriente</v>
      </c>
      <c r="F23" s="44" t="e" cm="1">
        <f t="array" ref="F23">+_xlfn.XLOOKUP(PROYECTOS2[[#This Row],[MUNICIPIO]],Table1[Municipio],MUNICIPIOS!F:F,0,0,1)</f>
        <v>#VALUE!</v>
      </c>
      <c r="G23" s="44" t="e">
        <f>+LOOKUP(PROYECTOS2[[#This Row],[MUNICIPIO]],Table1[Municipio],Table1[Latitud])</f>
        <v>#N/A</v>
      </c>
      <c r="H23" s="44" t="e">
        <f>+LOOKUP(PROYECTOS2[[#This Row],[MUNICIPIO]],Table1[Municipio],Table1[PDET])</f>
        <v>#N/A</v>
      </c>
      <c r="I23" s="44" t="e">
        <f>+LOOKUP(PROYECTOS2[[#This Row],[MUNICIPIO]],Table1[Municipio],Table1[ZOMAC])</f>
        <v>#N/A</v>
      </c>
      <c r="J23" s="3" t="str" cm="1">
        <f t="array" ref="J23">_xlfn.TEXTJOIN(", ", TRUE, IF(radicados[ID PROYECTOS]=A23, radicados[RADICADO], ""))</f>
        <v>2024010232610</v>
      </c>
      <c r="K23" s="45">
        <v>3</v>
      </c>
      <c r="L23" s="45"/>
      <c r="M23" s="43"/>
      <c r="N23" s="48">
        <v>4805691053</v>
      </c>
      <c r="O23" s="48"/>
      <c r="P23" s="48"/>
      <c r="Q23" s="148" t="s">
        <v>1067</v>
      </c>
      <c r="R23" s="34" t="s">
        <v>396</v>
      </c>
      <c r="S23" s="34" t="s">
        <v>394</v>
      </c>
      <c r="T23" s="34" t="s">
        <v>18</v>
      </c>
      <c r="U23" s="37"/>
      <c r="V23" s="44">
        <f>+_xlfn.XLOOKUP(PROYECTOS2[[#This Row],[MUNICIPIO]],'4.CAP_ENDMNT'!B:B,'4.CAP_ENDMNT'!C:C,0,0,1)</f>
        <v>6</v>
      </c>
      <c r="W23" s="139">
        <f>+_xlfn.XLOOKUP(PROYECTOS2[[#This Row],[MUNICIPIO]],'4.CAP_ENDMNT'!B:B,'4.CAP_ENDMNT'!D:D,0,0,1)</f>
        <v>8362831920.7600002</v>
      </c>
      <c r="X23" s="140">
        <f>+_xlfn.XLOOKUP(PROYECTOS2[[#This Row],[MUNICIPIO]],'4.CAP_ENDMNT'!B:B,'4.CAP_ENDMNT'!E:E,0,0,1)</f>
        <v>2199279418.0799999</v>
      </c>
      <c r="Y23" s="140">
        <f>+_xlfn.XLOOKUP(PROYECTOS2[[#This Row],[MUNICIPIO]],'4.CAP_ENDMNT'!B:B,'4.CAP_ENDMNT'!F:F,0,0,1)</f>
        <v>6163552502.6800003</v>
      </c>
      <c r="Z23" s="140">
        <f>+_xlfn.XLOOKUP(PROYECTOS2[[#This Row],[MUNICIPIO]],'4.CAP_ENDMNT'!B:B,'4.CAP_ENDMNT'!G:G,0,0,1)</f>
        <v>284104325</v>
      </c>
      <c r="AA23" s="140">
        <f>+_xlfn.XLOOKUP(PROYECTOS2[[#This Row],[MUNICIPIO]],'4.CAP_ENDMNT'!B:B,'4.CAP_ENDMNT'!H:H,0,0,1)</f>
        <v>209000000</v>
      </c>
      <c r="AB23" s="140">
        <f>+_xlfn.XLOOKUP(PROYECTOS2[[#This Row],[MUNICIPIO]],'4.CAP_ENDMNT'!B:B,'4.CAP_ENDMNT'!I:I,0,0,1)</f>
        <v>493104325</v>
      </c>
      <c r="AC23" s="134">
        <f>+_xlfn.XLOOKUP(PROYECTOS2[[#This Row],[MUNICIPIO]],'4.CAP_ENDMNT'!B:B,'4.CAP_ENDMNT'!J:J,0,0,1)</f>
        <v>5.8963797152961017E-2</v>
      </c>
      <c r="AD23" s="140">
        <f>+_xlfn.XLOOKUP(PROYECTOS2[[#This Row],[MUNICIPIO]],'4.CAP_ENDMNT'!B:B,'4.CAP_ENDMNT'!K:K,0,0,1)</f>
        <v>7869727595.7600002</v>
      </c>
      <c r="AE23" s="140">
        <f>+_xlfn.XLOOKUP(PROYECTOS2[[#This Row],[MUNICIPIO]],'4.CAP_ENDMNT'!B:B,'4.CAP_ENDMNT'!L:L,0,0,1)</f>
        <v>6295782076.6080008</v>
      </c>
      <c r="AF23" s="140">
        <f>+_xlfn.XLOOKUP(PROYECTOS2[[#This Row],[MUNICIPIO]],'4.CAP_ENDMNT'!B:B,'4.CAP_ENDMNT'!M:M,0,0,1)</f>
        <v>4721836557.4560003</v>
      </c>
      <c r="AG23" s="134">
        <f>+_xlfn.XLOOKUP(PROYECTOS2[[#This Row],[MUNICIPIO]],'4.CAP_ENDMNT'!B:B,'4.CAP_ENDMNT'!N:N,0,0,1)</f>
        <v>0.57615459973911198</v>
      </c>
      <c r="AH23" s="134">
        <f>+_xlfn.XLOOKUP(PROYECTOS2[[#This Row],[MUNICIPIO]],'4.CAP_ENDMNT'!B:B,'4.CAP_ENDMNT'!O:O,0,0,1)</f>
        <v>0.61308928502962989</v>
      </c>
      <c r="AI23" s="134">
        <f>+_xlfn.XLOOKUP(PROYECTOS2[[#This Row],[MUNICIPIO]],'4.CAP_ENDMNT'!B:B,'4.CAP_ENDMNT'!P:P,0,0,1)</f>
        <v>0.8</v>
      </c>
      <c r="AJ23" s="44" t="str">
        <f>+_xlfn.XLOOKUP(PROYECTOS2[[#This Row],[MUNICIPIO]],'4.CAP_ENDMNT'!B:B,'4.CAP_ENDMNT'!Q:Q,0,0,1)</f>
        <v>Cumple</v>
      </c>
    </row>
    <row r="24" spans="1:36">
      <c r="A24" s="44">
        <v>27</v>
      </c>
      <c r="B24" s="37" t="s">
        <v>80</v>
      </c>
      <c r="C24" s="118">
        <f>+_xlfn.XLOOKUP(PROYECTOS2[[#This Row],[ID_NECESIDAD]],'1.RADICADOS'!G:G,'1.RADICADOS'!C:C,0,0,1)*1</f>
        <v>45436</v>
      </c>
      <c r="D24" s="46" t="s">
        <v>11</v>
      </c>
      <c r="E24" s="47" t="str">
        <f>+_xlfn.XLOOKUP(PROYECTOS2[[#This Row],[MUNICIPIO]],MUNICIPIOS!A:A,MUNICIPIOS!E:E,0,0,1)</f>
        <v>Magdalena Medio</v>
      </c>
      <c r="F24" s="44" t="e" cm="1">
        <f t="array" ref="F24">+_xlfn.XLOOKUP(PROYECTOS2[[#This Row],[MUNICIPIO]],Table1[Municipio],MUNICIPIOS!F:F,0,0,1)</f>
        <v>#VALUE!</v>
      </c>
      <c r="G24" s="44" t="str">
        <f>+LOOKUP(PROYECTOS2[[#This Row],[MUNICIPIO]],Table1[Municipio],Table1[Latitud])</f>
        <v>6,246631</v>
      </c>
      <c r="H24" s="44">
        <f>+LOOKUP(PROYECTOS2[[#This Row],[MUNICIPIO]],Table1[Municipio],Table1[PDET])</f>
        <v>0</v>
      </c>
      <c r="I24" s="44">
        <f>+LOOKUP(PROYECTOS2[[#This Row],[MUNICIPIO]],Table1[Municipio],Table1[ZOMAC])</f>
        <v>0</v>
      </c>
      <c r="J24" s="3" t="str" cm="1">
        <f t="array" ref="J24">_xlfn.TEXTJOIN(", ", TRUE, IF(radicados[ID PROYECTOS]=A24, radicados[RADICADO], ""))</f>
        <v>2024010233575</v>
      </c>
      <c r="K24" s="45">
        <v>1</v>
      </c>
      <c r="L24" s="45"/>
      <c r="M24" s="43"/>
      <c r="N24" s="48">
        <v>1500000000</v>
      </c>
      <c r="O24" s="48"/>
      <c r="P24" s="48"/>
      <c r="Q24" s="148" t="s">
        <v>1067</v>
      </c>
      <c r="R24" s="34" t="s">
        <v>403</v>
      </c>
      <c r="S24" s="40"/>
      <c r="T24" s="40" t="s">
        <v>7</v>
      </c>
      <c r="U24" s="37" t="s">
        <v>940</v>
      </c>
      <c r="V24" s="44">
        <f>+_xlfn.XLOOKUP(PROYECTOS2[[#This Row],[MUNICIPIO]],'4.CAP_ENDMNT'!B:B,'4.CAP_ENDMNT'!C:C,0,0,1)</f>
        <v>6</v>
      </c>
      <c r="W24" s="139">
        <f>+_xlfn.XLOOKUP(PROYECTOS2[[#This Row],[MUNICIPIO]],'4.CAP_ENDMNT'!B:B,'4.CAP_ENDMNT'!D:D,0,0,1)</f>
        <v>22896432570.9105</v>
      </c>
      <c r="X24" s="140">
        <f>+_xlfn.XLOOKUP(PROYECTOS2[[#This Row],[MUNICIPIO]],'4.CAP_ENDMNT'!B:B,'4.CAP_ENDMNT'!E:E,0,0,1)</f>
        <v>6514105665.9899998</v>
      </c>
      <c r="Y24" s="140">
        <f>+_xlfn.XLOOKUP(PROYECTOS2[[#This Row],[MUNICIPIO]],'4.CAP_ENDMNT'!B:B,'4.CAP_ENDMNT'!F:F,0,0,1)</f>
        <v>16382326904.9205</v>
      </c>
      <c r="Z24" s="140">
        <f>+_xlfn.XLOOKUP(PROYECTOS2[[#This Row],[MUNICIPIO]],'4.CAP_ENDMNT'!B:B,'4.CAP_ENDMNT'!G:G,0,0,1)</f>
        <v>15087488121</v>
      </c>
      <c r="AA24" s="140">
        <f>+_xlfn.XLOOKUP(PROYECTOS2[[#This Row],[MUNICIPIO]],'4.CAP_ENDMNT'!B:B,'4.CAP_ENDMNT'!H:H,0,0,1)</f>
        <v>152370595</v>
      </c>
      <c r="AB24" s="140">
        <f>+_xlfn.XLOOKUP(PROYECTOS2[[#This Row],[MUNICIPIO]],'4.CAP_ENDMNT'!B:B,'4.CAP_ENDMNT'!I:I,0,0,1)</f>
        <v>15239858716</v>
      </c>
      <c r="AC24" s="134">
        <f>+_xlfn.XLOOKUP(PROYECTOS2[[#This Row],[MUNICIPIO]],'4.CAP_ENDMNT'!B:B,'4.CAP_ENDMNT'!J:J,0,0,1)</f>
        <v>0.66559970287082904</v>
      </c>
      <c r="AD24" s="140">
        <f>+_xlfn.XLOOKUP(PROYECTOS2[[#This Row],[MUNICIPIO]],'4.CAP_ENDMNT'!B:B,'4.CAP_ENDMNT'!K:K,0,0,1)</f>
        <v>7656573854.9104996</v>
      </c>
      <c r="AE24" s="140">
        <f>+_xlfn.XLOOKUP(PROYECTOS2[[#This Row],[MUNICIPIO]],'4.CAP_ENDMNT'!B:B,'4.CAP_ENDMNT'!L:L,0,0,1)</f>
        <v>6125259083.9284</v>
      </c>
      <c r="AF24" s="140">
        <f>+_xlfn.XLOOKUP(PROYECTOS2[[#This Row],[MUNICIPIO]],'4.CAP_ENDMNT'!B:B,'4.CAP_ENDMNT'!M:M,0,0,1)</f>
        <v>4593944312.9462996</v>
      </c>
      <c r="AG24" s="134">
        <f>+_xlfn.XLOOKUP(PROYECTOS2[[#This Row],[MUNICIPIO]],'4.CAP_ENDMNT'!B:B,'4.CAP_ENDMNT'!N:N,0,0,1)</f>
        <v>0.99000183677293352</v>
      </c>
      <c r="AH24" s="134">
        <f>+_xlfn.XLOOKUP(PROYECTOS2[[#This Row],[MUNICIPIO]],'4.CAP_ENDMNT'!B:B,'4.CAP_ENDMNT'!O:O,0,0,1)</f>
        <v>0.53987925149269589</v>
      </c>
      <c r="AI24" s="134">
        <f>+_xlfn.XLOOKUP(PROYECTOS2[[#This Row],[MUNICIPIO]],'4.CAP_ENDMNT'!B:B,'4.CAP_ENDMNT'!P:P,0,0,1)</f>
        <v>0.8</v>
      </c>
      <c r="AJ24" s="44" t="str">
        <f>+_xlfn.XLOOKUP(PROYECTOS2[[#This Row],[MUNICIPIO]],'4.CAP_ENDMNT'!B:B,'4.CAP_ENDMNT'!Q:Q,0,0,1)</f>
        <v>Cumple</v>
      </c>
    </row>
    <row r="25" spans="1:36">
      <c r="A25" s="44">
        <v>28</v>
      </c>
      <c r="B25" s="37" t="s">
        <v>81</v>
      </c>
      <c r="C25" s="118">
        <f>+_xlfn.XLOOKUP(PROYECTOS2[[#This Row],[ID_NECESIDAD]],'1.RADICADOS'!G:G,'1.RADICADOS'!C:C,0,0,1)*1</f>
        <v>45448</v>
      </c>
      <c r="D25" s="46" t="s">
        <v>15</v>
      </c>
      <c r="E25" s="47" t="str">
        <f>+_xlfn.XLOOKUP(PROYECTOS2[[#This Row],[MUNICIPIO]],MUNICIPIOS!A:A,MUNICIPIOS!E:E,0,0,1)</f>
        <v>Valle de Aburrá</v>
      </c>
      <c r="F25" s="44" t="e" cm="1">
        <f t="array" ref="F25">+_xlfn.XLOOKUP(PROYECTOS2[[#This Row],[MUNICIPIO]],Table1[Municipio],MUNICIPIOS!F:F,0,0,1)</f>
        <v>#VALUE!</v>
      </c>
      <c r="G25" s="44" t="str">
        <f>+LOOKUP(PROYECTOS2[[#This Row],[MUNICIPIO]],Table1[Municipio],Table1[Latitud])</f>
        <v>7,074703</v>
      </c>
      <c r="H25" s="44">
        <f>+LOOKUP(PROYECTOS2[[#This Row],[MUNICIPIO]],Table1[Municipio],Table1[PDET])</f>
        <v>1</v>
      </c>
      <c r="I25" s="44">
        <f>+LOOKUP(PROYECTOS2[[#This Row],[MUNICIPIO]],Table1[Municipio],Table1[ZOMAC])</f>
        <v>1</v>
      </c>
      <c r="J25" s="3" t="str" cm="1">
        <f t="array" ref="J25">_xlfn.TEXTJOIN(", ", TRUE, IF(radicados[ID PROYECTOS]=A25, radicados[RADICADO], ""))</f>
        <v>2024010201559</v>
      </c>
      <c r="K25" s="142">
        <v>2</v>
      </c>
      <c r="L25" s="45"/>
      <c r="M25" s="43"/>
      <c r="N25" s="48"/>
      <c r="O25" s="48"/>
      <c r="P25" s="48"/>
      <c r="Q25" s="148" t="s">
        <v>1067</v>
      </c>
      <c r="R25" s="34" t="s">
        <v>396</v>
      </c>
      <c r="S25" s="34" t="s">
        <v>397</v>
      </c>
      <c r="T25" s="34" t="s">
        <v>56</v>
      </c>
      <c r="U25" s="37" t="s">
        <v>1112</v>
      </c>
      <c r="V25" s="44">
        <f>+_xlfn.XLOOKUP(PROYECTOS2[[#This Row],[MUNICIPIO]],'4.CAP_ENDMNT'!B:B,'4.CAP_ENDMNT'!C:C,0,0,1)</f>
        <v>4</v>
      </c>
      <c r="W25" s="139">
        <f>+_xlfn.XLOOKUP(PROYECTOS2[[#This Row],[MUNICIPIO]],'4.CAP_ENDMNT'!B:B,'4.CAP_ENDMNT'!D:D,0,0,1)</f>
        <v>56592203197.536499</v>
      </c>
      <c r="X25" s="140">
        <f>+_xlfn.XLOOKUP(PROYECTOS2[[#This Row],[MUNICIPIO]],'4.CAP_ENDMNT'!B:B,'4.CAP_ENDMNT'!E:E,0,0,1)</f>
        <v>24375972647.860001</v>
      </c>
      <c r="Y25" s="140">
        <f>+_xlfn.XLOOKUP(PROYECTOS2[[#This Row],[MUNICIPIO]],'4.CAP_ENDMNT'!B:B,'4.CAP_ENDMNT'!F:F,0,0,1)</f>
        <v>32216230549.676498</v>
      </c>
      <c r="Z25" s="140">
        <f>+_xlfn.XLOOKUP(PROYECTOS2[[#This Row],[MUNICIPIO]],'4.CAP_ENDMNT'!B:B,'4.CAP_ENDMNT'!G:G,0,0,1)</f>
        <v>0</v>
      </c>
      <c r="AA25" s="140">
        <f>+_xlfn.XLOOKUP(PROYECTOS2[[#This Row],[MUNICIPIO]],'4.CAP_ENDMNT'!B:B,'4.CAP_ENDMNT'!H:H,0,0,1)</f>
        <v>15044963334.42</v>
      </c>
      <c r="AB25" s="140">
        <f>+_xlfn.XLOOKUP(PROYECTOS2[[#This Row],[MUNICIPIO]],'4.CAP_ENDMNT'!B:B,'4.CAP_ENDMNT'!I:I,0,0,1)</f>
        <v>15044963334.42</v>
      </c>
      <c r="AC25" s="134">
        <f>+_xlfn.XLOOKUP(PROYECTOS2[[#This Row],[MUNICIPIO]],'4.CAP_ENDMNT'!B:B,'4.CAP_ENDMNT'!J:J,0,0,1)</f>
        <v>0.26584869442006315</v>
      </c>
      <c r="AD25" s="140">
        <f>+_xlfn.XLOOKUP(PROYECTOS2[[#This Row],[MUNICIPIO]],'4.CAP_ENDMNT'!B:B,'4.CAP_ENDMNT'!K:K,0,0,1)</f>
        <v>41547239863.116501</v>
      </c>
      <c r="AE25" s="140">
        <f>+_xlfn.XLOOKUP(PROYECTOS2[[#This Row],[MUNICIPIO]],'4.CAP_ENDMNT'!B:B,'4.CAP_ENDMNT'!L:L,0,0,1)</f>
        <v>33237791890.493202</v>
      </c>
      <c r="AF25" s="140">
        <f>+_xlfn.XLOOKUP(PROYECTOS2[[#This Row],[MUNICIPIO]],'4.CAP_ENDMNT'!B:B,'4.CAP_ENDMNT'!M:M,0,0,1)</f>
        <v>24928343917.8699</v>
      </c>
      <c r="AG25" s="134">
        <f>+_xlfn.XLOOKUP(PROYECTOS2[[#This Row],[MUNICIPIO]],'4.CAP_ENDMNT'!B:B,'4.CAP_ENDMNT'!N:N,0,0,1)</f>
        <v>0</v>
      </c>
      <c r="AH25" s="134">
        <f>+_xlfn.XLOOKUP(PROYECTOS2[[#This Row],[MUNICIPIO]],'4.CAP_ENDMNT'!B:B,'4.CAP_ENDMNT'!O:O,0,0,1)</f>
        <v>0.60385208261970102</v>
      </c>
      <c r="AI25" s="134">
        <f>+_xlfn.XLOOKUP(PROYECTOS2[[#This Row],[MUNICIPIO]],'4.CAP_ENDMNT'!B:B,'4.CAP_ENDMNT'!P:P,0,0,1)</f>
        <v>0.8</v>
      </c>
      <c r="AJ25" s="44" t="str">
        <f>+_xlfn.XLOOKUP(PROYECTOS2[[#This Row],[MUNICIPIO]],'4.CAP_ENDMNT'!B:B,'4.CAP_ENDMNT'!Q:Q,0,0,1)</f>
        <v>Cumple</v>
      </c>
    </row>
    <row r="26" spans="1:36">
      <c r="A26" s="44">
        <v>29</v>
      </c>
      <c r="B26" s="37" t="s">
        <v>83</v>
      </c>
      <c r="C26" s="118">
        <f>+_xlfn.XLOOKUP(PROYECTOS2[[#This Row],[ID_NECESIDAD]],'1.RADICADOS'!G:G,'1.RADICADOS'!C:C,0,0,1)*1</f>
        <v>45540</v>
      </c>
      <c r="D26" s="46" t="s">
        <v>324</v>
      </c>
      <c r="E26" s="47" t="str">
        <f>+_xlfn.XLOOKUP(PROYECTOS2[[#This Row],[MUNICIPIO]],MUNICIPIOS!A:A,MUNICIPIOS!E:E,0,0,1)</f>
        <v>Norte</v>
      </c>
      <c r="F26" s="44" t="e" cm="1">
        <f t="array" ref="F26">+_xlfn.XLOOKUP(PROYECTOS2[[#This Row],[MUNICIPIO]],Table1[Municipio],MUNICIPIOS!F:F,0,0,1)</f>
        <v>#VALUE!</v>
      </c>
      <c r="G26" s="44" t="str">
        <f>+LOOKUP(PROYECTOS2[[#This Row],[MUNICIPIO]],Table1[Municipio],Table1[Latitud])</f>
        <v>6,149903</v>
      </c>
      <c r="H26" s="44">
        <f>+LOOKUP(PROYECTOS2[[#This Row],[MUNICIPIO]],Table1[Municipio],Table1[PDET])</f>
        <v>0</v>
      </c>
      <c r="I26" s="44">
        <f>+LOOKUP(PROYECTOS2[[#This Row],[MUNICIPIO]],Table1[Municipio],Table1[ZOMAC])</f>
        <v>0</v>
      </c>
      <c r="J26" s="3" t="str" cm="1">
        <f t="array" ref="J26">_xlfn.TEXTJOIN(", ", TRUE, IF(radicados[ID PROYECTOS]=A26, radicados[RADICADO], ""))</f>
        <v>2024010209802</v>
      </c>
      <c r="K26" s="45">
        <v>1</v>
      </c>
      <c r="L26" s="45"/>
      <c r="M26" s="43"/>
      <c r="N26" s="48"/>
      <c r="O26" s="48"/>
      <c r="P26" s="48"/>
      <c r="Q26" s="148" t="s">
        <v>1067</v>
      </c>
      <c r="R26" s="34" t="s">
        <v>396</v>
      </c>
      <c r="S26" s="34" t="s">
        <v>397</v>
      </c>
      <c r="T26" s="34" t="s">
        <v>56</v>
      </c>
      <c r="U26" s="37"/>
      <c r="V26" s="44">
        <f>+_xlfn.XLOOKUP(PROYECTOS2[[#This Row],[MUNICIPIO]],'4.CAP_ENDMNT'!B:B,'4.CAP_ENDMNT'!C:C,0,0,1)</f>
        <v>5</v>
      </c>
      <c r="W26" s="139">
        <f>+_xlfn.XLOOKUP(PROYECTOS2[[#This Row],[MUNICIPIO]],'4.CAP_ENDMNT'!B:B,'4.CAP_ENDMNT'!D:D,0,0,1)</f>
        <v>37911059539.454002</v>
      </c>
      <c r="X26" s="140">
        <f>+_xlfn.XLOOKUP(PROYECTOS2[[#This Row],[MUNICIPIO]],'4.CAP_ENDMNT'!B:B,'4.CAP_ENDMNT'!E:E,0,0,1)</f>
        <v>12962308085.960001</v>
      </c>
      <c r="Y26" s="140">
        <f>+_xlfn.XLOOKUP(PROYECTOS2[[#This Row],[MUNICIPIO]],'4.CAP_ENDMNT'!B:B,'4.CAP_ENDMNT'!F:F,0,0,1)</f>
        <v>24948751453.494003</v>
      </c>
      <c r="Z26" s="140">
        <f>+_xlfn.XLOOKUP(PROYECTOS2[[#This Row],[MUNICIPIO]],'4.CAP_ENDMNT'!B:B,'4.CAP_ENDMNT'!G:G,0,0,1)</f>
        <v>8258858552.8800001</v>
      </c>
      <c r="AA26" s="140">
        <f>+_xlfn.XLOOKUP(PROYECTOS2[[#This Row],[MUNICIPIO]],'4.CAP_ENDMNT'!B:B,'4.CAP_ENDMNT'!H:H,0,0,1)</f>
        <v>2659839682.1199999</v>
      </c>
      <c r="AB26" s="140">
        <f>+_xlfn.XLOOKUP(PROYECTOS2[[#This Row],[MUNICIPIO]],'4.CAP_ENDMNT'!B:B,'4.CAP_ENDMNT'!I:I,0,0,1)</f>
        <v>10918698235</v>
      </c>
      <c r="AC26" s="134">
        <f>+_xlfn.XLOOKUP(PROYECTOS2[[#This Row],[MUNICIPIO]],'4.CAP_ENDMNT'!B:B,'4.CAP_ENDMNT'!J:J,0,0,1)</f>
        <v>0.28800825847763295</v>
      </c>
      <c r="AD26" s="140">
        <f>+_xlfn.XLOOKUP(PROYECTOS2[[#This Row],[MUNICIPIO]],'4.CAP_ENDMNT'!B:B,'4.CAP_ENDMNT'!K:K,0,0,1)</f>
        <v>26992361304.454002</v>
      </c>
      <c r="AE26" s="140">
        <f>+_xlfn.XLOOKUP(PROYECTOS2[[#This Row],[MUNICIPIO]],'4.CAP_ENDMNT'!B:B,'4.CAP_ENDMNT'!L:L,0,0,1)</f>
        <v>21593889043.563202</v>
      </c>
      <c r="AF26" s="140">
        <f>+_xlfn.XLOOKUP(PROYECTOS2[[#This Row],[MUNICIPIO]],'4.CAP_ENDMNT'!B:B,'4.CAP_ENDMNT'!M:M,0,0,1)</f>
        <v>16195416782.672401</v>
      </c>
      <c r="AG26" s="134">
        <f>+_xlfn.XLOOKUP(PROYECTOS2[[#This Row],[MUNICIPIO]],'4.CAP_ENDMNT'!B:B,'4.CAP_ENDMNT'!N:N,0,0,1)</f>
        <v>0.75639589767268622</v>
      </c>
      <c r="AH26" s="134">
        <f>+_xlfn.XLOOKUP(PROYECTOS2[[#This Row],[MUNICIPIO]],'4.CAP_ENDMNT'!B:B,'4.CAP_ENDMNT'!O:O,0,0,1)</f>
        <v>0.52584208336367533</v>
      </c>
      <c r="AI26" s="134">
        <f>+_xlfn.XLOOKUP(PROYECTOS2[[#This Row],[MUNICIPIO]],'4.CAP_ENDMNT'!B:B,'4.CAP_ENDMNT'!P:P,0,0,1)</f>
        <v>0.8</v>
      </c>
      <c r="AJ26" s="44" t="str">
        <f>+_xlfn.XLOOKUP(PROYECTOS2[[#This Row],[MUNICIPIO]],'4.CAP_ENDMNT'!B:B,'4.CAP_ENDMNT'!Q:Q,0,0,1)</f>
        <v>Cumple</v>
      </c>
    </row>
    <row r="27" spans="1:36">
      <c r="A27" s="44">
        <v>30</v>
      </c>
      <c r="B27" s="37" t="s">
        <v>85</v>
      </c>
      <c r="C27" s="118">
        <f>+_xlfn.XLOOKUP(PROYECTOS2[[#This Row],[ID_NECESIDAD]],'1.RADICADOS'!G:G,'1.RADICADOS'!C:C,0,0,1)*1</f>
        <v>45432</v>
      </c>
      <c r="D27" s="46" t="s">
        <v>84</v>
      </c>
      <c r="E27" s="47" t="str">
        <f>+_xlfn.XLOOKUP(PROYECTOS2[[#This Row],[MUNICIPIO]],MUNICIPIOS!A:A,MUNICIPIOS!E:E,0,0,1)</f>
        <v>Oriente</v>
      </c>
      <c r="F27" s="44" t="e" cm="1">
        <f t="array" ref="F27">+_xlfn.XLOOKUP(PROYECTOS2[[#This Row],[MUNICIPIO]],Table1[Municipio],MUNICIPIOS!F:F,0,0,1)</f>
        <v>#VALUE!</v>
      </c>
      <c r="G27" s="44" t="str">
        <f>+LOOKUP(PROYECTOS2[[#This Row],[MUNICIPIO]],Table1[Municipio],Table1[Latitud])</f>
        <v>6,149903</v>
      </c>
      <c r="H27" s="44">
        <f>+LOOKUP(PROYECTOS2[[#This Row],[MUNICIPIO]],Table1[Municipio],Table1[PDET])</f>
        <v>0</v>
      </c>
      <c r="I27" s="44">
        <f>+LOOKUP(PROYECTOS2[[#This Row],[MUNICIPIO]],Table1[Municipio],Table1[ZOMAC])</f>
        <v>0</v>
      </c>
      <c r="J27" s="3" t="str" cm="1">
        <f t="array" ref="J27">_xlfn.TEXTJOIN(", ", TRUE, IF(radicados[ID PROYECTOS]=A27, radicados[RADICADO], ""))</f>
        <v>2024010224714</v>
      </c>
      <c r="K27" s="45">
        <v>3</v>
      </c>
      <c r="L27" s="45"/>
      <c r="M27" s="43"/>
      <c r="N27" s="48">
        <v>4281286508</v>
      </c>
      <c r="O27" s="48"/>
      <c r="P27" s="48"/>
      <c r="Q27" s="148" t="s">
        <v>1067</v>
      </c>
      <c r="R27" s="34" t="s">
        <v>396</v>
      </c>
      <c r="S27" s="34" t="s">
        <v>394</v>
      </c>
      <c r="T27" s="34" t="s">
        <v>18</v>
      </c>
      <c r="U27" s="37"/>
      <c r="V27" s="44">
        <f>+_xlfn.XLOOKUP(PROYECTOS2[[#This Row],[MUNICIPIO]],'4.CAP_ENDMNT'!B:B,'4.CAP_ENDMNT'!C:C,0,0,1)</f>
        <v>5</v>
      </c>
      <c r="W27" s="139">
        <f>+_xlfn.XLOOKUP(PROYECTOS2[[#This Row],[MUNICIPIO]],'4.CAP_ENDMNT'!B:B,'4.CAP_ENDMNT'!D:D,0,0,1)</f>
        <v>35695767669.016502</v>
      </c>
      <c r="X27" s="140">
        <f>+_xlfn.XLOOKUP(PROYECTOS2[[#This Row],[MUNICIPIO]],'4.CAP_ENDMNT'!B:B,'4.CAP_ENDMNT'!E:E,0,0,1)</f>
        <v>13532488388.23</v>
      </c>
      <c r="Y27" s="140">
        <f>+_xlfn.XLOOKUP(PROYECTOS2[[#This Row],[MUNICIPIO]],'4.CAP_ENDMNT'!B:B,'4.CAP_ENDMNT'!F:F,0,0,1)</f>
        <v>22163279280.786503</v>
      </c>
      <c r="Z27" s="140">
        <f>+_xlfn.XLOOKUP(PROYECTOS2[[#This Row],[MUNICIPIO]],'4.CAP_ENDMNT'!B:B,'4.CAP_ENDMNT'!G:G,0,0,1)</f>
        <v>1067761948</v>
      </c>
      <c r="AA27" s="140">
        <f>+_xlfn.XLOOKUP(PROYECTOS2[[#This Row],[MUNICIPIO]],'4.CAP_ENDMNT'!B:B,'4.CAP_ENDMNT'!H:H,0,0,1)</f>
        <v>4932032890</v>
      </c>
      <c r="AB27" s="140">
        <f>+_xlfn.XLOOKUP(PROYECTOS2[[#This Row],[MUNICIPIO]],'4.CAP_ENDMNT'!B:B,'4.CAP_ENDMNT'!I:I,0,0,1)</f>
        <v>5999794838</v>
      </c>
      <c r="AC27" s="134">
        <f>+_xlfn.XLOOKUP(PROYECTOS2[[#This Row],[MUNICIPIO]],'4.CAP_ENDMNT'!B:B,'4.CAP_ENDMNT'!J:J,0,0,1)</f>
        <v>0.16808140655867587</v>
      </c>
      <c r="AD27" s="140">
        <f>+_xlfn.XLOOKUP(PROYECTOS2[[#This Row],[MUNICIPIO]],'4.CAP_ENDMNT'!B:B,'4.CAP_ENDMNT'!K:K,0,0,1)</f>
        <v>29695972831.016502</v>
      </c>
      <c r="AE27" s="140">
        <f>+_xlfn.XLOOKUP(PROYECTOS2[[#This Row],[MUNICIPIO]],'4.CAP_ENDMNT'!B:B,'4.CAP_ENDMNT'!L:L,0,0,1)</f>
        <v>23756778264.813202</v>
      </c>
      <c r="AF27" s="140">
        <f>+_xlfn.XLOOKUP(PROYECTOS2[[#This Row],[MUNICIPIO]],'4.CAP_ENDMNT'!B:B,'4.CAP_ENDMNT'!M:M,0,0,1)</f>
        <v>17817583698.609901</v>
      </c>
      <c r="AG27" s="134">
        <f>+_xlfn.XLOOKUP(PROYECTOS2[[#This Row],[MUNICIPIO]],'4.CAP_ENDMNT'!B:B,'4.CAP_ENDMNT'!N:N,0,0,1)</f>
        <v>0.17796640999076777</v>
      </c>
      <c r="AH27" s="134">
        <f>+_xlfn.XLOOKUP(PROYECTOS2[[#This Row],[MUNICIPIO]],'4.CAP_ENDMNT'!B:B,'4.CAP_ENDMNT'!O:O,0,0,1)</f>
        <v>0.4016729815979605</v>
      </c>
      <c r="AI27" s="134">
        <f>+_xlfn.XLOOKUP(PROYECTOS2[[#This Row],[MUNICIPIO]],'4.CAP_ENDMNT'!B:B,'4.CAP_ENDMNT'!P:P,0,0,1)</f>
        <v>0.8</v>
      </c>
      <c r="AJ27" s="44" t="str">
        <f>+_xlfn.XLOOKUP(PROYECTOS2[[#This Row],[MUNICIPIO]],'4.CAP_ENDMNT'!B:B,'4.CAP_ENDMNT'!Q:Q,0,0,1)</f>
        <v>Cumple</v>
      </c>
    </row>
    <row r="28" spans="1:36">
      <c r="A28" s="44">
        <v>31</v>
      </c>
      <c r="B28" s="37" t="s">
        <v>86</v>
      </c>
      <c r="C28" s="118">
        <f>+_xlfn.XLOOKUP(PROYECTOS2[[#This Row],[ID_NECESIDAD]],'1.RADICADOS'!G:G,'1.RADICADOS'!C:C,0,0,1)*1</f>
        <v>45436</v>
      </c>
      <c r="D28" s="46" t="s">
        <v>15</v>
      </c>
      <c r="E28" s="47" t="str">
        <f>+_xlfn.XLOOKUP(PROYECTOS2[[#This Row],[MUNICIPIO]],MUNICIPIOS!A:A,MUNICIPIOS!E:E,0,0,1)</f>
        <v>Valle de Aburrá</v>
      </c>
      <c r="F28" s="44" t="e" cm="1">
        <f t="array" ref="F28">+_xlfn.XLOOKUP(PROYECTOS2[[#This Row],[MUNICIPIO]],Table1[Municipio],MUNICIPIOS!F:F,0,0,1)</f>
        <v>#VALUE!</v>
      </c>
      <c r="G28" s="44" t="str">
        <f>+LOOKUP(PROYECTOS2[[#This Row],[MUNICIPIO]],Table1[Municipio],Table1[Latitud])</f>
        <v>7,074703</v>
      </c>
      <c r="H28" s="44">
        <f>+LOOKUP(PROYECTOS2[[#This Row],[MUNICIPIO]],Table1[Municipio],Table1[PDET])</f>
        <v>1</v>
      </c>
      <c r="I28" s="44">
        <f>+LOOKUP(PROYECTOS2[[#This Row],[MUNICIPIO]],Table1[Municipio],Table1[ZOMAC])</f>
        <v>1</v>
      </c>
      <c r="J28" s="3" t="str" cm="1">
        <f t="array" ref="J28">_xlfn.TEXTJOIN(", ", TRUE, IF(radicados[ID PROYECTOS]=A28, radicados[RADICADO], ""))</f>
        <v>2024010233254</v>
      </c>
      <c r="K28" s="45">
        <v>1</v>
      </c>
      <c r="L28" s="45"/>
      <c r="M28" s="43"/>
      <c r="N28" s="48"/>
      <c r="O28" s="48"/>
      <c r="P28" s="48"/>
      <c r="Q28" s="148" t="s">
        <v>1067</v>
      </c>
      <c r="R28" s="34" t="s">
        <v>396</v>
      </c>
      <c r="S28" s="34" t="s">
        <v>397</v>
      </c>
      <c r="T28" s="34" t="s">
        <v>25</v>
      </c>
      <c r="U28" s="37" t="s">
        <v>1114</v>
      </c>
      <c r="V28" s="44">
        <f>+_xlfn.XLOOKUP(PROYECTOS2[[#This Row],[MUNICIPIO]],'4.CAP_ENDMNT'!B:B,'4.CAP_ENDMNT'!C:C,0,0,1)</f>
        <v>4</v>
      </c>
      <c r="W28" s="139">
        <f>+_xlfn.XLOOKUP(PROYECTOS2[[#This Row],[MUNICIPIO]],'4.CAP_ENDMNT'!B:B,'4.CAP_ENDMNT'!D:D,0,0,1)</f>
        <v>56592203197.536499</v>
      </c>
      <c r="X28" s="140">
        <f>+_xlfn.XLOOKUP(PROYECTOS2[[#This Row],[MUNICIPIO]],'4.CAP_ENDMNT'!B:B,'4.CAP_ENDMNT'!E:E,0,0,1)</f>
        <v>24375972647.860001</v>
      </c>
      <c r="Y28" s="140">
        <f>+_xlfn.XLOOKUP(PROYECTOS2[[#This Row],[MUNICIPIO]],'4.CAP_ENDMNT'!B:B,'4.CAP_ENDMNT'!F:F,0,0,1)</f>
        <v>32216230549.676498</v>
      </c>
      <c r="Z28" s="140">
        <f>+_xlfn.XLOOKUP(PROYECTOS2[[#This Row],[MUNICIPIO]],'4.CAP_ENDMNT'!B:B,'4.CAP_ENDMNT'!G:G,0,0,1)</f>
        <v>0</v>
      </c>
      <c r="AA28" s="140">
        <f>+_xlfn.XLOOKUP(PROYECTOS2[[#This Row],[MUNICIPIO]],'4.CAP_ENDMNT'!B:B,'4.CAP_ENDMNT'!H:H,0,0,1)</f>
        <v>15044963334.42</v>
      </c>
      <c r="AB28" s="140">
        <f>+_xlfn.XLOOKUP(PROYECTOS2[[#This Row],[MUNICIPIO]],'4.CAP_ENDMNT'!B:B,'4.CAP_ENDMNT'!I:I,0,0,1)</f>
        <v>15044963334.42</v>
      </c>
      <c r="AC28" s="134">
        <f>+_xlfn.XLOOKUP(PROYECTOS2[[#This Row],[MUNICIPIO]],'4.CAP_ENDMNT'!B:B,'4.CAP_ENDMNT'!J:J,0,0,1)</f>
        <v>0.26584869442006315</v>
      </c>
      <c r="AD28" s="140">
        <f>+_xlfn.XLOOKUP(PROYECTOS2[[#This Row],[MUNICIPIO]],'4.CAP_ENDMNT'!B:B,'4.CAP_ENDMNT'!K:K,0,0,1)</f>
        <v>41547239863.116501</v>
      </c>
      <c r="AE28" s="140">
        <f>+_xlfn.XLOOKUP(PROYECTOS2[[#This Row],[MUNICIPIO]],'4.CAP_ENDMNT'!B:B,'4.CAP_ENDMNT'!L:L,0,0,1)</f>
        <v>33237791890.493202</v>
      </c>
      <c r="AF28" s="140">
        <f>+_xlfn.XLOOKUP(PROYECTOS2[[#This Row],[MUNICIPIO]],'4.CAP_ENDMNT'!B:B,'4.CAP_ENDMNT'!M:M,0,0,1)</f>
        <v>24928343917.8699</v>
      </c>
      <c r="AG28" s="134">
        <f>+_xlfn.XLOOKUP(PROYECTOS2[[#This Row],[MUNICIPIO]],'4.CAP_ENDMNT'!B:B,'4.CAP_ENDMNT'!N:N,0,0,1)</f>
        <v>0</v>
      </c>
      <c r="AH28" s="134">
        <f>+_xlfn.XLOOKUP(PROYECTOS2[[#This Row],[MUNICIPIO]],'4.CAP_ENDMNT'!B:B,'4.CAP_ENDMNT'!O:O,0,0,1)</f>
        <v>0.60385208261970102</v>
      </c>
      <c r="AI28" s="134">
        <f>+_xlfn.XLOOKUP(PROYECTOS2[[#This Row],[MUNICIPIO]],'4.CAP_ENDMNT'!B:B,'4.CAP_ENDMNT'!P:P,0,0,1)</f>
        <v>0.8</v>
      </c>
      <c r="AJ28" s="44" t="str">
        <f>+_xlfn.XLOOKUP(PROYECTOS2[[#This Row],[MUNICIPIO]],'4.CAP_ENDMNT'!B:B,'4.CAP_ENDMNT'!Q:Q,0,0,1)</f>
        <v>Cumple</v>
      </c>
    </row>
    <row r="29" spans="1:36">
      <c r="A29" s="44">
        <v>32</v>
      </c>
      <c r="B29" s="37" t="s">
        <v>87</v>
      </c>
      <c r="C29" s="118">
        <f>+_xlfn.XLOOKUP(PROYECTOS2[[#This Row],[ID_NECESIDAD]],'1.RADICADOS'!G:G,'1.RADICADOS'!C:C,0,0,1)*1</f>
        <v>45388</v>
      </c>
      <c r="D29" s="46" t="s">
        <v>63</v>
      </c>
      <c r="E29" s="47" t="str">
        <f>+_xlfn.XLOOKUP(PROYECTOS2[[#This Row],[MUNICIPIO]],MUNICIPIOS!A:A,MUNICIPIOS!E:E,0,0,1)</f>
        <v>Urabá</v>
      </c>
      <c r="F29" s="44" t="e" cm="1">
        <f t="array" ref="F29">+_xlfn.XLOOKUP(PROYECTOS2[[#This Row],[MUNICIPIO]],Table1[Municipio],MUNICIPIOS!F:F,0,0,1)</f>
        <v>#VALUE!</v>
      </c>
      <c r="G29" s="44" t="str">
        <f>+LOOKUP(PROYECTOS2[[#This Row],[MUNICIPIO]],Table1[Municipio],Table1[Latitud])</f>
        <v>6,149903</v>
      </c>
      <c r="H29" s="44">
        <f>+LOOKUP(PROYECTOS2[[#This Row],[MUNICIPIO]],Table1[Municipio],Table1[PDET])</f>
        <v>0</v>
      </c>
      <c r="I29" s="44">
        <f>+LOOKUP(PROYECTOS2[[#This Row],[MUNICIPIO]],Table1[Municipio],Table1[ZOMAC])</f>
        <v>0</v>
      </c>
      <c r="J29" s="3" t="str" cm="1">
        <f t="array" ref="J29">_xlfn.TEXTJOIN(", ", TRUE, IF(radicados[ID PROYECTOS]=A29, radicados[RADICADO], ""))</f>
        <v>2024010246827</v>
      </c>
      <c r="K29" s="45">
        <v>3</v>
      </c>
      <c r="L29" s="45"/>
      <c r="M29" s="43"/>
      <c r="N29" s="48">
        <v>2256305783</v>
      </c>
      <c r="O29" s="48"/>
      <c r="P29" s="48"/>
      <c r="Q29" s="148" t="s">
        <v>1067</v>
      </c>
      <c r="R29" s="34" t="s">
        <v>396</v>
      </c>
      <c r="S29" s="34" t="s">
        <v>394</v>
      </c>
      <c r="T29" s="34" t="s">
        <v>18</v>
      </c>
      <c r="U29" s="37"/>
      <c r="V29" s="44">
        <f>+_xlfn.XLOOKUP(PROYECTOS2[[#This Row],[MUNICIPIO]],'4.CAP_ENDMNT'!B:B,'4.CAP_ENDMNT'!C:C,0,0,1)</f>
        <v>6</v>
      </c>
      <c r="W29" s="139">
        <f>+_xlfn.XLOOKUP(PROYECTOS2[[#This Row],[MUNICIPIO]],'4.CAP_ENDMNT'!B:B,'4.CAP_ENDMNT'!D:D,0,0,1)</f>
        <v>19508372714.52</v>
      </c>
      <c r="X29" s="140">
        <f>+_xlfn.XLOOKUP(PROYECTOS2[[#This Row],[MUNICIPIO]],'4.CAP_ENDMNT'!B:B,'4.CAP_ENDMNT'!E:E,0,0,1)</f>
        <v>5389834315.5</v>
      </c>
      <c r="Y29" s="140">
        <f>+_xlfn.XLOOKUP(PROYECTOS2[[#This Row],[MUNICIPIO]],'4.CAP_ENDMNT'!B:B,'4.CAP_ENDMNT'!F:F,0,0,1)</f>
        <v>14118538399.02</v>
      </c>
      <c r="Z29" s="140">
        <f>+_xlfn.XLOOKUP(PROYECTOS2[[#This Row],[MUNICIPIO]],'4.CAP_ENDMNT'!B:B,'4.CAP_ENDMNT'!G:G,0,0,1)</f>
        <v>2594281047</v>
      </c>
      <c r="AA29" s="140">
        <f>+_xlfn.XLOOKUP(PROYECTOS2[[#This Row],[MUNICIPIO]],'4.CAP_ENDMNT'!B:B,'4.CAP_ENDMNT'!H:H,0,0,1)</f>
        <v>1833333333</v>
      </c>
      <c r="AB29" s="140">
        <f>+_xlfn.XLOOKUP(PROYECTOS2[[#This Row],[MUNICIPIO]],'4.CAP_ENDMNT'!B:B,'4.CAP_ENDMNT'!I:I,0,0,1)</f>
        <v>4427614380</v>
      </c>
      <c r="AC29" s="134">
        <f>+_xlfn.XLOOKUP(PROYECTOS2[[#This Row],[MUNICIPIO]],'4.CAP_ENDMNT'!B:B,'4.CAP_ENDMNT'!J:J,0,0,1)</f>
        <v>0.22695969801235882</v>
      </c>
      <c r="AD29" s="140">
        <f>+_xlfn.XLOOKUP(PROYECTOS2[[#This Row],[MUNICIPIO]],'4.CAP_ENDMNT'!B:B,'4.CAP_ENDMNT'!K:K,0,0,1)</f>
        <v>15080758334.52</v>
      </c>
      <c r="AE29" s="140">
        <f>+_xlfn.XLOOKUP(PROYECTOS2[[#This Row],[MUNICIPIO]],'4.CAP_ENDMNT'!B:B,'4.CAP_ENDMNT'!L:L,0,0,1)</f>
        <v>12064606667.616001</v>
      </c>
      <c r="AF29" s="140">
        <f>+_xlfn.XLOOKUP(PROYECTOS2[[#This Row],[MUNICIPIO]],'4.CAP_ENDMNT'!B:B,'4.CAP_ENDMNT'!M:M,0,0,1)</f>
        <v>9048455000.7119999</v>
      </c>
      <c r="AG29" s="134">
        <f>+_xlfn.XLOOKUP(PROYECTOS2[[#This Row],[MUNICIPIO]],'4.CAP_ENDMNT'!B:B,'4.CAP_ENDMNT'!N:N,0,0,1)</f>
        <v>0.58593202215591322</v>
      </c>
      <c r="AH29" s="134">
        <f>+_xlfn.XLOOKUP(PROYECTOS2[[#This Row],[MUNICIPIO]],'4.CAP_ENDMNT'!B:B,'4.CAP_ENDMNT'!O:O,0,0,1)</f>
        <v>0.58851112900500024</v>
      </c>
      <c r="AI29" s="134">
        <f>+_xlfn.XLOOKUP(PROYECTOS2[[#This Row],[MUNICIPIO]],'4.CAP_ENDMNT'!B:B,'4.CAP_ENDMNT'!P:P,0,0,1)</f>
        <v>0.8</v>
      </c>
      <c r="AJ29" s="44" t="str">
        <f>+_xlfn.XLOOKUP(PROYECTOS2[[#This Row],[MUNICIPIO]],'4.CAP_ENDMNT'!B:B,'4.CAP_ENDMNT'!Q:Q,0,0,1)</f>
        <v>Cumple</v>
      </c>
    </row>
    <row r="30" spans="1:36">
      <c r="A30" s="44">
        <v>33</v>
      </c>
      <c r="B30" s="59" t="s">
        <v>89</v>
      </c>
      <c r="C30" s="119">
        <f>+_xlfn.XLOOKUP(PROYECTOS2[[#This Row],[ID_NECESIDAD]],'1.RADICADOS'!G:G,'1.RADICADOS'!C:C,0,0,1)*1</f>
        <v>45602</v>
      </c>
      <c r="D30" s="46" t="s">
        <v>88</v>
      </c>
      <c r="E30" s="47" t="str">
        <f>+_xlfn.XLOOKUP(PROYECTOS2[[#This Row],[MUNICIPIO]],MUNICIPIOS!A:A,MUNICIPIOS!E:E,0,0,1)</f>
        <v>Suroeste</v>
      </c>
      <c r="F30" s="44" t="e" cm="1">
        <f t="array" ref="F30">+_xlfn.XLOOKUP(PROYECTOS2[[#This Row],[MUNICIPIO]],Table1[Municipio],MUNICIPIOS!F:F,0,0,1)</f>
        <v>#VALUE!</v>
      </c>
      <c r="G30" s="44" t="str">
        <f>+LOOKUP(PROYECTOS2[[#This Row],[MUNICIPIO]],Table1[Municipio],Table1[Latitud])</f>
        <v>6,246631</v>
      </c>
      <c r="H30" s="44">
        <f>+LOOKUP(PROYECTOS2[[#This Row],[MUNICIPIO]],Table1[Municipio],Table1[PDET])</f>
        <v>0</v>
      </c>
      <c r="I30" s="44">
        <f>+LOOKUP(PROYECTOS2[[#This Row],[MUNICIPIO]],Table1[Municipio],Table1[ZOMAC])</f>
        <v>0</v>
      </c>
      <c r="J30" s="3" t="str" cm="1">
        <f t="array" ref="J30">_xlfn.TEXTJOIN(", ", TRUE, IF(radicados[ID PROYECTOS]=A30, radicados[RADICADO], ""))</f>
        <v>2024010258317</v>
      </c>
      <c r="K30" s="45">
        <v>3</v>
      </c>
      <c r="L30" s="45"/>
      <c r="M30" s="43"/>
      <c r="N30" s="48">
        <v>4943542014</v>
      </c>
      <c r="O30" s="48"/>
      <c r="P30" s="48"/>
      <c r="Q30" s="148" t="s">
        <v>1067</v>
      </c>
      <c r="R30" s="34" t="s">
        <v>396</v>
      </c>
      <c r="S30" s="34" t="s">
        <v>397</v>
      </c>
      <c r="T30" s="34" t="s">
        <v>56</v>
      </c>
      <c r="U30" s="37" t="s">
        <v>1099</v>
      </c>
      <c r="V30" s="44">
        <f>+_xlfn.XLOOKUP(PROYECTOS2[[#This Row],[MUNICIPIO]],'4.CAP_ENDMNT'!B:B,'4.CAP_ENDMNT'!C:C,0,0,1)</f>
        <v>6</v>
      </c>
      <c r="W30" s="139">
        <f>+_xlfn.XLOOKUP(PROYECTOS2[[#This Row],[MUNICIPIO]],'4.CAP_ENDMNT'!B:B,'4.CAP_ENDMNT'!D:D,0,0,1)</f>
        <v>7408957946.4439993</v>
      </c>
      <c r="X30" s="140">
        <f>+_xlfn.XLOOKUP(PROYECTOS2[[#This Row],[MUNICIPIO]],'4.CAP_ENDMNT'!B:B,'4.CAP_ENDMNT'!E:E,0,0,1)</f>
        <v>2726179218.2000003</v>
      </c>
      <c r="Y30" s="140">
        <f>+_xlfn.XLOOKUP(PROYECTOS2[[#This Row],[MUNICIPIO]],'4.CAP_ENDMNT'!B:B,'4.CAP_ENDMNT'!F:F,0,0,1)</f>
        <v>4682778728.2439995</v>
      </c>
      <c r="Z30" s="140">
        <f>+_xlfn.XLOOKUP(PROYECTOS2[[#This Row],[MUNICIPIO]],'4.CAP_ENDMNT'!B:B,'4.CAP_ENDMNT'!G:G,0,0,1)</f>
        <v>1117539497</v>
      </c>
      <c r="AA30" s="140">
        <f>+_xlfn.XLOOKUP(PROYECTOS2[[#This Row],[MUNICIPIO]],'4.CAP_ENDMNT'!B:B,'4.CAP_ENDMNT'!H:H,0,0,1)</f>
        <v>0</v>
      </c>
      <c r="AB30" s="140">
        <f>+_xlfn.XLOOKUP(PROYECTOS2[[#This Row],[MUNICIPIO]],'4.CAP_ENDMNT'!B:B,'4.CAP_ENDMNT'!I:I,0,0,1)</f>
        <v>1117539497</v>
      </c>
      <c r="AC30" s="134">
        <f>+_xlfn.XLOOKUP(PROYECTOS2[[#This Row],[MUNICIPIO]],'4.CAP_ENDMNT'!B:B,'4.CAP_ENDMNT'!J:J,0,0,1)</f>
        <v>0.15083625863153588</v>
      </c>
      <c r="AD30" s="140">
        <f>+_xlfn.XLOOKUP(PROYECTOS2[[#This Row],[MUNICIPIO]],'4.CAP_ENDMNT'!B:B,'4.CAP_ENDMNT'!K:K,0,0,1)</f>
        <v>6291418449.4439993</v>
      </c>
      <c r="AE30" s="140">
        <f>+_xlfn.XLOOKUP(PROYECTOS2[[#This Row],[MUNICIPIO]],'4.CAP_ENDMNT'!B:B,'4.CAP_ENDMNT'!L:L,0,0,1)</f>
        <v>5033134759.5551996</v>
      </c>
      <c r="AF30" s="140">
        <f>+_xlfn.XLOOKUP(PROYECTOS2[[#This Row],[MUNICIPIO]],'4.CAP_ENDMNT'!B:B,'4.CAP_ENDMNT'!M:M,0,0,1)</f>
        <v>3774851069.6663995</v>
      </c>
      <c r="AG30" s="134">
        <f>+_xlfn.XLOOKUP(PROYECTOS2[[#This Row],[MUNICIPIO]],'4.CAP_ENDMNT'!B:B,'4.CAP_ENDMNT'!N:N,0,0,1)</f>
        <v>1</v>
      </c>
      <c r="AH30" s="134">
        <f>+_xlfn.XLOOKUP(PROYECTOS2[[#This Row],[MUNICIPIO]],'4.CAP_ENDMNT'!B:B,'4.CAP_ENDMNT'!O:O,0,0,1)</f>
        <v>0.78495373596781126</v>
      </c>
      <c r="AI30" s="134">
        <f>+_xlfn.XLOOKUP(PROYECTOS2[[#This Row],[MUNICIPIO]],'4.CAP_ENDMNT'!B:B,'4.CAP_ENDMNT'!P:P,0,0,1)</f>
        <v>0.8</v>
      </c>
      <c r="AJ30" s="44" t="str">
        <f>+_xlfn.XLOOKUP(PROYECTOS2[[#This Row],[MUNICIPIO]],'4.CAP_ENDMNT'!B:B,'4.CAP_ENDMNT'!Q:Q,0,0,1)</f>
        <v>Riesgo</v>
      </c>
    </row>
    <row r="31" spans="1:36">
      <c r="A31" s="44">
        <v>34</v>
      </c>
      <c r="B31" s="37" t="s">
        <v>91</v>
      </c>
      <c r="C31" s="118">
        <f>+_xlfn.XLOOKUP(PROYECTOS2[[#This Row],[ID_NECESIDAD]],'1.RADICADOS'!G:G,'1.RADICADOS'!C:C,0,0,1)*1</f>
        <v>45539</v>
      </c>
      <c r="D31" s="46" t="s">
        <v>90</v>
      </c>
      <c r="E31" s="47" t="str">
        <f>+_xlfn.XLOOKUP(PROYECTOS2[[#This Row],[MUNICIPIO]],MUNICIPIOS!A:A,MUNICIPIOS!E:E,0,0,1)</f>
        <v>Suroeste</v>
      </c>
      <c r="F31" s="44" t="e" cm="1">
        <f t="array" ref="F31">+_xlfn.XLOOKUP(PROYECTOS2[[#This Row],[MUNICIPIO]],Table1[Municipio],MUNICIPIOS!F:F,0,0,1)</f>
        <v>#VALUE!</v>
      </c>
      <c r="G31" s="44" t="str">
        <f>+LOOKUP(PROYECTOS2[[#This Row],[MUNICIPIO]],Table1[Municipio],Table1[Latitud])</f>
        <v>6,149903</v>
      </c>
      <c r="H31" s="44">
        <f>+LOOKUP(PROYECTOS2[[#This Row],[MUNICIPIO]],Table1[Municipio],Table1[PDET])</f>
        <v>0</v>
      </c>
      <c r="I31" s="44">
        <f>+LOOKUP(PROYECTOS2[[#This Row],[MUNICIPIO]],Table1[Municipio],Table1[ZOMAC])</f>
        <v>0</v>
      </c>
      <c r="J31" s="3" t="str" cm="1">
        <f t="array" ref="J31">_xlfn.TEXTJOIN(", ", TRUE, IF(radicados[ID PROYECTOS]=A31, radicados[RADICADO], ""))</f>
        <v>2024010152199</v>
      </c>
      <c r="K31" s="45">
        <v>1</v>
      </c>
      <c r="L31" s="45"/>
      <c r="M31" s="43"/>
      <c r="N31" s="48"/>
      <c r="O31" s="48"/>
      <c r="P31" s="48"/>
      <c r="Q31" s="148" t="s">
        <v>1067</v>
      </c>
      <c r="R31" s="34" t="s">
        <v>392</v>
      </c>
      <c r="S31" s="40"/>
      <c r="T31" s="40" t="s">
        <v>7</v>
      </c>
      <c r="U31" s="37" t="s">
        <v>1107</v>
      </c>
      <c r="V31" s="44">
        <f>+_xlfn.XLOOKUP(PROYECTOS2[[#This Row],[MUNICIPIO]],'4.CAP_ENDMNT'!B:B,'4.CAP_ENDMNT'!C:C,0,0,1)</f>
        <v>6</v>
      </c>
      <c r="W31" s="139">
        <f>+_xlfn.XLOOKUP(PROYECTOS2[[#This Row],[MUNICIPIO]],'4.CAP_ENDMNT'!B:B,'4.CAP_ENDMNT'!D:D,0,0,1)</f>
        <v>6485715716.868001</v>
      </c>
      <c r="X31" s="140">
        <f>+_xlfn.XLOOKUP(PROYECTOS2[[#This Row],[MUNICIPIO]],'4.CAP_ENDMNT'!B:B,'4.CAP_ENDMNT'!E:E,0,0,1)</f>
        <v>3717110032.7600002</v>
      </c>
      <c r="Y31" s="140">
        <f>+_xlfn.XLOOKUP(PROYECTOS2[[#This Row],[MUNICIPIO]],'4.CAP_ENDMNT'!B:B,'4.CAP_ENDMNT'!F:F,0,0,1)</f>
        <v>2768605684.1080008</v>
      </c>
      <c r="Z31" s="140">
        <f>+_xlfn.XLOOKUP(PROYECTOS2[[#This Row],[MUNICIPIO]],'4.CAP_ENDMNT'!B:B,'4.CAP_ENDMNT'!G:G,0,0,1)</f>
        <v>598561755.20000005</v>
      </c>
      <c r="AA31" s="140">
        <f>+_xlfn.XLOOKUP(PROYECTOS2[[#This Row],[MUNICIPIO]],'4.CAP_ENDMNT'!B:B,'4.CAP_ENDMNT'!H:H,0,0,1)</f>
        <v>823222224</v>
      </c>
      <c r="AB31" s="140">
        <f>+_xlfn.XLOOKUP(PROYECTOS2[[#This Row],[MUNICIPIO]],'4.CAP_ENDMNT'!B:B,'4.CAP_ENDMNT'!I:I,0,0,1)</f>
        <v>1421783979.2</v>
      </c>
      <c r="AC31" s="134">
        <f>+_xlfn.XLOOKUP(PROYECTOS2[[#This Row],[MUNICIPIO]],'4.CAP_ENDMNT'!B:B,'4.CAP_ENDMNT'!J:J,0,0,1)</f>
        <v>0.21921774577665112</v>
      </c>
      <c r="AD31" s="140">
        <f>+_xlfn.XLOOKUP(PROYECTOS2[[#This Row],[MUNICIPIO]],'4.CAP_ENDMNT'!B:B,'4.CAP_ENDMNT'!K:K,0,0,1)</f>
        <v>5063931737.6680012</v>
      </c>
      <c r="AE31" s="140">
        <f>+_xlfn.XLOOKUP(PROYECTOS2[[#This Row],[MUNICIPIO]],'4.CAP_ENDMNT'!B:B,'4.CAP_ENDMNT'!L:L,0,0,1)</f>
        <v>4051145390.1344013</v>
      </c>
      <c r="AF31" s="140">
        <f>+_xlfn.XLOOKUP(PROYECTOS2[[#This Row],[MUNICIPIO]],'4.CAP_ENDMNT'!B:B,'4.CAP_ENDMNT'!M:M,0,0,1)</f>
        <v>3038359042.6008005</v>
      </c>
      <c r="AG31" s="134">
        <f>+_xlfn.XLOOKUP(PROYECTOS2[[#This Row],[MUNICIPIO]],'4.CAP_ENDMNT'!B:B,'4.CAP_ENDMNT'!N:N,0,0,1)</f>
        <v>0.42099345889155032</v>
      </c>
      <c r="AH31" s="134">
        <f>+_xlfn.XLOOKUP(PROYECTOS2[[#This Row],[MUNICIPIO]],'4.CAP_ENDMNT'!B:B,'4.CAP_ENDMNT'!O:O,0,0,1)</f>
        <v>0.68598337343648785</v>
      </c>
      <c r="AI31" s="134">
        <f>+_xlfn.XLOOKUP(PROYECTOS2[[#This Row],[MUNICIPIO]],'4.CAP_ENDMNT'!B:B,'4.CAP_ENDMNT'!P:P,0,0,1)</f>
        <v>0.8</v>
      </c>
      <c r="AJ31" s="44" t="str">
        <f>+_xlfn.XLOOKUP(PROYECTOS2[[#This Row],[MUNICIPIO]],'4.CAP_ENDMNT'!B:B,'4.CAP_ENDMNT'!Q:Q,0,0,1)</f>
        <v>Cumple</v>
      </c>
    </row>
    <row r="32" spans="1:36">
      <c r="A32" s="44">
        <v>35</v>
      </c>
      <c r="B32" s="37" t="s">
        <v>93</v>
      </c>
      <c r="C32" s="118">
        <f>+_xlfn.XLOOKUP(PROYECTOS2[[#This Row],[ID_NECESIDAD]],'1.RADICADOS'!G:G,'1.RADICADOS'!C:C,0,0,1)*1</f>
        <v>45630</v>
      </c>
      <c r="D32" s="46" t="s">
        <v>92</v>
      </c>
      <c r="E32" s="47" t="str">
        <f>+_xlfn.XLOOKUP(PROYECTOS2[[#This Row],[MUNICIPIO]],MUNICIPIOS!A:A,MUNICIPIOS!E:E,0,0,1)</f>
        <v>Suroeste</v>
      </c>
      <c r="F32" s="44" t="e" cm="1">
        <f t="array" ref="F32">+_xlfn.XLOOKUP(PROYECTOS2[[#This Row],[MUNICIPIO]],Table1[Municipio],MUNICIPIOS!F:F,0,0,1)</f>
        <v>#VALUE!</v>
      </c>
      <c r="G32" s="44" t="e">
        <f>+LOOKUP(PROYECTOS2[[#This Row],[MUNICIPIO]],Table1[Municipio],Table1[Latitud])</f>
        <v>#N/A</v>
      </c>
      <c r="H32" s="44" t="e">
        <f>+LOOKUP(PROYECTOS2[[#This Row],[MUNICIPIO]],Table1[Municipio],Table1[PDET])</f>
        <v>#N/A</v>
      </c>
      <c r="I32" s="44" t="e">
        <f>+LOOKUP(PROYECTOS2[[#This Row],[MUNICIPIO]],Table1[Municipio],Table1[ZOMAC])</f>
        <v>#N/A</v>
      </c>
      <c r="J32" s="3" t="str" cm="1">
        <f t="array" ref="J32">_xlfn.TEXTJOIN(", ", TRUE, IF(radicados[ID PROYECTOS]=A32, radicados[RADICADO], ""))</f>
        <v>2024010159071, 2024020058554</v>
      </c>
      <c r="K32" s="45">
        <v>2</v>
      </c>
      <c r="L32" s="45"/>
      <c r="M32" s="43"/>
      <c r="N32" s="48"/>
      <c r="O32" s="48"/>
      <c r="P32" s="48"/>
      <c r="Q32" s="148" t="s">
        <v>1067</v>
      </c>
      <c r="R32" s="34" t="s">
        <v>404</v>
      </c>
      <c r="S32" s="40"/>
      <c r="T32" s="40" t="s">
        <v>29</v>
      </c>
      <c r="U32" s="37" t="s">
        <v>1092</v>
      </c>
      <c r="V32" s="44">
        <f>+_xlfn.XLOOKUP(PROYECTOS2[[#This Row],[MUNICIPIO]],'4.CAP_ENDMNT'!B:B,'4.CAP_ENDMNT'!C:C,0,0,1)</f>
        <v>6</v>
      </c>
      <c r="W32" s="139">
        <f>+_xlfn.XLOOKUP(PROYECTOS2[[#This Row],[MUNICIPIO]],'4.CAP_ENDMNT'!B:B,'4.CAP_ENDMNT'!D:D,0,0,1)</f>
        <v>25390387392.328503</v>
      </c>
      <c r="X32" s="140">
        <f>+_xlfn.XLOOKUP(PROYECTOS2[[#This Row],[MUNICIPIO]],'4.CAP_ENDMNT'!B:B,'4.CAP_ENDMNT'!E:E,0,0,1)</f>
        <v>8357833556.3299999</v>
      </c>
      <c r="Y32" s="140">
        <f>+_xlfn.XLOOKUP(PROYECTOS2[[#This Row],[MUNICIPIO]],'4.CAP_ENDMNT'!B:B,'4.CAP_ENDMNT'!F:F,0,0,1)</f>
        <v>17032553835.998503</v>
      </c>
      <c r="Z32" s="140">
        <f>+_xlfn.XLOOKUP(PROYECTOS2[[#This Row],[MUNICIPIO]],'4.CAP_ENDMNT'!B:B,'4.CAP_ENDMNT'!G:G,0,0,1)</f>
        <v>4689987006</v>
      </c>
      <c r="AA32" s="140">
        <f>+_xlfn.XLOOKUP(PROYECTOS2[[#This Row],[MUNICIPIO]],'4.CAP_ENDMNT'!B:B,'4.CAP_ENDMNT'!H:H,0,0,1)</f>
        <v>6272045606</v>
      </c>
      <c r="AB32" s="140">
        <f>+_xlfn.XLOOKUP(PROYECTOS2[[#This Row],[MUNICIPIO]],'4.CAP_ENDMNT'!B:B,'4.CAP_ENDMNT'!I:I,0,0,1)</f>
        <v>10962032612</v>
      </c>
      <c r="AC32" s="134">
        <f>+_xlfn.XLOOKUP(PROYECTOS2[[#This Row],[MUNICIPIO]],'4.CAP_ENDMNT'!B:B,'4.CAP_ENDMNT'!J:J,0,0,1)</f>
        <v>0.43173947851272598</v>
      </c>
      <c r="AD32" s="140">
        <f>+_xlfn.XLOOKUP(PROYECTOS2[[#This Row],[MUNICIPIO]],'4.CAP_ENDMNT'!B:B,'4.CAP_ENDMNT'!K:K,0,0,1)</f>
        <v>14428354780.328503</v>
      </c>
      <c r="AE32" s="140">
        <f>+_xlfn.XLOOKUP(PROYECTOS2[[#This Row],[MUNICIPIO]],'4.CAP_ENDMNT'!B:B,'4.CAP_ENDMNT'!L:L,0,0,1)</f>
        <v>11542683824.262802</v>
      </c>
      <c r="AF32" s="140">
        <f>+_xlfn.XLOOKUP(PROYECTOS2[[#This Row],[MUNICIPIO]],'4.CAP_ENDMNT'!B:B,'4.CAP_ENDMNT'!M:M,0,0,1)</f>
        <v>8657012868.1971016</v>
      </c>
      <c r="AG32" s="134">
        <f>+_xlfn.XLOOKUP(PROYECTOS2[[#This Row],[MUNICIPIO]],'4.CAP_ENDMNT'!B:B,'4.CAP_ENDMNT'!N:N,0,0,1)</f>
        <v>0.42783917654705111</v>
      </c>
      <c r="AH32" s="134">
        <f>+_xlfn.XLOOKUP(PROYECTOS2[[#This Row],[MUNICIPIO]],'4.CAP_ENDMNT'!B:B,'4.CAP_ENDMNT'!O:O,0,0,1)</f>
        <v>0.46347626739589709</v>
      </c>
      <c r="AI32" s="134">
        <f>+_xlfn.XLOOKUP(PROYECTOS2[[#This Row],[MUNICIPIO]],'4.CAP_ENDMNT'!B:B,'4.CAP_ENDMNT'!P:P,0,0,1)</f>
        <v>0.8</v>
      </c>
      <c r="AJ32" s="44" t="str">
        <f>+_xlfn.XLOOKUP(PROYECTOS2[[#This Row],[MUNICIPIO]],'4.CAP_ENDMNT'!B:B,'4.CAP_ENDMNT'!Q:Q,0,0,1)</f>
        <v>Cumple</v>
      </c>
    </row>
    <row r="33" spans="1:36">
      <c r="A33" s="44">
        <v>36</v>
      </c>
      <c r="B33" s="37" t="s">
        <v>94</v>
      </c>
      <c r="C33" s="118">
        <f>+_xlfn.XLOOKUP(PROYECTOS2[[#This Row],[ID_NECESIDAD]],'1.RADICADOS'!G:G,'1.RADICADOS'!C:C,0,0,1)*1</f>
        <v>45398</v>
      </c>
      <c r="D33" s="46" t="s">
        <v>63</v>
      </c>
      <c r="E33" s="47" t="str">
        <f>+_xlfn.XLOOKUP(PROYECTOS2[[#This Row],[MUNICIPIO]],MUNICIPIOS!A:A,MUNICIPIOS!E:E,0,0,1)</f>
        <v>Urabá</v>
      </c>
      <c r="F33" s="44" t="e" cm="1">
        <f t="array" ref="F33">+_xlfn.XLOOKUP(PROYECTOS2[[#This Row],[MUNICIPIO]],Table1[Municipio],MUNICIPIOS!F:F,0,0,1)</f>
        <v>#VALUE!</v>
      </c>
      <c r="G33" s="44" t="str">
        <f>+LOOKUP(PROYECTOS2[[#This Row],[MUNICIPIO]],Table1[Municipio],Table1[Latitud])</f>
        <v>6,149903</v>
      </c>
      <c r="H33" s="44">
        <f>+LOOKUP(PROYECTOS2[[#This Row],[MUNICIPIO]],Table1[Municipio],Table1[PDET])</f>
        <v>0</v>
      </c>
      <c r="I33" s="44">
        <f>+LOOKUP(PROYECTOS2[[#This Row],[MUNICIPIO]],Table1[Municipio],Table1[ZOMAC])</f>
        <v>0</v>
      </c>
      <c r="J33" s="3" t="str" cm="1">
        <f t="array" ref="J33">_xlfn.TEXTJOIN(", ", TRUE, IF(radicados[ID PROYECTOS]=A33, radicados[RADICADO], ""))</f>
        <v>2024010163837</v>
      </c>
      <c r="K33" s="45">
        <v>3</v>
      </c>
      <c r="L33" s="45"/>
      <c r="M33" s="43"/>
      <c r="N33" s="48">
        <v>2500751722</v>
      </c>
      <c r="O33" s="48"/>
      <c r="P33" s="48"/>
      <c r="Q33" s="148" t="s">
        <v>1067</v>
      </c>
      <c r="R33" s="34" t="s">
        <v>392</v>
      </c>
      <c r="S33" s="40"/>
      <c r="T33" s="40" t="s">
        <v>7</v>
      </c>
      <c r="U33" s="37"/>
      <c r="V33" s="44">
        <f>+_xlfn.XLOOKUP(PROYECTOS2[[#This Row],[MUNICIPIO]],'4.CAP_ENDMNT'!B:B,'4.CAP_ENDMNT'!C:C,0,0,1)</f>
        <v>6</v>
      </c>
      <c r="W33" s="139">
        <f>+_xlfn.XLOOKUP(PROYECTOS2[[#This Row],[MUNICIPIO]],'4.CAP_ENDMNT'!B:B,'4.CAP_ENDMNT'!D:D,0,0,1)</f>
        <v>19508372714.52</v>
      </c>
      <c r="X33" s="140">
        <f>+_xlfn.XLOOKUP(PROYECTOS2[[#This Row],[MUNICIPIO]],'4.CAP_ENDMNT'!B:B,'4.CAP_ENDMNT'!E:E,0,0,1)</f>
        <v>5389834315.5</v>
      </c>
      <c r="Y33" s="140">
        <f>+_xlfn.XLOOKUP(PROYECTOS2[[#This Row],[MUNICIPIO]],'4.CAP_ENDMNT'!B:B,'4.CAP_ENDMNT'!F:F,0,0,1)</f>
        <v>14118538399.02</v>
      </c>
      <c r="Z33" s="140">
        <f>+_xlfn.XLOOKUP(PROYECTOS2[[#This Row],[MUNICIPIO]],'4.CAP_ENDMNT'!B:B,'4.CAP_ENDMNT'!G:G,0,0,1)</f>
        <v>2594281047</v>
      </c>
      <c r="AA33" s="140">
        <f>+_xlfn.XLOOKUP(PROYECTOS2[[#This Row],[MUNICIPIO]],'4.CAP_ENDMNT'!B:B,'4.CAP_ENDMNT'!H:H,0,0,1)</f>
        <v>1833333333</v>
      </c>
      <c r="AB33" s="140">
        <f>+_xlfn.XLOOKUP(PROYECTOS2[[#This Row],[MUNICIPIO]],'4.CAP_ENDMNT'!B:B,'4.CAP_ENDMNT'!I:I,0,0,1)</f>
        <v>4427614380</v>
      </c>
      <c r="AC33" s="134">
        <f>+_xlfn.XLOOKUP(PROYECTOS2[[#This Row],[MUNICIPIO]],'4.CAP_ENDMNT'!B:B,'4.CAP_ENDMNT'!J:J,0,0,1)</f>
        <v>0.22695969801235882</v>
      </c>
      <c r="AD33" s="140">
        <f>+_xlfn.XLOOKUP(PROYECTOS2[[#This Row],[MUNICIPIO]],'4.CAP_ENDMNT'!B:B,'4.CAP_ENDMNT'!K:K,0,0,1)</f>
        <v>15080758334.52</v>
      </c>
      <c r="AE33" s="140">
        <f>+_xlfn.XLOOKUP(PROYECTOS2[[#This Row],[MUNICIPIO]],'4.CAP_ENDMNT'!B:B,'4.CAP_ENDMNT'!L:L,0,0,1)</f>
        <v>12064606667.616001</v>
      </c>
      <c r="AF33" s="140">
        <f>+_xlfn.XLOOKUP(PROYECTOS2[[#This Row],[MUNICIPIO]],'4.CAP_ENDMNT'!B:B,'4.CAP_ENDMNT'!M:M,0,0,1)</f>
        <v>9048455000.7119999</v>
      </c>
      <c r="AG33" s="134">
        <f>+_xlfn.XLOOKUP(PROYECTOS2[[#This Row],[MUNICIPIO]],'4.CAP_ENDMNT'!B:B,'4.CAP_ENDMNT'!N:N,0,0,1)</f>
        <v>0.58593202215591322</v>
      </c>
      <c r="AH33" s="134">
        <f>+_xlfn.XLOOKUP(PROYECTOS2[[#This Row],[MUNICIPIO]],'4.CAP_ENDMNT'!B:B,'4.CAP_ENDMNT'!O:O,0,0,1)</f>
        <v>0.58851112900500024</v>
      </c>
      <c r="AI33" s="134">
        <f>+_xlfn.XLOOKUP(PROYECTOS2[[#This Row],[MUNICIPIO]],'4.CAP_ENDMNT'!B:B,'4.CAP_ENDMNT'!P:P,0,0,1)</f>
        <v>0.8</v>
      </c>
      <c r="AJ33" s="44" t="str">
        <f>+_xlfn.XLOOKUP(PROYECTOS2[[#This Row],[MUNICIPIO]],'4.CAP_ENDMNT'!B:B,'4.CAP_ENDMNT'!Q:Q,0,0,1)</f>
        <v>Cumple</v>
      </c>
    </row>
    <row r="34" spans="1:36">
      <c r="A34" s="44">
        <v>37</v>
      </c>
      <c r="B34" s="37" t="s">
        <v>96</v>
      </c>
      <c r="C34" s="118">
        <f>+_xlfn.XLOOKUP(PROYECTOS2[[#This Row],[ID_NECESIDAD]],'1.RADICADOS'!G:G,'1.RADICADOS'!C:C,0,0,1)*1</f>
        <v>45440</v>
      </c>
      <c r="D34" s="46" t="s">
        <v>95</v>
      </c>
      <c r="E34" s="47" t="str">
        <f>+_xlfn.XLOOKUP(PROYECTOS2[[#This Row],[MUNICIPIO]],MUNICIPIOS!A:A,MUNICIPIOS!E:E,0,0,1)</f>
        <v>Occidente</v>
      </c>
      <c r="F34" s="44" t="e" cm="1">
        <f t="array" ref="F34">+_xlfn.XLOOKUP(PROYECTOS2[[#This Row],[MUNICIPIO]],Table1[Municipio],MUNICIPIOS!F:F,0,0,1)</f>
        <v>#VALUE!</v>
      </c>
      <c r="G34" s="44" t="str">
        <f>+LOOKUP(PROYECTOS2[[#This Row],[MUNICIPIO]],Table1[Municipio],Table1[Latitud])</f>
        <v>6,149903</v>
      </c>
      <c r="H34" s="44">
        <f>+LOOKUP(PROYECTOS2[[#This Row],[MUNICIPIO]],Table1[Municipio],Table1[PDET])</f>
        <v>0</v>
      </c>
      <c r="I34" s="44">
        <f>+LOOKUP(PROYECTOS2[[#This Row],[MUNICIPIO]],Table1[Municipio],Table1[ZOMAC])</f>
        <v>0</v>
      </c>
      <c r="J34" s="3" t="str" cm="1">
        <f t="array" ref="J34">_xlfn.TEXTJOIN(", ", TRUE, IF(radicados[ID PROYECTOS]=A34, radicados[RADICADO], ""))</f>
        <v>2024010238039</v>
      </c>
      <c r="K34" s="45">
        <v>3</v>
      </c>
      <c r="L34" s="45"/>
      <c r="M34" s="43"/>
      <c r="N34" s="48">
        <v>16955817824</v>
      </c>
      <c r="O34" s="48"/>
      <c r="P34" s="48"/>
      <c r="Q34" s="148" t="s">
        <v>1067</v>
      </c>
      <c r="R34" s="34" t="s">
        <v>396</v>
      </c>
      <c r="S34" s="34" t="s">
        <v>397</v>
      </c>
      <c r="T34" s="34" t="s">
        <v>56</v>
      </c>
      <c r="U34" s="37"/>
      <c r="V34" s="44">
        <f>+_xlfn.XLOOKUP(PROYECTOS2[[#This Row],[MUNICIPIO]],'4.CAP_ENDMNT'!B:B,'4.CAP_ENDMNT'!C:C,0,0,1)</f>
        <v>6</v>
      </c>
      <c r="W34" s="139">
        <f>+_xlfn.XLOOKUP(PROYECTOS2[[#This Row],[MUNICIPIO]],'4.CAP_ENDMNT'!B:B,'4.CAP_ENDMNT'!D:D,0,0,1)</f>
        <v>16347842057.745998</v>
      </c>
      <c r="X34" s="140">
        <f>+_xlfn.XLOOKUP(PROYECTOS2[[#This Row],[MUNICIPIO]],'4.CAP_ENDMNT'!B:B,'4.CAP_ENDMNT'!E:E,0,0,1)</f>
        <v>7901643157.3299999</v>
      </c>
      <c r="Y34" s="140">
        <f>+_xlfn.XLOOKUP(PROYECTOS2[[#This Row],[MUNICIPIO]],'4.CAP_ENDMNT'!B:B,'4.CAP_ENDMNT'!F:F,0,0,1)</f>
        <v>8446198900.4159985</v>
      </c>
      <c r="Z34" s="140">
        <f>+_xlfn.XLOOKUP(PROYECTOS2[[#This Row],[MUNICIPIO]],'4.CAP_ENDMNT'!B:B,'4.CAP_ENDMNT'!G:G,0,0,1)</f>
        <v>1620905965.8499999</v>
      </c>
      <c r="AA34" s="140">
        <f>+_xlfn.XLOOKUP(PROYECTOS2[[#This Row],[MUNICIPIO]],'4.CAP_ENDMNT'!B:B,'4.CAP_ENDMNT'!H:H,0,0,1)</f>
        <v>2416666620</v>
      </c>
      <c r="AB34" s="140">
        <f>+_xlfn.XLOOKUP(PROYECTOS2[[#This Row],[MUNICIPIO]],'4.CAP_ENDMNT'!B:B,'4.CAP_ENDMNT'!I:I,0,0,1)</f>
        <v>4037572585.8499999</v>
      </c>
      <c r="AC34" s="134">
        <f>+_xlfn.XLOOKUP(PROYECTOS2[[#This Row],[MUNICIPIO]],'4.CAP_ENDMNT'!B:B,'4.CAP_ENDMNT'!J:J,0,0,1)</f>
        <v>0.24697893285168493</v>
      </c>
      <c r="AD34" s="140">
        <f>+_xlfn.XLOOKUP(PROYECTOS2[[#This Row],[MUNICIPIO]],'4.CAP_ENDMNT'!B:B,'4.CAP_ENDMNT'!K:K,0,0,1)</f>
        <v>12310269471.895998</v>
      </c>
      <c r="AE34" s="140">
        <f>+_xlfn.XLOOKUP(PROYECTOS2[[#This Row],[MUNICIPIO]],'4.CAP_ENDMNT'!B:B,'4.CAP_ENDMNT'!L:L,0,0,1)</f>
        <v>9848215577.516798</v>
      </c>
      <c r="AF34" s="140">
        <f>+_xlfn.XLOOKUP(PROYECTOS2[[#This Row],[MUNICIPIO]],'4.CAP_ENDMNT'!B:B,'4.CAP_ENDMNT'!M:M,0,0,1)</f>
        <v>7386161683.137599</v>
      </c>
      <c r="AG34" s="134">
        <f>+_xlfn.XLOOKUP(PROYECTOS2[[#This Row],[MUNICIPIO]],'4.CAP_ENDMNT'!B:B,'4.CAP_ENDMNT'!N:N,0,0,1)</f>
        <v>0.40145556058375176</v>
      </c>
      <c r="AH34" s="134">
        <f>+_xlfn.XLOOKUP(PROYECTOS2[[#This Row],[MUNICIPIO]],'4.CAP_ENDMNT'!B:B,'4.CAP_ENDMNT'!O:O,0,0,1)</f>
        <v>0.5852153455768756</v>
      </c>
      <c r="AI34" s="134">
        <f>+_xlfn.XLOOKUP(PROYECTOS2[[#This Row],[MUNICIPIO]],'4.CAP_ENDMNT'!B:B,'4.CAP_ENDMNT'!P:P,0,0,1)</f>
        <v>0.8</v>
      </c>
      <c r="AJ34" s="44" t="str">
        <f>+_xlfn.XLOOKUP(PROYECTOS2[[#This Row],[MUNICIPIO]],'4.CAP_ENDMNT'!B:B,'4.CAP_ENDMNT'!Q:Q,0,0,1)</f>
        <v>Cumple</v>
      </c>
    </row>
    <row r="35" spans="1:36">
      <c r="A35" s="44">
        <v>39</v>
      </c>
      <c r="B35" s="37" t="s">
        <v>99</v>
      </c>
      <c r="C35" s="118">
        <f>+_xlfn.XLOOKUP(PROYECTOS2[[#This Row],[ID_NECESIDAD]],'1.RADICADOS'!G:G,'1.RADICADOS'!C:C,0,0,1)*1</f>
        <v>45554</v>
      </c>
      <c r="D35" s="46" t="s">
        <v>35</v>
      </c>
      <c r="E35" s="47" t="str">
        <f>+_xlfn.XLOOKUP(PROYECTOS2[[#This Row],[MUNICIPIO]],MUNICIPIOS!A:A,MUNICIPIOS!E:E,0,0,1)</f>
        <v>Norte</v>
      </c>
      <c r="F35" s="44" t="e" cm="1">
        <f t="array" ref="F35">+_xlfn.XLOOKUP(PROYECTOS2[[#This Row],[MUNICIPIO]],Table1[Municipio],MUNICIPIOS!F:F,0,0,1)</f>
        <v>#VALUE!</v>
      </c>
      <c r="G35" s="44" t="str">
        <f>+LOOKUP(PROYECTOS2[[#This Row],[MUNICIPIO]],Table1[Municipio],Table1[Latitud])</f>
        <v>6,394348</v>
      </c>
      <c r="H35" s="44">
        <f>+LOOKUP(PROYECTOS2[[#This Row],[MUNICIPIO]],Table1[Municipio],Table1[PDET])</f>
        <v>0</v>
      </c>
      <c r="I35" s="44">
        <f>+LOOKUP(PROYECTOS2[[#This Row],[MUNICIPIO]],Table1[Municipio],Table1[ZOMAC])</f>
        <v>1</v>
      </c>
      <c r="J35" s="3" t="str" cm="1">
        <f t="array" ref="J35">_xlfn.TEXTJOIN(", ", TRUE, IF(radicados[ID PROYECTOS]=A35, radicados[RADICADO], ""))</f>
        <v>2024010273696, 2024010429631</v>
      </c>
      <c r="K35" s="45">
        <v>3</v>
      </c>
      <c r="L35" s="45"/>
      <c r="M35" s="43"/>
      <c r="N35" s="48">
        <v>7948407205</v>
      </c>
      <c r="O35" s="48"/>
      <c r="P35" s="48"/>
      <c r="Q35" s="148" t="s">
        <v>1067</v>
      </c>
      <c r="R35" s="34" t="s">
        <v>396</v>
      </c>
      <c r="S35" s="34" t="s">
        <v>398</v>
      </c>
      <c r="T35" s="34" t="s">
        <v>25</v>
      </c>
      <c r="U35" s="37"/>
      <c r="V35" s="44">
        <f>+_xlfn.XLOOKUP(PROYECTOS2[[#This Row],[MUNICIPIO]],'4.CAP_ENDMNT'!B:B,'4.CAP_ENDMNT'!C:C,0,0,1)</f>
        <v>6</v>
      </c>
      <c r="W35" s="139">
        <f>+_xlfn.XLOOKUP(PROYECTOS2[[#This Row],[MUNICIPIO]],'4.CAP_ENDMNT'!B:B,'4.CAP_ENDMNT'!D:D,0,0,1)</f>
        <v>24529039369.539501</v>
      </c>
      <c r="X35" s="140">
        <f>+_xlfn.XLOOKUP(PROYECTOS2[[#This Row],[MUNICIPIO]],'4.CAP_ENDMNT'!B:B,'4.CAP_ENDMNT'!E:E,0,0,1)</f>
        <v>8973012363.6700001</v>
      </c>
      <c r="Y35" s="140">
        <f>+_xlfn.XLOOKUP(PROYECTOS2[[#This Row],[MUNICIPIO]],'4.CAP_ENDMNT'!B:B,'4.CAP_ENDMNT'!F:F,0,0,1)</f>
        <v>15556027005.869501</v>
      </c>
      <c r="Z35" s="140">
        <f>+_xlfn.XLOOKUP(PROYECTOS2[[#This Row],[MUNICIPIO]],'4.CAP_ENDMNT'!B:B,'4.CAP_ENDMNT'!G:G,0,0,1)</f>
        <v>7973050390</v>
      </c>
      <c r="AA35" s="140">
        <f>+_xlfn.XLOOKUP(PROYECTOS2[[#This Row],[MUNICIPIO]],'4.CAP_ENDMNT'!B:B,'4.CAP_ENDMNT'!H:H,0,0,1)</f>
        <v>1625381984</v>
      </c>
      <c r="AB35" s="140">
        <f>+_xlfn.XLOOKUP(PROYECTOS2[[#This Row],[MUNICIPIO]],'4.CAP_ENDMNT'!B:B,'4.CAP_ENDMNT'!I:I,0,0,1)</f>
        <v>9598432374</v>
      </c>
      <c r="AC35" s="134">
        <f>+_xlfn.XLOOKUP(PROYECTOS2[[#This Row],[MUNICIPIO]],'4.CAP_ENDMNT'!B:B,'4.CAP_ENDMNT'!J:J,0,0,1)</f>
        <v>0.39130893914742809</v>
      </c>
      <c r="AD35" s="140">
        <f>+_xlfn.XLOOKUP(PROYECTOS2[[#This Row],[MUNICIPIO]],'4.CAP_ENDMNT'!B:B,'4.CAP_ENDMNT'!K:K,0,0,1)</f>
        <v>14930606995.539501</v>
      </c>
      <c r="AE35" s="140">
        <f>+_xlfn.XLOOKUP(PROYECTOS2[[#This Row],[MUNICIPIO]],'4.CAP_ENDMNT'!B:B,'4.CAP_ENDMNT'!L:L,0,0,1)</f>
        <v>11944485596.431602</v>
      </c>
      <c r="AF35" s="140">
        <f>+_xlfn.XLOOKUP(PROYECTOS2[[#This Row],[MUNICIPIO]],'4.CAP_ENDMNT'!B:B,'4.CAP_ENDMNT'!M:M,0,0,1)</f>
        <v>8958364197.3237</v>
      </c>
      <c r="AG35" s="134">
        <f>+_xlfn.XLOOKUP(PROYECTOS2[[#This Row],[MUNICIPIO]],'4.CAP_ENDMNT'!B:B,'4.CAP_ENDMNT'!N:N,0,0,1)</f>
        <v>0.83066172467883448</v>
      </c>
      <c r="AH35" s="134">
        <f>+_xlfn.XLOOKUP(PROYECTOS2[[#This Row],[MUNICIPIO]],'4.CAP_ENDMNT'!B:B,'4.CAP_ENDMNT'!O:O,0,0,1)</f>
        <v>0.53024343717246458</v>
      </c>
      <c r="AI35" s="134">
        <f>+_xlfn.XLOOKUP(PROYECTOS2[[#This Row],[MUNICIPIO]],'4.CAP_ENDMNT'!B:B,'4.CAP_ENDMNT'!P:P,0,0,1)</f>
        <v>0.8</v>
      </c>
      <c r="AJ35" s="44" t="str">
        <f>+_xlfn.XLOOKUP(PROYECTOS2[[#This Row],[MUNICIPIO]],'4.CAP_ENDMNT'!B:B,'4.CAP_ENDMNT'!Q:Q,0,0,1)</f>
        <v>Cumple</v>
      </c>
    </row>
    <row r="36" spans="1:36">
      <c r="A36" s="44">
        <v>40</v>
      </c>
      <c r="B36" s="37" t="s">
        <v>100</v>
      </c>
      <c r="C36" s="118">
        <f>+_xlfn.XLOOKUP(PROYECTOS2[[#This Row],[ID_NECESIDAD]],'1.RADICADOS'!G:G,'1.RADICADOS'!C:C,0,0,1)*1</f>
        <v>45464</v>
      </c>
      <c r="D36" s="46" t="s">
        <v>88</v>
      </c>
      <c r="E36" s="47" t="str">
        <f>+_xlfn.XLOOKUP(PROYECTOS2[[#This Row],[MUNICIPIO]],MUNICIPIOS!A:A,MUNICIPIOS!E:E,0,0,1)</f>
        <v>Suroeste</v>
      </c>
      <c r="F36" s="44" t="e" cm="1">
        <f t="array" ref="F36">+_xlfn.XLOOKUP(PROYECTOS2[[#This Row],[MUNICIPIO]],Table1[Municipio],MUNICIPIOS!F:F,0,0,1)</f>
        <v>#VALUE!</v>
      </c>
      <c r="G36" s="44" t="str">
        <f>+LOOKUP(PROYECTOS2[[#This Row],[MUNICIPIO]],Table1[Municipio],Table1[Latitud])</f>
        <v>6,246631</v>
      </c>
      <c r="H36" s="44">
        <f>+LOOKUP(PROYECTOS2[[#This Row],[MUNICIPIO]],Table1[Municipio],Table1[PDET])</f>
        <v>0</v>
      </c>
      <c r="I36" s="44">
        <f>+LOOKUP(PROYECTOS2[[#This Row],[MUNICIPIO]],Table1[Municipio],Table1[ZOMAC])</f>
        <v>0</v>
      </c>
      <c r="J36" s="3" t="str" cm="1">
        <f t="array" ref="J36">_xlfn.TEXTJOIN(", ", TRUE, IF(radicados[ID PROYECTOS]=A36, radicados[RADICADO], ""))</f>
        <v>2024010277200</v>
      </c>
      <c r="K36" s="45">
        <v>3</v>
      </c>
      <c r="L36" s="45"/>
      <c r="M36" s="43"/>
      <c r="N36" s="48">
        <v>4106423860</v>
      </c>
      <c r="O36" s="48"/>
      <c r="P36" s="48"/>
      <c r="Q36" s="148" t="s">
        <v>1067</v>
      </c>
      <c r="R36" s="34" t="s">
        <v>401</v>
      </c>
      <c r="S36" s="34" t="s">
        <v>398</v>
      </c>
      <c r="T36" s="34" t="s">
        <v>25</v>
      </c>
      <c r="U36" s="37" t="s">
        <v>1100</v>
      </c>
      <c r="V36" s="44">
        <f>+_xlfn.XLOOKUP(PROYECTOS2[[#This Row],[MUNICIPIO]],'4.CAP_ENDMNT'!B:B,'4.CAP_ENDMNT'!C:C,0,0,1)</f>
        <v>6</v>
      </c>
      <c r="W36" s="139">
        <f>+_xlfn.XLOOKUP(PROYECTOS2[[#This Row],[MUNICIPIO]],'4.CAP_ENDMNT'!B:B,'4.CAP_ENDMNT'!D:D,0,0,1)</f>
        <v>7408957946.4439993</v>
      </c>
      <c r="X36" s="140">
        <f>+_xlfn.XLOOKUP(PROYECTOS2[[#This Row],[MUNICIPIO]],'4.CAP_ENDMNT'!B:B,'4.CAP_ENDMNT'!E:E,0,0,1)</f>
        <v>2726179218.2000003</v>
      </c>
      <c r="Y36" s="140">
        <f>+_xlfn.XLOOKUP(PROYECTOS2[[#This Row],[MUNICIPIO]],'4.CAP_ENDMNT'!B:B,'4.CAP_ENDMNT'!F:F,0,0,1)</f>
        <v>4682778728.2439995</v>
      </c>
      <c r="Z36" s="140">
        <f>+_xlfn.XLOOKUP(PROYECTOS2[[#This Row],[MUNICIPIO]],'4.CAP_ENDMNT'!B:B,'4.CAP_ENDMNT'!G:G,0,0,1)</f>
        <v>1117539497</v>
      </c>
      <c r="AA36" s="140">
        <f>+_xlfn.XLOOKUP(PROYECTOS2[[#This Row],[MUNICIPIO]],'4.CAP_ENDMNT'!B:B,'4.CAP_ENDMNT'!H:H,0,0,1)</f>
        <v>0</v>
      </c>
      <c r="AB36" s="140">
        <f>+_xlfn.XLOOKUP(PROYECTOS2[[#This Row],[MUNICIPIO]],'4.CAP_ENDMNT'!B:B,'4.CAP_ENDMNT'!I:I,0,0,1)</f>
        <v>1117539497</v>
      </c>
      <c r="AC36" s="134">
        <f>+_xlfn.XLOOKUP(PROYECTOS2[[#This Row],[MUNICIPIO]],'4.CAP_ENDMNT'!B:B,'4.CAP_ENDMNT'!J:J,0,0,1)</f>
        <v>0.15083625863153588</v>
      </c>
      <c r="AD36" s="140">
        <f>+_xlfn.XLOOKUP(PROYECTOS2[[#This Row],[MUNICIPIO]],'4.CAP_ENDMNT'!B:B,'4.CAP_ENDMNT'!K:K,0,0,1)</f>
        <v>6291418449.4439993</v>
      </c>
      <c r="AE36" s="140">
        <f>+_xlfn.XLOOKUP(PROYECTOS2[[#This Row],[MUNICIPIO]],'4.CAP_ENDMNT'!B:B,'4.CAP_ENDMNT'!L:L,0,0,1)</f>
        <v>5033134759.5551996</v>
      </c>
      <c r="AF36" s="140">
        <f>+_xlfn.XLOOKUP(PROYECTOS2[[#This Row],[MUNICIPIO]],'4.CAP_ENDMNT'!B:B,'4.CAP_ENDMNT'!M:M,0,0,1)</f>
        <v>3774851069.6663995</v>
      </c>
      <c r="AG36" s="134">
        <f>+_xlfn.XLOOKUP(PROYECTOS2[[#This Row],[MUNICIPIO]],'4.CAP_ENDMNT'!B:B,'4.CAP_ENDMNT'!N:N,0,0,1)</f>
        <v>1</v>
      </c>
      <c r="AH36" s="134">
        <f>+_xlfn.XLOOKUP(PROYECTOS2[[#This Row],[MUNICIPIO]],'4.CAP_ENDMNT'!B:B,'4.CAP_ENDMNT'!O:O,0,0,1)</f>
        <v>0.78495373596781126</v>
      </c>
      <c r="AI36" s="134">
        <f>+_xlfn.XLOOKUP(PROYECTOS2[[#This Row],[MUNICIPIO]],'4.CAP_ENDMNT'!B:B,'4.CAP_ENDMNT'!P:P,0,0,1)</f>
        <v>0.8</v>
      </c>
      <c r="AJ36" s="44" t="str">
        <f>+_xlfn.XLOOKUP(PROYECTOS2[[#This Row],[MUNICIPIO]],'4.CAP_ENDMNT'!B:B,'4.CAP_ENDMNT'!Q:Q,0,0,1)</f>
        <v>Riesgo</v>
      </c>
    </row>
    <row r="37" spans="1:36">
      <c r="A37" s="44">
        <v>42</v>
      </c>
      <c r="B37" s="37" t="s">
        <v>405</v>
      </c>
      <c r="C37" s="118">
        <f>+_xlfn.XLOOKUP(PROYECTOS2[[#This Row],[ID_NECESIDAD]],'1.RADICADOS'!G:G,'1.RADICADOS'!C:C,0,0,1)*1</f>
        <v>45429</v>
      </c>
      <c r="D37" s="46" t="s">
        <v>103</v>
      </c>
      <c r="E37" s="47" t="str">
        <f>+_xlfn.XLOOKUP(PROYECTOS2[[#This Row],[MUNICIPIO]],MUNICIPIOS!A:A,MUNICIPIOS!E:E,0,0,1)</f>
        <v>Oriente</v>
      </c>
      <c r="F37" s="44" t="e" cm="1">
        <f t="array" ref="F37">+_xlfn.XLOOKUP(PROYECTOS2[[#This Row],[MUNICIPIO]],Table1[Municipio],MUNICIPIOS!F:F,0,0,1)</f>
        <v>#VALUE!</v>
      </c>
      <c r="G37" s="44" t="str">
        <f>+LOOKUP(PROYECTOS2[[#This Row],[MUNICIPIO]],Table1[Municipio],Table1[Latitud])</f>
        <v>6,394348</v>
      </c>
      <c r="H37" s="44">
        <f>+LOOKUP(PROYECTOS2[[#This Row],[MUNICIPIO]],Table1[Municipio],Table1[PDET])</f>
        <v>0</v>
      </c>
      <c r="I37" s="44">
        <f>+LOOKUP(PROYECTOS2[[#This Row],[MUNICIPIO]],Table1[Municipio],Table1[ZOMAC])</f>
        <v>1</v>
      </c>
      <c r="J37" s="3" t="str" cm="1">
        <f t="array" ref="J37">_xlfn.TEXTJOIN(", ", TRUE, IF(radicados[ID PROYECTOS]=A37, radicados[RADICADO], ""))</f>
        <v>2024010279803</v>
      </c>
      <c r="K37" s="45">
        <v>1</v>
      </c>
      <c r="L37" s="45"/>
      <c r="M37" s="43"/>
      <c r="N37" s="48"/>
      <c r="O37" s="48"/>
      <c r="P37" s="48"/>
      <c r="Q37" s="148" t="s">
        <v>1067</v>
      </c>
      <c r="R37" s="34" t="s">
        <v>396</v>
      </c>
      <c r="S37" s="34" t="s">
        <v>397</v>
      </c>
      <c r="T37" s="34" t="s">
        <v>56</v>
      </c>
      <c r="U37" s="37" t="s">
        <v>406</v>
      </c>
      <c r="V37" s="44">
        <f>+_xlfn.XLOOKUP(PROYECTOS2[[#This Row],[MUNICIPIO]],'4.CAP_ENDMNT'!B:B,'4.CAP_ENDMNT'!C:C,0,0,1)</f>
        <v>6</v>
      </c>
      <c r="W37" s="139">
        <f>+_xlfn.XLOOKUP(PROYECTOS2[[#This Row],[MUNICIPIO]],'4.CAP_ENDMNT'!B:B,'4.CAP_ENDMNT'!D:D,0,0,1)</f>
        <v>8725724060.9459991</v>
      </c>
      <c r="X37" s="140">
        <f>+_xlfn.XLOOKUP(PROYECTOS2[[#This Row],[MUNICIPIO]],'4.CAP_ENDMNT'!B:B,'4.CAP_ENDMNT'!E:E,0,0,1)</f>
        <v>1935290211.05</v>
      </c>
      <c r="Y37" s="140">
        <f>+_xlfn.XLOOKUP(PROYECTOS2[[#This Row],[MUNICIPIO]],'4.CAP_ENDMNT'!B:B,'4.CAP_ENDMNT'!F:F,0,0,1)</f>
        <v>6790433849.895999</v>
      </c>
      <c r="Z37" s="140">
        <f>+_xlfn.XLOOKUP(PROYECTOS2[[#This Row],[MUNICIPIO]],'4.CAP_ENDMNT'!B:B,'4.CAP_ENDMNT'!G:G,0,0,1)</f>
        <v>661232494</v>
      </c>
      <c r="AA37" s="140">
        <f>+_xlfn.XLOOKUP(PROYECTOS2[[#This Row],[MUNICIPIO]],'4.CAP_ENDMNT'!B:B,'4.CAP_ENDMNT'!H:H,0,0,1)</f>
        <v>0</v>
      </c>
      <c r="AB37" s="140">
        <f>+_xlfn.XLOOKUP(PROYECTOS2[[#This Row],[MUNICIPIO]],'4.CAP_ENDMNT'!B:B,'4.CAP_ENDMNT'!I:I,0,0,1)</f>
        <v>661232494</v>
      </c>
      <c r="AC37" s="134">
        <f>+_xlfn.XLOOKUP(PROYECTOS2[[#This Row],[MUNICIPIO]],'4.CAP_ENDMNT'!B:B,'4.CAP_ENDMNT'!J:J,0,0,1)</f>
        <v>7.5779670475657063E-2</v>
      </c>
      <c r="AD37" s="140">
        <f>+_xlfn.XLOOKUP(PROYECTOS2[[#This Row],[MUNICIPIO]],'4.CAP_ENDMNT'!B:B,'4.CAP_ENDMNT'!K:K,0,0,1)</f>
        <v>8064491566.9459991</v>
      </c>
      <c r="AE37" s="140">
        <f>+_xlfn.XLOOKUP(PROYECTOS2[[#This Row],[MUNICIPIO]],'4.CAP_ENDMNT'!B:B,'4.CAP_ENDMNT'!L:L,0,0,1)</f>
        <v>6451593253.5567999</v>
      </c>
      <c r="AF37" s="140">
        <f>+_xlfn.XLOOKUP(PROYECTOS2[[#This Row],[MUNICIPIO]],'4.CAP_ENDMNT'!B:B,'4.CAP_ENDMNT'!M:M,0,0,1)</f>
        <v>4838694940.1675997</v>
      </c>
      <c r="AG37" s="134">
        <f>+_xlfn.XLOOKUP(PROYECTOS2[[#This Row],[MUNICIPIO]],'4.CAP_ENDMNT'!B:B,'4.CAP_ENDMNT'!N:N,0,0,1)</f>
        <v>1</v>
      </c>
      <c r="AH37" s="134">
        <f>+_xlfn.XLOOKUP(PROYECTOS2[[#This Row],[MUNICIPIO]],'4.CAP_ENDMNT'!B:B,'4.CAP_ENDMNT'!O:O,0,0,1)</f>
        <v>0.53402239411083863</v>
      </c>
      <c r="AI37" s="134">
        <f>+_xlfn.XLOOKUP(PROYECTOS2[[#This Row],[MUNICIPIO]],'4.CAP_ENDMNT'!B:B,'4.CAP_ENDMNT'!P:P,0,0,1)</f>
        <v>0.8</v>
      </c>
      <c r="AJ37" s="44" t="str">
        <f>+_xlfn.XLOOKUP(PROYECTOS2[[#This Row],[MUNICIPIO]],'4.CAP_ENDMNT'!B:B,'4.CAP_ENDMNT'!Q:Q,0,0,1)</f>
        <v>Cumple</v>
      </c>
    </row>
    <row r="38" spans="1:36">
      <c r="A38" s="44">
        <v>43</v>
      </c>
      <c r="B38" s="37" t="s">
        <v>105</v>
      </c>
      <c r="C38" s="118">
        <f>+_xlfn.XLOOKUP(PROYECTOS2[[#This Row],[ID_NECESIDAD]],'1.RADICADOS'!G:G,'1.RADICADOS'!C:C,0,0,1)*1</f>
        <v>45442</v>
      </c>
      <c r="D38" s="46" t="s">
        <v>84</v>
      </c>
      <c r="E38" s="47" t="str">
        <f>+_xlfn.XLOOKUP(PROYECTOS2[[#This Row],[MUNICIPIO]],MUNICIPIOS!A:A,MUNICIPIOS!E:E,0,0,1)</f>
        <v>Oriente</v>
      </c>
      <c r="F38" s="44" t="e" cm="1">
        <f t="array" ref="F38">+_xlfn.XLOOKUP(PROYECTOS2[[#This Row],[MUNICIPIO]],Table1[Municipio],MUNICIPIOS!F:F,0,0,1)</f>
        <v>#VALUE!</v>
      </c>
      <c r="G38" s="44" t="str">
        <f>+LOOKUP(PROYECTOS2[[#This Row],[MUNICIPIO]],Table1[Municipio],Table1[Latitud])</f>
        <v>6,149903</v>
      </c>
      <c r="H38" s="44">
        <f>+LOOKUP(PROYECTOS2[[#This Row],[MUNICIPIO]],Table1[Municipio],Table1[PDET])</f>
        <v>0</v>
      </c>
      <c r="I38" s="44">
        <f>+LOOKUP(PROYECTOS2[[#This Row],[MUNICIPIO]],Table1[Municipio],Table1[ZOMAC])</f>
        <v>0</v>
      </c>
      <c r="J38" s="3" t="str" cm="1">
        <f t="array" ref="J38">_xlfn.TEXTJOIN(", ", TRUE, IF(radicados[ID PROYECTOS]=A38, radicados[RADICADO], ""))</f>
        <v>2024010220650</v>
      </c>
      <c r="K38" s="45">
        <v>3</v>
      </c>
      <c r="L38" s="45"/>
      <c r="M38" s="43"/>
      <c r="N38" s="48">
        <v>11094609252</v>
      </c>
      <c r="O38" s="48"/>
      <c r="P38" s="48"/>
      <c r="Q38" s="148" t="s">
        <v>1067</v>
      </c>
      <c r="R38" s="34" t="s">
        <v>402</v>
      </c>
      <c r="S38" s="40"/>
      <c r="T38" s="40" t="s">
        <v>29</v>
      </c>
      <c r="U38" s="37"/>
      <c r="V38" s="44">
        <f>+_xlfn.XLOOKUP(PROYECTOS2[[#This Row],[MUNICIPIO]],'4.CAP_ENDMNT'!B:B,'4.CAP_ENDMNT'!C:C,0,0,1)</f>
        <v>5</v>
      </c>
      <c r="W38" s="139">
        <f>+_xlfn.XLOOKUP(PROYECTOS2[[#This Row],[MUNICIPIO]],'4.CAP_ENDMNT'!B:B,'4.CAP_ENDMNT'!D:D,0,0,1)</f>
        <v>35695767669.016502</v>
      </c>
      <c r="X38" s="140">
        <f>+_xlfn.XLOOKUP(PROYECTOS2[[#This Row],[MUNICIPIO]],'4.CAP_ENDMNT'!B:B,'4.CAP_ENDMNT'!E:E,0,0,1)</f>
        <v>13532488388.23</v>
      </c>
      <c r="Y38" s="140">
        <f>+_xlfn.XLOOKUP(PROYECTOS2[[#This Row],[MUNICIPIO]],'4.CAP_ENDMNT'!B:B,'4.CAP_ENDMNT'!F:F,0,0,1)</f>
        <v>22163279280.786503</v>
      </c>
      <c r="Z38" s="140">
        <f>+_xlfn.XLOOKUP(PROYECTOS2[[#This Row],[MUNICIPIO]],'4.CAP_ENDMNT'!B:B,'4.CAP_ENDMNT'!G:G,0,0,1)</f>
        <v>1067761948</v>
      </c>
      <c r="AA38" s="140">
        <f>+_xlfn.XLOOKUP(PROYECTOS2[[#This Row],[MUNICIPIO]],'4.CAP_ENDMNT'!B:B,'4.CAP_ENDMNT'!H:H,0,0,1)</f>
        <v>4932032890</v>
      </c>
      <c r="AB38" s="140">
        <f>+_xlfn.XLOOKUP(PROYECTOS2[[#This Row],[MUNICIPIO]],'4.CAP_ENDMNT'!B:B,'4.CAP_ENDMNT'!I:I,0,0,1)</f>
        <v>5999794838</v>
      </c>
      <c r="AC38" s="134">
        <f>+_xlfn.XLOOKUP(PROYECTOS2[[#This Row],[MUNICIPIO]],'4.CAP_ENDMNT'!B:B,'4.CAP_ENDMNT'!J:J,0,0,1)</f>
        <v>0.16808140655867587</v>
      </c>
      <c r="AD38" s="140">
        <f>+_xlfn.XLOOKUP(PROYECTOS2[[#This Row],[MUNICIPIO]],'4.CAP_ENDMNT'!B:B,'4.CAP_ENDMNT'!K:K,0,0,1)</f>
        <v>29695972831.016502</v>
      </c>
      <c r="AE38" s="140">
        <f>+_xlfn.XLOOKUP(PROYECTOS2[[#This Row],[MUNICIPIO]],'4.CAP_ENDMNT'!B:B,'4.CAP_ENDMNT'!L:L,0,0,1)</f>
        <v>23756778264.813202</v>
      </c>
      <c r="AF38" s="140">
        <f>+_xlfn.XLOOKUP(PROYECTOS2[[#This Row],[MUNICIPIO]],'4.CAP_ENDMNT'!B:B,'4.CAP_ENDMNT'!M:M,0,0,1)</f>
        <v>17817583698.609901</v>
      </c>
      <c r="AG38" s="134">
        <f>+_xlfn.XLOOKUP(PROYECTOS2[[#This Row],[MUNICIPIO]],'4.CAP_ENDMNT'!B:B,'4.CAP_ENDMNT'!N:N,0,0,1)</f>
        <v>0.17796640999076777</v>
      </c>
      <c r="AH38" s="134">
        <f>+_xlfn.XLOOKUP(PROYECTOS2[[#This Row],[MUNICIPIO]],'4.CAP_ENDMNT'!B:B,'4.CAP_ENDMNT'!O:O,0,0,1)</f>
        <v>0.4016729815979605</v>
      </c>
      <c r="AI38" s="134">
        <f>+_xlfn.XLOOKUP(PROYECTOS2[[#This Row],[MUNICIPIO]],'4.CAP_ENDMNT'!B:B,'4.CAP_ENDMNT'!P:P,0,0,1)</f>
        <v>0.8</v>
      </c>
      <c r="AJ38" s="44" t="str">
        <f>+_xlfn.XLOOKUP(PROYECTOS2[[#This Row],[MUNICIPIO]],'4.CAP_ENDMNT'!B:B,'4.CAP_ENDMNT'!Q:Q,0,0,1)</f>
        <v>Cumple</v>
      </c>
    </row>
    <row r="39" spans="1:36">
      <c r="A39" s="44">
        <v>44</v>
      </c>
      <c r="B39" s="37" t="s">
        <v>1105</v>
      </c>
      <c r="C39" s="118">
        <f>+_xlfn.XLOOKUP(PROYECTOS2[[#This Row],[ID_NECESIDAD]],'1.RADICADOS'!G:G,'1.RADICADOS'!C:C,0,0,1)*1</f>
        <v>45464</v>
      </c>
      <c r="D39" s="46" t="s">
        <v>54</v>
      </c>
      <c r="E39" s="47" t="str">
        <f>+_xlfn.XLOOKUP(PROYECTOS2[[#This Row],[MUNICIPIO]],MUNICIPIOS!A:A,MUNICIPIOS!E:E,0,0,1)</f>
        <v>Suroeste</v>
      </c>
      <c r="F39" s="44" t="e" cm="1">
        <f t="array" ref="F39">+_xlfn.XLOOKUP(PROYECTOS2[[#This Row],[MUNICIPIO]],Table1[Municipio],MUNICIPIOS!F:F,0,0,1)</f>
        <v>#VALUE!</v>
      </c>
      <c r="G39" s="44" t="str">
        <f>+LOOKUP(PROYECTOS2[[#This Row],[MUNICIPIO]],Table1[Municipio],Table1[Latitud])</f>
        <v>6,149903</v>
      </c>
      <c r="H39" s="44">
        <f>+LOOKUP(PROYECTOS2[[#This Row],[MUNICIPIO]],Table1[Municipio],Table1[PDET])</f>
        <v>0</v>
      </c>
      <c r="I39" s="44">
        <f>+LOOKUP(PROYECTOS2[[#This Row],[MUNICIPIO]],Table1[Municipio],Table1[ZOMAC])</f>
        <v>0</v>
      </c>
      <c r="J39" s="3" t="str" cm="1">
        <f t="array" ref="J39">_xlfn.TEXTJOIN(", ", TRUE, IF(radicados[ID PROYECTOS]=A39, radicados[RADICADO], ""))</f>
        <v>2024010242499</v>
      </c>
      <c r="K39" s="45">
        <v>3</v>
      </c>
      <c r="L39" s="45"/>
      <c r="M39" s="43"/>
      <c r="N39" s="48">
        <v>288779865</v>
      </c>
      <c r="O39" s="48"/>
      <c r="P39" s="48"/>
      <c r="Q39" s="148" t="s">
        <v>1067</v>
      </c>
      <c r="R39" s="34" t="s">
        <v>288</v>
      </c>
      <c r="S39" s="34" t="s">
        <v>398</v>
      </c>
      <c r="T39" s="34" t="s">
        <v>25</v>
      </c>
      <c r="U39" s="37" t="s">
        <v>1104</v>
      </c>
      <c r="V39" s="44">
        <f>+_xlfn.XLOOKUP(PROYECTOS2[[#This Row],[MUNICIPIO]],'4.CAP_ENDMNT'!B:B,'4.CAP_ENDMNT'!C:C,0,0,1)</f>
        <v>6</v>
      </c>
      <c r="W39" s="139">
        <f>+_xlfn.XLOOKUP(PROYECTOS2[[#This Row],[MUNICIPIO]],'4.CAP_ENDMNT'!B:B,'4.CAP_ENDMNT'!D:D,0,0,1)</f>
        <v>9297204605.9125004</v>
      </c>
      <c r="X39" s="140">
        <f>+_xlfn.XLOOKUP(PROYECTOS2[[#This Row],[MUNICIPIO]],'4.CAP_ENDMNT'!B:B,'4.CAP_ENDMNT'!E:E,0,0,1)</f>
        <v>4650900904.1300001</v>
      </c>
      <c r="Y39" s="140">
        <f>+_xlfn.XLOOKUP(PROYECTOS2[[#This Row],[MUNICIPIO]],'4.CAP_ENDMNT'!B:B,'4.CAP_ENDMNT'!F:F,0,0,1)</f>
        <v>4646303701.7825003</v>
      </c>
      <c r="Z39" s="140">
        <f>+_xlfn.XLOOKUP(PROYECTOS2[[#This Row],[MUNICIPIO]],'4.CAP_ENDMNT'!B:B,'4.CAP_ENDMNT'!G:G,0,0,1)</f>
        <v>1308996768</v>
      </c>
      <c r="AA39" s="140">
        <f>+_xlfn.XLOOKUP(PROYECTOS2[[#This Row],[MUNICIPIO]],'4.CAP_ENDMNT'!B:B,'4.CAP_ENDMNT'!H:H,0,0,1)</f>
        <v>0</v>
      </c>
      <c r="AB39" s="140">
        <f>+_xlfn.XLOOKUP(PROYECTOS2[[#This Row],[MUNICIPIO]],'4.CAP_ENDMNT'!B:B,'4.CAP_ENDMNT'!I:I,0,0,1)</f>
        <v>1308996768</v>
      </c>
      <c r="AC39" s="134">
        <f>+_xlfn.XLOOKUP(PROYECTOS2[[#This Row],[MUNICIPIO]],'4.CAP_ENDMNT'!B:B,'4.CAP_ENDMNT'!J:J,0,0,1)</f>
        <v>0.14079466070560084</v>
      </c>
      <c r="AD39" s="140">
        <f>+_xlfn.XLOOKUP(PROYECTOS2[[#This Row],[MUNICIPIO]],'4.CAP_ENDMNT'!B:B,'4.CAP_ENDMNT'!K:K,0,0,1)</f>
        <v>7988207837.9125004</v>
      </c>
      <c r="AE39" s="140">
        <f>+_xlfn.XLOOKUP(PROYECTOS2[[#This Row],[MUNICIPIO]],'4.CAP_ENDMNT'!B:B,'4.CAP_ENDMNT'!L:L,0,0,1)</f>
        <v>6390566270.3300009</v>
      </c>
      <c r="AF39" s="140">
        <f>+_xlfn.XLOOKUP(PROYECTOS2[[#This Row],[MUNICIPIO]],'4.CAP_ENDMNT'!B:B,'4.CAP_ENDMNT'!M:M,0,0,1)</f>
        <v>4792924702.7475004</v>
      </c>
      <c r="AG39" s="134">
        <f>+_xlfn.XLOOKUP(PROYECTOS2[[#This Row],[MUNICIPIO]],'4.CAP_ENDMNT'!B:B,'4.CAP_ENDMNT'!N:N,0,0,1)</f>
        <v>1</v>
      </c>
      <c r="AH39" s="134">
        <f>+_xlfn.XLOOKUP(PROYECTOS2[[#This Row],[MUNICIPIO]],'4.CAP_ENDMNT'!B:B,'4.CAP_ENDMNT'!O:O,0,0,1)</f>
        <v>0.67267671220391811</v>
      </c>
      <c r="AI39" s="134">
        <f>+_xlfn.XLOOKUP(PROYECTOS2[[#This Row],[MUNICIPIO]],'4.CAP_ENDMNT'!B:B,'4.CAP_ENDMNT'!P:P,0,0,1)</f>
        <v>0.8</v>
      </c>
      <c r="AJ39" s="44" t="str">
        <f>+_xlfn.XLOOKUP(PROYECTOS2[[#This Row],[MUNICIPIO]],'4.CAP_ENDMNT'!B:B,'4.CAP_ENDMNT'!Q:Q,0,0,1)</f>
        <v>Cumple</v>
      </c>
    </row>
    <row r="40" spans="1:36">
      <c r="A40" s="44">
        <v>45</v>
      </c>
      <c r="B40" s="37" t="s">
        <v>107</v>
      </c>
      <c r="C40" s="118">
        <f>+_xlfn.XLOOKUP(PROYECTOS2[[#This Row],[ID_NECESIDAD]],'1.RADICADOS'!G:G,'1.RADICADOS'!C:C,0,0,1)*1</f>
        <v>45441</v>
      </c>
      <c r="D40" s="46" t="s">
        <v>27</v>
      </c>
      <c r="E40" s="47" t="str">
        <f>+_xlfn.XLOOKUP(PROYECTOS2[[#This Row],[MUNICIPIO]],MUNICIPIOS!A:A,MUNICIPIOS!E:E,0,0,1)</f>
        <v>Oriente</v>
      </c>
      <c r="F40" s="44" t="e" cm="1">
        <f t="array" ref="F40">+_xlfn.XLOOKUP(PROYECTOS2[[#This Row],[MUNICIPIO]],Table1[Municipio],MUNICIPIOS!F:F,0,0,1)</f>
        <v>#VALUE!</v>
      </c>
      <c r="G40" s="44" t="str">
        <f>+LOOKUP(PROYECTOS2[[#This Row],[MUNICIPIO]],Table1[Municipio],Table1[Latitud])</f>
        <v>6,246631</v>
      </c>
      <c r="H40" s="44">
        <f>+LOOKUP(PROYECTOS2[[#This Row],[MUNICIPIO]],Table1[Municipio],Table1[PDET])</f>
        <v>0</v>
      </c>
      <c r="I40" s="44">
        <f>+LOOKUP(PROYECTOS2[[#This Row],[MUNICIPIO]],Table1[Municipio],Table1[ZOMAC])</f>
        <v>0</v>
      </c>
      <c r="J40" s="3" t="str" cm="1">
        <f t="array" ref="J40">_xlfn.TEXTJOIN(", ", TRUE, IF(radicados[ID PROYECTOS]=A40, radicados[RADICADO], ""))</f>
        <v>2024010278154</v>
      </c>
      <c r="K40" s="45">
        <v>3</v>
      </c>
      <c r="L40" s="45"/>
      <c r="M40" s="43"/>
      <c r="N40" s="48"/>
      <c r="O40" s="48"/>
      <c r="P40" s="48"/>
      <c r="Q40" s="148" t="s">
        <v>1067</v>
      </c>
      <c r="R40" s="34" t="s">
        <v>404</v>
      </c>
      <c r="S40" s="40"/>
      <c r="T40" s="40" t="s">
        <v>29</v>
      </c>
      <c r="U40" s="37"/>
      <c r="V40" s="44">
        <f>+_xlfn.XLOOKUP(PROYECTOS2[[#This Row],[MUNICIPIO]],'4.CAP_ENDMNT'!B:B,'4.CAP_ENDMNT'!C:C,0,0,1)</f>
        <v>1</v>
      </c>
      <c r="W40" s="139">
        <f>+_xlfn.XLOOKUP(PROYECTOS2[[#This Row],[MUNICIPIO]],'4.CAP_ENDMNT'!B:B,'4.CAP_ENDMNT'!D:D,0,0,1)</f>
        <v>501236439904.31354</v>
      </c>
      <c r="X40" s="140">
        <f>+_xlfn.XLOOKUP(PROYECTOS2[[#This Row],[MUNICIPIO]],'4.CAP_ENDMNT'!B:B,'4.CAP_ENDMNT'!E:E,0,0,1)</f>
        <v>112502020079.39</v>
      </c>
      <c r="Y40" s="140">
        <f>+_xlfn.XLOOKUP(PROYECTOS2[[#This Row],[MUNICIPIO]],'4.CAP_ENDMNT'!B:B,'4.CAP_ENDMNT'!F:F,0,0,1)</f>
        <v>388734419824.92352</v>
      </c>
      <c r="Z40" s="140">
        <f>+_xlfn.XLOOKUP(PROYECTOS2[[#This Row],[MUNICIPIO]],'4.CAP_ENDMNT'!B:B,'4.CAP_ENDMNT'!G:G,0,0,1)</f>
        <v>85394840514</v>
      </c>
      <c r="AA40" s="140">
        <f>+_xlfn.XLOOKUP(PROYECTOS2[[#This Row],[MUNICIPIO]],'4.CAP_ENDMNT'!B:B,'4.CAP_ENDMNT'!H:H,0,0,1)</f>
        <v>114109886446.23999</v>
      </c>
      <c r="AB40" s="140">
        <f>+_xlfn.XLOOKUP(PROYECTOS2[[#This Row],[MUNICIPIO]],'4.CAP_ENDMNT'!B:B,'4.CAP_ENDMNT'!I:I,0,0,1)</f>
        <v>199504726960.23999</v>
      </c>
      <c r="AC40" s="134">
        <f>+_xlfn.XLOOKUP(PROYECTOS2[[#This Row],[MUNICIPIO]],'4.CAP_ENDMNT'!B:B,'4.CAP_ENDMNT'!J:J,0,0,1)</f>
        <v>0.39802518547599136</v>
      </c>
      <c r="AD40" s="140">
        <f>+_xlfn.XLOOKUP(PROYECTOS2[[#This Row],[MUNICIPIO]],'4.CAP_ENDMNT'!B:B,'4.CAP_ENDMNT'!K:K,0,0,1)</f>
        <v>301731712944.07355</v>
      </c>
      <c r="AE40" s="140">
        <f>+_xlfn.XLOOKUP(PROYECTOS2[[#This Row],[MUNICIPIO]],'4.CAP_ENDMNT'!B:B,'4.CAP_ENDMNT'!L:L,0,0,1)</f>
        <v>241385370355.25885</v>
      </c>
      <c r="AF40" s="140">
        <f>+_xlfn.XLOOKUP(PROYECTOS2[[#This Row],[MUNICIPIO]],'4.CAP_ENDMNT'!B:B,'4.CAP_ENDMNT'!M:M,0,0,1)</f>
        <v>181039027766.44412</v>
      </c>
      <c r="AG40" s="134">
        <f>+_xlfn.XLOOKUP(PROYECTOS2[[#This Row],[MUNICIPIO]],'4.CAP_ENDMNT'!B:B,'4.CAP_ENDMNT'!N:N,0,0,1)</f>
        <v>0.42803417149619039</v>
      </c>
      <c r="AH40" s="134">
        <f>+_xlfn.XLOOKUP(PROYECTOS2[[#This Row],[MUNICIPIO]],'4.CAP_ENDMNT'!B:B,'4.CAP_ENDMNT'!O:O,0,0,1)</f>
        <v>0.23207277402530038</v>
      </c>
      <c r="AI40" s="134">
        <f>+_xlfn.XLOOKUP(PROYECTOS2[[#This Row],[MUNICIPIO]],'4.CAP_ENDMNT'!B:B,'4.CAP_ENDMNT'!P:P,0,0,1)</f>
        <v>0.65</v>
      </c>
      <c r="AJ40" s="44" t="str">
        <f>+_xlfn.XLOOKUP(PROYECTOS2[[#This Row],[MUNICIPIO]],'4.CAP_ENDMNT'!B:B,'4.CAP_ENDMNT'!Q:Q,0,0,1)</f>
        <v>Cumple</v>
      </c>
    </row>
    <row r="41" spans="1:36">
      <c r="A41" s="44">
        <v>46</v>
      </c>
      <c r="B41" s="37" t="s">
        <v>109</v>
      </c>
      <c r="C41" s="118">
        <f>+_xlfn.XLOOKUP(PROYECTOS2[[#This Row],[ID_NECESIDAD]],'1.RADICADOS'!G:G,'1.RADICADOS'!C:C,0,0,1)*1</f>
        <v>45441</v>
      </c>
      <c r="D41" s="46" t="s">
        <v>63</v>
      </c>
      <c r="E41" s="47" t="str">
        <f>+_xlfn.XLOOKUP(PROYECTOS2[[#This Row],[MUNICIPIO]],MUNICIPIOS!A:A,MUNICIPIOS!E:E,0,0,1)</f>
        <v>Urabá</v>
      </c>
      <c r="F41" s="44" t="e" cm="1">
        <f t="array" ref="F41">+_xlfn.XLOOKUP(PROYECTOS2[[#This Row],[MUNICIPIO]],Table1[Municipio],MUNICIPIOS!F:F,0,0,1)</f>
        <v>#VALUE!</v>
      </c>
      <c r="G41" s="44" t="str">
        <f>+LOOKUP(PROYECTOS2[[#This Row],[MUNICIPIO]],Table1[Municipio],Table1[Latitud])</f>
        <v>6,149903</v>
      </c>
      <c r="H41" s="44">
        <f>+LOOKUP(PROYECTOS2[[#This Row],[MUNICIPIO]],Table1[Municipio],Table1[PDET])</f>
        <v>0</v>
      </c>
      <c r="I41" s="44">
        <f>+LOOKUP(PROYECTOS2[[#This Row],[MUNICIPIO]],Table1[Municipio],Table1[ZOMAC])</f>
        <v>0</v>
      </c>
      <c r="J41" s="3" t="str" cm="1">
        <f t="array" ref="J41">_xlfn.TEXTJOIN(", ", TRUE, IF(radicados[ID PROYECTOS]=A41, radicados[RADICADO], ""))</f>
        <v>2024010240568</v>
      </c>
      <c r="K41" s="45">
        <v>3</v>
      </c>
      <c r="L41" s="45"/>
      <c r="M41" s="43"/>
      <c r="N41" s="48">
        <v>883515930</v>
      </c>
      <c r="O41" s="48"/>
      <c r="P41" s="48"/>
      <c r="Q41" s="148" t="s">
        <v>1067</v>
      </c>
      <c r="R41" s="34" t="s">
        <v>392</v>
      </c>
      <c r="S41" s="40"/>
      <c r="T41" s="40" t="s">
        <v>7</v>
      </c>
      <c r="U41" s="37"/>
      <c r="V41" s="44">
        <f>+_xlfn.XLOOKUP(PROYECTOS2[[#This Row],[MUNICIPIO]],'4.CAP_ENDMNT'!B:B,'4.CAP_ENDMNT'!C:C,0,0,1)</f>
        <v>6</v>
      </c>
      <c r="W41" s="139">
        <f>+_xlfn.XLOOKUP(PROYECTOS2[[#This Row],[MUNICIPIO]],'4.CAP_ENDMNT'!B:B,'4.CAP_ENDMNT'!D:D,0,0,1)</f>
        <v>19508372714.52</v>
      </c>
      <c r="X41" s="140">
        <f>+_xlfn.XLOOKUP(PROYECTOS2[[#This Row],[MUNICIPIO]],'4.CAP_ENDMNT'!B:B,'4.CAP_ENDMNT'!E:E,0,0,1)</f>
        <v>5389834315.5</v>
      </c>
      <c r="Y41" s="140">
        <f>+_xlfn.XLOOKUP(PROYECTOS2[[#This Row],[MUNICIPIO]],'4.CAP_ENDMNT'!B:B,'4.CAP_ENDMNT'!F:F,0,0,1)</f>
        <v>14118538399.02</v>
      </c>
      <c r="Z41" s="140">
        <f>+_xlfn.XLOOKUP(PROYECTOS2[[#This Row],[MUNICIPIO]],'4.CAP_ENDMNT'!B:B,'4.CAP_ENDMNT'!G:G,0,0,1)</f>
        <v>2594281047</v>
      </c>
      <c r="AA41" s="140">
        <f>+_xlfn.XLOOKUP(PROYECTOS2[[#This Row],[MUNICIPIO]],'4.CAP_ENDMNT'!B:B,'4.CAP_ENDMNT'!H:H,0,0,1)</f>
        <v>1833333333</v>
      </c>
      <c r="AB41" s="140">
        <f>+_xlfn.XLOOKUP(PROYECTOS2[[#This Row],[MUNICIPIO]],'4.CAP_ENDMNT'!B:B,'4.CAP_ENDMNT'!I:I,0,0,1)</f>
        <v>4427614380</v>
      </c>
      <c r="AC41" s="134">
        <f>+_xlfn.XLOOKUP(PROYECTOS2[[#This Row],[MUNICIPIO]],'4.CAP_ENDMNT'!B:B,'4.CAP_ENDMNT'!J:J,0,0,1)</f>
        <v>0.22695969801235882</v>
      </c>
      <c r="AD41" s="140">
        <f>+_xlfn.XLOOKUP(PROYECTOS2[[#This Row],[MUNICIPIO]],'4.CAP_ENDMNT'!B:B,'4.CAP_ENDMNT'!K:K,0,0,1)</f>
        <v>15080758334.52</v>
      </c>
      <c r="AE41" s="140">
        <f>+_xlfn.XLOOKUP(PROYECTOS2[[#This Row],[MUNICIPIO]],'4.CAP_ENDMNT'!B:B,'4.CAP_ENDMNT'!L:L,0,0,1)</f>
        <v>12064606667.616001</v>
      </c>
      <c r="AF41" s="140">
        <f>+_xlfn.XLOOKUP(PROYECTOS2[[#This Row],[MUNICIPIO]],'4.CAP_ENDMNT'!B:B,'4.CAP_ENDMNT'!M:M,0,0,1)</f>
        <v>9048455000.7119999</v>
      </c>
      <c r="AG41" s="134">
        <f>+_xlfn.XLOOKUP(PROYECTOS2[[#This Row],[MUNICIPIO]],'4.CAP_ENDMNT'!B:B,'4.CAP_ENDMNT'!N:N,0,0,1)</f>
        <v>0.58593202215591322</v>
      </c>
      <c r="AH41" s="134">
        <f>+_xlfn.XLOOKUP(PROYECTOS2[[#This Row],[MUNICIPIO]],'4.CAP_ENDMNT'!B:B,'4.CAP_ENDMNT'!O:O,0,0,1)</f>
        <v>0.58851112900500024</v>
      </c>
      <c r="AI41" s="134">
        <f>+_xlfn.XLOOKUP(PROYECTOS2[[#This Row],[MUNICIPIO]],'4.CAP_ENDMNT'!B:B,'4.CAP_ENDMNT'!P:P,0,0,1)</f>
        <v>0.8</v>
      </c>
      <c r="AJ41" s="44" t="str">
        <f>+_xlfn.XLOOKUP(PROYECTOS2[[#This Row],[MUNICIPIO]],'4.CAP_ENDMNT'!B:B,'4.CAP_ENDMNT'!Q:Q,0,0,1)</f>
        <v>Cumple</v>
      </c>
    </row>
    <row r="42" spans="1:36">
      <c r="A42" s="44">
        <v>47</v>
      </c>
      <c r="B42" s="37" t="s">
        <v>110</v>
      </c>
      <c r="C42" s="118">
        <f>+_xlfn.XLOOKUP(PROYECTOS2[[#This Row],[ID_NECESIDAD]],'1.RADICADOS'!G:G,'1.RADICADOS'!C:C,0,0,1)*1</f>
        <v>45542</v>
      </c>
      <c r="D42" s="46" t="s">
        <v>63</v>
      </c>
      <c r="E42" s="47" t="str">
        <f>+_xlfn.XLOOKUP(PROYECTOS2[[#This Row],[MUNICIPIO]],MUNICIPIOS!A:A,MUNICIPIOS!E:E,0,0,1)</f>
        <v>Urabá</v>
      </c>
      <c r="F42" s="44" t="e" cm="1">
        <f t="array" ref="F42">+_xlfn.XLOOKUP(PROYECTOS2[[#This Row],[MUNICIPIO]],Table1[Municipio],MUNICIPIOS!F:F,0,0,1)</f>
        <v>#VALUE!</v>
      </c>
      <c r="G42" s="44" t="str">
        <f>+LOOKUP(PROYECTOS2[[#This Row],[MUNICIPIO]],Table1[Municipio],Table1[Latitud])</f>
        <v>6,149903</v>
      </c>
      <c r="H42" s="44">
        <f>+LOOKUP(PROYECTOS2[[#This Row],[MUNICIPIO]],Table1[Municipio],Table1[PDET])</f>
        <v>0</v>
      </c>
      <c r="I42" s="44">
        <f>+LOOKUP(PROYECTOS2[[#This Row],[MUNICIPIO]],Table1[Municipio],Table1[ZOMAC])</f>
        <v>0</v>
      </c>
      <c r="J42" s="3" t="str" cm="1">
        <f t="array" ref="J42">_xlfn.TEXTJOIN(", ", TRUE, IF(radicados[ID PROYECTOS]=A42, radicados[RADICADO], ""))</f>
        <v>2024010240685</v>
      </c>
      <c r="K42" s="45"/>
      <c r="L42" s="45"/>
      <c r="M42" s="43"/>
      <c r="N42" s="48"/>
      <c r="O42" s="48"/>
      <c r="P42" s="48"/>
      <c r="Q42" s="148" t="s">
        <v>1067</v>
      </c>
      <c r="R42" s="34" t="s">
        <v>40</v>
      </c>
      <c r="S42" s="40"/>
      <c r="T42" s="40" t="s">
        <v>40</v>
      </c>
      <c r="U42" s="37"/>
      <c r="V42" s="44">
        <f>+_xlfn.XLOOKUP(PROYECTOS2[[#This Row],[MUNICIPIO]],'4.CAP_ENDMNT'!B:B,'4.CAP_ENDMNT'!C:C,0,0,1)</f>
        <v>6</v>
      </c>
      <c r="W42" s="139">
        <f>+_xlfn.XLOOKUP(PROYECTOS2[[#This Row],[MUNICIPIO]],'4.CAP_ENDMNT'!B:B,'4.CAP_ENDMNT'!D:D,0,0,1)</f>
        <v>19508372714.52</v>
      </c>
      <c r="X42" s="140">
        <f>+_xlfn.XLOOKUP(PROYECTOS2[[#This Row],[MUNICIPIO]],'4.CAP_ENDMNT'!B:B,'4.CAP_ENDMNT'!E:E,0,0,1)</f>
        <v>5389834315.5</v>
      </c>
      <c r="Y42" s="140">
        <f>+_xlfn.XLOOKUP(PROYECTOS2[[#This Row],[MUNICIPIO]],'4.CAP_ENDMNT'!B:B,'4.CAP_ENDMNT'!F:F,0,0,1)</f>
        <v>14118538399.02</v>
      </c>
      <c r="Z42" s="140">
        <f>+_xlfn.XLOOKUP(PROYECTOS2[[#This Row],[MUNICIPIO]],'4.CAP_ENDMNT'!B:B,'4.CAP_ENDMNT'!G:G,0,0,1)</f>
        <v>2594281047</v>
      </c>
      <c r="AA42" s="140">
        <f>+_xlfn.XLOOKUP(PROYECTOS2[[#This Row],[MUNICIPIO]],'4.CAP_ENDMNT'!B:B,'4.CAP_ENDMNT'!H:H,0,0,1)</f>
        <v>1833333333</v>
      </c>
      <c r="AB42" s="140">
        <f>+_xlfn.XLOOKUP(PROYECTOS2[[#This Row],[MUNICIPIO]],'4.CAP_ENDMNT'!B:B,'4.CAP_ENDMNT'!I:I,0,0,1)</f>
        <v>4427614380</v>
      </c>
      <c r="AC42" s="134">
        <f>+_xlfn.XLOOKUP(PROYECTOS2[[#This Row],[MUNICIPIO]],'4.CAP_ENDMNT'!B:B,'4.CAP_ENDMNT'!J:J,0,0,1)</f>
        <v>0.22695969801235882</v>
      </c>
      <c r="AD42" s="140">
        <f>+_xlfn.XLOOKUP(PROYECTOS2[[#This Row],[MUNICIPIO]],'4.CAP_ENDMNT'!B:B,'4.CAP_ENDMNT'!K:K,0,0,1)</f>
        <v>15080758334.52</v>
      </c>
      <c r="AE42" s="140">
        <f>+_xlfn.XLOOKUP(PROYECTOS2[[#This Row],[MUNICIPIO]],'4.CAP_ENDMNT'!B:B,'4.CAP_ENDMNT'!L:L,0,0,1)</f>
        <v>12064606667.616001</v>
      </c>
      <c r="AF42" s="140">
        <f>+_xlfn.XLOOKUP(PROYECTOS2[[#This Row],[MUNICIPIO]],'4.CAP_ENDMNT'!B:B,'4.CAP_ENDMNT'!M:M,0,0,1)</f>
        <v>9048455000.7119999</v>
      </c>
      <c r="AG42" s="134">
        <f>+_xlfn.XLOOKUP(PROYECTOS2[[#This Row],[MUNICIPIO]],'4.CAP_ENDMNT'!B:B,'4.CAP_ENDMNT'!N:N,0,0,1)</f>
        <v>0.58593202215591322</v>
      </c>
      <c r="AH42" s="134">
        <f>+_xlfn.XLOOKUP(PROYECTOS2[[#This Row],[MUNICIPIO]],'4.CAP_ENDMNT'!B:B,'4.CAP_ENDMNT'!O:O,0,0,1)</f>
        <v>0.58851112900500024</v>
      </c>
      <c r="AI42" s="134">
        <f>+_xlfn.XLOOKUP(PROYECTOS2[[#This Row],[MUNICIPIO]],'4.CAP_ENDMNT'!B:B,'4.CAP_ENDMNT'!P:P,0,0,1)</f>
        <v>0.8</v>
      </c>
      <c r="AJ42" s="44" t="str">
        <f>+_xlfn.XLOOKUP(PROYECTOS2[[#This Row],[MUNICIPIO]],'4.CAP_ENDMNT'!B:B,'4.CAP_ENDMNT'!Q:Q,0,0,1)</f>
        <v>Cumple</v>
      </c>
    </row>
    <row r="43" spans="1:36">
      <c r="A43" s="44">
        <v>48</v>
      </c>
      <c r="B43" s="36" t="s">
        <v>112</v>
      </c>
      <c r="C43" s="120">
        <f>+_xlfn.XLOOKUP(PROYECTOS2[[#This Row],[ID_NECESIDAD]],'1.RADICADOS'!G:G,'1.RADICADOS'!C:C,0,0,1)*1</f>
        <v>45602</v>
      </c>
      <c r="D43" s="46" t="s">
        <v>111</v>
      </c>
      <c r="E43" s="47" t="str">
        <f>+_xlfn.XLOOKUP(PROYECTOS2[[#This Row],[MUNICIPIO]],MUNICIPIOS!A:A,MUNICIPIOS!E:E,0,0,1)</f>
        <v>Urabá</v>
      </c>
      <c r="F43" s="44" t="e" cm="1">
        <f t="array" ref="F43">+_xlfn.XLOOKUP(PROYECTOS2[[#This Row],[MUNICIPIO]],Table1[Municipio],MUNICIPIOS!F:F,0,0,1)</f>
        <v>#VALUE!</v>
      </c>
      <c r="G43" s="44" t="str">
        <f>+LOOKUP(PROYECTOS2[[#This Row],[MUNICIPIO]],Table1[Municipio],Table1[Latitud])</f>
        <v>7,074703</v>
      </c>
      <c r="H43" s="44">
        <f>+LOOKUP(PROYECTOS2[[#This Row],[MUNICIPIO]],Table1[Municipio],Table1[PDET])</f>
        <v>1</v>
      </c>
      <c r="I43" s="44">
        <f>+LOOKUP(PROYECTOS2[[#This Row],[MUNICIPIO]],Table1[Municipio],Table1[ZOMAC])</f>
        <v>1</v>
      </c>
      <c r="J43" s="3" t="str" cm="1">
        <f t="array" ref="J43">_xlfn.TEXTJOIN(", ", TRUE, IF(radicados[ID PROYECTOS]=A43, radicados[RADICADO], ""))</f>
        <v>2024010304650, 2024010344153</v>
      </c>
      <c r="K43" s="45">
        <v>3</v>
      </c>
      <c r="L43" s="45"/>
      <c r="M43" s="43"/>
      <c r="N43" s="48">
        <v>7999391717</v>
      </c>
      <c r="O43" s="48"/>
      <c r="P43" s="48"/>
      <c r="Q43" s="148" t="s">
        <v>1067</v>
      </c>
      <c r="R43" s="34" t="s">
        <v>401</v>
      </c>
      <c r="S43" s="34" t="s">
        <v>394</v>
      </c>
      <c r="T43" s="34" t="s">
        <v>18</v>
      </c>
      <c r="U43" s="37"/>
      <c r="V43" s="44">
        <f>+_xlfn.XLOOKUP(PROYECTOS2[[#This Row],[MUNICIPIO]],'4.CAP_ENDMNT'!B:B,'4.CAP_ENDMNT'!C:C,0,0,1)</f>
        <v>3</v>
      </c>
      <c r="W43" s="139">
        <f>+_xlfn.XLOOKUP(PROYECTOS2[[#This Row],[MUNICIPIO]],'4.CAP_ENDMNT'!B:B,'4.CAP_ENDMNT'!D:D,0,0,1)</f>
        <v>77784648137.448013</v>
      </c>
      <c r="X43" s="140">
        <f>+_xlfn.XLOOKUP(PROYECTOS2[[#This Row],[MUNICIPIO]],'4.CAP_ENDMNT'!B:B,'4.CAP_ENDMNT'!E:E,0,0,1)</f>
        <v>31716114442.57</v>
      </c>
      <c r="Y43" s="140">
        <f>+_xlfn.XLOOKUP(PROYECTOS2[[#This Row],[MUNICIPIO]],'4.CAP_ENDMNT'!B:B,'4.CAP_ENDMNT'!F:F,0,0,1)</f>
        <v>46068533694.878014</v>
      </c>
      <c r="Z43" s="140">
        <f>+_xlfn.XLOOKUP(PROYECTOS2[[#This Row],[MUNICIPIO]],'4.CAP_ENDMNT'!B:B,'4.CAP_ENDMNT'!G:G,0,0,1)</f>
        <v>43139212620</v>
      </c>
      <c r="AA43" s="140">
        <f>+_xlfn.XLOOKUP(PROYECTOS2[[#This Row],[MUNICIPIO]],'4.CAP_ENDMNT'!B:B,'4.CAP_ENDMNT'!H:H,0,0,1)</f>
        <v>17341932907.400002</v>
      </c>
      <c r="AB43" s="140">
        <f>+_xlfn.XLOOKUP(PROYECTOS2[[#This Row],[MUNICIPIO]],'4.CAP_ENDMNT'!B:B,'4.CAP_ENDMNT'!I:I,0,0,1)</f>
        <v>60481145527.400002</v>
      </c>
      <c r="AC43" s="134">
        <f>+_xlfn.XLOOKUP(PROYECTOS2[[#This Row],[MUNICIPIO]],'4.CAP_ENDMNT'!B:B,'4.CAP_ENDMNT'!J:J,0,0,1)</f>
        <v>0.77754604508241576</v>
      </c>
      <c r="AD43" s="140">
        <f>+_xlfn.XLOOKUP(PROYECTOS2[[#This Row],[MUNICIPIO]],'4.CAP_ENDMNT'!B:B,'4.CAP_ENDMNT'!K:K,0,0,1)</f>
        <v>17303502610.048012</v>
      </c>
      <c r="AE43" s="140">
        <f>+_xlfn.XLOOKUP(PROYECTOS2[[#This Row],[MUNICIPIO]],'4.CAP_ENDMNT'!B:B,'4.CAP_ENDMNT'!L:L,0,0,1)</f>
        <v>13842802088.03841</v>
      </c>
      <c r="AF43" s="140">
        <f>+_xlfn.XLOOKUP(PROYECTOS2[[#This Row],[MUNICIPIO]],'4.CAP_ENDMNT'!B:B,'4.CAP_ENDMNT'!M:M,0,0,1)</f>
        <v>10382101566.028807</v>
      </c>
      <c r="AG43" s="134">
        <f>+_xlfn.XLOOKUP(PROYECTOS2[[#This Row],[MUNICIPIO]],'4.CAP_ENDMNT'!B:B,'4.CAP_ENDMNT'!N:N,0,0,1)</f>
        <v>0.71326712223822675</v>
      </c>
      <c r="AH43" s="134">
        <f>+_xlfn.XLOOKUP(PROYECTOS2[[#This Row],[MUNICIPIO]],'4.CAP_ENDMNT'!B:B,'4.CAP_ENDMNT'!O:O,0,0,1)</f>
        <v>0.57328291579513591</v>
      </c>
      <c r="AI43" s="134">
        <f>+_xlfn.XLOOKUP(PROYECTOS2[[#This Row],[MUNICIPIO]],'4.CAP_ENDMNT'!B:B,'4.CAP_ENDMNT'!P:P,0,0,1)</f>
        <v>0.7</v>
      </c>
      <c r="AJ43" s="44" t="str">
        <f>+_xlfn.XLOOKUP(PROYECTOS2[[#This Row],[MUNICIPIO]],'4.CAP_ENDMNT'!B:B,'4.CAP_ENDMNT'!Q:Q,0,0,1)</f>
        <v>Cumple</v>
      </c>
    </row>
    <row r="44" spans="1:36">
      <c r="A44" s="44">
        <v>49</v>
      </c>
      <c r="B44" s="37" t="s">
        <v>114</v>
      </c>
      <c r="C44" s="118">
        <f>+_xlfn.XLOOKUP(PROYECTOS2[[#This Row],[ID_NECESIDAD]],'1.RADICADOS'!G:G,'1.RADICADOS'!C:C,0,0,1)*1</f>
        <v>45572</v>
      </c>
      <c r="D44" s="46" t="s">
        <v>113</v>
      </c>
      <c r="E44" s="47" t="str">
        <f>+_xlfn.XLOOKUP(PROYECTOS2[[#This Row],[MUNICIPIO]],MUNICIPIOS!A:A,MUNICIPIOS!E:E,0,0,1)</f>
        <v>Oriente</v>
      </c>
      <c r="F44" s="44" t="e" cm="1">
        <f t="array" ref="F44">+_xlfn.XLOOKUP(PROYECTOS2[[#This Row],[MUNICIPIO]],Table1[Municipio],MUNICIPIOS!F:F,0,0,1)</f>
        <v>#VALUE!</v>
      </c>
      <c r="G44" s="44" t="str">
        <f>+LOOKUP(PROYECTOS2[[#This Row],[MUNICIPIO]],Table1[Municipio],Table1[Latitud])</f>
        <v>6,149903</v>
      </c>
      <c r="H44" s="44">
        <f>+LOOKUP(PROYECTOS2[[#This Row],[MUNICIPIO]],Table1[Municipio],Table1[PDET])</f>
        <v>0</v>
      </c>
      <c r="I44" s="44">
        <f>+LOOKUP(PROYECTOS2[[#This Row],[MUNICIPIO]],Table1[Municipio],Table1[ZOMAC])</f>
        <v>0</v>
      </c>
      <c r="J44" s="3" t="str" cm="1">
        <f t="array" ref="J44">_xlfn.TEXTJOIN(", ", TRUE, IF(radicados[ID PROYECTOS]=A44, radicados[RADICADO], ""))</f>
        <v>2024010258944</v>
      </c>
      <c r="K44" s="45">
        <v>2</v>
      </c>
      <c r="L44" s="45"/>
      <c r="M44" s="43"/>
      <c r="N44" s="48">
        <v>2927424697</v>
      </c>
      <c r="O44" s="48"/>
      <c r="P44" s="48"/>
      <c r="Q44" s="148" t="s">
        <v>1067</v>
      </c>
      <c r="R44" s="34" t="s">
        <v>392</v>
      </c>
      <c r="S44" s="40"/>
      <c r="T44" s="40" t="s">
        <v>7</v>
      </c>
      <c r="U44" s="37"/>
      <c r="V44" s="44">
        <f>+_xlfn.XLOOKUP(PROYECTOS2[[#This Row],[MUNICIPIO]],'4.CAP_ENDMNT'!B:B,'4.CAP_ENDMNT'!C:C,0,0,1)</f>
        <v>6</v>
      </c>
      <c r="W44" s="139">
        <f>+_xlfn.XLOOKUP(PROYECTOS2[[#This Row],[MUNICIPIO]],'4.CAP_ENDMNT'!B:B,'4.CAP_ENDMNT'!D:D,0,0,1)</f>
        <v>7763487077.335</v>
      </c>
      <c r="X44" s="140">
        <f>+_xlfn.XLOOKUP(PROYECTOS2[[#This Row],[MUNICIPIO]],'4.CAP_ENDMNT'!B:B,'4.CAP_ENDMNT'!E:E,0,0,1)</f>
        <v>2329929022.3600001</v>
      </c>
      <c r="Y44" s="140">
        <f>+_xlfn.XLOOKUP(PROYECTOS2[[#This Row],[MUNICIPIO]],'4.CAP_ENDMNT'!B:B,'4.CAP_ENDMNT'!F:F,0,0,1)</f>
        <v>5433558054.9750004</v>
      </c>
      <c r="Z44" s="140">
        <f>+_xlfn.XLOOKUP(PROYECTOS2[[#This Row],[MUNICIPIO]],'4.CAP_ENDMNT'!B:B,'4.CAP_ENDMNT'!G:G,0,0,1)</f>
        <v>1217107364.4400001</v>
      </c>
      <c r="AA44" s="140">
        <f>+_xlfn.XLOOKUP(PROYECTOS2[[#This Row],[MUNICIPIO]],'4.CAP_ENDMNT'!B:B,'4.CAP_ENDMNT'!H:H,0,0,1)</f>
        <v>0</v>
      </c>
      <c r="AB44" s="140">
        <f>+_xlfn.XLOOKUP(PROYECTOS2[[#This Row],[MUNICIPIO]],'4.CAP_ENDMNT'!B:B,'4.CAP_ENDMNT'!I:I,0,0,1)</f>
        <v>1217107364.4400001</v>
      </c>
      <c r="AC44" s="134">
        <f>+_xlfn.XLOOKUP(PROYECTOS2[[#This Row],[MUNICIPIO]],'4.CAP_ENDMNT'!B:B,'4.CAP_ENDMNT'!J:J,0,0,1)</f>
        <v>0.15677328400446064</v>
      </c>
      <c r="AD44" s="140">
        <f>+_xlfn.XLOOKUP(PROYECTOS2[[#This Row],[MUNICIPIO]],'4.CAP_ENDMNT'!B:B,'4.CAP_ENDMNT'!K:K,0,0,1)</f>
        <v>6546379712.8950005</v>
      </c>
      <c r="AE44" s="140">
        <f>+_xlfn.XLOOKUP(PROYECTOS2[[#This Row],[MUNICIPIO]],'4.CAP_ENDMNT'!B:B,'4.CAP_ENDMNT'!L:L,0,0,1)</f>
        <v>5237103770.3160009</v>
      </c>
      <c r="AF44" s="140">
        <f>+_xlfn.XLOOKUP(PROYECTOS2[[#This Row],[MUNICIPIO]],'4.CAP_ENDMNT'!B:B,'4.CAP_ENDMNT'!M:M,0,0,1)</f>
        <v>3927827827.737</v>
      </c>
      <c r="AG44" s="134">
        <f>+_xlfn.XLOOKUP(PROYECTOS2[[#This Row],[MUNICIPIO]],'4.CAP_ENDMNT'!B:B,'4.CAP_ENDMNT'!N:N,0,0,1)</f>
        <v>1</v>
      </c>
      <c r="AH44" s="134">
        <f>+_xlfn.XLOOKUP(PROYECTOS2[[#This Row],[MUNICIPIO]],'4.CAP_ENDMNT'!B:B,'4.CAP_ENDMNT'!O:O,0,0,1)</f>
        <v>0.68141761997590633</v>
      </c>
      <c r="AI44" s="134">
        <f>+_xlfn.XLOOKUP(PROYECTOS2[[#This Row],[MUNICIPIO]],'4.CAP_ENDMNT'!B:B,'4.CAP_ENDMNT'!P:P,0,0,1)</f>
        <v>0.8</v>
      </c>
      <c r="AJ44" s="44" t="str">
        <f>+_xlfn.XLOOKUP(PROYECTOS2[[#This Row],[MUNICIPIO]],'4.CAP_ENDMNT'!B:B,'4.CAP_ENDMNT'!Q:Q,0,0,1)</f>
        <v>Cumple</v>
      </c>
    </row>
    <row r="45" spans="1:36">
      <c r="A45" s="44">
        <v>50</v>
      </c>
      <c r="B45" s="37" t="s">
        <v>116</v>
      </c>
      <c r="C45" s="118">
        <f>+_xlfn.XLOOKUP(PROYECTOS2[[#This Row],[ID_NECESIDAD]],'1.RADICADOS'!G:G,'1.RADICADOS'!C:C,0,0,1)*1</f>
        <v>45490</v>
      </c>
      <c r="D45" s="46" t="s">
        <v>115</v>
      </c>
      <c r="E45" s="47" t="str">
        <f>+_xlfn.XLOOKUP(PROYECTOS2[[#This Row],[MUNICIPIO]],MUNICIPIOS!A:A,MUNICIPIOS!E:E,0,0,1)</f>
        <v>Oriente</v>
      </c>
      <c r="F45" s="44" t="e" cm="1">
        <f t="array" ref="F45">+_xlfn.XLOOKUP(PROYECTOS2[[#This Row],[MUNICIPIO]],Table1[Municipio],MUNICIPIOS!F:F,0,0,1)</f>
        <v>#VALUE!</v>
      </c>
      <c r="G45" s="44" t="str">
        <f>+LOOKUP(PROYECTOS2[[#This Row],[MUNICIPIO]],Table1[Municipio],Table1[Latitud])</f>
        <v>6,028062</v>
      </c>
      <c r="H45" s="44">
        <f>+LOOKUP(PROYECTOS2[[#This Row],[MUNICIPIO]],Table1[Municipio],Table1[PDET])</f>
        <v>0</v>
      </c>
      <c r="I45" s="44">
        <f>+LOOKUP(PROYECTOS2[[#This Row],[MUNICIPIO]],Table1[Municipio],Table1[ZOMAC])</f>
        <v>0</v>
      </c>
      <c r="J45" s="3" t="str" cm="1">
        <f t="array" ref="J45">_xlfn.TEXTJOIN(", ", TRUE, IF(radicados[ID PROYECTOS]=A45, radicados[RADICADO], ""))</f>
        <v>2024010308663</v>
      </c>
      <c r="K45" s="142">
        <v>2</v>
      </c>
      <c r="L45" s="45"/>
      <c r="M45" s="43"/>
      <c r="N45" s="48">
        <v>2999920775</v>
      </c>
      <c r="O45" s="48"/>
      <c r="P45" s="48"/>
      <c r="Q45" s="148" t="s">
        <v>1067</v>
      </c>
      <c r="R45" s="34" t="s">
        <v>404</v>
      </c>
      <c r="S45" s="40"/>
      <c r="T45" s="40" t="s">
        <v>29</v>
      </c>
      <c r="U45" s="37" t="s">
        <v>976</v>
      </c>
      <c r="V45" s="44">
        <f>+_xlfn.XLOOKUP(PROYECTOS2[[#This Row],[MUNICIPIO]],'4.CAP_ENDMNT'!B:B,'4.CAP_ENDMNT'!C:C,0,0,1)</f>
        <v>2</v>
      </c>
      <c r="W45" s="139">
        <f>+_xlfn.XLOOKUP(PROYECTOS2[[#This Row],[MUNICIPIO]],'4.CAP_ENDMNT'!B:B,'4.CAP_ENDMNT'!D:D,0,0,1)</f>
        <v>102691614388.099</v>
      </c>
      <c r="X45" s="140">
        <f>+_xlfn.XLOOKUP(PROYECTOS2[[#This Row],[MUNICIPIO]],'4.CAP_ENDMNT'!B:B,'4.CAP_ENDMNT'!E:E,0,0,1)</f>
        <v>29123622287.32</v>
      </c>
      <c r="Y45" s="140">
        <f>+_xlfn.XLOOKUP(PROYECTOS2[[#This Row],[MUNICIPIO]],'4.CAP_ENDMNT'!B:B,'4.CAP_ENDMNT'!F:F,0,0,1)</f>
        <v>73567992100.778992</v>
      </c>
      <c r="Z45" s="140">
        <f>+_xlfn.XLOOKUP(PROYECTOS2[[#This Row],[MUNICIPIO]],'4.CAP_ENDMNT'!B:B,'4.CAP_ENDMNT'!G:G,0,0,1)</f>
        <v>5166195556</v>
      </c>
      <c r="AA45" s="140">
        <f>+_xlfn.XLOOKUP(PROYECTOS2[[#This Row],[MUNICIPIO]],'4.CAP_ENDMNT'!B:B,'4.CAP_ENDMNT'!H:H,0,0,1)</f>
        <v>27283390599</v>
      </c>
      <c r="AB45" s="140">
        <f>+_xlfn.XLOOKUP(PROYECTOS2[[#This Row],[MUNICIPIO]],'4.CAP_ENDMNT'!B:B,'4.CAP_ENDMNT'!I:I,0,0,1)</f>
        <v>32449586155</v>
      </c>
      <c r="AC45" s="134">
        <f>+_xlfn.XLOOKUP(PROYECTOS2[[#This Row],[MUNICIPIO]],'4.CAP_ENDMNT'!B:B,'4.CAP_ENDMNT'!J:J,0,0,1)</f>
        <v>0.3159906127521217</v>
      </c>
      <c r="AD45" s="140">
        <f>+_xlfn.XLOOKUP(PROYECTOS2[[#This Row],[MUNICIPIO]],'4.CAP_ENDMNT'!B:B,'4.CAP_ENDMNT'!K:K,0,0,1)</f>
        <v>70242028233.098999</v>
      </c>
      <c r="AE45" s="140">
        <f>+_xlfn.XLOOKUP(PROYECTOS2[[#This Row],[MUNICIPIO]],'4.CAP_ENDMNT'!B:B,'4.CAP_ENDMNT'!L:L,0,0,1)</f>
        <v>56193622586.479202</v>
      </c>
      <c r="AF45" s="140">
        <f>+_xlfn.XLOOKUP(PROYECTOS2[[#This Row],[MUNICIPIO]],'4.CAP_ENDMNT'!B:B,'4.CAP_ENDMNT'!M:M,0,0,1)</f>
        <v>42145216939.859398</v>
      </c>
      <c r="AG45" s="134">
        <f>+_xlfn.XLOOKUP(PROYECTOS2[[#This Row],[MUNICIPIO]],'4.CAP_ENDMNT'!B:B,'4.CAP_ENDMNT'!N:N,0,0,1)</f>
        <v>0.15920682412783146</v>
      </c>
      <c r="AH45" s="134">
        <f>+_xlfn.XLOOKUP(PROYECTOS2[[#This Row],[MUNICIPIO]],'4.CAP_ENDMNT'!B:B,'4.CAP_ENDMNT'!O:O,0,0,1)</f>
        <v>0.28977187660096981</v>
      </c>
      <c r="AI45" s="134">
        <f>+_xlfn.XLOOKUP(PROYECTOS2[[#This Row],[MUNICIPIO]],'4.CAP_ENDMNT'!B:B,'4.CAP_ENDMNT'!P:P,0,0,1)</f>
        <v>0.7</v>
      </c>
      <c r="AJ45" s="44" t="str">
        <f>+_xlfn.XLOOKUP(PROYECTOS2[[#This Row],[MUNICIPIO]],'4.CAP_ENDMNT'!B:B,'4.CAP_ENDMNT'!Q:Q,0,0,1)</f>
        <v>Cumple</v>
      </c>
    </row>
    <row r="46" spans="1:36">
      <c r="A46" s="44">
        <v>51</v>
      </c>
      <c r="B46" s="37" t="s">
        <v>119</v>
      </c>
      <c r="C46" s="118">
        <f>+_xlfn.XLOOKUP(PROYECTOS2[[#This Row],[ID_NECESIDAD]],'1.RADICADOS'!G:G,'1.RADICADOS'!C:C,0,0,1)*1</f>
        <v>45633</v>
      </c>
      <c r="D46" s="46" t="s">
        <v>118</v>
      </c>
      <c r="E46" s="47" t="str">
        <f>+_xlfn.XLOOKUP(PROYECTOS2[[#This Row],[MUNICIPIO]],MUNICIPIOS!A:A,MUNICIPIOS!E:E,0,0,1)</f>
        <v>Urabá</v>
      </c>
      <c r="F46" s="44" t="e" cm="1">
        <f t="array" ref="F46">+_xlfn.XLOOKUP(PROYECTOS2[[#This Row],[MUNICIPIO]],Table1[Municipio],MUNICIPIOS!F:F,0,0,1)</f>
        <v>#VALUE!</v>
      </c>
      <c r="G46" s="44" t="str">
        <f>+LOOKUP(PROYECTOS2[[#This Row],[MUNICIPIO]],Table1[Municipio],Table1[Latitud])</f>
        <v>7,074703</v>
      </c>
      <c r="H46" s="44">
        <f>+LOOKUP(PROYECTOS2[[#This Row],[MUNICIPIO]],Table1[Municipio],Table1[PDET])</f>
        <v>1</v>
      </c>
      <c r="I46" s="44">
        <f>+LOOKUP(PROYECTOS2[[#This Row],[MUNICIPIO]],Table1[Municipio],Table1[ZOMAC])</f>
        <v>1</v>
      </c>
      <c r="J46" s="3" t="str" cm="1">
        <f t="array" ref="J46">_xlfn.TEXTJOIN(", ", TRUE, IF(radicados[ID PROYECTOS]=A46, radicados[RADICADO], ""))</f>
        <v>2024010308857</v>
      </c>
      <c r="K46" s="45">
        <v>3</v>
      </c>
      <c r="L46" s="45"/>
      <c r="M46" s="43"/>
      <c r="N46" s="48">
        <v>4215630027</v>
      </c>
      <c r="O46" s="48"/>
      <c r="P46" s="48"/>
      <c r="Q46" s="148" t="s">
        <v>1067</v>
      </c>
      <c r="R46" s="34" t="s">
        <v>401</v>
      </c>
      <c r="S46" s="34" t="s">
        <v>394</v>
      </c>
      <c r="T46" s="34" t="s">
        <v>18</v>
      </c>
      <c r="U46" s="37"/>
      <c r="V46" s="44">
        <f>+_xlfn.XLOOKUP(PROYECTOS2[[#This Row],[MUNICIPIO]],'4.CAP_ENDMNT'!B:B,'4.CAP_ENDMNT'!C:C,0,0,1)</f>
        <v>6</v>
      </c>
      <c r="W46" s="139">
        <f>+_xlfn.XLOOKUP(PROYECTOS2[[#This Row],[MUNICIPIO]],'4.CAP_ENDMNT'!B:B,'4.CAP_ENDMNT'!D:D,0,0,1)</f>
        <v>31480625713.601501</v>
      </c>
      <c r="X46" s="140">
        <f>+_xlfn.XLOOKUP(PROYECTOS2[[#This Row],[MUNICIPIO]],'4.CAP_ENDMNT'!B:B,'4.CAP_ENDMNT'!E:E,0,0,1)</f>
        <v>12012746210.970001</v>
      </c>
      <c r="Y46" s="140">
        <f>+_xlfn.XLOOKUP(PROYECTOS2[[#This Row],[MUNICIPIO]],'4.CAP_ENDMNT'!B:B,'4.CAP_ENDMNT'!F:F,0,0,1)</f>
        <v>19467879502.6315</v>
      </c>
      <c r="Z46" s="140">
        <f>+_xlfn.XLOOKUP(PROYECTOS2[[#This Row],[MUNICIPIO]],'4.CAP_ENDMNT'!B:B,'4.CAP_ENDMNT'!G:G,0,0,1)</f>
        <v>990257688</v>
      </c>
      <c r="AA46" s="140">
        <f>+_xlfn.XLOOKUP(PROYECTOS2[[#This Row],[MUNICIPIO]],'4.CAP_ENDMNT'!B:B,'4.CAP_ENDMNT'!H:H,0,0,1)</f>
        <v>4241046406.5999999</v>
      </c>
      <c r="AB46" s="140">
        <f>+_xlfn.XLOOKUP(PROYECTOS2[[#This Row],[MUNICIPIO]],'4.CAP_ENDMNT'!B:B,'4.CAP_ENDMNT'!I:I,0,0,1)</f>
        <v>5231304094.6000004</v>
      </c>
      <c r="AC46" s="134">
        <f>+_xlfn.XLOOKUP(PROYECTOS2[[#This Row],[MUNICIPIO]],'4.CAP_ENDMNT'!B:B,'4.CAP_ENDMNT'!J:J,0,0,1)</f>
        <v>0.16617535312647125</v>
      </c>
      <c r="AD46" s="140">
        <f>+_xlfn.XLOOKUP(PROYECTOS2[[#This Row],[MUNICIPIO]],'4.CAP_ENDMNT'!B:B,'4.CAP_ENDMNT'!K:K,0,0,1)</f>
        <v>26249321619.001503</v>
      </c>
      <c r="AE46" s="140">
        <f>+_xlfn.XLOOKUP(PROYECTOS2[[#This Row],[MUNICIPIO]],'4.CAP_ENDMNT'!B:B,'4.CAP_ENDMNT'!L:L,0,0,1)</f>
        <v>20999457295.201202</v>
      </c>
      <c r="AF46" s="140">
        <f>+_xlfn.XLOOKUP(PROYECTOS2[[#This Row],[MUNICIPIO]],'4.CAP_ENDMNT'!B:B,'4.CAP_ENDMNT'!M:M,0,0,1)</f>
        <v>15749592971.400902</v>
      </c>
      <c r="AG46" s="134">
        <f>+_xlfn.XLOOKUP(PROYECTOS2[[#This Row],[MUNICIPIO]],'4.CAP_ENDMNT'!B:B,'4.CAP_ENDMNT'!N:N,0,0,1)</f>
        <v>0.18929461375074541</v>
      </c>
      <c r="AH46" s="134">
        <f>+_xlfn.XLOOKUP(PROYECTOS2[[#This Row],[MUNICIPIO]],'4.CAP_ENDMNT'!B:B,'4.CAP_ENDMNT'!O:O,0,0,1)</f>
        <v>0.57128723877428544</v>
      </c>
      <c r="AI46" s="134">
        <f>+_xlfn.XLOOKUP(PROYECTOS2[[#This Row],[MUNICIPIO]],'4.CAP_ENDMNT'!B:B,'4.CAP_ENDMNT'!P:P,0,0,1)</f>
        <v>0.8</v>
      </c>
      <c r="AJ46" s="44" t="str">
        <f>+_xlfn.XLOOKUP(PROYECTOS2[[#This Row],[MUNICIPIO]],'4.CAP_ENDMNT'!B:B,'4.CAP_ENDMNT'!Q:Q,0,0,1)</f>
        <v>Cumple</v>
      </c>
    </row>
    <row r="47" spans="1:36">
      <c r="A47" s="44">
        <v>52</v>
      </c>
      <c r="B47" s="37" t="s">
        <v>121</v>
      </c>
      <c r="C47" s="118">
        <f>+_xlfn.XLOOKUP(PROYECTOS2[[#This Row],[ID_NECESIDAD]],'1.RADICADOS'!G:G,'1.RADICADOS'!C:C,0,0,1)*1</f>
        <v>45358</v>
      </c>
      <c r="D47" s="46" t="s">
        <v>120</v>
      </c>
      <c r="E47" s="47" t="str">
        <f>+_xlfn.XLOOKUP(PROYECTOS2[[#This Row],[MUNICIPIO]],MUNICIPIOS!A:A,MUNICIPIOS!E:E,0,0,1)</f>
        <v>Norte</v>
      </c>
      <c r="F47" s="44" t="e" cm="1">
        <f t="array" ref="F47">+_xlfn.XLOOKUP(PROYECTOS2[[#This Row],[MUNICIPIO]],Table1[Municipio],MUNICIPIOS!F:F,0,0,1)</f>
        <v>#VALUE!</v>
      </c>
      <c r="G47" s="44" t="str">
        <f>+LOOKUP(PROYECTOS2[[#This Row],[MUNICIPIO]],Table1[Municipio],Table1[Latitud])</f>
        <v>6,149903</v>
      </c>
      <c r="H47" s="44">
        <f>+LOOKUP(PROYECTOS2[[#This Row],[MUNICIPIO]],Table1[Municipio],Table1[PDET])</f>
        <v>0</v>
      </c>
      <c r="I47" s="44">
        <f>+LOOKUP(PROYECTOS2[[#This Row],[MUNICIPIO]],Table1[Municipio],Table1[ZOMAC])</f>
        <v>0</v>
      </c>
      <c r="J47" s="3" t="str" cm="1">
        <f t="array" ref="J47">_xlfn.TEXTJOIN(", ", TRUE, IF(radicados[ID PROYECTOS]=A47, radicados[RADICADO], ""))</f>
        <v>2024010313514</v>
      </c>
      <c r="K47" s="128">
        <v>1</v>
      </c>
      <c r="L47" s="45"/>
      <c r="M47" s="43"/>
      <c r="N47" s="48"/>
      <c r="O47" s="48"/>
      <c r="P47" s="48"/>
      <c r="Q47" s="148" t="s">
        <v>1067</v>
      </c>
      <c r="R47" s="34" t="s">
        <v>407</v>
      </c>
      <c r="S47" s="34" t="s">
        <v>398</v>
      </c>
      <c r="T47" s="34" t="s">
        <v>78</v>
      </c>
      <c r="U47" s="37"/>
      <c r="V47" s="44">
        <f>+_xlfn.XLOOKUP(PROYECTOS2[[#This Row],[MUNICIPIO]],'4.CAP_ENDMNT'!B:B,'4.CAP_ENDMNT'!C:C,0,0,1)</f>
        <v>5</v>
      </c>
      <c r="W47" s="139">
        <f>+_xlfn.XLOOKUP(PROYECTOS2[[#This Row],[MUNICIPIO]],'4.CAP_ENDMNT'!B:B,'4.CAP_ENDMNT'!D:D,0,0,1)</f>
        <v>36204719778.619003</v>
      </c>
      <c r="X47" s="140">
        <f>+_xlfn.XLOOKUP(PROYECTOS2[[#This Row],[MUNICIPIO]],'4.CAP_ENDMNT'!B:B,'4.CAP_ENDMNT'!E:E,0,0,1)</f>
        <v>11082623753.610001</v>
      </c>
      <c r="Y47" s="140">
        <f>+_xlfn.XLOOKUP(PROYECTOS2[[#This Row],[MUNICIPIO]],'4.CAP_ENDMNT'!B:B,'4.CAP_ENDMNT'!F:F,0,0,1)</f>
        <v>25122096025.009003</v>
      </c>
      <c r="Z47" s="140">
        <f>+_xlfn.XLOOKUP(PROYECTOS2[[#This Row],[MUNICIPIO]],'4.CAP_ENDMNT'!B:B,'4.CAP_ENDMNT'!G:G,0,0,1)</f>
        <v>1291156679</v>
      </c>
      <c r="AA47" s="140">
        <f>+_xlfn.XLOOKUP(PROYECTOS2[[#This Row],[MUNICIPIO]],'4.CAP_ENDMNT'!B:B,'4.CAP_ENDMNT'!H:H,0,0,1)</f>
        <v>12320355879.07</v>
      </c>
      <c r="AB47" s="140">
        <f>+_xlfn.XLOOKUP(PROYECTOS2[[#This Row],[MUNICIPIO]],'4.CAP_ENDMNT'!B:B,'4.CAP_ENDMNT'!I:I,0,0,1)</f>
        <v>13611512558.07</v>
      </c>
      <c r="AC47" s="134">
        <f>+_xlfn.XLOOKUP(PROYECTOS2[[#This Row],[MUNICIPIO]],'4.CAP_ENDMNT'!B:B,'4.CAP_ENDMNT'!J:J,0,0,1)</f>
        <v>0.37595961635113639</v>
      </c>
      <c r="AD47" s="140">
        <f>+_xlfn.XLOOKUP(PROYECTOS2[[#This Row],[MUNICIPIO]],'4.CAP_ENDMNT'!B:B,'4.CAP_ENDMNT'!K:K,0,0,1)</f>
        <v>22593207220.549004</v>
      </c>
      <c r="AE47" s="140">
        <f>+_xlfn.XLOOKUP(PROYECTOS2[[#This Row],[MUNICIPIO]],'4.CAP_ENDMNT'!B:B,'4.CAP_ENDMNT'!L:L,0,0,1)</f>
        <v>18074565776.439205</v>
      </c>
      <c r="AF47" s="140">
        <f>+_xlfn.XLOOKUP(PROYECTOS2[[#This Row],[MUNICIPIO]],'4.CAP_ENDMNT'!B:B,'4.CAP_ENDMNT'!M:M,0,0,1)</f>
        <v>13555924332.329401</v>
      </c>
      <c r="AG47" s="134">
        <f>+_xlfn.XLOOKUP(PROYECTOS2[[#This Row],[MUNICIPIO]],'4.CAP_ENDMNT'!B:B,'4.CAP_ENDMNT'!N:N,0,0,1)</f>
        <v>9.4857692963336279E-2</v>
      </c>
      <c r="AH47" s="134">
        <f>+_xlfn.XLOOKUP(PROYECTOS2[[#This Row],[MUNICIPIO]],'4.CAP_ENDMNT'!B:B,'4.CAP_ENDMNT'!O:O,0,0,1)</f>
        <v>0.39053077044629697</v>
      </c>
      <c r="AI47" s="134">
        <f>+_xlfn.XLOOKUP(PROYECTOS2[[#This Row],[MUNICIPIO]],'4.CAP_ENDMNT'!B:B,'4.CAP_ENDMNT'!P:P,0,0,1)</f>
        <v>0.8</v>
      </c>
      <c r="AJ47" s="44" t="str">
        <f>+_xlfn.XLOOKUP(PROYECTOS2[[#This Row],[MUNICIPIO]],'4.CAP_ENDMNT'!B:B,'4.CAP_ENDMNT'!Q:Q,0,0,1)</f>
        <v>Cumple</v>
      </c>
    </row>
    <row r="48" spans="1:36">
      <c r="A48" s="44">
        <v>53</v>
      </c>
      <c r="B48" s="37" t="s">
        <v>122</v>
      </c>
      <c r="C48" s="118">
        <f>+_xlfn.XLOOKUP(PROYECTOS2[[#This Row],[ID_NECESIDAD]],'1.RADICADOS'!G:G,'1.RADICADOS'!C:C,0,0,1)*1</f>
        <v>45603</v>
      </c>
      <c r="D48" s="46" t="s">
        <v>95</v>
      </c>
      <c r="E48" s="47" t="str">
        <f>+_xlfn.XLOOKUP(PROYECTOS2[[#This Row],[MUNICIPIO]],MUNICIPIOS!A:A,MUNICIPIOS!E:E,0,0,1)</f>
        <v>Occidente</v>
      </c>
      <c r="F48" s="44" t="e" cm="1">
        <f t="array" ref="F48">+_xlfn.XLOOKUP(PROYECTOS2[[#This Row],[MUNICIPIO]],Table1[Municipio],MUNICIPIOS!F:F,0,0,1)</f>
        <v>#VALUE!</v>
      </c>
      <c r="G48" s="44" t="str">
        <f>+LOOKUP(PROYECTOS2[[#This Row],[MUNICIPIO]],Table1[Municipio],Table1[Latitud])</f>
        <v>6,149903</v>
      </c>
      <c r="H48" s="44">
        <f>+LOOKUP(PROYECTOS2[[#This Row],[MUNICIPIO]],Table1[Municipio],Table1[PDET])</f>
        <v>0</v>
      </c>
      <c r="I48" s="44">
        <f>+LOOKUP(PROYECTOS2[[#This Row],[MUNICIPIO]],Table1[Municipio],Table1[ZOMAC])</f>
        <v>0</v>
      </c>
      <c r="J48" s="3" t="str" cm="1">
        <f t="array" ref="J48">_xlfn.TEXTJOIN(", ", TRUE, IF(radicados[ID PROYECTOS]=A48, radicados[RADICADO], ""))</f>
        <v>2024010295409</v>
      </c>
      <c r="K48" s="45">
        <v>1</v>
      </c>
      <c r="L48" s="45"/>
      <c r="M48" s="43"/>
      <c r="N48" s="48"/>
      <c r="O48" s="48"/>
      <c r="P48" s="48"/>
      <c r="Q48" s="148" t="s">
        <v>1067</v>
      </c>
      <c r="R48" s="34" t="s">
        <v>396</v>
      </c>
      <c r="S48" s="34" t="s">
        <v>398</v>
      </c>
      <c r="T48" s="34" t="s">
        <v>78</v>
      </c>
      <c r="U48" s="37" t="s">
        <v>960</v>
      </c>
      <c r="V48" s="44">
        <f>+_xlfn.XLOOKUP(PROYECTOS2[[#This Row],[MUNICIPIO]],'4.CAP_ENDMNT'!B:B,'4.CAP_ENDMNT'!C:C,0,0,1)</f>
        <v>6</v>
      </c>
      <c r="W48" s="139">
        <f>+_xlfn.XLOOKUP(PROYECTOS2[[#This Row],[MUNICIPIO]],'4.CAP_ENDMNT'!B:B,'4.CAP_ENDMNT'!D:D,0,0,1)</f>
        <v>16347842057.745998</v>
      </c>
      <c r="X48" s="140">
        <f>+_xlfn.XLOOKUP(PROYECTOS2[[#This Row],[MUNICIPIO]],'4.CAP_ENDMNT'!B:B,'4.CAP_ENDMNT'!E:E,0,0,1)</f>
        <v>7901643157.3299999</v>
      </c>
      <c r="Y48" s="140">
        <f>+_xlfn.XLOOKUP(PROYECTOS2[[#This Row],[MUNICIPIO]],'4.CAP_ENDMNT'!B:B,'4.CAP_ENDMNT'!F:F,0,0,1)</f>
        <v>8446198900.4159985</v>
      </c>
      <c r="Z48" s="140">
        <f>+_xlfn.XLOOKUP(PROYECTOS2[[#This Row],[MUNICIPIO]],'4.CAP_ENDMNT'!B:B,'4.CAP_ENDMNT'!G:G,0,0,1)</f>
        <v>1620905965.8499999</v>
      </c>
      <c r="AA48" s="140">
        <f>+_xlfn.XLOOKUP(PROYECTOS2[[#This Row],[MUNICIPIO]],'4.CAP_ENDMNT'!B:B,'4.CAP_ENDMNT'!H:H,0,0,1)</f>
        <v>2416666620</v>
      </c>
      <c r="AB48" s="140">
        <f>+_xlfn.XLOOKUP(PROYECTOS2[[#This Row],[MUNICIPIO]],'4.CAP_ENDMNT'!B:B,'4.CAP_ENDMNT'!I:I,0,0,1)</f>
        <v>4037572585.8499999</v>
      </c>
      <c r="AC48" s="134">
        <f>+_xlfn.XLOOKUP(PROYECTOS2[[#This Row],[MUNICIPIO]],'4.CAP_ENDMNT'!B:B,'4.CAP_ENDMNT'!J:J,0,0,1)</f>
        <v>0.24697893285168493</v>
      </c>
      <c r="AD48" s="140">
        <f>+_xlfn.XLOOKUP(PROYECTOS2[[#This Row],[MUNICIPIO]],'4.CAP_ENDMNT'!B:B,'4.CAP_ENDMNT'!K:K,0,0,1)</f>
        <v>12310269471.895998</v>
      </c>
      <c r="AE48" s="140">
        <f>+_xlfn.XLOOKUP(PROYECTOS2[[#This Row],[MUNICIPIO]],'4.CAP_ENDMNT'!B:B,'4.CAP_ENDMNT'!L:L,0,0,1)</f>
        <v>9848215577.516798</v>
      </c>
      <c r="AF48" s="140">
        <f>+_xlfn.XLOOKUP(PROYECTOS2[[#This Row],[MUNICIPIO]],'4.CAP_ENDMNT'!B:B,'4.CAP_ENDMNT'!M:M,0,0,1)</f>
        <v>7386161683.137599</v>
      </c>
      <c r="AG48" s="134">
        <f>+_xlfn.XLOOKUP(PROYECTOS2[[#This Row],[MUNICIPIO]],'4.CAP_ENDMNT'!B:B,'4.CAP_ENDMNT'!N:N,0,0,1)</f>
        <v>0.40145556058375176</v>
      </c>
      <c r="AH48" s="134">
        <f>+_xlfn.XLOOKUP(PROYECTOS2[[#This Row],[MUNICIPIO]],'4.CAP_ENDMNT'!B:B,'4.CAP_ENDMNT'!O:O,0,0,1)</f>
        <v>0.5852153455768756</v>
      </c>
      <c r="AI48" s="134">
        <f>+_xlfn.XLOOKUP(PROYECTOS2[[#This Row],[MUNICIPIO]],'4.CAP_ENDMNT'!B:B,'4.CAP_ENDMNT'!P:P,0,0,1)</f>
        <v>0.8</v>
      </c>
      <c r="AJ48" s="44" t="str">
        <f>+_xlfn.XLOOKUP(PROYECTOS2[[#This Row],[MUNICIPIO]],'4.CAP_ENDMNT'!B:B,'4.CAP_ENDMNT'!Q:Q,0,0,1)</f>
        <v>Cumple</v>
      </c>
    </row>
    <row r="49" spans="1:36">
      <c r="A49" s="44">
        <v>54</v>
      </c>
      <c r="B49" s="37" t="s">
        <v>981</v>
      </c>
      <c r="C49" s="118">
        <f>+_xlfn.XLOOKUP(PROYECTOS2[[#This Row],[ID_NECESIDAD]],'1.RADICADOS'!G:G,'1.RADICADOS'!C:C,0,0,1)*1</f>
        <v>45344</v>
      </c>
      <c r="D49" s="46" t="s">
        <v>52</v>
      </c>
      <c r="E49" s="47" t="str">
        <f>+_xlfn.XLOOKUP(PROYECTOS2[[#This Row],[MUNICIPIO]],MUNICIPIOS!A:A,MUNICIPIOS!E:E,0,0,1)</f>
        <v>Suroeste</v>
      </c>
      <c r="F49" s="44" t="e" cm="1">
        <f t="array" ref="F49">+_xlfn.XLOOKUP(PROYECTOS2[[#This Row],[MUNICIPIO]],Table1[Municipio],MUNICIPIOS!F:F,0,0,1)</f>
        <v>#VALUE!</v>
      </c>
      <c r="G49" s="44" t="str">
        <f>+LOOKUP(PROYECTOS2[[#This Row],[MUNICIPIO]],Table1[Municipio],Table1[Latitud])</f>
        <v>6,149903</v>
      </c>
      <c r="H49" s="44">
        <f>+LOOKUP(PROYECTOS2[[#This Row],[MUNICIPIO]],Table1[Municipio],Table1[PDET])</f>
        <v>0</v>
      </c>
      <c r="I49" s="44">
        <f>+LOOKUP(PROYECTOS2[[#This Row],[MUNICIPIO]],Table1[Municipio],Table1[ZOMAC])</f>
        <v>0</v>
      </c>
      <c r="J49" s="3" t="str" cm="1">
        <f t="array" ref="J49">_xlfn.TEXTJOIN(", ", TRUE, IF(radicados[ID PROYECTOS]=A49, radicados[RADICADO], ""))</f>
        <v>2024010078784, 2024010309743, 2024010402790</v>
      </c>
      <c r="K49" s="45">
        <v>3</v>
      </c>
      <c r="L49" s="45"/>
      <c r="M49" s="43"/>
      <c r="N49" s="48">
        <v>4369072228</v>
      </c>
      <c r="O49" s="48"/>
      <c r="P49" s="48"/>
      <c r="Q49" s="148" t="s">
        <v>1067</v>
      </c>
      <c r="R49" s="34" t="s">
        <v>288</v>
      </c>
      <c r="S49" s="34" t="s">
        <v>397</v>
      </c>
      <c r="T49" s="34" t="s">
        <v>56</v>
      </c>
      <c r="U49" s="37"/>
      <c r="V49" s="44">
        <f>+_xlfn.XLOOKUP(PROYECTOS2[[#This Row],[MUNICIPIO]],'4.CAP_ENDMNT'!B:B,'4.CAP_ENDMNT'!C:C,0,0,1)</f>
        <v>6</v>
      </c>
      <c r="W49" s="139">
        <f>+_xlfn.XLOOKUP(PROYECTOS2[[#This Row],[MUNICIPIO]],'4.CAP_ENDMNT'!B:B,'4.CAP_ENDMNT'!D:D,0,0,1)</f>
        <v>13939577899.640499</v>
      </c>
      <c r="X49" s="140">
        <f>+_xlfn.XLOOKUP(PROYECTOS2[[#This Row],[MUNICIPIO]],'4.CAP_ENDMNT'!B:B,'4.CAP_ENDMNT'!E:E,0,0,1)</f>
        <v>5408645166.3600006</v>
      </c>
      <c r="Y49" s="140">
        <f>+_xlfn.XLOOKUP(PROYECTOS2[[#This Row],[MUNICIPIO]],'4.CAP_ENDMNT'!B:B,'4.CAP_ENDMNT'!F:F,0,0,1)</f>
        <v>8530932733.2804985</v>
      </c>
      <c r="Z49" s="140">
        <f>+_xlfn.XLOOKUP(PROYECTOS2[[#This Row],[MUNICIPIO]],'4.CAP_ENDMNT'!B:B,'4.CAP_ENDMNT'!G:G,0,0,1)</f>
        <v>2408239973</v>
      </c>
      <c r="AA49" s="140">
        <f>+_xlfn.XLOOKUP(PROYECTOS2[[#This Row],[MUNICIPIO]],'4.CAP_ENDMNT'!B:B,'4.CAP_ENDMNT'!H:H,0,0,1)</f>
        <v>812109375</v>
      </c>
      <c r="AB49" s="140">
        <f>+_xlfn.XLOOKUP(PROYECTOS2[[#This Row],[MUNICIPIO]],'4.CAP_ENDMNT'!B:B,'4.CAP_ENDMNT'!I:I,0,0,1)</f>
        <v>3220349348</v>
      </c>
      <c r="AC49" s="134">
        <f>+_xlfn.XLOOKUP(PROYECTOS2[[#This Row],[MUNICIPIO]],'4.CAP_ENDMNT'!B:B,'4.CAP_ENDMNT'!J:J,0,0,1)</f>
        <v>0.23102201309001277</v>
      </c>
      <c r="AD49" s="140">
        <f>+_xlfn.XLOOKUP(PROYECTOS2[[#This Row],[MUNICIPIO]],'4.CAP_ENDMNT'!B:B,'4.CAP_ENDMNT'!K:K,0,0,1)</f>
        <v>10719228551.640499</v>
      </c>
      <c r="AE49" s="140">
        <f>+_xlfn.XLOOKUP(PROYECTOS2[[#This Row],[MUNICIPIO]],'4.CAP_ENDMNT'!B:B,'4.CAP_ENDMNT'!L:L,0,0,1)</f>
        <v>8575382841.3123999</v>
      </c>
      <c r="AF49" s="140">
        <f>+_xlfn.XLOOKUP(PROYECTOS2[[#This Row],[MUNICIPIO]],'4.CAP_ENDMNT'!B:B,'4.CAP_ENDMNT'!M:M,0,0,1)</f>
        <v>6431537130.9842997</v>
      </c>
      <c r="AG49" s="134">
        <f>+_xlfn.XLOOKUP(PROYECTOS2[[#This Row],[MUNICIPIO]],'4.CAP_ENDMNT'!B:B,'4.CAP_ENDMNT'!N:N,0,0,1)</f>
        <v>0.74781947942872684</v>
      </c>
      <c r="AH49" s="134">
        <f>+_xlfn.XLOOKUP(PROYECTOS2[[#This Row],[MUNICIPIO]],'4.CAP_ENDMNT'!B:B,'4.CAP_ENDMNT'!O:O,0,0,1)</f>
        <v>0.48148969869574604</v>
      </c>
      <c r="AI49" s="134">
        <f>+_xlfn.XLOOKUP(PROYECTOS2[[#This Row],[MUNICIPIO]],'4.CAP_ENDMNT'!B:B,'4.CAP_ENDMNT'!P:P,0,0,1)</f>
        <v>0.8</v>
      </c>
      <c r="AJ49" s="44" t="str">
        <f>+_xlfn.XLOOKUP(PROYECTOS2[[#This Row],[MUNICIPIO]],'4.CAP_ENDMNT'!B:B,'4.CAP_ENDMNT'!Q:Q,0,0,1)</f>
        <v>Cumple</v>
      </c>
    </row>
    <row r="50" spans="1:36">
      <c r="A50" s="44">
        <v>55</v>
      </c>
      <c r="B50" s="37" t="s">
        <v>124</v>
      </c>
      <c r="C50" s="118">
        <f>+_xlfn.XLOOKUP(PROYECTOS2[[#This Row],[ID_NECESIDAD]],'1.RADICADOS'!G:G,'1.RADICADOS'!C:C,0,0,1)*1</f>
        <v>45634</v>
      </c>
      <c r="D50" s="46" t="s">
        <v>84</v>
      </c>
      <c r="E50" s="47" t="str">
        <f>+_xlfn.XLOOKUP(PROYECTOS2[[#This Row],[MUNICIPIO]],MUNICIPIOS!A:A,MUNICIPIOS!E:E,0,0,1)</f>
        <v>Oriente</v>
      </c>
      <c r="F50" s="44" t="e" cm="1">
        <f t="array" ref="F50">+_xlfn.XLOOKUP(PROYECTOS2[[#This Row],[MUNICIPIO]],Table1[Municipio],MUNICIPIOS!F:F,0,0,1)</f>
        <v>#VALUE!</v>
      </c>
      <c r="G50" s="44" t="str">
        <f>+LOOKUP(PROYECTOS2[[#This Row],[MUNICIPIO]],Table1[Municipio],Table1[Latitud])</f>
        <v>6,149903</v>
      </c>
      <c r="H50" s="44">
        <f>+LOOKUP(PROYECTOS2[[#This Row],[MUNICIPIO]],Table1[Municipio],Table1[PDET])</f>
        <v>0</v>
      </c>
      <c r="I50" s="44">
        <f>+LOOKUP(PROYECTOS2[[#This Row],[MUNICIPIO]],Table1[Municipio],Table1[ZOMAC])</f>
        <v>0</v>
      </c>
      <c r="J50" s="3" t="str" cm="1">
        <f t="array" ref="J50">_xlfn.TEXTJOIN(", ", TRUE, IF(radicados[ID PROYECTOS]=A50, radicados[RADICADO], ""))</f>
        <v>2024010319437</v>
      </c>
      <c r="K50" s="45">
        <v>3</v>
      </c>
      <c r="L50" s="45"/>
      <c r="M50" s="43"/>
      <c r="N50" s="48">
        <v>684345500</v>
      </c>
      <c r="O50" s="48"/>
      <c r="P50" s="48"/>
      <c r="Q50" s="148" t="s">
        <v>1067</v>
      </c>
      <c r="R50" s="34" t="s">
        <v>401</v>
      </c>
      <c r="S50" s="34" t="s">
        <v>398</v>
      </c>
      <c r="T50" s="34" t="s">
        <v>25</v>
      </c>
      <c r="U50" s="37"/>
      <c r="V50" s="44">
        <f>+_xlfn.XLOOKUP(PROYECTOS2[[#This Row],[MUNICIPIO]],'4.CAP_ENDMNT'!B:B,'4.CAP_ENDMNT'!C:C,0,0,1)</f>
        <v>5</v>
      </c>
      <c r="W50" s="139">
        <f>+_xlfn.XLOOKUP(PROYECTOS2[[#This Row],[MUNICIPIO]],'4.CAP_ENDMNT'!B:B,'4.CAP_ENDMNT'!D:D,0,0,1)</f>
        <v>35695767669.016502</v>
      </c>
      <c r="X50" s="140">
        <f>+_xlfn.XLOOKUP(PROYECTOS2[[#This Row],[MUNICIPIO]],'4.CAP_ENDMNT'!B:B,'4.CAP_ENDMNT'!E:E,0,0,1)</f>
        <v>13532488388.23</v>
      </c>
      <c r="Y50" s="140">
        <f>+_xlfn.XLOOKUP(PROYECTOS2[[#This Row],[MUNICIPIO]],'4.CAP_ENDMNT'!B:B,'4.CAP_ENDMNT'!F:F,0,0,1)</f>
        <v>22163279280.786503</v>
      </c>
      <c r="Z50" s="140">
        <f>+_xlfn.XLOOKUP(PROYECTOS2[[#This Row],[MUNICIPIO]],'4.CAP_ENDMNT'!B:B,'4.CAP_ENDMNT'!G:G,0,0,1)</f>
        <v>1067761948</v>
      </c>
      <c r="AA50" s="140">
        <f>+_xlfn.XLOOKUP(PROYECTOS2[[#This Row],[MUNICIPIO]],'4.CAP_ENDMNT'!B:B,'4.CAP_ENDMNT'!H:H,0,0,1)</f>
        <v>4932032890</v>
      </c>
      <c r="AB50" s="140">
        <f>+_xlfn.XLOOKUP(PROYECTOS2[[#This Row],[MUNICIPIO]],'4.CAP_ENDMNT'!B:B,'4.CAP_ENDMNT'!I:I,0,0,1)</f>
        <v>5999794838</v>
      </c>
      <c r="AC50" s="134">
        <f>+_xlfn.XLOOKUP(PROYECTOS2[[#This Row],[MUNICIPIO]],'4.CAP_ENDMNT'!B:B,'4.CAP_ENDMNT'!J:J,0,0,1)</f>
        <v>0.16808140655867587</v>
      </c>
      <c r="AD50" s="140">
        <f>+_xlfn.XLOOKUP(PROYECTOS2[[#This Row],[MUNICIPIO]],'4.CAP_ENDMNT'!B:B,'4.CAP_ENDMNT'!K:K,0,0,1)</f>
        <v>29695972831.016502</v>
      </c>
      <c r="AE50" s="140">
        <f>+_xlfn.XLOOKUP(PROYECTOS2[[#This Row],[MUNICIPIO]],'4.CAP_ENDMNT'!B:B,'4.CAP_ENDMNT'!L:L,0,0,1)</f>
        <v>23756778264.813202</v>
      </c>
      <c r="AF50" s="140">
        <f>+_xlfn.XLOOKUP(PROYECTOS2[[#This Row],[MUNICIPIO]],'4.CAP_ENDMNT'!B:B,'4.CAP_ENDMNT'!M:M,0,0,1)</f>
        <v>17817583698.609901</v>
      </c>
      <c r="AG50" s="134">
        <f>+_xlfn.XLOOKUP(PROYECTOS2[[#This Row],[MUNICIPIO]],'4.CAP_ENDMNT'!B:B,'4.CAP_ENDMNT'!N:N,0,0,1)</f>
        <v>0.17796640999076777</v>
      </c>
      <c r="AH50" s="134">
        <f>+_xlfn.XLOOKUP(PROYECTOS2[[#This Row],[MUNICIPIO]],'4.CAP_ENDMNT'!B:B,'4.CAP_ENDMNT'!O:O,0,0,1)</f>
        <v>0.4016729815979605</v>
      </c>
      <c r="AI50" s="134">
        <f>+_xlfn.XLOOKUP(PROYECTOS2[[#This Row],[MUNICIPIO]],'4.CAP_ENDMNT'!B:B,'4.CAP_ENDMNT'!P:P,0,0,1)</f>
        <v>0.8</v>
      </c>
      <c r="AJ50" s="44" t="str">
        <f>+_xlfn.XLOOKUP(PROYECTOS2[[#This Row],[MUNICIPIO]],'4.CAP_ENDMNT'!B:B,'4.CAP_ENDMNT'!Q:Q,0,0,1)</f>
        <v>Cumple</v>
      </c>
    </row>
    <row r="51" spans="1:36">
      <c r="A51" s="44">
        <v>56</v>
      </c>
      <c r="B51" s="37" t="s">
        <v>408</v>
      </c>
      <c r="C51" s="118">
        <f>+_xlfn.XLOOKUP(PROYECTOS2[[#This Row],[ID_NECESIDAD]],'1.RADICADOS'!G:G,'1.RADICADOS'!C:C,0,0,1)*1</f>
        <v>45634</v>
      </c>
      <c r="D51" s="46" t="s">
        <v>125</v>
      </c>
      <c r="E51" s="47" t="str">
        <f>+_xlfn.XLOOKUP(PROYECTOS2[[#This Row],[MUNICIPIO]],MUNICIPIOS!A:A,MUNICIPIOS!E:E,0,0,1)</f>
        <v>Oriente</v>
      </c>
      <c r="F51" s="44" t="e" cm="1">
        <f t="array" ref="F51">+_xlfn.XLOOKUP(PROYECTOS2[[#This Row],[MUNICIPIO]],Table1[Municipio],MUNICIPIOS!F:F,0,0,1)</f>
        <v>#VALUE!</v>
      </c>
      <c r="G51" s="44" t="str">
        <f>+LOOKUP(PROYECTOS2[[#This Row],[MUNICIPIO]],Table1[Municipio],Table1[Latitud])</f>
        <v>6,058295</v>
      </c>
      <c r="H51" s="44">
        <f>+LOOKUP(PROYECTOS2[[#This Row],[MUNICIPIO]],Table1[Municipio],Table1[PDET])</f>
        <v>0</v>
      </c>
      <c r="I51" s="44">
        <f>+LOOKUP(PROYECTOS2[[#This Row],[MUNICIPIO]],Table1[Municipio],Table1[ZOMAC])</f>
        <v>1</v>
      </c>
      <c r="J51" s="3" t="str" cm="1">
        <f t="array" ref="J51">_xlfn.TEXTJOIN(", ", TRUE, IF(radicados[ID PROYECTOS]=A51, radicados[RADICADO], ""))</f>
        <v>2024010361194</v>
      </c>
      <c r="K51" s="142">
        <v>2</v>
      </c>
      <c r="L51" s="45"/>
      <c r="M51" s="43"/>
      <c r="N51" s="48"/>
      <c r="O51" s="48"/>
      <c r="P51" s="48"/>
      <c r="Q51" s="148" t="s">
        <v>1067</v>
      </c>
      <c r="R51" s="34" t="s">
        <v>401</v>
      </c>
      <c r="S51" s="34" t="s">
        <v>398</v>
      </c>
      <c r="T51" s="34" t="s">
        <v>25</v>
      </c>
      <c r="U51" s="37" t="s">
        <v>969</v>
      </c>
      <c r="V51" s="44">
        <f>+_xlfn.XLOOKUP(PROYECTOS2[[#This Row],[MUNICIPIO]],'4.CAP_ENDMNT'!B:B,'4.CAP_ENDMNT'!C:C,0,0,1)</f>
        <v>6</v>
      </c>
      <c r="W51" s="139">
        <f>+_xlfn.XLOOKUP(PROYECTOS2[[#This Row],[MUNICIPIO]],'4.CAP_ENDMNT'!B:B,'4.CAP_ENDMNT'!D:D,0,0,1)</f>
        <v>12327690626.8465</v>
      </c>
      <c r="X51" s="140">
        <f>+_xlfn.XLOOKUP(PROYECTOS2[[#This Row],[MUNICIPIO]],'4.CAP_ENDMNT'!B:B,'4.CAP_ENDMNT'!E:E,0,0,1)</f>
        <v>4723680091.2799997</v>
      </c>
      <c r="Y51" s="140">
        <f>+_xlfn.XLOOKUP(PROYECTOS2[[#This Row],[MUNICIPIO]],'4.CAP_ENDMNT'!B:B,'4.CAP_ENDMNT'!F:F,0,0,1)</f>
        <v>7604010535.5665007</v>
      </c>
      <c r="Z51" s="140">
        <f>+_xlfn.XLOOKUP(PROYECTOS2[[#This Row],[MUNICIPIO]],'4.CAP_ENDMNT'!B:B,'4.CAP_ENDMNT'!G:G,0,0,1)</f>
        <v>445297438</v>
      </c>
      <c r="AA51" s="140">
        <f>+_xlfn.XLOOKUP(PROYECTOS2[[#This Row],[MUNICIPIO]],'4.CAP_ENDMNT'!B:B,'4.CAP_ENDMNT'!H:H,0,0,1)</f>
        <v>33508702</v>
      </c>
      <c r="AB51" s="140">
        <f>+_xlfn.XLOOKUP(PROYECTOS2[[#This Row],[MUNICIPIO]],'4.CAP_ENDMNT'!B:B,'4.CAP_ENDMNT'!I:I,0,0,1)</f>
        <v>478806140</v>
      </c>
      <c r="AC51" s="134">
        <f>+_xlfn.XLOOKUP(PROYECTOS2[[#This Row],[MUNICIPIO]],'4.CAP_ENDMNT'!B:B,'4.CAP_ENDMNT'!J:J,0,0,1)</f>
        <v>3.8839889359105498E-2</v>
      </c>
      <c r="AD51" s="140">
        <f>+_xlfn.XLOOKUP(PROYECTOS2[[#This Row],[MUNICIPIO]],'4.CAP_ENDMNT'!B:B,'4.CAP_ENDMNT'!K:K,0,0,1)</f>
        <v>11848884486.8465</v>
      </c>
      <c r="AE51" s="140">
        <f>+_xlfn.XLOOKUP(PROYECTOS2[[#This Row],[MUNICIPIO]],'4.CAP_ENDMNT'!B:B,'4.CAP_ENDMNT'!L:L,0,0,1)</f>
        <v>9479107589.4772015</v>
      </c>
      <c r="AF51" s="140">
        <f>+_xlfn.XLOOKUP(PROYECTOS2[[#This Row],[MUNICIPIO]],'4.CAP_ENDMNT'!B:B,'4.CAP_ENDMNT'!M:M,0,0,1)</f>
        <v>7109330692.1078997</v>
      </c>
      <c r="AG51" s="134">
        <f>+_xlfn.XLOOKUP(PROYECTOS2[[#This Row],[MUNICIPIO]],'4.CAP_ENDMNT'!B:B,'4.CAP_ENDMNT'!N:N,0,0,1)</f>
        <v>0.93001613972619479</v>
      </c>
      <c r="AH51" s="134">
        <f>+_xlfn.XLOOKUP(PROYECTOS2[[#This Row],[MUNICIPIO]],'4.CAP_ENDMNT'!B:B,'4.CAP_ENDMNT'!O:O,0,0,1)</f>
        <v>0.63996045822337311</v>
      </c>
      <c r="AI51" s="134">
        <f>+_xlfn.XLOOKUP(PROYECTOS2[[#This Row],[MUNICIPIO]],'4.CAP_ENDMNT'!B:B,'4.CAP_ENDMNT'!P:P,0,0,1)</f>
        <v>0.8</v>
      </c>
      <c r="AJ51" s="44" t="str">
        <f>+_xlfn.XLOOKUP(PROYECTOS2[[#This Row],[MUNICIPIO]],'4.CAP_ENDMNT'!B:B,'4.CAP_ENDMNT'!Q:Q,0,0,1)</f>
        <v>Cumple</v>
      </c>
    </row>
    <row r="52" spans="1:36">
      <c r="A52" s="44">
        <v>57</v>
      </c>
      <c r="B52" s="37" t="s">
        <v>128</v>
      </c>
      <c r="C52" s="118">
        <f>+_xlfn.XLOOKUP(PROYECTOS2[[#This Row],[ID_NECESIDAD]],'1.RADICADOS'!G:G,'1.RADICADOS'!C:C,0,0,1)*1</f>
        <v>45504</v>
      </c>
      <c r="D52" s="46" t="s">
        <v>127</v>
      </c>
      <c r="E52" s="47" t="str">
        <f>+_xlfn.XLOOKUP(PROYECTOS2[[#This Row],[MUNICIPIO]],MUNICIPIOS!A:A,MUNICIPIOS!E:E,0,0,1)</f>
        <v>Suroeste</v>
      </c>
      <c r="F52" s="44" t="e" cm="1">
        <f t="array" ref="F52">+_xlfn.XLOOKUP(PROYECTOS2[[#This Row],[MUNICIPIO]],Table1[Municipio],MUNICIPIOS!F:F,0,0,1)</f>
        <v>#VALUE!</v>
      </c>
      <c r="G52" s="44" t="str">
        <f>+LOOKUP(PROYECTOS2[[#This Row],[MUNICIPIO]],Table1[Municipio],Table1[Latitud])</f>
        <v>7,074703</v>
      </c>
      <c r="H52" s="44">
        <f>+LOOKUP(PROYECTOS2[[#This Row],[MUNICIPIO]],Table1[Municipio],Table1[PDET])</f>
        <v>1</v>
      </c>
      <c r="I52" s="44">
        <f>+LOOKUP(PROYECTOS2[[#This Row],[MUNICIPIO]],Table1[Municipio],Table1[ZOMAC])</f>
        <v>1</v>
      </c>
      <c r="J52" s="3" t="str" cm="1">
        <f t="array" ref="J52">_xlfn.TEXTJOIN(", ", TRUE, IF(radicados[ID PROYECTOS]=A52, radicados[RADICADO], ""))</f>
        <v>2024010361554</v>
      </c>
      <c r="K52" s="45">
        <v>3</v>
      </c>
      <c r="L52" s="45"/>
      <c r="M52" s="43"/>
      <c r="N52" s="48">
        <v>4172739792</v>
      </c>
      <c r="O52" s="48"/>
      <c r="P52" s="48"/>
      <c r="Q52" s="148" t="s">
        <v>1067</v>
      </c>
      <c r="R52" s="34" t="s">
        <v>401</v>
      </c>
      <c r="S52" s="34" t="s">
        <v>394</v>
      </c>
      <c r="T52" s="34" t="s">
        <v>18</v>
      </c>
      <c r="U52" s="37"/>
      <c r="V52" s="44">
        <f>+_xlfn.XLOOKUP(PROYECTOS2[[#This Row],[MUNICIPIO]],'4.CAP_ENDMNT'!B:B,'4.CAP_ENDMNT'!C:C,0,0,1)</f>
        <v>6</v>
      </c>
      <c r="W52" s="139">
        <f>+_xlfn.XLOOKUP(PROYECTOS2[[#This Row],[MUNICIPIO]],'4.CAP_ENDMNT'!B:B,'4.CAP_ENDMNT'!D:D,0,0,1)</f>
        <v>9197355968.8835011</v>
      </c>
      <c r="X52" s="140">
        <f>+_xlfn.XLOOKUP(PROYECTOS2[[#This Row],[MUNICIPIO]],'4.CAP_ENDMNT'!B:B,'4.CAP_ENDMNT'!E:E,0,0,1)</f>
        <v>3350398615.7000003</v>
      </c>
      <c r="Y52" s="140">
        <f>+_xlfn.XLOOKUP(PROYECTOS2[[#This Row],[MUNICIPIO]],'4.CAP_ENDMNT'!B:B,'4.CAP_ENDMNT'!F:F,0,0,1)</f>
        <v>5846957353.1835003</v>
      </c>
      <c r="Z52" s="140">
        <f>+_xlfn.XLOOKUP(PROYECTOS2[[#This Row],[MUNICIPIO]],'4.CAP_ENDMNT'!B:B,'4.CAP_ENDMNT'!G:G,0,0,1)</f>
        <v>958841544</v>
      </c>
      <c r="AA52" s="140">
        <f>+_xlfn.XLOOKUP(PROYECTOS2[[#This Row],[MUNICIPIO]],'4.CAP_ENDMNT'!B:B,'4.CAP_ENDMNT'!H:H,0,0,1)</f>
        <v>680000000</v>
      </c>
      <c r="AB52" s="140">
        <f>+_xlfn.XLOOKUP(PROYECTOS2[[#This Row],[MUNICIPIO]],'4.CAP_ENDMNT'!B:B,'4.CAP_ENDMNT'!I:I,0,0,1)</f>
        <v>1638841544</v>
      </c>
      <c r="AC52" s="134">
        <f>+_xlfn.XLOOKUP(PROYECTOS2[[#This Row],[MUNICIPIO]],'4.CAP_ENDMNT'!B:B,'4.CAP_ENDMNT'!J:J,0,0,1)</f>
        <v>0.17818616019044273</v>
      </c>
      <c r="AD52" s="140">
        <f>+_xlfn.XLOOKUP(PROYECTOS2[[#This Row],[MUNICIPIO]],'4.CAP_ENDMNT'!B:B,'4.CAP_ENDMNT'!K:K,0,0,1)</f>
        <v>7558514424.8835011</v>
      </c>
      <c r="AE52" s="140">
        <f>+_xlfn.XLOOKUP(PROYECTOS2[[#This Row],[MUNICIPIO]],'4.CAP_ENDMNT'!B:B,'4.CAP_ENDMNT'!L:L,0,0,1)</f>
        <v>6046811539.9068012</v>
      </c>
      <c r="AF52" s="140">
        <f>+_xlfn.XLOOKUP(PROYECTOS2[[#This Row],[MUNICIPIO]],'4.CAP_ENDMNT'!B:B,'4.CAP_ENDMNT'!M:M,0,0,1)</f>
        <v>4535108654.9301004</v>
      </c>
      <c r="AG52" s="134">
        <f>+_xlfn.XLOOKUP(PROYECTOS2[[#This Row],[MUNICIPIO]],'4.CAP_ENDMNT'!B:B,'4.CAP_ENDMNT'!N:N,0,0,1)</f>
        <v>0.58507275917579493</v>
      </c>
      <c r="AH52" s="134">
        <f>+_xlfn.XLOOKUP(PROYECTOS2[[#This Row],[MUNICIPIO]],'4.CAP_ENDMNT'!B:B,'4.CAP_ENDMNT'!O:O,0,0,1)</f>
        <v>0.53687312631507866</v>
      </c>
      <c r="AI52" s="134">
        <f>+_xlfn.XLOOKUP(PROYECTOS2[[#This Row],[MUNICIPIO]],'4.CAP_ENDMNT'!B:B,'4.CAP_ENDMNT'!P:P,0,0,1)</f>
        <v>0.8</v>
      </c>
      <c r="AJ52" s="44" t="str">
        <f>+_xlfn.XLOOKUP(PROYECTOS2[[#This Row],[MUNICIPIO]],'4.CAP_ENDMNT'!B:B,'4.CAP_ENDMNT'!Q:Q,0,0,1)</f>
        <v>Cumple</v>
      </c>
    </row>
    <row r="53" spans="1:36">
      <c r="A53" s="44">
        <v>58</v>
      </c>
      <c r="B53" s="36" t="s">
        <v>130</v>
      </c>
      <c r="C53" s="120">
        <f>+_xlfn.XLOOKUP(PROYECTOS2[[#This Row],[ID_NECESIDAD]],'1.RADICADOS'!G:G,'1.RADICADOS'!C:C,0,0,1)*1</f>
        <v>45451</v>
      </c>
      <c r="D53" s="46" t="s">
        <v>111</v>
      </c>
      <c r="E53" s="47" t="str">
        <f>+_xlfn.XLOOKUP(PROYECTOS2[[#This Row],[MUNICIPIO]],MUNICIPIOS!A:A,MUNICIPIOS!E:E,0,0,1)</f>
        <v>Urabá</v>
      </c>
      <c r="F53" s="44" t="e" cm="1">
        <f t="array" ref="F53">+_xlfn.XLOOKUP(PROYECTOS2[[#This Row],[MUNICIPIO]],Table1[Municipio],MUNICIPIOS!F:F,0,0,1)</f>
        <v>#VALUE!</v>
      </c>
      <c r="G53" s="44" t="str">
        <f>+LOOKUP(PROYECTOS2[[#This Row],[MUNICIPIO]],Table1[Municipio],Table1[Latitud])</f>
        <v>7,074703</v>
      </c>
      <c r="H53" s="44">
        <f>+LOOKUP(PROYECTOS2[[#This Row],[MUNICIPIO]],Table1[Municipio],Table1[PDET])</f>
        <v>1</v>
      </c>
      <c r="I53" s="44">
        <f>+LOOKUP(PROYECTOS2[[#This Row],[MUNICIPIO]],Table1[Municipio],Table1[ZOMAC])</f>
        <v>1</v>
      </c>
      <c r="J53" s="3" t="str" cm="1">
        <f t="array" ref="J53">_xlfn.TEXTJOIN(", ", TRUE, IF(radicados[ID PROYECTOS]=A53, radicados[RADICADO], ""))</f>
        <v>2024010356273</v>
      </c>
      <c r="K53" s="45">
        <v>3</v>
      </c>
      <c r="L53" s="45"/>
      <c r="M53" s="43"/>
      <c r="N53" s="48">
        <v>7500000000</v>
      </c>
      <c r="O53" s="48"/>
      <c r="P53" s="48"/>
      <c r="Q53" s="148" t="s">
        <v>1067</v>
      </c>
      <c r="R53" s="34" t="s">
        <v>396</v>
      </c>
      <c r="S53" s="34" t="s">
        <v>398</v>
      </c>
      <c r="T53" s="34" t="s">
        <v>25</v>
      </c>
      <c r="U53" s="37"/>
      <c r="V53" s="44">
        <f>+_xlfn.XLOOKUP(PROYECTOS2[[#This Row],[MUNICIPIO]],'4.CAP_ENDMNT'!B:B,'4.CAP_ENDMNT'!C:C,0,0,1)</f>
        <v>3</v>
      </c>
      <c r="W53" s="139">
        <f>+_xlfn.XLOOKUP(PROYECTOS2[[#This Row],[MUNICIPIO]],'4.CAP_ENDMNT'!B:B,'4.CAP_ENDMNT'!D:D,0,0,1)</f>
        <v>77784648137.448013</v>
      </c>
      <c r="X53" s="140">
        <f>+_xlfn.XLOOKUP(PROYECTOS2[[#This Row],[MUNICIPIO]],'4.CAP_ENDMNT'!B:B,'4.CAP_ENDMNT'!E:E,0,0,1)</f>
        <v>31716114442.57</v>
      </c>
      <c r="Y53" s="140">
        <f>+_xlfn.XLOOKUP(PROYECTOS2[[#This Row],[MUNICIPIO]],'4.CAP_ENDMNT'!B:B,'4.CAP_ENDMNT'!F:F,0,0,1)</f>
        <v>46068533694.878014</v>
      </c>
      <c r="Z53" s="140">
        <f>+_xlfn.XLOOKUP(PROYECTOS2[[#This Row],[MUNICIPIO]],'4.CAP_ENDMNT'!B:B,'4.CAP_ENDMNT'!G:G,0,0,1)</f>
        <v>43139212620</v>
      </c>
      <c r="AA53" s="140">
        <f>+_xlfn.XLOOKUP(PROYECTOS2[[#This Row],[MUNICIPIO]],'4.CAP_ENDMNT'!B:B,'4.CAP_ENDMNT'!H:H,0,0,1)</f>
        <v>17341932907.400002</v>
      </c>
      <c r="AB53" s="140">
        <f>+_xlfn.XLOOKUP(PROYECTOS2[[#This Row],[MUNICIPIO]],'4.CAP_ENDMNT'!B:B,'4.CAP_ENDMNT'!I:I,0,0,1)</f>
        <v>60481145527.400002</v>
      </c>
      <c r="AC53" s="134">
        <f>+_xlfn.XLOOKUP(PROYECTOS2[[#This Row],[MUNICIPIO]],'4.CAP_ENDMNT'!B:B,'4.CAP_ENDMNT'!J:J,0,0,1)</f>
        <v>0.77754604508241576</v>
      </c>
      <c r="AD53" s="140">
        <f>+_xlfn.XLOOKUP(PROYECTOS2[[#This Row],[MUNICIPIO]],'4.CAP_ENDMNT'!B:B,'4.CAP_ENDMNT'!K:K,0,0,1)</f>
        <v>17303502610.048012</v>
      </c>
      <c r="AE53" s="140">
        <f>+_xlfn.XLOOKUP(PROYECTOS2[[#This Row],[MUNICIPIO]],'4.CAP_ENDMNT'!B:B,'4.CAP_ENDMNT'!L:L,0,0,1)</f>
        <v>13842802088.03841</v>
      </c>
      <c r="AF53" s="140">
        <f>+_xlfn.XLOOKUP(PROYECTOS2[[#This Row],[MUNICIPIO]],'4.CAP_ENDMNT'!B:B,'4.CAP_ENDMNT'!M:M,0,0,1)</f>
        <v>10382101566.028807</v>
      </c>
      <c r="AG53" s="134">
        <f>+_xlfn.XLOOKUP(PROYECTOS2[[#This Row],[MUNICIPIO]],'4.CAP_ENDMNT'!B:B,'4.CAP_ENDMNT'!N:N,0,0,1)</f>
        <v>0.71326712223822675</v>
      </c>
      <c r="AH53" s="134">
        <f>+_xlfn.XLOOKUP(PROYECTOS2[[#This Row],[MUNICIPIO]],'4.CAP_ENDMNT'!B:B,'4.CAP_ENDMNT'!O:O,0,0,1)</f>
        <v>0.57328291579513591</v>
      </c>
      <c r="AI53" s="134">
        <f>+_xlfn.XLOOKUP(PROYECTOS2[[#This Row],[MUNICIPIO]],'4.CAP_ENDMNT'!B:B,'4.CAP_ENDMNT'!P:P,0,0,1)</f>
        <v>0.7</v>
      </c>
      <c r="AJ53" s="44" t="str">
        <f>+_xlfn.XLOOKUP(PROYECTOS2[[#This Row],[MUNICIPIO]],'4.CAP_ENDMNT'!B:B,'4.CAP_ENDMNT'!Q:Q,0,0,1)</f>
        <v>Cumple</v>
      </c>
    </row>
    <row r="54" spans="1:36">
      <c r="A54" s="44">
        <v>59</v>
      </c>
      <c r="B54" s="37" t="s">
        <v>132</v>
      </c>
      <c r="C54" s="118">
        <f>+_xlfn.XLOOKUP(PROYECTOS2[[#This Row],[ID_NECESIDAD]],'1.RADICADOS'!G:G,'1.RADICADOS'!C:C,0,0,1)*1</f>
        <v>45518</v>
      </c>
      <c r="D54" s="46" t="s">
        <v>131</v>
      </c>
      <c r="E54" s="47" t="str">
        <f>+_xlfn.XLOOKUP(PROYECTOS2[[#This Row],[MUNICIPIO]],MUNICIPIOS!A:A,MUNICIPIOS!E:E,0,0,1)</f>
        <v>Valle de Aburrá</v>
      </c>
      <c r="F54" s="44" t="e" cm="1">
        <f t="array" ref="F54">+_xlfn.XLOOKUP(PROYECTOS2[[#This Row],[MUNICIPIO]],Table1[Municipio],MUNICIPIOS!F:F,0,0,1)</f>
        <v>#VALUE!</v>
      </c>
      <c r="G54" s="44" t="str">
        <f>+LOOKUP(PROYECTOS2[[#This Row],[MUNICIPIO]],Table1[Municipio],Table1[Latitud])</f>
        <v>6,394348</v>
      </c>
      <c r="H54" s="44">
        <f>+LOOKUP(PROYECTOS2[[#This Row],[MUNICIPIO]],Table1[Municipio],Table1[PDET])</f>
        <v>0</v>
      </c>
      <c r="I54" s="44">
        <f>+LOOKUP(PROYECTOS2[[#This Row],[MUNICIPIO]],Table1[Municipio],Table1[ZOMAC])</f>
        <v>1</v>
      </c>
      <c r="J54" s="3" t="str" cm="1">
        <f t="array" ref="J54">_xlfn.TEXTJOIN(", ", TRUE, IF(radicados[ID PROYECTOS]=A54, radicados[RADICADO], ""))</f>
        <v>2024010354533</v>
      </c>
      <c r="K54" s="45">
        <v>2</v>
      </c>
      <c r="L54" s="45"/>
      <c r="M54" s="43"/>
      <c r="N54" s="48">
        <v>5661013100</v>
      </c>
      <c r="O54" s="48"/>
      <c r="P54" s="48"/>
      <c r="Q54" s="148" t="s">
        <v>1067</v>
      </c>
      <c r="R54" s="34" t="s">
        <v>396</v>
      </c>
      <c r="S54" s="34" t="s">
        <v>398</v>
      </c>
      <c r="T54" s="34" t="s">
        <v>25</v>
      </c>
      <c r="U54" s="37"/>
      <c r="V54" s="44">
        <f>+_xlfn.XLOOKUP(PROYECTOS2[[#This Row],[MUNICIPIO]],'4.CAP_ENDMNT'!B:B,'4.CAP_ENDMNT'!C:C,0,0,1)</f>
        <v>3</v>
      </c>
      <c r="W54" s="139">
        <f>+_xlfn.XLOOKUP(PROYECTOS2[[#This Row],[MUNICIPIO]],'4.CAP_ENDMNT'!B:B,'4.CAP_ENDMNT'!D:D,0,0,1)</f>
        <v>71418896570.32901</v>
      </c>
      <c r="X54" s="140">
        <f>+_xlfn.XLOOKUP(PROYECTOS2[[#This Row],[MUNICIPIO]],'4.CAP_ENDMNT'!B:B,'4.CAP_ENDMNT'!E:E,0,0,1)</f>
        <v>21915816653.91</v>
      </c>
      <c r="Y54" s="140">
        <f>+_xlfn.XLOOKUP(PROYECTOS2[[#This Row],[MUNICIPIO]],'4.CAP_ENDMNT'!B:B,'4.CAP_ENDMNT'!F:F,0,0,1)</f>
        <v>49503079916.419006</v>
      </c>
      <c r="Z54" s="140">
        <f>+_xlfn.XLOOKUP(PROYECTOS2[[#This Row],[MUNICIPIO]],'4.CAP_ENDMNT'!B:B,'4.CAP_ENDMNT'!G:G,0,0,1)</f>
        <v>5163365590</v>
      </c>
      <c r="AA54" s="140">
        <f>+_xlfn.XLOOKUP(PROYECTOS2[[#This Row],[MUNICIPIO]],'4.CAP_ENDMNT'!B:B,'4.CAP_ENDMNT'!H:H,0,0,1)</f>
        <v>10000000000</v>
      </c>
      <c r="AB54" s="140">
        <f>+_xlfn.XLOOKUP(PROYECTOS2[[#This Row],[MUNICIPIO]],'4.CAP_ENDMNT'!B:B,'4.CAP_ENDMNT'!I:I,0,0,1)</f>
        <v>15163365590</v>
      </c>
      <c r="AC54" s="134">
        <f>+_xlfn.XLOOKUP(PROYECTOS2[[#This Row],[MUNICIPIO]],'4.CAP_ENDMNT'!B:B,'4.CAP_ENDMNT'!J:J,0,0,1)</f>
        <v>0.21231587602404406</v>
      </c>
      <c r="AD54" s="140">
        <f>+_xlfn.XLOOKUP(PROYECTOS2[[#This Row],[MUNICIPIO]],'4.CAP_ENDMNT'!B:B,'4.CAP_ENDMNT'!K:K,0,0,1)</f>
        <v>56255530980.32901</v>
      </c>
      <c r="AE54" s="140">
        <f>+_xlfn.XLOOKUP(PROYECTOS2[[#This Row],[MUNICIPIO]],'4.CAP_ENDMNT'!B:B,'4.CAP_ENDMNT'!L:L,0,0,1)</f>
        <v>45004424784.263214</v>
      </c>
      <c r="AF54" s="140">
        <f>+_xlfn.XLOOKUP(PROYECTOS2[[#This Row],[MUNICIPIO]],'4.CAP_ENDMNT'!B:B,'4.CAP_ENDMNT'!M:M,0,0,1)</f>
        <v>33753318588.197403</v>
      </c>
      <c r="AG54" s="134">
        <f>+_xlfn.XLOOKUP(PROYECTOS2[[#This Row],[MUNICIPIO]],'4.CAP_ENDMNT'!B:B,'4.CAP_ENDMNT'!N:N,0,0,1)</f>
        <v>0.34051580167698114</v>
      </c>
      <c r="AH54" s="134">
        <f>+_xlfn.XLOOKUP(PROYECTOS2[[#This Row],[MUNICIPIO]],'4.CAP_ENDMNT'!B:B,'4.CAP_ENDMNT'!O:O,0,0,1)</f>
        <v>0.39338076792135007</v>
      </c>
      <c r="AI54" s="134">
        <f>+_xlfn.XLOOKUP(PROYECTOS2[[#This Row],[MUNICIPIO]],'4.CAP_ENDMNT'!B:B,'4.CAP_ENDMNT'!P:P,0,0,1)</f>
        <v>0.7</v>
      </c>
      <c r="AJ54" s="44" t="str">
        <f>+_xlfn.XLOOKUP(PROYECTOS2[[#This Row],[MUNICIPIO]],'4.CAP_ENDMNT'!B:B,'4.CAP_ENDMNT'!Q:Q,0,0,1)</f>
        <v>Cumple</v>
      </c>
    </row>
    <row r="55" spans="1:36">
      <c r="A55" s="44">
        <v>61</v>
      </c>
      <c r="B55" s="37" t="s">
        <v>135</v>
      </c>
      <c r="C55" s="118">
        <f>+_xlfn.XLOOKUP(PROYECTOS2[[#This Row],[ID_NECESIDAD]],'1.RADICADOS'!G:G,'1.RADICADOS'!C:C,0,0,1)*1</f>
        <v>45326</v>
      </c>
      <c r="D55" s="46" t="s">
        <v>134</v>
      </c>
      <c r="E55" s="47" t="str">
        <f>+_xlfn.XLOOKUP(PROYECTOS2[[#This Row],[MUNICIPIO]],MUNICIPIOS!A:A,MUNICIPIOS!E:E,0,0,1)</f>
        <v>Magdalena Medio</v>
      </c>
      <c r="F55" s="44" t="e" cm="1">
        <f t="array" ref="F55">+_xlfn.XLOOKUP(PROYECTOS2[[#This Row],[MUNICIPIO]],Table1[Municipio],MUNICIPIOS!F:F,0,0,1)</f>
        <v>#VALUE!</v>
      </c>
      <c r="G55" s="44" t="str">
        <f>+LOOKUP(PROYECTOS2[[#This Row],[MUNICIPIO]],Table1[Municipio],Table1[Latitud])</f>
        <v>6,246631</v>
      </c>
      <c r="H55" s="44">
        <f>+LOOKUP(PROYECTOS2[[#This Row],[MUNICIPIO]],Table1[Municipio],Table1[PDET])</f>
        <v>0</v>
      </c>
      <c r="I55" s="44">
        <f>+LOOKUP(PROYECTOS2[[#This Row],[MUNICIPIO]],Table1[Municipio],Table1[ZOMAC])</f>
        <v>0</v>
      </c>
      <c r="J55" s="3" t="str" cm="1">
        <f t="array" ref="J55">_xlfn.TEXTJOIN(", ", TRUE, IF(radicados[ID PROYECTOS]=A55, radicados[RADICADO], ""))</f>
        <v>2024010353885, 2024010353894</v>
      </c>
      <c r="K55" s="45">
        <v>3</v>
      </c>
      <c r="L55" s="45"/>
      <c r="M55" s="43" t="s">
        <v>179</v>
      </c>
      <c r="N55" s="48">
        <v>1653399856</v>
      </c>
      <c r="O55" s="48"/>
      <c r="P55" s="48"/>
      <c r="Q55" s="148" t="s">
        <v>1067</v>
      </c>
      <c r="R55" s="34" t="s">
        <v>288</v>
      </c>
      <c r="S55" s="40" t="s">
        <v>394</v>
      </c>
      <c r="T55" s="34" t="s">
        <v>18</v>
      </c>
      <c r="U55" s="37"/>
      <c r="V55" s="44">
        <f>+_xlfn.XLOOKUP(PROYECTOS2[[#This Row],[MUNICIPIO]],'4.CAP_ENDMNT'!B:B,'4.CAP_ENDMNT'!C:C,0,0,1)</f>
        <v>6</v>
      </c>
      <c r="W55" s="139">
        <f>+_xlfn.XLOOKUP(PROYECTOS2[[#This Row],[MUNICIPIO]],'4.CAP_ENDMNT'!B:B,'4.CAP_ENDMNT'!D:D,0,0,1)</f>
        <v>17406090503.82</v>
      </c>
      <c r="X55" s="140">
        <f>+_xlfn.XLOOKUP(PROYECTOS2[[#This Row],[MUNICIPIO]],'4.CAP_ENDMNT'!B:B,'4.CAP_ENDMNT'!E:E,0,0,1)</f>
        <v>8490973725.3299999</v>
      </c>
      <c r="Y55" s="140">
        <f>+_xlfn.XLOOKUP(PROYECTOS2[[#This Row],[MUNICIPIO]],'4.CAP_ENDMNT'!B:B,'4.CAP_ENDMNT'!F:F,0,0,1)</f>
        <v>8915116778.4899998</v>
      </c>
      <c r="Z55" s="140">
        <f>+_xlfn.XLOOKUP(PROYECTOS2[[#This Row],[MUNICIPIO]],'4.CAP_ENDMNT'!B:B,'4.CAP_ENDMNT'!G:G,0,0,1)</f>
        <v>6695063584</v>
      </c>
      <c r="AA55" s="140">
        <f>+_xlfn.XLOOKUP(PROYECTOS2[[#This Row],[MUNICIPIO]],'4.CAP_ENDMNT'!B:B,'4.CAP_ENDMNT'!H:H,0,0,1)</f>
        <v>0</v>
      </c>
      <c r="AB55" s="140">
        <f>+_xlfn.XLOOKUP(PROYECTOS2[[#This Row],[MUNICIPIO]],'4.CAP_ENDMNT'!B:B,'4.CAP_ENDMNT'!I:I,0,0,1)</f>
        <v>6695063584</v>
      </c>
      <c r="AC55" s="134">
        <f>+_xlfn.XLOOKUP(PROYECTOS2[[#This Row],[MUNICIPIO]],'4.CAP_ENDMNT'!B:B,'4.CAP_ENDMNT'!J:J,0,0,1)</f>
        <v>0.38463913436108349</v>
      </c>
      <c r="AD55" s="140">
        <f>+_xlfn.XLOOKUP(PROYECTOS2[[#This Row],[MUNICIPIO]],'4.CAP_ENDMNT'!B:B,'4.CAP_ENDMNT'!K:K,0,0,1)</f>
        <v>10711026919.82</v>
      </c>
      <c r="AE55" s="140">
        <f>+_xlfn.XLOOKUP(PROYECTOS2[[#This Row],[MUNICIPIO]],'4.CAP_ENDMNT'!B:B,'4.CAP_ENDMNT'!L:L,0,0,1)</f>
        <v>8568821535.8559999</v>
      </c>
      <c r="AF55" s="140">
        <f>+_xlfn.XLOOKUP(PROYECTOS2[[#This Row],[MUNICIPIO]],'4.CAP_ENDMNT'!B:B,'4.CAP_ENDMNT'!M:M,0,0,1)</f>
        <v>6426616151.8919992</v>
      </c>
      <c r="AG55" s="134">
        <f>+_xlfn.XLOOKUP(PROYECTOS2[[#This Row],[MUNICIPIO]],'4.CAP_ENDMNT'!B:B,'4.CAP_ENDMNT'!N:N,0,0,1)</f>
        <v>1</v>
      </c>
      <c r="AH55" s="134">
        <f>+_xlfn.XLOOKUP(PROYECTOS2[[#This Row],[MUNICIPIO]],'4.CAP_ENDMNT'!B:B,'4.CAP_ENDMNT'!O:O,0,0,1)</f>
        <v>0.75913384232200265</v>
      </c>
      <c r="AI55" s="134">
        <f>+_xlfn.XLOOKUP(PROYECTOS2[[#This Row],[MUNICIPIO]],'4.CAP_ENDMNT'!B:B,'4.CAP_ENDMNT'!P:P,0,0,1)</f>
        <v>0.8</v>
      </c>
      <c r="AJ55" s="44" t="str">
        <f>+_xlfn.XLOOKUP(PROYECTOS2[[#This Row],[MUNICIPIO]],'4.CAP_ENDMNT'!B:B,'4.CAP_ENDMNT'!Q:Q,0,0,1)</f>
        <v>Riesgo</v>
      </c>
    </row>
    <row r="56" spans="1:36">
      <c r="A56" s="44">
        <v>62</v>
      </c>
      <c r="B56" s="37" t="s">
        <v>137</v>
      </c>
      <c r="C56" s="118">
        <f>+_xlfn.XLOOKUP(PROYECTOS2[[#This Row],[ID_NECESIDAD]],'1.RADICADOS'!G:G,'1.RADICADOS'!C:C,0,0,1)*1</f>
        <v>45525</v>
      </c>
      <c r="D56" s="46" t="s">
        <v>136</v>
      </c>
      <c r="E56" s="47" t="str">
        <f>+_xlfn.XLOOKUP(PROYECTOS2[[#This Row],[MUNICIPIO]],MUNICIPIOS!A:A,MUNICIPIOS!E:E,0,0,1)</f>
        <v>Norte</v>
      </c>
      <c r="F56" s="44" t="e" cm="1">
        <f t="array" ref="F56">+_xlfn.XLOOKUP(PROYECTOS2[[#This Row],[MUNICIPIO]],Table1[Municipio],MUNICIPIOS!F:F,0,0,1)</f>
        <v>#VALUE!</v>
      </c>
      <c r="G56" s="44" t="str">
        <f>+LOOKUP(PROYECTOS2[[#This Row],[MUNICIPIO]],Table1[Municipio],Table1[Latitud])</f>
        <v>7,074703</v>
      </c>
      <c r="H56" s="44">
        <f>+LOOKUP(PROYECTOS2[[#This Row],[MUNICIPIO]],Table1[Municipio],Table1[PDET])</f>
        <v>1</v>
      </c>
      <c r="I56" s="44">
        <f>+LOOKUP(PROYECTOS2[[#This Row],[MUNICIPIO]],Table1[Municipio],Table1[ZOMAC])</f>
        <v>1</v>
      </c>
      <c r="J56" s="3" t="str" cm="1">
        <f t="array" ref="J56">_xlfn.TEXTJOIN(", ", TRUE, IF(radicados[ID PROYECTOS]=A56, radicados[RADICADO], ""))</f>
        <v>2024010141962, 2024010387133</v>
      </c>
      <c r="K56" s="128">
        <v>1</v>
      </c>
      <c r="L56" s="45"/>
      <c r="M56" s="43"/>
      <c r="N56" s="48">
        <v>1104890715</v>
      </c>
      <c r="O56" s="48"/>
      <c r="P56" s="48"/>
      <c r="Q56" s="148" t="s">
        <v>1067</v>
      </c>
      <c r="R56" s="34" t="s">
        <v>288</v>
      </c>
      <c r="S56" s="40" t="s">
        <v>398</v>
      </c>
      <c r="T56" s="34" t="s">
        <v>25</v>
      </c>
      <c r="U56" s="37" t="s">
        <v>942</v>
      </c>
      <c r="V56" s="44">
        <f>+_xlfn.XLOOKUP(PROYECTOS2[[#This Row],[MUNICIPIO]],'4.CAP_ENDMNT'!B:B,'4.CAP_ENDMNT'!C:C,0,0,1)</f>
        <v>6</v>
      </c>
      <c r="W56" s="139">
        <f>+_xlfn.XLOOKUP(PROYECTOS2[[#This Row],[MUNICIPIO]],'4.CAP_ENDMNT'!B:B,'4.CAP_ENDMNT'!D:D,0,0,1)</f>
        <v>15936675551.976999</v>
      </c>
      <c r="X56" s="140">
        <f>+_xlfn.XLOOKUP(PROYECTOS2[[#This Row],[MUNICIPIO]],'4.CAP_ENDMNT'!B:B,'4.CAP_ENDMNT'!E:E,0,0,1)</f>
        <v>6355203503.6700001</v>
      </c>
      <c r="Y56" s="140">
        <f>+_xlfn.XLOOKUP(PROYECTOS2[[#This Row],[MUNICIPIO]],'4.CAP_ENDMNT'!B:B,'4.CAP_ENDMNT'!F:F,0,0,1)</f>
        <v>9581472048.3069992</v>
      </c>
      <c r="Z56" s="140">
        <f>+_xlfn.XLOOKUP(PROYECTOS2[[#This Row],[MUNICIPIO]],'4.CAP_ENDMNT'!B:B,'4.CAP_ENDMNT'!G:G,0,0,1)</f>
        <v>166905356.59</v>
      </c>
      <c r="AA56" s="140">
        <f>+_xlfn.XLOOKUP(PROYECTOS2[[#This Row],[MUNICIPIO]],'4.CAP_ENDMNT'!B:B,'4.CAP_ENDMNT'!H:H,0,0,1)</f>
        <v>5064590198</v>
      </c>
      <c r="AB56" s="140">
        <f>+_xlfn.XLOOKUP(PROYECTOS2[[#This Row],[MUNICIPIO]],'4.CAP_ENDMNT'!B:B,'4.CAP_ENDMNT'!I:I,0,0,1)</f>
        <v>5231495554.5900002</v>
      </c>
      <c r="AC56" s="134">
        <f>+_xlfn.XLOOKUP(PROYECTOS2[[#This Row],[MUNICIPIO]],'4.CAP_ENDMNT'!B:B,'4.CAP_ENDMNT'!J:J,0,0,1)</f>
        <v>0.32826768277534613</v>
      </c>
      <c r="AD56" s="140">
        <f>+_xlfn.XLOOKUP(PROYECTOS2[[#This Row],[MUNICIPIO]],'4.CAP_ENDMNT'!B:B,'4.CAP_ENDMNT'!K:K,0,0,1)</f>
        <v>10705179997.386999</v>
      </c>
      <c r="AE56" s="140">
        <f>+_xlfn.XLOOKUP(PROYECTOS2[[#This Row],[MUNICIPIO]],'4.CAP_ENDMNT'!B:B,'4.CAP_ENDMNT'!L:L,0,0,1)</f>
        <v>8564143997.9095993</v>
      </c>
      <c r="AF56" s="140">
        <f>+_xlfn.XLOOKUP(PROYECTOS2[[#This Row],[MUNICIPIO]],'4.CAP_ENDMNT'!B:B,'4.CAP_ENDMNT'!M:M,0,0,1)</f>
        <v>6423107998.4321995</v>
      </c>
      <c r="AG56" s="134">
        <f>+_xlfn.XLOOKUP(PROYECTOS2[[#This Row],[MUNICIPIO]],'4.CAP_ENDMNT'!B:B,'4.CAP_ENDMNT'!N:N,0,0,1)</f>
        <v>3.1903946939907245E-2</v>
      </c>
      <c r="AH56" s="134">
        <f>+_xlfn.XLOOKUP(PROYECTOS2[[#This Row],[MUNICIPIO]],'4.CAP_ENDMNT'!B:B,'4.CAP_ENDMNT'!O:O,0,0,1)</f>
        <v>0.65192157878949775</v>
      </c>
      <c r="AI56" s="134">
        <f>+_xlfn.XLOOKUP(PROYECTOS2[[#This Row],[MUNICIPIO]],'4.CAP_ENDMNT'!B:B,'4.CAP_ENDMNT'!P:P,0,0,1)</f>
        <v>0.8</v>
      </c>
      <c r="AJ56" s="44" t="str">
        <f>+_xlfn.XLOOKUP(PROYECTOS2[[#This Row],[MUNICIPIO]],'4.CAP_ENDMNT'!B:B,'4.CAP_ENDMNT'!Q:Q,0,0,1)</f>
        <v>Cumple</v>
      </c>
    </row>
    <row r="57" spans="1:36">
      <c r="A57" s="44">
        <v>63</v>
      </c>
      <c r="B57" s="37" t="s">
        <v>139</v>
      </c>
      <c r="C57" s="118">
        <f>+_xlfn.XLOOKUP(PROYECTOS2[[#This Row],[ID_NECESIDAD]],'1.RADICADOS'!G:G,'1.RADICADOS'!C:C,0,0,1)*1</f>
        <v>45358</v>
      </c>
      <c r="D57" s="46" t="s">
        <v>138</v>
      </c>
      <c r="E57" s="47" t="str">
        <f>+_xlfn.XLOOKUP(PROYECTOS2[[#This Row],[MUNICIPIO]],MUNICIPIOS!A:A,MUNICIPIOS!E:E,0,0,1)</f>
        <v>Norte</v>
      </c>
      <c r="F57" s="44" t="e" cm="1">
        <f t="array" ref="F57">+_xlfn.XLOOKUP(PROYECTOS2[[#This Row],[MUNICIPIO]],Table1[Municipio],MUNICIPIOS!F:F,0,0,1)</f>
        <v>#VALUE!</v>
      </c>
      <c r="G57" s="44" t="str">
        <f>+LOOKUP(PROYECTOS2[[#This Row],[MUNICIPIO]],Table1[Municipio],Table1[Latitud])</f>
        <v>6,136871</v>
      </c>
      <c r="H57" s="44">
        <f>+LOOKUP(PROYECTOS2[[#This Row],[MUNICIPIO]],Table1[Municipio],Table1[PDET])</f>
        <v>0</v>
      </c>
      <c r="I57" s="44">
        <f>+LOOKUP(PROYECTOS2[[#This Row],[MUNICIPIO]],Table1[Municipio],Table1[ZOMAC])</f>
        <v>0</v>
      </c>
      <c r="J57" s="3" t="str" cm="1">
        <f t="array" ref="J57">_xlfn.TEXTJOIN(", ", TRUE, IF(radicados[ID PROYECTOS]=A57, radicados[RADICADO], ""))</f>
        <v>2024010356085</v>
      </c>
      <c r="K57" s="128">
        <v>1</v>
      </c>
      <c r="L57" s="45"/>
      <c r="M57" s="43"/>
      <c r="N57" s="48">
        <v>3273913847</v>
      </c>
      <c r="O57" s="48"/>
      <c r="P57" s="48"/>
      <c r="Q57" s="148" t="s">
        <v>1067</v>
      </c>
      <c r="R57" s="34" t="s">
        <v>396</v>
      </c>
      <c r="S57" s="34" t="s">
        <v>397</v>
      </c>
      <c r="T57" s="34" t="s">
        <v>56</v>
      </c>
      <c r="U57" s="37"/>
      <c r="V57" s="44">
        <f>+_xlfn.XLOOKUP(PROYECTOS2[[#This Row],[MUNICIPIO]],'4.CAP_ENDMNT'!B:B,'4.CAP_ENDMNT'!C:C,0,0,1)</f>
        <v>6</v>
      </c>
      <c r="W57" s="139">
        <f>+_xlfn.XLOOKUP(PROYECTOS2[[#This Row],[MUNICIPIO]],'4.CAP_ENDMNT'!B:B,'4.CAP_ENDMNT'!D:D,0,0,1)</f>
        <v>12229746381.692001</v>
      </c>
      <c r="X57" s="140">
        <f>+_xlfn.XLOOKUP(PROYECTOS2[[#This Row],[MUNICIPIO]],'4.CAP_ENDMNT'!B:B,'4.CAP_ENDMNT'!E:E,0,0,1)</f>
        <v>3376878617.9000001</v>
      </c>
      <c r="Y57" s="140">
        <f>+_xlfn.XLOOKUP(PROYECTOS2[[#This Row],[MUNICIPIO]],'4.CAP_ENDMNT'!B:B,'4.CAP_ENDMNT'!F:F,0,0,1)</f>
        <v>8852867763.7920017</v>
      </c>
      <c r="Z57" s="140">
        <f>+_xlfn.XLOOKUP(PROYECTOS2[[#This Row],[MUNICIPIO]],'4.CAP_ENDMNT'!B:B,'4.CAP_ENDMNT'!G:G,0,0,1)</f>
        <v>1494526177.51</v>
      </c>
      <c r="AA57" s="140">
        <f>+_xlfn.XLOOKUP(PROYECTOS2[[#This Row],[MUNICIPIO]],'4.CAP_ENDMNT'!B:B,'4.CAP_ENDMNT'!H:H,0,0,1)</f>
        <v>880381975</v>
      </c>
      <c r="AB57" s="140">
        <f>+_xlfn.XLOOKUP(PROYECTOS2[[#This Row],[MUNICIPIO]],'4.CAP_ENDMNT'!B:B,'4.CAP_ENDMNT'!I:I,0,0,1)</f>
        <v>2374908152.5100002</v>
      </c>
      <c r="AC57" s="134">
        <f>+_xlfn.XLOOKUP(PROYECTOS2[[#This Row],[MUNICIPIO]],'4.CAP_ENDMNT'!B:B,'4.CAP_ENDMNT'!J:J,0,0,1)</f>
        <v>0.19419112043609105</v>
      </c>
      <c r="AD57" s="140">
        <f>+_xlfn.XLOOKUP(PROYECTOS2[[#This Row],[MUNICIPIO]],'4.CAP_ENDMNT'!B:B,'4.CAP_ENDMNT'!K:K,0,0,1)</f>
        <v>9854838229.1820011</v>
      </c>
      <c r="AE57" s="140">
        <f>+_xlfn.XLOOKUP(PROYECTOS2[[#This Row],[MUNICIPIO]],'4.CAP_ENDMNT'!B:B,'4.CAP_ENDMNT'!L:L,0,0,1)</f>
        <v>7883870583.3456011</v>
      </c>
      <c r="AF57" s="140">
        <f>+_xlfn.XLOOKUP(PROYECTOS2[[#This Row],[MUNICIPIO]],'4.CAP_ENDMNT'!B:B,'4.CAP_ENDMNT'!M:M,0,0,1)</f>
        <v>5912902937.5092001</v>
      </c>
      <c r="AG57" s="134">
        <f>+_xlfn.XLOOKUP(PROYECTOS2[[#This Row],[MUNICIPIO]],'4.CAP_ENDMNT'!B:B,'4.CAP_ENDMNT'!N:N,0,0,1)</f>
        <v>0.6292985166312477</v>
      </c>
      <c r="AH57" s="134">
        <f>+_xlfn.XLOOKUP(PROYECTOS2[[#This Row],[MUNICIPIO]],'4.CAP_ENDMNT'!B:B,'4.CAP_ENDMNT'!O:O,0,0,1)</f>
        <v>0.5600857997738885</v>
      </c>
      <c r="AI57" s="134">
        <f>+_xlfn.XLOOKUP(PROYECTOS2[[#This Row],[MUNICIPIO]],'4.CAP_ENDMNT'!B:B,'4.CAP_ENDMNT'!P:P,0,0,1)</f>
        <v>0.8</v>
      </c>
      <c r="AJ57" s="44" t="str">
        <f>+_xlfn.XLOOKUP(PROYECTOS2[[#This Row],[MUNICIPIO]],'4.CAP_ENDMNT'!B:B,'4.CAP_ENDMNT'!Q:Q,0,0,1)</f>
        <v>Cumple</v>
      </c>
    </row>
    <row r="58" spans="1:36">
      <c r="A58" s="44">
        <v>64</v>
      </c>
      <c r="B58" s="37" t="s">
        <v>140</v>
      </c>
      <c r="C58" s="118">
        <f>+_xlfn.XLOOKUP(PROYECTOS2[[#This Row],[ID_NECESIDAD]],'1.RADICADOS'!G:G,'1.RADICADOS'!C:C,0,0,1)*1</f>
        <v>45518</v>
      </c>
      <c r="D58" s="46" t="s">
        <v>61</v>
      </c>
      <c r="E58" s="47" t="str">
        <f>+_xlfn.XLOOKUP(PROYECTOS2[[#This Row],[MUNICIPIO]],MUNICIPIOS!A:A,MUNICIPIOS!E:E,0,0,1)</f>
        <v>Suroeste</v>
      </c>
      <c r="F58" s="44" t="e" cm="1">
        <f t="array" ref="F58">+_xlfn.XLOOKUP(PROYECTOS2[[#This Row],[MUNICIPIO]],Table1[Municipio],MUNICIPIOS!F:F,0,0,1)</f>
        <v>#VALUE!</v>
      </c>
      <c r="G58" s="44" t="str">
        <f>+LOOKUP(PROYECTOS2[[#This Row],[MUNICIPIO]],Table1[Municipio],Table1[Latitud])</f>
        <v>6,136871</v>
      </c>
      <c r="H58" s="44">
        <f>+LOOKUP(PROYECTOS2[[#This Row],[MUNICIPIO]],Table1[Municipio],Table1[PDET])</f>
        <v>0</v>
      </c>
      <c r="I58" s="44">
        <f>+LOOKUP(PROYECTOS2[[#This Row],[MUNICIPIO]],Table1[Municipio],Table1[ZOMAC])</f>
        <v>0</v>
      </c>
      <c r="J58" s="3" t="str" cm="1">
        <f t="array" ref="J58">_xlfn.TEXTJOIN(", ", TRUE, IF(radicados[ID PROYECTOS]=A58, radicados[RADICADO], ""))</f>
        <v>2024010293827</v>
      </c>
      <c r="K58" s="45">
        <v>2</v>
      </c>
      <c r="L58" s="45"/>
      <c r="M58" s="43"/>
      <c r="N58" s="48">
        <v>1500000000</v>
      </c>
      <c r="O58" s="48"/>
      <c r="P58" s="48"/>
      <c r="Q58" s="148" t="s">
        <v>1067</v>
      </c>
      <c r="R58" s="34" t="s">
        <v>407</v>
      </c>
      <c r="S58" s="40" t="s">
        <v>397</v>
      </c>
      <c r="T58" s="40" t="s">
        <v>56</v>
      </c>
      <c r="U58" s="37" t="s">
        <v>1095</v>
      </c>
      <c r="V58" s="44">
        <f>+_xlfn.XLOOKUP(PROYECTOS2[[#This Row],[MUNICIPIO]],'4.CAP_ENDMNT'!B:B,'4.CAP_ENDMNT'!C:C,0,0,1)</f>
        <v>6</v>
      </c>
      <c r="W58" s="139">
        <f>+_xlfn.XLOOKUP(PROYECTOS2[[#This Row],[MUNICIPIO]],'4.CAP_ENDMNT'!B:B,'4.CAP_ENDMNT'!D:D,0,0,1)</f>
        <v>17515986067.273998</v>
      </c>
      <c r="X58" s="140">
        <f>+_xlfn.XLOOKUP(PROYECTOS2[[#This Row],[MUNICIPIO]],'4.CAP_ENDMNT'!B:B,'4.CAP_ENDMNT'!E:E,0,0,1)</f>
        <v>8346764868.3600006</v>
      </c>
      <c r="Y58" s="140">
        <f>+_xlfn.XLOOKUP(PROYECTOS2[[#This Row],[MUNICIPIO]],'4.CAP_ENDMNT'!B:B,'4.CAP_ENDMNT'!F:F,0,0,1)</f>
        <v>9169221198.9139977</v>
      </c>
      <c r="Z58" s="140">
        <f>+_xlfn.XLOOKUP(PROYECTOS2[[#This Row],[MUNICIPIO]],'4.CAP_ENDMNT'!B:B,'4.CAP_ENDMNT'!G:G,0,0,1)</f>
        <v>0</v>
      </c>
      <c r="AA58" s="140">
        <f>+_xlfn.XLOOKUP(PROYECTOS2[[#This Row],[MUNICIPIO]],'4.CAP_ENDMNT'!B:B,'4.CAP_ENDMNT'!H:H,0,0,1)</f>
        <v>6328650461</v>
      </c>
      <c r="AB58" s="140">
        <f>+_xlfn.XLOOKUP(PROYECTOS2[[#This Row],[MUNICIPIO]],'4.CAP_ENDMNT'!B:B,'4.CAP_ENDMNT'!I:I,0,0,1)</f>
        <v>6328650461</v>
      </c>
      <c r="AC58" s="134">
        <f>+_xlfn.XLOOKUP(PROYECTOS2[[#This Row],[MUNICIPIO]],'4.CAP_ENDMNT'!B:B,'4.CAP_ENDMNT'!J:J,0,0,1)</f>
        <v>0.36130711891945022</v>
      </c>
      <c r="AD58" s="140">
        <f>+_xlfn.XLOOKUP(PROYECTOS2[[#This Row],[MUNICIPIO]],'4.CAP_ENDMNT'!B:B,'4.CAP_ENDMNT'!K:K,0,0,1)</f>
        <v>11187335606.273998</v>
      </c>
      <c r="AE58" s="140">
        <f>+_xlfn.XLOOKUP(PROYECTOS2[[#This Row],[MUNICIPIO]],'4.CAP_ENDMNT'!B:B,'4.CAP_ENDMNT'!L:L,0,0,1)</f>
        <v>8949868485.0191994</v>
      </c>
      <c r="AF58" s="140">
        <f>+_xlfn.XLOOKUP(PROYECTOS2[[#This Row],[MUNICIPIO]],'4.CAP_ENDMNT'!B:B,'4.CAP_ENDMNT'!M:M,0,0,1)</f>
        <v>6712401363.7643986</v>
      </c>
      <c r="AG58" s="134">
        <f>+_xlfn.XLOOKUP(PROYECTOS2[[#This Row],[MUNICIPIO]],'4.CAP_ENDMNT'!B:B,'4.CAP_ENDMNT'!N:N,0,0,1)</f>
        <v>0</v>
      </c>
      <c r="AH58" s="134">
        <f>+_xlfn.XLOOKUP(PROYECTOS2[[#This Row],[MUNICIPIO]],'4.CAP_ENDMNT'!B:B,'4.CAP_ENDMNT'!O:O,0,0,1)</f>
        <v>0.67376313277740918</v>
      </c>
      <c r="AI58" s="134">
        <f>+_xlfn.XLOOKUP(PROYECTOS2[[#This Row],[MUNICIPIO]],'4.CAP_ENDMNT'!B:B,'4.CAP_ENDMNT'!P:P,0,0,1)</f>
        <v>0.8</v>
      </c>
      <c r="AJ58" s="44" t="str">
        <f>+_xlfn.XLOOKUP(PROYECTOS2[[#This Row],[MUNICIPIO]],'4.CAP_ENDMNT'!B:B,'4.CAP_ENDMNT'!Q:Q,0,0,1)</f>
        <v>Cumple</v>
      </c>
    </row>
    <row r="59" spans="1:36">
      <c r="A59" s="44">
        <v>65</v>
      </c>
      <c r="B59" s="37" t="s">
        <v>142</v>
      </c>
      <c r="C59" s="118">
        <f>+_xlfn.XLOOKUP(PROYECTOS2[[#This Row],[ID_NECESIDAD]],'1.RADICADOS'!G:G,'1.RADICADOS'!C:C,0,0,1)*1</f>
        <v>45519</v>
      </c>
      <c r="D59" s="46" t="s">
        <v>141</v>
      </c>
      <c r="E59" s="47" t="str">
        <f>+_xlfn.XLOOKUP(PROYECTOS2[[#This Row],[MUNICIPIO]],MUNICIPIOS!A:A,MUNICIPIOS!E:E,0,0,1)</f>
        <v>Oriente</v>
      </c>
      <c r="F59" s="44" t="e" cm="1">
        <f t="array" ref="F59">+_xlfn.XLOOKUP(PROYECTOS2[[#This Row],[MUNICIPIO]],Table1[Municipio],MUNICIPIOS!F:F,0,0,1)</f>
        <v>#VALUE!</v>
      </c>
      <c r="G59" s="44" t="str">
        <f>+LOOKUP(PROYECTOS2[[#This Row],[MUNICIPIO]],Table1[Municipio],Table1[Latitud])</f>
        <v>7,074703</v>
      </c>
      <c r="H59" s="44">
        <f>+LOOKUP(PROYECTOS2[[#This Row],[MUNICIPIO]],Table1[Municipio],Table1[PDET])</f>
        <v>1</v>
      </c>
      <c r="I59" s="44">
        <f>+LOOKUP(PROYECTOS2[[#This Row],[MUNICIPIO]],Table1[Municipio],Table1[ZOMAC])</f>
        <v>1</v>
      </c>
      <c r="J59" s="3" t="str" cm="1">
        <f t="array" ref="J59">_xlfn.TEXTJOIN(", ", TRUE, IF(radicados[ID PROYECTOS]=A59, radicados[RADICADO], ""))</f>
        <v>2024010367165</v>
      </c>
      <c r="K59" s="45">
        <v>3</v>
      </c>
      <c r="L59" s="45"/>
      <c r="M59" s="43"/>
      <c r="N59" s="48">
        <v>4177881112</v>
      </c>
      <c r="O59" s="48"/>
      <c r="P59" s="48"/>
      <c r="Q59" s="148" t="s">
        <v>1067</v>
      </c>
      <c r="R59" s="34" t="s">
        <v>288</v>
      </c>
      <c r="S59" s="34" t="s">
        <v>398</v>
      </c>
      <c r="T59" s="34" t="s">
        <v>25</v>
      </c>
      <c r="U59" s="37"/>
      <c r="V59" s="44">
        <f>+_xlfn.XLOOKUP(PROYECTOS2[[#This Row],[MUNICIPIO]],'4.CAP_ENDMNT'!B:B,'4.CAP_ENDMNT'!C:C,0,0,1)</f>
        <v>6</v>
      </c>
      <c r="W59" s="139">
        <f>+_xlfn.XLOOKUP(PROYECTOS2[[#This Row],[MUNICIPIO]],'4.CAP_ENDMNT'!B:B,'4.CAP_ENDMNT'!D:D,0,0,1)</f>
        <v>7397887197.3409996</v>
      </c>
      <c r="X59" s="140">
        <f>+_xlfn.XLOOKUP(PROYECTOS2[[#This Row],[MUNICIPIO]],'4.CAP_ENDMNT'!B:B,'4.CAP_ENDMNT'!E:E,0,0,1)</f>
        <v>2145550795.75</v>
      </c>
      <c r="Y59" s="140">
        <f>+_xlfn.XLOOKUP(PROYECTOS2[[#This Row],[MUNICIPIO]],'4.CAP_ENDMNT'!B:B,'4.CAP_ENDMNT'!F:F,0,0,1)</f>
        <v>5252336401.5909996</v>
      </c>
      <c r="Z59" s="140">
        <f>+_xlfn.XLOOKUP(PROYECTOS2[[#This Row],[MUNICIPIO]],'4.CAP_ENDMNT'!B:B,'4.CAP_ENDMNT'!G:G,0,0,1)</f>
        <v>913988424</v>
      </c>
      <c r="AA59" s="140">
        <f>+_xlfn.XLOOKUP(PROYECTOS2[[#This Row],[MUNICIPIO]],'4.CAP_ENDMNT'!B:B,'4.CAP_ENDMNT'!H:H,0,0,1)</f>
        <v>0</v>
      </c>
      <c r="AB59" s="140">
        <f>+_xlfn.XLOOKUP(PROYECTOS2[[#This Row],[MUNICIPIO]],'4.CAP_ENDMNT'!B:B,'4.CAP_ENDMNT'!I:I,0,0,1)</f>
        <v>913988424</v>
      </c>
      <c r="AC59" s="134">
        <f>+_xlfn.XLOOKUP(PROYECTOS2[[#This Row],[MUNICIPIO]],'4.CAP_ENDMNT'!B:B,'4.CAP_ENDMNT'!J:J,0,0,1)</f>
        <v>0.12354722363548773</v>
      </c>
      <c r="AD59" s="140">
        <f>+_xlfn.XLOOKUP(PROYECTOS2[[#This Row],[MUNICIPIO]],'4.CAP_ENDMNT'!B:B,'4.CAP_ENDMNT'!K:K,0,0,1)</f>
        <v>6483898773.3409996</v>
      </c>
      <c r="AE59" s="140">
        <f>+_xlfn.XLOOKUP(PROYECTOS2[[#This Row],[MUNICIPIO]],'4.CAP_ENDMNT'!B:B,'4.CAP_ENDMNT'!L:L,0,0,1)</f>
        <v>5187119018.6728001</v>
      </c>
      <c r="AF59" s="140">
        <f>+_xlfn.XLOOKUP(PROYECTOS2[[#This Row],[MUNICIPIO]],'4.CAP_ENDMNT'!B:B,'4.CAP_ENDMNT'!M:M,0,0,1)</f>
        <v>3890339264.0045996</v>
      </c>
      <c r="AG59" s="134">
        <f>+_xlfn.XLOOKUP(PROYECTOS2[[#This Row],[MUNICIPIO]],'4.CAP_ENDMNT'!B:B,'4.CAP_ENDMNT'!N:N,0,0,1)</f>
        <v>1</v>
      </c>
      <c r="AH59" s="134">
        <f>+_xlfn.XLOOKUP(PROYECTOS2[[#This Row],[MUNICIPIO]],'4.CAP_ENDMNT'!B:B,'4.CAP_ENDMNT'!O:O,0,0,1)</f>
        <v>0.55936476249157852</v>
      </c>
      <c r="AI59" s="134">
        <f>+_xlfn.XLOOKUP(PROYECTOS2[[#This Row],[MUNICIPIO]],'4.CAP_ENDMNT'!B:B,'4.CAP_ENDMNT'!P:P,0,0,1)</f>
        <v>0.8</v>
      </c>
      <c r="AJ59" s="44" t="str">
        <f>+_xlfn.XLOOKUP(PROYECTOS2[[#This Row],[MUNICIPIO]],'4.CAP_ENDMNT'!B:B,'4.CAP_ENDMNT'!Q:Q,0,0,1)</f>
        <v>Cumple</v>
      </c>
    </row>
    <row r="60" spans="1:36">
      <c r="A60" s="44">
        <v>66</v>
      </c>
      <c r="B60" s="37" t="s">
        <v>143</v>
      </c>
      <c r="C60" s="118">
        <f>+_xlfn.XLOOKUP(PROYECTOS2[[#This Row],[ID_NECESIDAD]],'1.RADICADOS'!G:G,'1.RADICADOS'!C:C,0,0,1)*1</f>
        <v>45532</v>
      </c>
      <c r="D60" s="46" t="s">
        <v>70</v>
      </c>
      <c r="E60" s="47" t="str">
        <f>+_xlfn.XLOOKUP(PROYECTOS2[[#This Row],[MUNICIPIO]],MUNICIPIOS!A:A,MUNICIPIOS!E:E,0,0,1)</f>
        <v>Oriente</v>
      </c>
      <c r="F60" s="44" t="e" cm="1">
        <f t="array" ref="F60">+_xlfn.XLOOKUP(PROYECTOS2[[#This Row],[MUNICIPIO]],Table1[Municipio],MUNICIPIOS!F:F,0,0,1)</f>
        <v>#VALUE!</v>
      </c>
      <c r="G60" s="44" t="e">
        <f>+LOOKUP(PROYECTOS2[[#This Row],[MUNICIPIO]],Table1[Municipio],Table1[Latitud])</f>
        <v>#N/A</v>
      </c>
      <c r="H60" s="44" t="e">
        <f>+LOOKUP(PROYECTOS2[[#This Row],[MUNICIPIO]],Table1[Municipio],Table1[PDET])</f>
        <v>#N/A</v>
      </c>
      <c r="I60" s="44" t="e">
        <f>+LOOKUP(PROYECTOS2[[#This Row],[MUNICIPIO]],Table1[Municipio],Table1[ZOMAC])</f>
        <v>#N/A</v>
      </c>
      <c r="J60" s="3" t="str" cm="1">
        <f t="array" ref="J60">_xlfn.TEXTJOIN(", ", TRUE, IF(radicados[ID PROYECTOS]=A60, radicados[RADICADO], ""))</f>
        <v>2024010369050</v>
      </c>
      <c r="K60" s="45">
        <v>2</v>
      </c>
      <c r="L60" s="45"/>
      <c r="M60" s="43"/>
      <c r="N60" s="48">
        <v>1742934834</v>
      </c>
      <c r="O60" s="48"/>
      <c r="P60" s="48"/>
      <c r="Q60" s="148" t="s">
        <v>1067</v>
      </c>
      <c r="R60" s="34" t="s">
        <v>401</v>
      </c>
      <c r="S60" s="34" t="s">
        <v>398</v>
      </c>
      <c r="T60" s="34" t="s">
        <v>25</v>
      </c>
      <c r="U60" s="37"/>
      <c r="V60" s="44">
        <f>+_xlfn.XLOOKUP(PROYECTOS2[[#This Row],[MUNICIPIO]],'4.CAP_ENDMNT'!B:B,'4.CAP_ENDMNT'!C:C,0,0,1)</f>
        <v>6</v>
      </c>
      <c r="W60" s="139">
        <f>+_xlfn.XLOOKUP(PROYECTOS2[[#This Row],[MUNICIPIO]],'4.CAP_ENDMNT'!B:B,'4.CAP_ENDMNT'!D:D,0,0,1)</f>
        <v>8362831920.7600002</v>
      </c>
      <c r="X60" s="140">
        <f>+_xlfn.XLOOKUP(PROYECTOS2[[#This Row],[MUNICIPIO]],'4.CAP_ENDMNT'!B:B,'4.CAP_ENDMNT'!E:E,0,0,1)</f>
        <v>2199279418.0799999</v>
      </c>
      <c r="Y60" s="140">
        <f>+_xlfn.XLOOKUP(PROYECTOS2[[#This Row],[MUNICIPIO]],'4.CAP_ENDMNT'!B:B,'4.CAP_ENDMNT'!F:F,0,0,1)</f>
        <v>6163552502.6800003</v>
      </c>
      <c r="Z60" s="140">
        <f>+_xlfn.XLOOKUP(PROYECTOS2[[#This Row],[MUNICIPIO]],'4.CAP_ENDMNT'!B:B,'4.CAP_ENDMNT'!G:G,0,0,1)</f>
        <v>284104325</v>
      </c>
      <c r="AA60" s="140">
        <f>+_xlfn.XLOOKUP(PROYECTOS2[[#This Row],[MUNICIPIO]],'4.CAP_ENDMNT'!B:B,'4.CAP_ENDMNT'!H:H,0,0,1)</f>
        <v>209000000</v>
      </c>
      <c r="AB60" s="140">
        <f>+_xlfn.XLOOKUP(PROYECTOS2[[#This Row],[MUNICIPIO]],'4.CAP_ENDMNT'!B:B,'4.CAP_ENDMNT'!I:I,0,0,1)</f>
        <v>493104325</v>
      </c>
      <c r="AC60" s="134">
        <f>+_xlfn.XLOOKUP(PROYECTOS2[[#This Row],[MUNICIPIO]],'4.CAP_ENDMNT'!B:B,'4.CAP_ENDMNT'!J:J,0,0,1)</f>
        <v>5.8963797152961017E-2</v>
      </c>
      <c r="AD60" s="140">
        <f>+_xlfn.XLOOKUP(PROYECTOS2[[#This Row],[MUNICIPIO]],'4.CAP_ENDMNT'!B:B,'4.CAP_ENDMNT'!K:K,0,0,1)</f>
        <v>7869727595.7600002</v>
      </c>
      <c r="AE60" s="140">
        <f>+_xlfn.XLOOKUP(PROYECTOS2[[#This Row],[MUNICIPIO]],'4.CAP_ENDMNT'!B:B,'4.CAP_ENDMNT'!L:L,0,0,1)</f>
        <v>6295782076.6080008</v>
      </c>
      <c r="AF60" s="140">
        <f>+_xlfn.XLOOKUP(PROYECTOS2[[#This Row],[MUNICIPIO]],'4.CAP_ENDMNT'!B:B,'4.CAP_ENDMNT'!M:M,0,0,1)</f>
        <v>4721836557.4560003</v>
      </c>
      <c r="AG60" s="134">
        <f>+_xlfn.XLOOKUP(PROYECTOS2[[#This Row],[MUNICIPIO]],'4.CAP_ENDMNT'!B:B,'4.CAP_ENDMNT'!N:N,0,0,1)</f>
        <v>0.57615459973911198</v>
      </c>
      <c r="AH60" s="134">
        <f>+_xlfn.XLOOKUP(PROYECTOS2[[#This Row],[MUNICIPIO]],'4.CAP_ENDMNT'!B:B,'4.CAP_ENDMNT'!O:O,0,0,1)</f>
        <v>0.61308928502962989</v>
      </c>
      <c r="AI60" s="134">
        <f>+_xlfn.XLOOKUP(PROYECTOS2[[#This Row],[MUNICIPIO]],'4.CAP_ENDMNT'!B:B,'4.CAP_ENDMNT'!P:P,0,0,1)</f>
        <v>0.8</v>
      </c>
      <c r="AJ60" s="44" t="str">
        <f>+_xlfn.XLOOKUP(PROYECTOS2[[#This Row],[MUNICIPIO]],'4.CAP_ENDMNT'!B:B,'4.CAP_ENDMNT'!Q:Q,0,0,1)</f>
        <v>Cumple</v>
      </c>
    </row>
    <row r="61" spans="1:36">
      <c r="A61" s="44">
        <v>67</v>
      </c>
      <c r="B61" s="37" t="s">
        <v>145</v>
      </c>
      <c r="C61" s="118">
        <f>+_xlfn.XLOOKUP(PROYECTOS2[[#This Row],[ID_NECESIDAD]],'1.RADICADOS'!G:G,'1.RADICADOS'!C:C,0,0,1)*1</f>
        <v>45531</v>
      </c>
      <c r="D61" s="46" t="s">
        <v>144</v>
      </c>
      <c r="E61" s="47" t="str">
        <f>+_xlfn.XLOOKUP(PROYECTOS2[[#This Row],[MUNICIPIO]],MUNICIPIOS!A:A,MUNICIPIOS!E:E,0,0,1)</f>
        <v>Suroeste</v>
      </c>
      <c r="F61" s="44" t="e" cm="1">
        <f t="array" ref="F61">+_xlfn.XLOOKUP(PROYECTOS2[[#This Row],[MUNICIPIO]],Table1[Municipio],MUNICIPIOS!F:F,0,0,1)</f>
        <v>#VALUE!</v>
      </c>
      <c r="G61" s="44" t="str">
        <f>+LOOKUP(PROYECTOS2[[#This Row],[MUNICIPIO]],Table1[Municipio],Table1[Latitud])</f>
        <v>6,232461</v>
      </c>
      <c r="H61" s="44">
        <f>+LOOKUP(PROYECTOS2[[#This Row],[MUNICIPIO]],Table1[Municipio],Table1[PDET])</f>
        <v>0</v>
      </c>
      <c r="I61" s="44">
        <f>+LOOKUP(PROYECTOS2[[#This Row],[MUNICIPIO]],Table1[Municipio],Table1[ZOMAC])</f>
        <v>0</v>
      </c>
      <c r="J61" s="3" t="str" cm="1">
        <f t="array" ref="J61">_xlfn.TEXTJOIN(", ", TRUE, IF(radicados[ID PROYECTOS]=A61, radicados[RADICADO], ""))</f>
        <v>2024010389321</v>
      </c>
      <c r="K61" s="45">
        <v>2</v>
      </c>
      <c r="L61" s="45"/>
      <c r="M61" s="43"/>
      <c r="N61" s="48">
        <v>200000000</v>
      </c>
      <c r="O61" s="48"/>
      <c r="P61" s="48"/>
      <c r="Q61" s="148" t="s">
        <v>1067</v>
      </c>
      <c r="R61" s="34" t="s">
        <v>396</v>
      </c>
      <c r="S61" s="34" t="s">
        <v>398</v>
      </c>
      <c r="T61" s="34" t="s">
        <v>25</v>
      </c>
      <c r="U61" s="37"/>
      <c r="V61" s="44">
        <f>+_xlfn.XLOOKUP(PROYECTOS2[[#This Row],[MUNICIPIO]],'4.CAP_ENDMNT'!B:B,'4.CAP_ENDMNT'!C:C,0,0,1)</f>
        <v>6</v>
      </c>
      <c r="W61" s="139">
        <f>+_xlfn.XLOOKUP(PROYECTOS2[[#This Row],[MUNICIPIO]],'4.CAP_ENDMNT'!B:B,'4.CAP_ENDMNT'!D:D,0,0,1)</f>
        <v>15694425323.1185</v>
      </c>
      <c r="X61" s="140">
        <f>+_xlfn.XLOOKUP(PROYECTOS2[[#This Row],[MUNICIPIO]],'4.CAP_ENDMNT'!B:B,'4.CAP_ENDMNT'!E:E,0,0,1)</f>
        <v>6655963089.6100006</v>
      </c>
      <c r="Y61" s="140">
        <f>+_xlfn.XLOOKUP(PROYECTOS2[[#This Row],[MUNICIPIO]],'4.CAP_ENDMNT'!B:B,'4.CAP_ENDMNT'!F:F,0,0,1)</f>
        <v>9038462233.5084991</v>
      </c>
      <c r="Z61" s="140">
        <f>+_xlfn.XLOOKUP(PROYECTOS2[[#This Row],[MUNICIPIO]],'4.CAP_ENDMNT'!B:B,'4.CAP_ENDMNT'!G:G,0,0,1)</f>
        <v>1446596000</v>
      </c>
      <c r="AA61" s="140">
        <f>+_xlfn.XLOOKUP(PROYECTOS2[[#This Row],[MUNICIPIO]],'4.CAP_ENDMNT'!B:B,'4.CAP_ENDMNT'!H:H,0,0,1)</f>
        <v>1500000000</v>
      </c>
      <c r="AB61" s="140">
        <f>+_xlfn.XLOOKUP(PROYECTOS2[[#This Row],[MUNICIPIO]],'4.CAP_ENDMNT'!B:B,'4.CAP_ENDMNT'!I:I,0,0,1)</f>
        <v>2946596000</v>
      </c>
      <c r="AC61" s="134">
        <f>+_xlfn.XLOOKUP(PROYECTOS2[[#This Row],[MUNICIPIO]],'4.CAP_ENDMNT'!B:B,'4.CAP_ENDMNT'!J:J,0,0,1)</f>
        <v>0.1877479384772088</v>
      </c>
      <c r="AD61" s="140">
        <f>+_xlfn.XLOOKUP(PROYECTOS2[[#This Row],[MUNICIPIO]],'4.CAP_ENDMNT'!B:B,'4.CAP_ENDMNT'!K:K,0,0,1)</f>
        <v>12747829323.1185</v>
      </c>
      <c r="AE61" s="140">
        <f>+_xlfn.XLOOKUP(PROYECTOS2[[#This Row],[MUNICIPIO]],'4.CAP_ENDMNT'!B:B,'4.CAP_ENDMNT'!L:L,0,0,1)</f>
        <v>10198263458.494801</v>
      </c>
      <c r="AF61" s="140">
        <f>+_xlfn.XLOOKUP(PROYECTOS2[[#This Row],[MUNICIPIO]],'4.CAP_ENDMNT'!B:B,'4.CAP_ENDMNT'!M:M,0,0,1)</f>
        <v>7648697593.8710995</v>
      </c>
      <c r="AG61" s="134">
        <f>+_xlfn.XLOOKUP(PROYECTOS2[[#This Row],[MUNICIPIO]],'4.CAP_ENDMNT'!B:B,'4.CAP_ENDMNT'!N:N,0,0,1)</f>
        <v>0.49093801797056674</v>
      </c>
      <c r="AH61" s="134">
        <f>+_xlfn.XLOOKUP(PROYECTOS2[[#This Row],[MUNICIPIO]],'4.CAP_ENDMNT'!B:B,'4.CAP_ENDMNT'!O:O,0,0,1)</f>
        <v>0.65417145296340995</v>
      </c>
      <c r="AI61" s="134">
        <f>+_xlfn.XLOOKUP(PROYECTOS2[[#This Row],[MUNICIPIO]],'4.CAP_ENDMNT'!B:B,'4.CAP_ENDMNT'!P:P,0,0,1)</f>
        <v>0.8</v>
      </c>
      <c r="AJ61" s="44" t="str">
        <f>+_xlfn.XLOOKUP(PROYECTOS2[[#This Row],[MUNICIPIO]],'4.CAP_ENDMNT'!B:B,'4.CAP_ENDMNT'!Q:Q,0,0,1)</f>
        <v>Cumple</v>
      </c>
    </row>
    <row r="62" spans="1:36">
      <c r="A62" s="44">
        <v>68</v>
      </c>
      <c r="B62" s="37" t="s">
        <v>147</v>
      </c>
      <c r="C62" s="118">
        <f>+_xlfn.XLOOKUP(PROYECTOS2[[#This Row],[ID_NECESIDAD]],'1.RADICADOS'!G:G,'1.RADICADOS'!C:C,0,0,1)*1</f>
        <v>45533</v>
      </c>
      <c r="D62" s="46" t="s">
        <v>146</v>
      </c>
      <c r="E62" s="47" t="str">
        <f>+_xlfn.XLOOKUP(PROYECTOS2[[#This Row],[MUNICIPIO]],MUNICIPIOS!A:A,MUNICIPIOS!E:E,0,0,1)</f>
        <v>Suroeste</v>
      </c>
      <c r="F62" s="44" t="e" cm="1">
        <f t="array" ref="F62">+_xlfn.XLOOKUP(PROYECTOS2[[#This Row],[MUNICIPIO]],Table1[Municipio],MUNICIPIOS!F:F,0,0,1)</f>
        <v>#VALUE!</v>
      </c>
      <c r="G62" s="44" t="str">
        <f>+LOOKUP(PROYECTOS2[[#This Row],[MUNICIPIO]],Table1[Municipio],Table1[Latitud])</f>
        <v>6,149903</v>
      </c>
      <c r="H62" s="44">
        <f>+LOOKUP(PROYECTOS2[[#This Row],[MUNICIPIO]],Table1[Municipio],Table1[PDET])</f>
        <v>0</v>
      </c>
      <c r="I62" s="44">
        <f>+LOOKUP(PROYECTOS2[[#This Row],[MUNICIPIO]],Table1[Municipio],Table1[ZOMAC])</f>
        <v>0</v>
      </c>
      <c r="J62" s="3" t="str" cm="1">
        <f t="array" ref="J62">_xlfn.TEXTJOIN(", ", TRUE, IF(radicados[ID PROYECTOS]=A62, radicados[RADICADO], ""))</f>
        <v>2024010382454</v>
      </c>
      <c r="K62" s="45">
        <v>2</v>
      </c>
      <c r="L62" s="45"/>
      <c r="M62" s="43"/>
      <c r="N62" s="48">
        <v>10271751951</v>
      </c>
      <c r="O62" s="48"/>
      <c r="P62" s="48"/>
      <c r="Q62" s="148" t="s">
        <v>1067</v>
      </c>
      <c r="R62" s="34" t="s">
        <v>396</v>
      </c>
      <c r="S62" s="34" t="s">
        <v>398</v>
      </c>
      <c r="T62" s="34" t="s">
        <v>25</v>
      </c>
      <c r="U62" s="37"/>
      <c r="V62" s="44">
        <f>+_xlfn.XLOOKUP(PROYECTOS2[[#This Row],[MUNICIPIO]],'4.CAP_ENDMNT'!B:B,'4.CAP_ENDMNT'!C:C,0,0,1)</f>
        <v>6</v>
      </c>
      <c r="W62" s="139">
        <f>+_xlfn.XLOOKUP(PROYECTOS2[[#This Row],[MUNICIPIO]],'4.CAP_ENDMNT'!B:B,'4.CAP_ENDMNT'!D:D,0,0,1)</f>
        <v>11592686445.107998</v>
      </c>
      <c r="X62" s="140">
        <f>+_xlfn.XLOOKUP(PROYECTOS2[[#This Row],[MUNICIPIO]],'4.CAP_ENDMNT'!B:B,'4.CAP_ENDMNT'!E:E,0,0,1)</f>
        <v>5670743725.9899998</v>
      </c>
      <c r="Y62" s="140">
        <f>+_xlfn.XLOOKUP(PROYECTOS2[[#This Row],[MUNICIPIO]],'4.CAP_ENDMNT'!B:B,'4.CAP_ENDMNT'!F:F,0,0,1)</f>
        <v>5921942719.1179981</v>
      </c>
      <c r="Z62" s="140">
        <f>+_xlfn.XLOOKUP(PROYECTOS2[[#This Row],[MUNICIPIO]],'4.CAP_ENDMNT'!B:B,'4.CAP_ENDMNT'!G:G,0,0,1)</f>
        <v>1149558272.3800001</v>
      </c>
      <c r="AA62" s="140">
        <f>+_xlfn.XLOOKUP(PROYECTOS2[[#This Row],[MUNICIPIO]],'4.CAP_ENDMNT'!B:B,'4.CAP_ENDMNT'!H:H,0,0,1)</f>
        <v>1133660976</v>
      </c>
      <c r="AB62" s="140">
        <f>+_xlfn.XLOOKUP(PROYECTOS2[[#This Row],[MUNICIPIO]],'4.CAP_ENDMNT'!B:B,'4.CAP_ENDMNT'!I:I,0,0,1)</f>
        <v>2283219248.3800001</v>
      </c>
      <c r="AC62" s="134">
        <f>+_xlfn.XLOOKUP(PROYECTOS2[[#This Row],[MUNICIPIO]],'4.CAP_ENDMNT'!B:B,'4.CAP_ENDMNT'!J:J,0,0,1)</f>
        <v>0.19695342052001213</v>
      </c>
      <c r="AD62" s="140">
        <f>+_xlfn.XLOOKUP(PROYECTOS2[[#This Row],[MUNICIPIO]],'4.CAP_ENDMNT'!B:B,'4.CAP_ENDMNT'!K:K,0,0,1)</f>
        <v>9309467196.7279968</v>
      </c>
      <c r="AE62" s="140">
        <f>+_xlfn.XLOOKUP(PROYECTOS2[[#This Row],[MUNICIPIO]],'4.CAP_ENDMNT'!B:B,'4.CAP_ENDMNT'!L:L,0,0,1)</f>
        <v>7447573757.3823977</v>
      </c>
      <c r="AF62" s="140">
        <f>+_xlfn.XLOOKUP(PROYECTOS2[[#This Row],[MUNICIPIO]],'4.CAP_ENDMNT'!B:B,'4.CAP_ENDMNT'!M:M,0,0,1)</f>
        <v>5585680318.0367975</v>
      </c>
      <c r="AG62" s="134">
        <f>+_xlfn.XLOOKUP(PROYECTOS2[[#This Row],[MUNICIPIO]],'4.CAP_ENDMNT'!B:B,'4.CAP_ENDMNT'!N:N,0,0,1)</f>
        <v>0.50348133373334159</v>
      </c>
      <c r="AH62" s="134">
        <f>+_xlfn.XLOOKUP(PROYECTOS2[[#This Row],[MUNICIPIO]],'4.CAP_ENDMNT'!B:B,'4.CAP_ENDMNT'!O:O,0,0,1)</f>
        <v>0.69203788539600963</v>
      </c>
      <c r="AI62" s="134">
        <f>+_xlfn.XLOOKUP(PROYECTOS2[[#This Row],[MUNICIPIO]],'4.CAP_ENDMNT'!B:B,'4.CAP_ENDMNT'!P:P,0,0,1)</f>
        <v>0.8</v>
      </c>
      <c r="AJ62" s="44" t="str">
        <f>+_xlfn.XLOOKUP(PROYECTOS2[[#This Row],[MUNICIPIO]],'4.CAP_ENDMNT'!B:B,'4.CAP_ENDMNT'!Q:Q,0,0,1)</f>
        <v>Cumple</v>
      </c>
    </row>
    <row r="63" spans="1:36">
      <c r="A63" s="44">
        <v>69</v>
      </c>
      <c r="B63" s="37" t="s">
        <v>149</v>
      </c>
      <c r="C63" s="118">
        <f>+_xlfn.XLOOKUP(PROYECTOS2[[#This Row],[ID_NECESIDAD]],'1.RADICADOS'!G:G,'1.RADICADOS'!C:C,0,0,1)*1</f>
        <v>45491</v>
      </c>
      <c r="D63" s="46" t="s">
        <v>148</v>
      </c>
      <c r="E63" s="47" t="str">
        <f>+_xlfn.XLOOKUP(PROYECTOS2[[#This Row],[MUNICIPIO]],MUNICIPIOS!A:A,MUNICIPIOS!E:E,0,0,1)</f>
        <v>Urabá</v>
      </c>
      <c r="F63" s="44" t="e" cm="1">
        <f t="array" ref="F63">+_xlfn.XLOOKUP(PROYECTOS2[[#This Row],[MUNICIPIO]],Table1[Municipio],MUNICIPIOS!F:F,0,0,1)</f>
        <v>#VALUE!</v>
      </c>
      <c r="G63" s="44" t="str">
        <f>+LOOKUP(PROYECTOS2[[#This Row],[MUNICIPIO]],Table1[Municipio],Table1[Latitud])</f>
        <v>6,149903</v>
      </c>
      <c r="H63" s="44">
        <f>+LOOKUP(PROYECTOS2[[#This Row],[MUNICIPIO]],Table1[Municipio],Table1[PDET])</f>
        <v>0</v>
      </c>
      <c r="I63" s="44">
        <f>+LOOKUP(PROYECTOS2[[#This Row],[MUNICIPIO]],Table1[Municipio],Table1[ZOMAC])</f>
        <v>0</v>
      </c>
      <c r="J63" s="3" t="str" cm="1">
        <f t="array" ref="J63">_xlfn.TEXTJOIN(", ", TRUE, IF(radicados[ID PROYECTOS]=A63, radicados[RADICADO], ""))</f>
        <v>2024010387865</v>
      </c>
      <c r="K63" s="45">
        <v>3</v>
      </c>
      <c r="L63" s="45"/>
      <c r="M63" s="43"/>
      <c r="N63" s="48">
        <v>6511188508</v>
      </c>
      <c r="O63" s="48"/>
      <c r="P63" s="48"/>
      <c r="Q63" s="148" t="s">
        <v>1067</v>
      </c>
      <c r="R63" s="34" t="s">
        <v>288</v>
      </c>
      <c r="S63" s="34" t="s">
        <v>398</v>
      </c>
      <c r="T63" s="34" t="s">
        <v>25</v>
      </c>
      <c r="U63" s="37"/>
      <c r="V63" s="44">
        <f>+_xlfn.XLOOKUP(PROYECTOS2[[#This Row],[MUNICIPIO]],'4.CAP_ENDMNT'!B:B,'4.CAP_ENDMNT'!C:C,0,0,1)</f>
        <v>6</v>
      </c>
      <c r="W63" s="139">
        <f>+_xlfn.XLOOKUP(PROYECTOS2[[#This Row],[MUNICIPIO]],'4.CAP_ENDMNT'!B:B,'4.CAP_ENDMNT'!D:D,0,0,1)</f>
        <v>18943215673.273502</v>
      </c>
      <c r="X63" s="140">
        <f>+_xlfn.XLOOKUP(PROYECTOS2[[#This Row],[MUNICIPIO]],'4.CAP_ENDMNT'!B:B,'4.CAP_ENDMNT'!E:E,0,0,1)</f>
        <v>6022595389.6999998</v>
      </c>
      <c r="Y63" s="140">
        <f>+_xlfn.XLOOKUP(PROYECTOS2[[#This Row],[MUNICIPIO]],'4.CAP_ENDMNT'!B:B,'4.CAP_ENDMNT'!F:F,0,0,1)</f>
        <v>12920620283.573502</v>
      </c>
      <c r="Z63" s="140">
        <f>+_xlfn.XLOOKUP(PROYECTOS2[[#This Row],[MUNICIPIO]],'4.CAP_ENDMNT'!B:B,'4.CAP_ENDMNT'!G:G,0,0,1)</f>
        <v>4570267145</v>
      </c>
      <c r="AA63" s="140">
        <f>+_xlfn.XLOOKUP(PROYECTOS2[[#This Row],[MUNICIPIO]],'4.CAP_ENDMNT'!B:B,'4.CAP_ENDMNT'!H:H,0,0,1)</f>
        <v>0</v>
      </c>
      <c r="AB63" s="140">
        <f>+_xlfn.XLOOKUP(PROYECTOS2[[#This Row],[MUNICIPIO]],'4.CAP_ENDMNT'!B:B,'4.CAP_ENDMNT'!I:I,0,0,1)</f>
        <v>4570267145</v>
      </c>
      <c r="AC63" s="134">
        <f>+_xlfn.XLOOKUP(PROYECTOS2[[#This Row],[MUNICIPIO]],'4.CAP_ENDMNT'!B:B,'4.CAP_ENDMNT'!J:J,0,0,1)</f>
        <v>0.24126142170508424</v>
      </c>
      <c r="AD63" s="140">
        <f>+_xlfn.XLOOKUP(PROYECTOS2[[#This Row],[MUNICIPIO]],'4.CAP_ENDMNT'!B:B,'4.CAP_ENDMNT'!K:K,0,0,1)</f>
        <v>14372948528.273502</v>
      </c>
      <c r="AE63" s="140">
        <f>+_xlfn.XLOOKUP(PROYECTOS2[[#This Row],[MUNICIPIO]],'4.CAP_ENDMNT'!B:B,'4.CAP_ENDMNT'!L:L,0,0,1)</f>
        <v>11498358822.618803</v>
      </c>
      <c r="AF63" s="140">
        <f>+_xlfn.XLOOKUP(PROYECTOS2[[#This Row],[MUNICIPIO]],'4.CAP_ENDMNT'!B:B,'4.CAP_ENDMNT'!M:M,0,0,1)</f>
        <v>8623769116.9641018</v>
      </c>
      <c r="AG63" s="134">
        <f>+_xlfn.XLOOKUP(PROYECTOS2[[#This Row],[MUNICIPIO]],'4.CAP_ENDMNT'!B:B,'4.CAP_ENDMNT'!N:N,0,0,1)</f>
        <v>1</v>
      </c>
      <c r="AH63" s="134">
        <f>+_xlfn.XLOOKUP(PROYECTOS2[[#This Row],[MUNICIPIO]],'4.CAP_ENDMNT'!B:B,'4.CAP_ENDMNT'!O:O,0,0,1)</f>
        <v>0.63532752805182191</v>
      </c>
      <c r="AI63" s="134">
        <f>+_xlfn.XLOOKUP(PROYECTOS2[[#This Row],[MUNICIPIO]],'4.CAP_ENDMNT'!B:B,'4.CAP_ENDMNT'!P:P,0,0,1)</f>
        <v>0.8</v>
      </c>
      <c r="AJ63" s="44" t="str">
        <f>+_xlfn.XLOOKUP(PROYECTOS2[[#This Row],[MUNICIPIO]],'4.CAP_ENDMNT'!B:B,'4.CAP_ENDMNT'!Q:Q,0,0,1)</f>
        <v>Cumple</v>
      </c>
    </row>
    <row r="64" spans="1:36">
      <c r="A64" s="44">
        <v>70</v>
      </c>
      <c r="B64" s="37" t="s">
        <v>150</v>
      </c>
      <c r="C64" s="118">
        <f>+_xlfn.XLOOKUP(PROYECTOS2[[#This Row],[ID_NECESIDAD]],'1.RADICADOS'!G:G,'1.RADICADOS'!C:C,0,0,1)*1</f>
        <v>45496</v>
      </c>
      <c r="D64" s="46" t="s">
        <v>146</v>
      </c>
      <c r="E64" s="47" t="str">
        <f>+_xlfn.XLOOKUP(PROYECTOS2[[#This Row],[MUNICIPIO]],MUNICIPIOS!A:A,MUNICIPIOS!E:E,0,0,1)</f>
        <v>Suroeste</v>
      </c>
      <c r="F64" s="44" t="e" cm="1">
        <f t="array" ref="F64">+_xlfn.XLOOKUP(PROYECTOS2[[#This Row],[MUNICIPIO]],Table1[Municipio],MUNICIPIOS!F:F,0,0,1)</f>
        <v>#VALUE!</v>
      </c>
      <c r="G64" s="44" t="str">
        <f>+LOOKUP(PROYECTOS2[[#This Row],[MUNICIPIO]],Table1[Municipio],Table1[Latitud])</f>
        <v>6,149903</v>
      </c>
      <c r="H64" s="44">
        <f>+LOOKUP(PROYECTOS2[[#This Row],[MUNICIPIO]],Table1[Municipio],Table1[PDET])</f>
        <v>0</v>
      </c>
      <c r="I64" s="44">
        <f>+LOOKUP(PROYECTOS2[[#This Row],[MUNICIPIO]],Table1[Municipio],Table1[ZOMAC])</f>
        <v>0</v>
      </c>
      <c r="J64" s="3" t="str" cm="1">
        <f t="array" ref="J64">_xlfn.TEXTJOIN(", ", TRUE, IF(radicados[ID PROYECTOS]=A64, radicados[RADICADO], ""))</f>
        <v>2024020033317, 2024020045696</v>
      </c>
      <c r="K64" s="45">
        <v>2</v>
      </c>
      <c r="L64" s="45"/>
      <c r="M64" s="43"/>
      <c r="N64" s="48">
        <v>1300000000</v>
      </c>
      <c r="O64" s="48"/>
      <c r="P64" s="48"/>
      <c r="Q64" s="148" t="s">
        <v>1067</v>
      </c>
      <c r="R64" s="34" t="s">
        <v>402</v>
      </c>
      <c r="S64" s="40"/>
      <c r="T64" s="40" t="s">
        <v>29</v>
      </c>
      <c r="U64" s="37" t="s">
        <v>1106</v>
      </c>
      <c r="V64" s="44">
        <f>+_xlfn.XLOOKUP(PROYECTOS2[[#This Row],[MUNICIPIO]],'4.CAP_ENDMNT'!B:B,'4.CAP_ENDMNT'!C:C,0,0,1)</f>
        <v>6</v>
      </c>
      <c r="W64" s="139">
        <f>+_xlfn.XLOOKUP(PROYECTOS2[[#This Row],[MUNICIPIO]],'4.CAP_ENDMNT'!B:B,'4.CAP_ENDMNT'!D:D,0,0,1)</f>
        <v>11592686445.107998</v>
      </c>
      <c r="X64" s="140">
        <f>+_xlfn.XLOOKUP(PROYECTOS2[[#This Row],[MUNICIPIO]],'4.CAP_ENDMNT'!B:B,'4.CAP_ENDMNT'!E:E,0,0,1)</f>
        <v>5670743725.9899998</v>
      </c>
      <c r="Y64" s="140">
        <f>+_xlfn.XLOOKUP(PROYECTOS2[[#This Row],[MUNICIPIO]],'4.CAP_ENDMNT'!B:B,'4.CAP_ENDMNT'!F:F,0,0,1)</f>
        <v>5921942719.1179981</v>
      </c>
      <c r="Z64" s="140">
        <f>+_xlfn.XLOOKUP(PROYECTOS2[[#This Row],[MUNICIPIO]],'4.CAP_ENDMNT'!B:B,'4.CAP_ENDMNT'!G:G,0,0,1)</f>
        <v>1149558272.3800001</v>
      </c>
      <c r="AA64" s="140">
        <f>+_xlfn.XLOOKUP(PROYECTOS2[[#This Row],[MUNICIPIO]],'4.CAP_ENDMNT'!B:B,'4.CAP_ENDMNT'!H:H,0,0,1)</f>
        <v>1133660976</v>
      </c>
      <c r="AB64" s="140">
        <f>+_xlfn.XLOOKUP(PROYECTOS2[[#This Row],[MUNICIPIO]],'4.CAP_ENDMNT'!B:B,'4.CAP_ENDMNT'!I:I,0,0,1)</f>
        <v>2283219248.3800001</v>
      </c>
      <c r="AC64" s="134">
        <f>+_xlfn.XLOOKUP(PROYECTOS2[[#This Row],[MUNICIPIO]],'4.CAP_ENDMNT'!B:B,'4.CAP_ENDMNT'!J:J,0,0,1)</f>
        <v>0.19695342052001213</v>
      </c>
      <c r="AD64" s="140">
        <f>+_xlfn.XLOOKUP(PROYECTOS2[[#This Row],[MUNICIPIO]],'4.CAP_ENDMNT'!B:B,'4.CAP_ENDMNT'!K:K,0,0,1)</f>
        <v>9309467196.7279968</v>
      </c>
      <c r="AE64" s="140">
        <f>+_xlfn.XLOOKUP(PROYECTOS2[[#This Row],[MUNICIPIO]],'4.CAP_ENDMNT'!B:B,'4.CAP_ENDMNT'!L:L,0,0,1)</f>
        <v>7447573757.3823977</v>
      </c>
      <c r="AF64" s="140">
        <f>+_xlfn.XLOOKUP(PROYECTOS2[[#This Row],[MUNICIPIO]],'4.CAP_ENDMNT'!B:B,'4.CAP_ENDMNT'!M:M,0,0,1)</f>
        <v>5585680318.0367975</v>
      </c>
      <c r="AG64" s="134">
        <f>+_xlfn.XLOOKUP(PROYECTOS2[[#This Row],[MUNICIPIO]],'4.CAP_ENDMNT'!B:B,'4.CAP_ENDMNT'!N:N,0,0,1)</f>
        <v>0.50348133373334159</v>
      </c>
      <c r="AH64" s="134">
        <f>+_xlfn.XLOOKUP(PROYECTOS2[[#This Row],[MUNICIPIO]],'4.CAP_ENDMNT'!B:B,'4.CAP_ENDMNT'!O:O,0,0,1)</f>
        <v>0.69203788539600963</v>
      </c>
      <c r="AI64" s="134">
        <f>+_xlfn.XLOOKUP(PROYECTOS2[[#This Row],[MUNICIPIO]],'4.CAP_ENDMNT'!B:B,'4.CAP_ENDMNT'!P:P,0,0,1)</f>
        <v>0.8</v>
      </c>
      <c r="AJ64" s="44" t="str">
        <f>+_xlfn.XLOOKUP(PROYECTOS2[[#This Row],[MUNICIPIO]],'4.CAP_ENDMNT'!B:B,'4.CAP_ENDMNT'!Q:Q,0,0,1)</f>
        <v>Cumple</v>
      </c>
    </row>
    <row r="65" spans="1:36">
      <c r="A65" s="44">
        <v>71</v>
      </c>
      <c r="B65" s="37" t="s">
        <v>152</v>
      </c>
      <c r="C65" s="118">
        <f>+_xlfn.XLOOKUP(PROYECTOS2[[#This Row],[ID_NECESIDAD]],'1.RADICADOS'!G:G,'1.RADICADOS'!C:C,0,0,1)*1</f>
        <v>45518</v>
      </c>
      <c r="D65" s="46" t="s">
        <v>151</v>
      </c>
      <c r="E65" s="47" t="str">
        <f>+_xlfn.XLOOKUP(PROYECTOS2[[#This Row],[MUNICIPIO]],MUNICIPIOS!A:A,MUNICIPIOS!E:E,0,0,1)</f>
        <v>Nordeste</v>
      </c>
      <c r="F65" s="44" t="e" cm="1">
        <f t="array" ref="F65">+_xlfn.XLOOKUP(PROYECTOS2[[#This Row],[MUNICIPIO]],Table1[Municipio],MUNICIPIOS!F:F,0,0,1)</f>
        <v>#VALUE!</v>
      </c>
      <c r="G65" s="44" t="str">
        <f>+LOOKUP(PROYECTOS2[[#This Row],[MUNICIPIO]],Table1[Municipio],Table1[Latitud])</f>
        <v>6,149903</v>
      </c>
      <c r="H65" s="44">
        <f>+LOOKUP(PROYECTOS2[[#This Row],[MUNICIPIO]],Table1[Municipio],Table1[PDET])</f>
        <v>0</v>
      </c>
      <c r="I65" s="44">
        <f>+LOOKUP(PROYECTOS2[[#This Row],[MUNICIPIO]],Table1[Municipio],Table1[ZOMAC])</f>
        <v>0</v>
      </c>
      <c r="J65" s="3" t="str" cm="1">
        <f t="array" ref="J65">_xlfn.TEXTJOIN(", ", TRUE, IF(radicados[ID PROYECTOS]=A65, radicados[RADICADO], ""))</f>
        <v>2024010329159</v>
      </c>
      <c r="K65" s="45">
        <v>1</v>
      </c>
      <c r="L65" s="45"/>
      <c r="M65" s="43"/>
      <c r="N65" s="48">
        <v>7618024161</v>
      </c>
      <c r="O65" s="48"/>
      <c r="P65" s="48"/>
      <c r="Q65" s="148" t="s">
        <v>1067</v>
      </c>
      <c r="R65" s="34" t="s">
        <v>402</v>
      </c>
      <c r="S65" s="40"/>
      <c r="T65" s="40" t="s">
        <v>29</v>
      </c>
      <c r="U65" s="37"/>
      <c r="V65" s="44">
        <f>+_xlfn.XLOOKUP(PROYECTOS2[[#This Row],[MUNICIPIO]],'4.CAP_ENDMNT'!B:B,'4.CAP_ENDMNT'!C:C,0,0,1)</f>
        <v>2</v>
      </c>
      <c r="W65" s="139">
        <f>+_xlfn.XLOOKUP(PROYECTOS2[[#This Row],[MUNICIPIO]],'4.CAP_ENDMNT'!B:B,'4.CAP_ENDMNT'!D:D,0,0,1)</f>
        <v>84858168955.287506</v>
      </c>
      <c r="X65" s="140">
        <f>+_xlfn.XLOOKUP(PROYECTOS2[[#This Row],[MUNICIPIO]],'4.CAP_ENDMNT'!B:B,'4.CAP_ENDMNT'!E:E,0,0,1)</f>
        <v>27841707067.830002</v>
      </c>
      <c r="Y65" s="140">
        <f>+_xlfn.XLOOKUP(PROYECTOS2[[#This Row],[MUNICIPIO]],'4.CAP_ENDMNT'!B:B,'4.CAP_ENDMNT'!F:F,0,0,1)</f>
        <v>57016461887.457504</v>
      </c>
      <c r="Z65" s="140">
        <f>+_xlfn.XLOOKUP(PROYECTOS2[[#This Row],[MUNICIPIO]],'4.CAP_ENDMNT'!B:B,'4.CAP_ENDMNT'!G:G,0,0,1)</f>
        <v>2326219324</v>
      </c>
      <c r="AA65" s="140">
        <f>+_xlfn.XLOOKUP(PROYECTOS2[[#This Row],[MUNICIPIO]],'4.CAP_ENDMNT'!B:B,'4.CAP_ENDMNT'!H:H,0,0,1)</f>
        <v>20000000000</v>
      </c>
      <c r="AB65" s="140">
        <f>+_xlfn.XLOOKUP(PROYECTOS2[[#This Row],[MUNICIPIO]],'4.CAP_ENDMNT'!B:B,'4.CAP_ENDMNT'!I:I,0,0,1)</f>
        <v>22326219324</v>
      </c>
      <c r="AC65" s="134">
        <f>+_xlfn.XLOOKUP(PROYECTOS2[[#This Row],[MUNICIPIO]],'4.CAP_ENDMNT'!B:B,'4.CAP_ENDMNT'!J:J,0,0,1)</f>
        <v>0.26310041329979528</v>
      </c>
      <c r="AD65" s="140">
        <f>+_xlfn.XLOOKUP(PROYECTOS2[[#This Row],[MUNICIPIO]],'4.CAP_ENDMNT'!B:B,'4.CAP_ENDMNT'!K:K,0,0,1)</f>
        <v>62531949631.287506</v>
      </c>
      <c r="AE65" s="140">
        <f>+_xlfn.XLOOKUP(PROYECTOS2[[#This Row],[MUNICIPIO]],'4.CAP_ENDMNT'!B:B,'4.CAP_ENDMNT'!L:L,0,0,1)</f>
        <v>50025559705.030006</v>
      </c>
      <c r="AF65" s="140">
        <f>+_xlfn.XLOOKUP(PROYECTOS2[[#This Row],[MUNICIPIO]],'4.CAP_ENDMNT'!B:B,'4.CAP_ENDMNT'!M:M,0,0,1)</f>
        <v>37519169778.772499</v>
      </c>
      <c r="AG65" s="134">
        <f>+_xlfn.XLOOKUP(PROYECTOS2[[#This Row],[MUNICIPIO]],'4.CAP_ENDMNT'!B:B,'4.CAP_ENDMNT'!N:N,0,0,1)</f>
        <v>0.10419226337615459</v>
      </c>
      <c r="AH65" s="134">
        <f>+_xlfn.XLOOKUP(PROYECTOS2[[#This Row],[MUNICIPIO]],'4.CAP_ENDMNT'!B:B,'4.CAP_ENDMNT'!O:O,0,0,1)</f>
        <v>0.29802786167909368</v>
      </c>
      <c r="AI65" s="134">
        <f>+_xlfn.XLOOKUP(PROYECTOS2[[#This Row],[MUNICIPIO]],'4.CAP_ENDMNT'!B:B,'4.CAP_ENDMNT'!P:P,0,0,1)</f>
        <v>0.7</v>
      </c>
      <c r="AJ65" s="44" t="str">
        <f>+_xlfn.XLOOKUP(PROYECTOS2[[#This Row],[MUNICIPIO]],'4.CAP_ENDMNT'!B:B,'4.CAP_ENDMNT'!Q:Q,0,0,1)</f>
        <v>Cumple</v>
      </c>
    </row>
    <row r="66" spans="1:36">
      <c r="A66" s="44">
        <v>72</v>
      </c>
      <c r="B66" s="37" t="s">
        <v>154</v>
      </c>
      <c r="C66" s="118">
        <f>+_xlfn.XLOOKUP(PROYECTOS2[[#This Row],[ID_NECESIDAD]],'1.RADICADOS'!G:G,'1.RADICADOS'!C:C,0,0,1)*1</f>
        <v>45520</v>
      </c>
      <c r="D66" s="46" t="s">
        <v>153</v>
      </c>
      <c r="E66" s="47" t="str">
        <f>+_xlfn.XLOOKUP(PROYECTOS2[[#This Row],[MUNICIPIO]],MUNICIPIOS!A:A,MUNICIPIOS!E:E,0,0,1)</f>
        <v>Urabá</v>
      </c>
      <c r="F66" s="44" t="e" cm="1">
        <f t="array" ref="F66">+_xlfn.XLOOKUP(PROYECTOS2[[#This Row],[MUNICIPIO]],Table1[Municipio],MUNICIPIOS!F:F,0,0,1)</f>
        <v>#VALUE!</v>
      </c>
      <c r="G66" s="44" t="str">
        <f>+LOOKUP(PROYECTOS2[[#This Row],[MUNICIPIO]],Table1[Municipio],Table1[Latitud])</f>
        <v>6,246631</v>
      </c>
      <c r="H66" s="44">
        <f>+LOOKUP(PROYECTOS2[[#This Row],[MUNICIPIO]],Table1[Municipio],Table1[PDET])</f>
        <v>0</v>
      </c>
      <c r="I66" s="44">
        <f>+LOOKUP(PROYECTOS2[[#This Row],[MUNICIPIO]],Table1[Municipio],Table1[ZOMAC])</f>
        <v>0</v>
      </c>
      <c r="J66" s="3" t="str" cm="1">
        <f t="array" ref="J66">_xlfn.TEXTJOIN(", ", TRUE, IF(radicados[ID PROYECTOS]=A66, radicados[RADICADO], ""))</f>
        <v>20240410367581</v>
      </c>
      <c r="K66" s="45">
        <v>2</v>
      </c>
      <c r="L66" s="45"/>
      <c r="M66" s="43"/>
      <c r="N66" s="48"/>
      <c r="O66" s="48"/>
      <c r="P66" s="48"/>
      <c r="Q66" s="148" t="s">
        <v>1067</v>
      </c>
      <c r="R66" s="34" t="s">
        <v>392</v>
      </c>
      <c r="S66" s="40"/>
      <c r="T66" s="40" t="s">
        <v>7</v>
      </c>
      <c r="U66" s="37"/>
      <c r="V66" s="44">
        <f>+_xlfn.XLOOKUP(PROYECTOS2[[#This Row],[MUNICIPIO]],'4.CAP_ENDMNT'!B:B,'4.CAP_ENDMNT'!C:C,0,0,1)</f>
        <v>6</v>
      </c>
      <c r="W66" s="139">
        <f>+_xlfn.XLOOKUP(PROYECTOS2[[#This Row],[MUNICIPIO]],'4.CAP_ENDMNT'!B:B,'4.CAP_ENDMNT'!D:D,0,0,1)</f>
        <v>30137297790.127998</v>
      </c>
      <c r="X66" s="140">
        <f>+_xlfn.XLOOKUP(PROYECTOS2[[#This Row],[MUNICIPIO]],'4.CAP_ENDMNT'!B:B,'4.CAP_ENDMNT'!E:E,0,0,1)</f>
        <v>12298726691.530001</v>
      </c>
      <c r="Y66" s="140">
        <f>+_xlfn.XLOOKUP(PROYECTOS2[[#This Row],[MUNICIPIO]],'4.CAP_ENDMNT'!B:B,'4.CAP_ENDMNT'!F:F,0,0,1)</f>
        <v>17838571098.598</v>
      </c>
      <c r="Z66" s="140">
        <f>+_xlfn.XLOOKUP(PROYECTOS2[[#This Row],[MUNICIPIO]],'4.CAP_ENDMNT'!B:B,'4.CAP_ENDMNT'!G:G,0,0,1)</f>
        <v>2369107602</v>
      </c>
      <c r="AA66" s="140">
        <f>+_xlfn.XLOOKUP(PROYECTOS2[[#This Row],[MUNICIPIO]],'4.CAP_ENDMNT'!B:B,'4.CAP_ENDMNT'!H:H,0,0,1)</f>
        <v>13974896585</v>
      </c>
      <c r="AB66" s="140">
        <f>+_xlfn.XLOOKUP(PROYECTOS2[[#This Row],[MUNICIPIO]],'4.CAP_ENDMNT'!B:B,'4.CAP_ENDMNT'!I:I,0,0,1)</f>
        <v>16344004187</v>
      </c>
      <c r="AC66" s="134">
        <f>+_xlfn.XLOOKUP(PROYECTOS2[[#This Row],[MUNICIPIO]],'4.CAP_ENDMNT'!B:B,'4.CAP_ENDMNT'!J:J,0,0,1)</f>
        <v>0.54231817002364979</v>
      </c>
      <c r="AD66" s="140">
        <f>+_xlfn.XLOOKUP(PROYECTOS2[[#This Row],[MUNICIPIO]],'4.CAP_ENDMNT'!B:B,'4.CAP_ENDMNT'!K:K,0,0,1)</f>
        <v>13793293603.127998</v>
      </c>
      <c r="AE66" s="140">
        <f>+_xlfn.XLOOKUP(PROYECTOS2[[#This Row],[MUNICIPIO]],'4.CAP_ENDMNT'!B:B,'4.CAP_ENDMNT'!L:L,0,0,1)</f>
        <v>11034634882.502399</v>
      </c>
      <c r="AF66" s="140">
        <f>+_xlfn.XLOOKUP(PROYECTOS2[[#This Row],[MUNICIPIO]],'4.CAP_ENDMNT'!B:B,'4.CAP_ENDMNT'!M:M,0,0,1)</f>
        <v>8275976161.8767986</v>
      </c>
      <c r="AG66" s="134">
        <f>+_xlfn.XLOOKUP(PROYECTOS2[[#This Row],[MUNICIPIO]],'4.CAP_ENDMNT'!B:B,'4.CAP_ENDMNT'!N:N,0,0,1)</f>
        <v>0.1449527040554961</v>
      </c>
      <c r="AH66" s="134">
        <f>+_xlfn.XLOOKUP(PROYECTOS2[[#This Row],[MUNICIPIO]],'4.CAP_ENDMNT'!B:B,'4.CAP_ENDMNT'!O:O,0,0,1)</f>
        <v>0.58055985759165929</v>
      </c>
      <c r="AI66" s="134">
        <f>+_xlfn.XLOOKUP(PROYECTOS2[[#This Row],[MUNICIPIO]],'4.CAP_ENDMNT'!B:B,'4.CAP_ENDMNT'!P:P,0,0,1)</f>
        <v>0.8</v>
      </c>
      <c r="AJ66" s="44" t="str">
        <f>+_xlfn.XLOOKUP(PROYECTOS2[[#This Row],[MUNICIPIO]],'4.CAP_ENDMNT'!B:B,'4.CAP_ENDMNT'!Q:Q,0,0,1)</f>
        <v>Cumple</v>
      </c>
    </row>
    <row r="67" spans="1:36">
      <c r="A67" s="44">
        <v>73</v>
      </c>
      <c r="B67" s="37" t="s">
        <v>157</v>
      </c>
      <c r="C67" s="118">
        <f>+_xlfn.XLOOKUP(PROYECTOS2[[#This Row],[ID_NECESIDAD]],'1.RADICADOS'!G:G,'1.RADICADOS'!C:C,0,0,1)*1</f>
        <v>45527</v>
      </c>
      <c r="D67" s="46" t="s">
        <v>156</v>
      </c>
      <c r="E67" s="47" t="str">
        <f>+_xlfn.XLOOKUP(PROYECTOS2[[#This Row],[MUNICIPIO]],MUNICIPIOS!A:A,MUNICIPIOS!E:E,0,0,1)</f>
        <v>Suroeste</v>
      </c>
      <c r="F67" s="44" t="e" cm="1">
        <f t="array" ref="F67">+_xlfn.XLOOKUP(PROYECTOS2[[#This Row],[MUNICIPIO]],Table1[Municipio],MUNICIPIOS!F:F,0,0,1)</f>
        <v>#VALUE!</v>
      </c>
      <c r="G67" s="44" t="str">
        <f>+LOOKUP(PROYECTOS2[[#This Row],[MUNICIPIO]],Table1[Municipio],Table1[Latitud])</f>
        <v>6,232461</v>
      </c>
      <c r="H67" s="44">
        <f>+LOOKUP(PROYECTOS2[[#This Row],[MUNICIPIO]],Table1[Municipio],Table1[PDET])</f>
        <v>0</v>
      </c>
      <c r="I67" s="44">
        <f>+LOOKUP(PROYECTOS2[[#This Row],[MUNICIPIO]],Table1[Municipio],Table1[ZOMAC])</f>
        <v>0</v>
      </c>
      <c r="J67" s="3" t="str" cm="1">
        <f t="array" ref="J67">_xlfn.TEXTJOIN(", ", TRUE, IF(radicados[ID PROYECTOS]=A67, radicados[RADICADO], ""))</f>
        <v>2024010372894, 2025010046351</v>
      </c>
      <c r="K67" s="45">
        <v>3</v>
      </c>
      <c r="L67" s="45"/>
      <c r="M67" s="43"/>
      <c r="N67" s="48">
        <v>275976999</v>
      </c>
      <c r="O67" s="48"/>
      <c r="P67" s="48"/>
      <c r="Q67" s="148" t="s">
        <v>1067</v>
      </c>
      <c r="R67" s="34" t="s">
        <v>392</v>
      </c>
      <c r="S67" s="40"/>
      <c r="T67" s="40" t="s">
        <v>7</v>
      </c>
      <c r="U67" s="37" t="s">
        <v>1096</v>
      </c>
      <c r="V67" s="44">
        <f>+_xlfn.XLOOKUP(PROYECTOS2[[#This Row],[MUNICIPIO]],'4.CAP_ENDMNT'!B:B,'4.CAP_ENDMNT'!C:C,0,0,1)</f>
        <v>6</v>
      </c>
      <c r="W67" s="139">
        <f>+_xlfn.XLOOKUP(PROYECTOS2[[#This Row],[MUNICIPIO]],'4.CAP_ENDMNT'!B:B,'4.CAP_ENDMNT'!D:D,0,0,1)</f>
        <v>14419744847.987999</v>
      </c>
      <c r="X67" s="140">
        <f>+_xlfn.XLOOKUP(PROYECTOS2[[#This Row],[MUNICIPIO]],'4.CAP_ENDMNT'!B:B,'4.CAP_ENDMNT'!E:E,0,0,1)</f>
        <v>4888479181.79</v>
      </c>
      <c r="Y67" s="140">
        <f>+_xlfn.XLOOKUP(PROYECTOS2[[#This Row],[MUNICIPIO]],'4.CAP_ENDMNT'!B:B,'4.CAP_ENDMNT'!F:F,0,0,1)</f>
        <v>9531265666.197998</v>
      </c>
      <c r="Z67" s="140">
        <f>+_xlfn.XLOOKUP(PROYECTOS2[[#This Row],[MUNICIPIO]],'4.CAP_ENDMNT'!B:B,'4.CAP_ENDMNT'!G:G,0,0,1)</f>
        <v>0</v>
      </c>
      <c r="AA67" s="140">
        <f>+_xlfn.XLOOKUP(PROYECTOS2[[#This Row],[MUNICIPIO]],'4.CAP_ENDMNT'!B:B,'4.CAP_ENDMNT'!H:H,0,0,1)</f>
        <v>0</v>
      </c>
      <c r="AB67" s="140">
        <f>+_xlfn.XLOOKUP(PROYECTOS2[[#This Row],[MUNICIPIO]],'4.CAP_ENDMNT'!B:B,'4.CAP_ENDMNT'!I:I,0,0,1)</f>
        <v>0</v>
      </c>
      <c r="AC67" s="134">
        <f>+_xlfn.XLOOKUP(PROYECTOS2[[#This Row],[MUNICIPIO]],'4.CAP_ENDMNT'!B:B,'4.CAP_ENDMNT'!J:J,0,0,1)</f>
        <v>0</v>
      </c>
      <c r="AD67" s="140">
        <f>+_xlfn.XLOOKUP(PROYECTOS2[[#This Row],[MUNICIPIO]],'4.CAP_ENDMNT'!B:B,'4.CAP_ENDMNT'!K:K,0,0,1)</f>
        <v>14419744847.987999</v>
      </c>
      <c r="AE67" s="140">
        <f>+_xlfn.XLOOKUP(PROYECTOS2[[#This Row],[MUNICIPIO]],'4.CAP_ENDMNT'!B:B,'4.CAP_ENDMNT'!L:L,0,0,1)</f>
        <v>11535795878.3904</v>
      </c>
      <c r="AF67" s="140">
        <f>+_xlfn.XLOOKUP(PROYECTOS2[[#This Row],[MUNICIPIO]],'4.CAP_ENDMNT'!B:B,'4.CAP_ENDMNT'!M:M,0,0,1)</f>
        <v>8651846908.792799</v>
      </c>
      <c r="AG67" s="134">
        <f>+_xlfn.XLOOKUP(PROYECTOS2[[#This Row],[MUNICIPIO]],'4.CAP_ENDMNT'!B:B,'4.CAP_ENDMNT'!N:N,0,0,1)</f>
        <v>0</v>
      </c>
      <c r="AH67" s="134">
        <f>+_xlfn.XLOOKUP(PROYECTOS2[[#This Row],[MUNICIPIO]],'4.CAP_ENDMNT'!B:B,'4.CAP_ENDMNT'!O:O,0,0,1)</f>
        <v>0.45738888558733654</v>
      </c>
      <c r="AI67" s="134">
        <f>+_xlfn.XLOOKUP(PROYECTOS2[[#This Row],[MUNICIPIO]],'4.CAP_ENDMNT'!B:B,'4.CAP_ENDMNT'!P:P,0,0,1)</f>
        <v>0.8</v>
      </c>
      <c r="AJ67" s="44" t="str">
        <f>+_xlfn.XLOOKUP(PROYECTOS2[[#This Row],[MUNICIPIO]],'4.CAP_ENDMNT'!B:B,'4.CAP_ENDMNT'!Q:Q,0,0,1)</f>
        <v>Cumple</v>
      </c>
    </row>
    <row r="68" spans="1:36">
      <c r="A68" s="44">
        <v>74</v>
      </c>
      <c r="B68" s="37" t="s">
        <v>158</v>
      </c>
      <c r="C68" s="118">
        <f>+_xlfn.XLOOKUP(PROYECTOS2[[#This Row],[ID_NECESIDAD]],'1.RADICADOS'!G:G,'1.RADICADOS'!C:C,0,0,1)*1</f>
        <v>45530</v>
      </c>
      <c r="D68" s="46" t="s">
        <v>54</v>
      </c>
      <c r="E68" s="47" t="str">
        <f>+_xlfn.XLOOKUP(PROYECTOS2[[#This Row],[MUNICIPIO]],MUNICIPIOS!A:A,MUNICIPIOS!E:E,0,0,1)</f>
        <v>Suroeste</v>
      </c>
      <c r="F68" s="44" t="e" cm="1">
        <f t="array" ref="F68">+_xlfn.XLOOKUP(PROYECTOS2[[#This Row],[MUNICIPIO]],Table1[Municipio],MUNICIPIOS!F:F,0,0,1)</f>
        <v>#VALUE!</v>
      </c>
      <c r="G68" s="44" t="str">
        <f>+LOOKUP(PROYECTOS2[[#This Row],[MUNICIPIO]],Table1[Municipio],Table1[Latitud])</f>
        <v>6,149903</v>
      </c>
      <c r="H68" s="44">
        <f>+LOOKUP(PROYECTOS2[[#This Row],[MUNICIPIO]],Table1[Municipio],Table1[PDET])</f>
        <v>0</v>
      </c>
      <c r="I68" s="44">
        <f>+LOOKUP(PROYECTOS2[[#This Row],[MUNICIPIO]],Table1[Municipio],Table1[ZOMAC])</f>
        <v>0</v>
      </c>
      <c r="J68" s="3" t="str" cm="1">
        <f t="array" ref="J68">_xlfn.TEXTJOIN(", ", TRUE, IF(radicados[ID PROYECTOS]=A68, radicados[RADICADO], ""))</f>
        <v>2024010382614</v>
      </c>
      <c r="K68" s="45">
        <v>3</v>
      </c>
      <c r="L68" s="45"/>
      <c r="M68" s="43"/>
      <c r="N68" s="48">
        <v>6680518300</v>
      </c>
      <c r="O68" s="48"/>
      <c r="P68" s="48"/>
      <c r="Q68" s="148" t="s">
        <v>1067</v>
      </c>
      <c r="R68" s="34" t="s">
        <v>288</v>
      </c>
      <c r="S68" s="34" t="s">
        <v>398</v>
      </c>
      <c r="T68" s="34" t="s">
        <v>25</v>
      </c>
      <c r="U68" s="37"/>
      <c r="V68" s="44">
        <f>+_xlfn.XLOOKUP(PROYECTOS2[[#This Row],[MUNICIPIO]],'4.CAP_ENDMNT'!B:B,'4.CAP_ENDMNT'!C:C,0,0,1)</f>
        <v>6</v>
      </c>
      <c r="W68" s="139">
        <f>+_xlfn.XLOOKUP(PROYECTOS2[[#This Row],[MUNICIPIO]],'4.CAP_ENDMNT'!B:B,'4.CAP_ENDMNT'!D:D,0,0,1)</f>
        <v>9297204605.9125004</v>
      </c>
      <c r="X68" s="140">
        <f>+_xlfn.XLOOKUP(PROYECTOS2[[#This Row],[MUNICIPIO]],'4.CAP_ENDMNT'!B:B,'4.CAP_ENDMNT'!E:E,0,0,1)</f>
        <v>4650900904.1300001</v>
      </c>
      <c r="Y68" s="140">
        <f>+_xlfn.XLOOKUP(PROYECTOS2[[#This Row],[MUNICIPIO]],'4.CAP_ENDMNT'!B:B,'4.CAP_ENDMNT'!F:F,0,0,1)</f>
        <v>4646303701.7825003</v>
      </c>
      <c r="Z68" s="140">
        <f>+_xlfn.XLOOKUP(PROYECTOS2[[#This Row],[MUNICIPIO]],'4.CAP_ENDMNT'!B:B,'4.CAP_ENDMNT'!G:G,0,0,1)</f>
        <v>1308996768</v>
      </c>
      <c r="AA68" s="140">
        <f>+_xlfn.XLOOKUP(PROYECTOS2[[#This Row],[MUNICIPIO]],'4.CAP_ENDMNT'!B:B,'4.CAP_ENDMNT'!H:H,0,0,1)</f>
        <v>0</v>
      </c>
      <c r="AB68" s="140">
        <f>+_xlfn.XLOOKUP(PROYECTOS2[[#This Row],[MUNICIPIO]],'4.CAP_ENDMNT'!B:B,'4.CAP_ENDMNT'!I:I,0,0,1)</f>
        <v>1308996768</v>
      </c>
      <c r="AC68" s="134">
        <f>+_xlfn.XLOOKUP(PROYECTOS2[[#This Row],[MUNICIPIO]],'4.CAP_ENDMNT'!B:B,'4.CAP_ENDMNT'!J:J,0,0,1)</f>
        <v>0.14079466070560084</v>
      </c>
      <c r="AD68" s="140">
        <f>+_xlfn.XLOOKUP(PROYECTOS2[[#This Row],[MUNICIPIO]],'4.CAP_ENDMNT'!B:B,'4.CAP_ENDMNT'!K:K,0,0,1)</f>
        <v>7988207837.9125004</v>
      </c>
      <c r="AE68" s="140">
        <f>+_xlfn.XLOOKUP(PROYECTOS2[[#This Row],[MUNICIPIO]],'4.CAP_ENDMNT'!B:B,'4.CAP_ENDMNT'!L:L,0,0,1)</f>
        <v>6390566270.3300009</v>
      </c>
      <c r="AF68" s="140">
        <f>+_xlfn.XLOOKUP(PROYECTOS2[[#This Row],[MUNICIPIO]],'4.CAP_ENDMNT'!B:B,'4.CAP_ENDMNT'!M:M,0,0,1)</f>
        <v>4792924702.7475004</v>
      </c>
      <c r="AG68" s="134">
        <f>+_xlfn.XLOOKUP(PROYECTOS2[[#This Row],[MUNICIPIO]],'4.CAP_ENDMNT'!B:B,'4.CAP_ENDMNT'!N:N,0,0,1)</f>
        <v>1</v>
      </c>
      <c r="AH68" s="134">
        <f>+_xlfn.XLOOKUP(PROYECTOS2[[#This Row],[MUNICIPIO]],'4.CAP_ENDMNT'!B:B,'4.CAP_ENDMNT'!O:O,0,0,1)</f>
        <v>0.67267671220391811</v>
      </c>
      <c r="AI68" s="134">
        <f>+_xlfn.XLOOKUP(PROYECTOS2[[#This Row],[MUNICIPIO]],'4.CAP_ENDMNT'!B:B,'4.CAP_ENDMNT'!P:P,0,0,1)</f>
        <v>0.8</v>
      </c>
      <c r="AJ68" s="44" t="str">
        <f>+_xlfn.XLOOKUP(PROYECTOS2[[#This Row],[MUNICIPIO]],'4.CAP_ENDMNT'!B:B,'4.CAP_ENDMNT'!Q:Q,0,0,1)</f>
        <v>Cumple</v>
      </c>
    </row>
    <row r="69" spans="1:36">
      <c r="A69" s="44">
        <v>75</v>
      </c>
      <c r="B69" s="37" t="s">
        <v>410</v>
      </c>
      <c r="C69" s="118">
        <f>+_xlfn.XLOOKUP(PROYECTOS2[[#This Row],[ID_NECESIDAD]],'1.RADICADOS'!G:G,'1.RADICADOS'!C:C,0,0,1)*1</f>
        <v>45533</v>
      </c>
      <c r="D69" s="46" t="s">
        <v>156</v>
      </c>
      <c r="E69" s="47" t="str">
        <f>+_xlfn.XLOOKUP(PROYECTOS2[[#This Row],[MUNICIPIO]],MUNICIPIOS!A:A,MUNICIPIOS!E:E,0,0,1)</f>
        <v>Suroeste</v>
      </c>
      <c r="F69" s="44" t="e" cm="1">
        <f t="array" ref="F69">+_xlfn.XLOOKUP(PROYECTOS2[[#This Row],[MUNICIPIO]],Table1[Municipio],MUNICIPIOS!F:F,0,0,1)</f>
        <v>#VALUE!</v>
      </c>
      <c r="G69" s="44" t="str">
        <f>+LOOKUP(PROYECTOS2[[#This Row],[MUNICIPIO]],Table1[Municipio],Table1[Latitud])</f>
        <v>6,232461</v>
      </c>
      <c r="H69" s="44">
        <f>+LOOKUP(PROYECTOS2[[#This Row],[MUNICIPIO]],Table1[Municipio],Table1[PDET])</f>
        <v>0</v>
      </c>
      <c r="I69" s="44">
        <f>+LOOKUP(PROYECTOS2[[#This Row],[MUNICIPIO]],Table1[Municipio],Table1[ZOMAC])</f>
        <v>0</v>
      </c>
      <c r="J69" s="3" t="str" cm="1">
        <f t="array" ref="J69">_xlfn.TEXTJOIN(", ", TRUE, IF(radicados[ID PROYECTOS]=A69, radicados[RADICADO], ""))</f>
        <v>2024010384269</v>
      </c>
      <c r="K69" s="45">
        <v>1</v>
      </c>
      <c r="L69" s="45"/>
      <c r="M69" s="43"/>
      <c r="N69" s="48"/>
      <c r="O69" s="48"/>
      <c r="P69" s="48"/>
      <c r="Q69" s="148" t="s">
        <v>1067</v>
      </c>
      <c r="R69" s="34" t="s">
        <v>396</v>
      </c>
      <c r="S69" s="40" t="s">
        <v>394</v>
      </c>
      <c r="T69" s="40" t="s">
        <v>18</v>
      </c>
      <c r="U69" s="37"/>
      <c r="V69" s="44">
        <f>+_xlfn.XLOOKUP(PROYECTOS2[[#This Row],[MUNICIPIO]],'4.CAP_ENDMNT'!B:B,'4.CAP_ENDMNT'!C:C,0,0,1)</f>
        <v>6</v>
      </c>
      <c r="W69" s="139">
        <f>+_xlfn.XLOOKUP(PROYECTOS2[[#This Row],[MUNICIPIO]],'4.CAP_ENDMNT'!B:B,'4.CAP_ENDMNT'!D:D,0,0,1)</f>
        <v>14419744847.987999</v>
      </c>
      <c r="X69" s="140">
        <f>+_xlfn.XLOOKUP(PROYECTOS2[[#This Row],[MUNICIPIO]],'4.CAP_ENDMNT'!B:B,'4.CAP_ENDMNT'!E:E,0,0,1)</f>
        <v>4888479181.79</v>
      </c>
      <c r="Y69" s="140">
        <f>+_xlfn.XLOOKUP(PROYECTOS2[[#This Row],[MUNICIPIO]],'4.CAP_ENDMNT'!B:B,'4.CAP_ENDMNT'!F:F,0,0,1)</f>
        <v>9531265666.197998</v>
      </c>
      <c r="Z69" s="140">
        <f>+_xlfn.XLOOKUP(PROYECTOS2[[#This Row],[MUNICIPIO]],'4.CAP_ENDMNT'!B:B,'4.CAP_ENDMNT'!G:G,0,0,1)</f>
        <v>0</v>
      </c>
      <c r="AA69" s="140">
        <f>+_xlfn.XLOOKUP(PROYECTOS2[[#This Row],[MUNICIPIO]],'4.CAP_ENDMNT'!B:B,'4.CAP_ENDMNT'!H:H,0,0,1)</f>
        <v>0</v>
      </c>
      <c r="AB69" s="140">
        <f>+_xlfn.XLOOKUP(PROYECTOS2[[#This Row],[MUNICIPIO]],'4.CAP_ENDMNT'!B:B,'4.CAP_ENDMNT'!I:I,0,0,1)</f>
        <v>0</v>
      </c>
      <c r="AC69" s="134">
        <f>+_xlfn.XLOOKUP(PROYECTOS2[[#This Row],[MUNICIPIO]],'4.CAP_ENDMNT'!B:B,'4.CAP_ENDMNT'!J:J,0,0,1)</f>
        <v>0</v>
      </c>
      <c r="AD69" s="140">
        <f>+_xlfn.XLOOKUP(PROYECTOS2[[#This Row],[MUNICIPIO]],'4.CAP_ENDMNT'!B:B,'4.CAP_ENDMNT'!K:K,0,0,1)</f>
        <v>14419744847.987999</v>
      </c>
      <c r="AE69" s="140">
        <f>+_xlfn.XLOOKUP(PROYECTOS2[[#This Row],[MUNICIPIO]],'4.CAP_ENDMNT'!B:B,'4.CAP_ENDMNT'!L:L,0,0,1)</f>
        <v>11535795878.3904</v>
      </c>
      <c r="AF69" s="140">
        <f>+_xlfn.XLOOKUP(PROYECTOS2[[#This Row],[MUNICIPIO]],'4.CAP_ENDMNT'!B:B,'4.CAP_ENDMNT'!M:M,0,0,1)</f>
        <v>8651846908.792799</v>
      </c>
      <c r="AG69" s="134">
        <f>+_xlfn.XLOOKUP(PROYECTOS2[[#This Row],[MUNICIPIO]],'4.CAP_ENDMNT'!B:B,'4.CAP_ENDMNT'!N:N,0,0,1)</f>
        <v>0</v>
      </c>
      <c r="AH69" s="134">
        <f>+_xlfn.XLOOKUP(PROYECTOS2[[#This Row],[MUNICIPIO]],'4.CAP_ENDMNT'!B:B,'4.CAP_ENDMNT'!O:O,0,0,1)</f>
        <v>0.45738888558733654</v>
      </c>
      <c r="AI69" s="134">
        <f>+_xlfn.XLOOKUP(PROYECTOS2[[#This Row],[MUNICIPIO]],'4.CAP_ENDMNT'!B:B,'4.CAP_ENDMNT'!P:P,0,0,1)</f>
        <v>0.8</v>
      </c>
      <c r="AJ69" s="44" t="str">
        <f>+_xlfn.XLOOKUP(PROYECTOS2[[#This Row],[MUNICIPIO]],'4.CAP_ENDMNT'!B:B,'4.CAP_ENDMNT'!Q:Q,0,0,1)</f>
        <v>Cumple</v>
      </c>
    </row>
    <row r="70" spans="1:36">
      <c r="A70" s="44">
        <v>76</v>
      </c>
      <c r="B70" s="37" t="s">
        <v>161</v>
      </c>
      <c r="C70" s="118">
        <f>+_xlfn.XLOOKUP(PROYECTOS2[[#This Row],[ID_NECESIDAD]],'1.RADICADOS'!G:G,'1.RADICADOS'!C:C,0,0,1)*1</f>
        <v>45391</v>
      </c>
      <c r="D70" s="46" t="s">
        <v>160</v>
      </c>
      <c r="E70" s="47" t="str">
        <f>+_xlfn.XLOOKUP(PROYECTOS2[[#This Row],[MUNICIPIO]],MUNICIPIOS!A:A,MUNICIPIOS!E:E,0,0,1)</f>
        <v>Occidente</v>
      </c>
      <c r="F70" s="44" t="e" cm="1">
        <f t="array" ref="F70">+_xlfn.XLOOKUP(PROYECTOS2[[#This Row],[MUNICIPIO]],Table1[Municipio],MUNICIPIOS!F:F,0,0,1)</f>
        <v>#VALUE!</v>
      </c>
      <c r="G70" s="44" t="str">
        <f>+LOOKUP(PROYECTOS2[[#This Row],[MUNICIPIO]],Table1[Municipio],Table1[Latitud])</f>
        <v>6,136871</v>
      </c>
      <c r="H70" s="44">
        <f>+LOOKUP(PROYECTOS2[[#This Row],[MUNICIPIO]],Table1[Municipio],Table1[PDET])</f>
        <v>0</v>
      </c>
      <c r="I70" s="44">
        <f>+LOOKUP(PROYECTOS2[[#This Row],[MUNICIPIO]],Table1[Municipio],Table1[ZOMAC])</f>
        <v>0</v>
      </c>
      <c r="J70" s="3" t="str" cm="1">
        <f t="array" ref="J70">_xlfn.TEXTJOIN(", ", TRUE, IF(radicados[ID PROYECTOS]=A70, radicados[RADICADO], ""))</f>
        <v>2024010390658</v>
      </c>
      <c r="K70" s="45">
        <v>3</v>
      </c>
      <c r="L70" s="45"/>
      <c r="M70" s="43"/>
      <c r="N70" s="48"/>
      <c r="O70" s="48"/>
      <c r="P70" s="48"/>
      <c r="Q70" s="148" t="s">
        <v>1067</v>
      </c>
      <c r="R70" s="34" t="s">
        <v>401</v>
      </c>
      <c r="S70" s="34" t="s">
        <v>398</v>
      </c>
      <c r="T70" s="34" t="s">
        <v>25</v>
      </c>
      <c r="U70" s="37"/>
      <c r="V70" s="44">
        <f>+_xlfn.XLOOKUP(PROYECTOS2[[#This Row],[MUNICIPIO]],'4.CAP_ENDMNT'!B:B,'4.CAP_ENDMNT'!C:C,0,0,1)</f>
        <v>6</v>
      </c>
      <c r="W70" s="139">
        <f>+_xlfn.XLOOKUP(PROYECTOS2[[#This Row],[MUNICIPIO]],'4.CAP_ENDMNT'!B:B,'4.CAP_ENDMNT'!D:D,0,0,1)</f>
        <v>10996307821.845001</v>
      </c>
      <c r="X70" s="140">
        <f>+_xlfn.XLOOKUP(PROYECTOS2[[#This Row],[MUNICIPIO]],'4.CAP_ENDMNT'!B:B,'4.CAP_ENDMNT'!E:E,0,0,1)</f>
        <v>3830082733.7800002</v>
      </c>
      <c r="Y70" s="140">
        <f>+_xlfn.XLOOKUP(PROYECTOS2[[#This Row],[MUNICIPIO]],'4.CAP_ENDMNT'!B:B,'4.CAP_ENDMNT'!F:F,0,0,1)</f>
        <v>7166225088.0650005</v>
      </c>
      <c r="Z70" s="140">
        <f>+_xlfn.XLOOKUP(PROYECTOS2[[#This Row],[MUNICIPIO]],'4.CAP_ENDMNT'!B:B,'4.CAP_ENDMNT'!G:G,0,0,1)</f>
        <v>1182597765.4299998</v>
      </c>
      <c r="AA70" s="140">
        <f>+_xlfn.XLOOKUP(PROYECTOS2[[#This Row],[MUNICIPIO]],'4.CAP_ENDMNT'!B:B,'4.CAP_ENDMNT'!H:H,0,0,1)</f>
        <v>0</v>
      </c>
      <c r="AB70" s="140">
        <f>+_xlfn.XLOOKUP(PROYECTOS2[[#This Row],[MUNICIPIO]],'4.CAP_ENDMNT'!B:B,'4.CAP_ENDMNT'!I:I,0,0,1)</f>
        <v>1182597765.4299998</v>
      </c>
      <c r="AC70" s="134">
        <f>+_xlfn.XLOOKUP(PROYECTOS2[[#This Row],[MUNICIPIO]],'4.CAP_ENDMNT'!B:B,'4.CAP_ENDMNT'!J:J,0,0,1)</f>
        <v>0.10754498551601833</v>
      </c>
      <c r="AD70" s="140">
        <f>+_xlfn.XLOOKUP(PROYECTOS2[[#This Row],[MUNICIPIO]],'4.CAP_ENDMNT'!B:B,'4.CAP_ENDMNT'!K:K,0,0,1)</f>
        <v>9813710056.4150009</v>
      </c>
      <c r="AE70" s="140">
        <f>+_xlfn.XLOOKUP(PROYECTOS2[[#This Row],[MUNICIPIO]],'4.CAP_ENDMNT'!B:B,'4.CAP_ENDMNT'!L:L,0,0,1)</f>
        <v>7850968045.1320009</v>
      </c>
      <c r="AF70" s="140">
        <f>+_xlfn.XLOOKUP(PROYECTOS2[[#This Row],[MUNICIPIO]],'4.CAP_ENDMNT'!B:B,'4.CAP_ENDMNT'!M:M,0,0,1)</f>
        <v>5888226033.849</v>
      </c>
      <c r="AG70" s="134">
        <f>+_xlfn.XLOOKUP(PROYECTOS2[[#This Row],[MUNICIPIO]],'4.CAP_ENDMNT'!B:B,'4.CAP_ENDMNT'!N:N,0,0,1)</f>
        <v>1</v>
      </c>
      <c r="AH70" s="134">
        <f>+_xlfn.XLOOKUP(PROYECTOS2[[#This Row],[MUNICIPIO]],'4.CAP_ENDMNT'!B:B,'4.CAP_ENDMNT'!O:O,0,0,1)</f>
        <v>0.53885751046750907</v>
      </c>
      <c r="AI70" s="134">
        <f>+_xlfn.XLOOKUP(PROYECTOS2[[#This Row],[MUNICIPIO]],'4.CAP_ENDMNT'!B:B,'4.CAP_ENDMNT'!P:P,0,0,1)</f>
        <v>0.8</v>
      </c>
      <c r="AJ70" s="44" t="str">
        <f>+_xlfn.XLOOKUP(PROYECTOS2[[#This Row],[MUNICIPIO]],'4.CAP_ENDMNT'!B:B,'4.CAP_ENDMNT'!Q:Q,0,0,1)</f>
        <v>Cumple</v>
      </c>
    </row>
    <row r="71" spans="1:36">
      <c r="A71" s="44">
        <v>77</v>
      </c>
      <c r="B71" s="37" t="s">
        <v>411</v>
      </c>
      <c r="C71" s="118">
        <f>+_xlfn.XLOOKUP(PROYECTOS2[[#This Row],[ID_NECESIDAD]],'1.RADICADOS'!G:G,'1.RADICADOS'!C:C,0,0,1)*1</f>
        <v>45421</v>
      </c>
      <c r="D71" s="46" t="s">
        <v>326</v>
      </c>
      <c r="E71" s="47" t="str">
        <f>+_xlfn.XLOOKUP(PROYECTOS2[[#This Row],[MUNICIPIO]],MUNICIPIOS!A:A,MUNICIPIOS!E:E,0,0,1)</f>
        <v>Norte</v>
      </c>
      <c r="F71" s="44" t="e" cm="1">
        <f t="array" ref="F71">+_xlfn.XLOOKUP(PROYECTOS2[[#This Row],[MUNICIPIO]],Table1[Municipio],MUNICIPIOS!F:F,0,0,1)</f>
        <v>#VALUE!</v>
      </c>
      <c r="G71" s="44" t="str">
        <f>+LOOKUP(PROYECTOS2[[#This Row],[MUNICIPIO]],Table1[Municipio],Table1[Latitud])</f>
        <v>6,136871</v>
      </c>
      <c r="H71" s="44">
        <f>+LOOKUP(PROYECTOS2[[#This Row],[MUNICIPIO]],Table1[Municipio],Table1[PDET])</f>
        <v>0</v>
      </c>
      <c r="I71" s="44">
        <f>+LOOKUP(PROYECTOS2[[#This Row],[MUNICIPIO]],Table1[Municipio],Table1[ZOMAC])</f>
        <v>0</v>
      </c>
      <c r="J71" s="3" t="str" cm="1">
        <f t="array" ref="J71">_xlfn.TEXTJOIN(", ", TRUE, IF(radicados[ID PROYECTOS]=A71, radicados[RADICADO], ""))</f>
        <v>2024010402872</v>
      </c>
      <c r="K71" s="45">
        <v>3</v>
      </c>
      <c r="L71" s="45"/>
      <c r="M71" s="43" t="s">
        <v>179</v>
      </c>
      <c r="N71" s="48">
        <v>2246385541</v>
      </c>
      <c r="O71" s="48"/>
      <c r="P71" s="48"/>
      <c r="Q71" s="148" t="s">
        <v>1067</v>
      </c>
      <c r="R71" s="34" t="s">
        <v>288</v>
      </c>
      <c r="S71" s="40" t="s">
        <v>398</v>
      </c>
      <c r="T71" s="40" t="s">
        <v>25</v>
      </c>
      <c r="U71" s="37"/>
      <c r="V71" s="44">
        <f>+_xlfn.XLOOKUP(PROYECTOS2[[#This Row],[MUNICIPIO]],'4.CAP_ENDMNT'!B:B,'4.CAP_ENDMNT'!C:C,0,0,1)</f>
        <v>6</v>
      </c>
      <c r="W71" s="139">
        <f>+_xlfn.XLOOKUP(PROYECTOS2[[#This Row],[MUNICIPIO]],'4.CAP_ENDMNT'!B:B,'4.CAP_ENDMNT'!D:D,0,0,1)</f>
        <v>18940820544.593998</v>
      </c>
      <c r="X71" s="140">
        <f>+_xlfn.XLOOKUP(PROYECTOS2[[#This Row],[MUNICIPIO]],'4.CAP_ENDMNT'!B:B,'4.CAP_ENDMNT'!E:E,0,0,1)</f>
        <v>5983055403.6199999</v>
      </c>
      <c r="Y71" s="140">
        <f>+_xlfn.XLOOKUP(PROYECTOS2[[#This Row],[MUNICIPIO]],'4.CAP_ENDMNT'!B:B,'4.CAP_ENDMNT'!F:F,0,0,1)</f>
        <v>12957765140.973999</v>
      </c>
      <c r="Z71" s="140">
        <f>+_xlfn.XLOOKUP(PROYECTOS2[[#This Row],[MUNICIPIO]],'4.CAP_ENDMNT'!B:B,'4.CAP_ENDMNT'!G:G,0,0,1)</f>
        <v>528703455</v>
      </c>
      <c r="AA71" s="140">
        <f>+_xlfn.XLOOKUP(PROYECTOS2[[#This Row],[MUNICIPIO]],'4.CAP_ENDMNT'!B:B,'4.CAP_ENDMNT'!H:H,0,0,1)</f>
        <v>4617666038</v>
      </c>
      <c r="AB71" s="140">
        <f>+_xlfn.XLOOKUP(PROYECTOS2[[#This Row],[MUNICIPIO]],'4.CAP_ENDMNT'!B:B,'4.CAP_ENDMNT'!I:I,0,0,1)</f>
        <v>5146369493</v>
      </c>
      <c r="AC71" s="134">
        <f>+_xlfn.XLOOKUP(PROYECTOS2[[#This Row],[MUNICIPIO]],'4.CAP_ENDMNT'!B:B,'4.CAP_ENDMNT'!J:J,0,0,1)</f>
        <v>0.27170784290382038</v>
      </c>
      <c r="AD71" s="140">
        <f>+_xlfn.XLOOKUP(PROYECTOS2[[#This Row],[MUNICIPIO]],'4.CAP_ENDMNT'!B:B,'4.CAP_ENDMNT'!K:K,0,0,1)</f>
        <v>13794451051.593998</v>
      </c>
      <c r="AE71" s="140">
        <f>+_xlfn.XLOOKUP(PROYECTOS2[[#This Row],[MUNICIPIO]],'4.CAP_ENDMNT'!B:B,'4.CAP_ENDMNT'!L:L,0,0,1)</f>
        <v>11035560841.2752</v>
      </c>
      <c r="AF71" s="140">
        <f>+_xlfn.XLOOKUP(PROYECTOS2[[#This Row],[MUNICIPIO]],'4.CAP_ENDMNT'!B:B,'4.CAP_ENDMNT'!M:M,0,0,1)</f>
        <v>8276670630.956398</v>
      </c>
      <c r="AG71" s="134">
        <f>+_xlfn.XLOOKUP(PROYECTOS2[[#This Row],[MUNICIPIO]],'4.CAP_ENDMNT'!B:B,'4.CAP_ENDMNT'!N:N,0,0,1)</f>
        <v>0.10273328716858224</v>
      </c>
      <c r="AH71" s="134">
        <f>+_xlfn.XLOOKUP(PROYECTOS2[[#This Row],[MUNICIPIO]],'4.CAP_ENDMNT'!B:B,'4.CAP_ENDMNT'!O:O,0,0,1)</f>
        <v>0.44981176046067123</v>
      </c>
      <c r="AI71" s="134">
        <f>+_xlfn.XLOOKUP(PROYECTOS2[[#This Row],[MUNICIPIO]],'4.CAP_ENDMNT'!B:B,'4.CAP_ENDMNT'!P:P,0,0,1)</f>
        <v>0.8</v>
      </c>
      <c r="AJ71" s="44" t="str">
        <f>+_xlfn.XLOOKUP(PROYECTOS2[[#This Row],[MUNICIPIO]],'4.CAP_ENDMNT'!B:B,'4.CAP_ENDMNT'!Q:Q,0,0,1)</f>
        <v>Cumple</v>
      </c>
    </row>
    <row r="72" spans="1:36">
      <c r="A72" s="44">
        <v>78</v>
      </c>
      <c r="B72" s="37" t="s">
        <v>164</v>
      </c>
      <c r="C72" s="118">
        <f>+_xlfn.XLOOKUP(PROYECTOS2[[#This Row],[ID_NECESIDAD]],'1.RADICADOS'!G:G,'1.RADICADOS'!C:C,0,0,1)*1</f>
        <v>45421</v>
      </c>
      <c r="D72" s="46" t="s">
        <v>163</v>
      </c>
      <c r="E72" s="47" t="str">
        <f>+_xlfn.XLOOKUP(PROYECTOS2[[#This Row],[MUNICIPIO]],MUNICIPIOS!A:A,MUNICIPIOS!E:E,0,0,1)</f>
        <v>Oriente</v>
      </c>
      <c r="F72" s="44" t="e" cm="1">
        <f t="array" ref="F72">+_xlfn.XLOOKUP(PROYECTOS2[[#This Row],[MUNICIPIO]],Table1[Municipio],MUNICIPIOS!F:F,0,0,1)</f>
        <v>#VALUE!</v>
      </c>
      <c r="G72" s="44" t="str">
        <f>+LOOKUP(PROYECTOS2[[#This Row],[MUNICIPIO]],Table1[Municipio],Table1[Latitud])</f>
        <v>6,27787</v>
      </c>
      <c r="H72" s="44">
        <f>+LOOKUP(PROYECTOS2[[#This Row],[MUNICIPIO]],Table1[Municipio],Table1[PDET])</f>
        <v>0</v>
      </c>
      <c r="I72" s="44">
        <f>+LOOKUP(PROYECTOS2[[#This Row],[MUNICIPIO]],Table1[Municipio],Table1[ZOMAC])</f>
        <v>0</v>
      </c>
      <c r="J72" s="3" t="str" cm="1">
        <f t="array" ref="J72">_xlfn.TEXTJOIN(", ", TRUE, IF(radicados[ID PROYECTOS]=A72, radicados[RADICADO], ""))</f>
        <v>2024010404290</v>
      </c>
      <c r="K72" s="45">
        <v>3</v>
      </c>
      <c r="L72" s="45"/>
      <c r="M72" s="43"/>
      <c r="N72" s="48">
        <v>33225479908</v>
      </c>
      <c r="O72" s="48"/>
      <c r="P72" s="48"/>
      <c r="Q72" s="148" t="s">
        <v>1067</v>
      </c>
      <c r="R72" s="34" t="s">
        <v>396</v>
      </c>
      <c r="S72" s="34" t="s">
        <v>397</v>
      </c>
      <c r="T72" s="34" t="s">
        <v>56</v>
      </c>
      <c r="U72" s="37" t="s">
        <v>974</v>
      </c>
      <c r="V72" s="44">
        <f>+_xlfn.XLOOKUP(PROYECTOS2[[#This Row],[MUNICIPIO]],'4.CAP_ENDMNT'!B:B,'4.CAP_ENDMNT'!C:C,0,0,1)</f>
        <v>2</v>
      </c>
      <c r="W72" s="139">
        <f>+_xlfn.XLOOKUP(PROYECTOS2[[#This Row],[MUNICIPIO]],'4.CAP_ENDMNT'!B:B,'4.CAP_ENDMNT'!D:D,0,0,1)</f>
        <v>94297942873.182495</v>
      </c>
      <c r="X72" s="140">
        <f>+_xlfn.XLOOKUP(PROYECTOS2[[#This Row],[MUNICIPIO]],'4.CAP_ENDMNT'!B:B,'4.CAP_ENDMNT'!E:E,0,0,1)</f>
        <v>31502477356.16</v>
      </c>
      <c r="Y72" s="140">
        <f>+_xlfn.XLOOKUP(PROYECTOS2[[#This Row],[MUNICIPIO]],'4.CAP_ENDMNT'!B:B,'4.CAP_ENDMNT'!F:F,0,0,1)</f>
        <v>62795465517.022491</v>
      </c>
      <c r="Z72" s="140">
        <f>+_xlfn.XLOOKUP(PROYECTOS2[[#This Row],[MUNICIPIO]],'4.CAP_ENDMNT'!B:B,'4.CAP_ENDMNT'!G:G,0,0,1)</f>
        <v>12269275368</v>
      </c>
      <c r="AA72" s="140">
        <f>+_xlfn.XLOOKUP(PROYECTOS2[[#This Row],[MUNICIPIO]],'4.CAP_ENDMNT'!B:B,'4.CAP_ENDMNT'!H:H,0,0,1)</f>
        <v>1587282296.6800001</v>
      </c>
      <c r="AB72" s="140">
        <f>+_xlfn.XLOOKUP(PROYECTOS2[[#This Row],[MUNICIPIO]],'4.CAP_ENDMNT'!B:B,'4.CAP_ENDMNT'!I:I,0,0,1)</f>
        <v>13856557664.68</v>
      </c>
      <c r="AC72" s="134">
        <f>+_xlfn.XLOOKUP(PROYECTOS2[[#This Row],[MUNICIPIO]],'4.CAP_ENDMNT'!B:B,'4.CAP_ENDMNT'!J:J,0,0,1)</f>
        <v>0.14694443211041333</v>
      </c>
      <c r="AD72" s="140">
        <f>+_xlfn.XLOOKUP(PROYECTOS2[[#This Row],[MUNICIPIO]],'4.CAP_ENDMNT'!B:B,'4.CAP_ENDMNT'!K:K,0,0,1)</f>
        <v>80441385208.502502</v>
      </c>
      <c r="AE72" s="140">
        <f>+_xlfn.XLOOKUP(PROYECTOS2[[#This Row],[MUNICIPIO]],'4.CAP_ENDMNT'!B:B,'4.CAP_ENDMNT'!L:L,0,0,1)</f>
        <v>64353108166.802002</v>
      </c>
      <c r="AF72" s="140">
        <f>+_xlfn.XLOOKUP(PROYECTOS2[[#This Row],[MUNICIPIO]],'4.CAP_ENDMNT'!B:B,'4.CAP_ENDMNT'!M:M,0,0,1)</f>
        <v>48264831125.101501</v>
      </c>
      <c r="AG72" s="134">
        <f>+_xlfn.XLOOKUP(PROYECTOS2[[#This Row],[MUNICIPIO]],'4.CAP_ENDMNT'!B:B,'4.CAP_ENDMNT'!N:N,0,0,1)</f>
        <v>0.88544901734678727</v>
      </c>
      <c r="AH72" s="134">
        <f>+_xlfn.XLOOKUP(PROYECTOS2[[#This Row],[MUNICIPIO]],'4.CAP_ENDMNT'!B:B,'4.CAP_ENDMNT'!O:O,0,0,1)</f>
        <v>0.32613717500698253</v>
      </c>
      <c r="AI72" s="134">
        <f>+_xlfn.XLOOKUP(PROYECTOS2[[#This Row],[MUNICIPIO]],'4.CAP_ENDMNT'!B:B,'4.CAP_ENDMNT'!P:P,0,0,1)</f>
        <v>0.7</v>
      </c>
      <c r="AJ72" s="44" t="str">
        <f>+_xlfn.XLOOKUP(PROYECTOS2[[#This Row],[MUNICIPIO]],'4.CAP_ENDMNT'!B:B,'4.CAP_ENDMNT'!Q:Q,0,0,1)</f>
        <v>Cumple</v>
      </c>
    </row>
    <row r="73" spans="1:36">
      <c r="A73" s="44">
        <v>79</v>
      </c>
      <c r="B73" s="37" t="s">
        <v>412</v>
      </c>
      <c r="C73" s="118">
        <f>+_xlfn.XLOOKUP(PROYECTOS2[[#This Row],[ID_NECESIDAD]],'1.RADICADOS'!G:G,'1.RADICADOS'!C:C,0,0,1)*1</f>
        <v>0</v>
      </c>
      <c r="D73" s="46" t="s">
        <v>327</v>
      </c>
      <c r="E73" s="47" t="str">
        <f>+_xlfn.XLOOKUP(PROYECTOS2[[#This Row],[MUNICIPIO]],MUNICIPIOS!A:A,MUNICIPIOS!E:E,0,0,1)</f>
        <v>Nordeste</v>
      </c>
      <c r="F73" s="44" t="e" cm="1">
        <f t="array" ref="F73">+_xlfn.XLOOKUP(PROYECTOS2[[#This Row],[MUNICIPIO]],Table1[Municipio],MUNICIPIOS!F:F,0,0,1)</f>
        <v>#VALUE!</v>
      </c>
      <c r="G73" s="44" t="str">
        <f>+LOOKUP(PROYECTOS2[[#This Row],[MUNICIPIO]],Table1[Municipio],Table1[Latitud])</f>
        <v>6,149903</v>
      </c>
      <c r="H73" s="44">
        <f>+LOOKUP(PROYECTOS2[[#This Row],[MUNICIPIO]],Table1[Municipio],Table1[PDET])</f>
        <v>0</v>
      </c>
      <c r="I73" s="44">
        <f>+LOOKUP(PROYECTOS2[[#This Row],[MUNICIPIO]],Table1[Municipio],Table1[ZOMAC])</f>
        <v>0</v>
      </c>
      <c r="J73" s="3" t="str" cm="1">
        <f t="array" ref="J73">_xlfn.TEXTJOIN(", ", TRUE, IF(radicados[ID PROYECTOS]=A73, radicados[RADICADO], ""))</f>
        <v/>
      </c>
      <c r="K73" s="45">
        <v>1</v>
      </c>
      <c r="L73" s="45"/>
      <c r="M73" s="43" t="s">
        <v>179</v>
      </c>
      <c r="N73" s="48">
        <v>349987467</v>
      </c>
      <c r="O73" s="48"/>
      <c r="P73" s="48"/>
      <c r="Q73" s="148" t="s">
        <v>1067</v>
      </c>
      <c r="R73" s="34" t="s">
        <v>288</v>
      </c>
      <c r="S73" s="40" t="s">
        <v>398</v>
      </c>
      <c r="T73" s="40" t="s">
        <v>25</v>
      </c>
      <c r="U73" s="37"/>
      <c r="V73" s="44">
        <f>+_xlfn.XLOOKUP(PROYECTOS2[[#This Row],[MUNICIPIO]],'4.CAP_ENDMNT'!B:B,'4.CAP_ENDMNT'!C:C,0,0,1)</f>
        <v>6</v>
      </c>
      <c r="W73" s="139">
        <f>+_xlfn.XLOOKUP(PROYECTOS2[[#This Row],[MUNICIPIO]],'4.CAP_ENDMNT'!B:B,'4.CAP_ENDMNT'!D:D,0,0,1)</f>
        <v>13645854382.4415</v>
      </c>
      <c r="X73" s="140">
        <f>+_xlfn.XLOOKUP(PROYECTOS2[[#This Row],[MUNICIPIO]],'4.CAP_ENDMNT'!B:B,'4.CAP_ENDMNT'!E:E,0,0,1)</f>
        <v>5036095672.2200003</v>
      </c>
      <c r="Y73" s="140">
        <f>+_xlfn.XLOOKUP(PROYECTOS2[[#This Row],[MUNICIPIO]],'4.CAP_ENDMNT'!B:B,'4.CAP_ENDMNT'!F:F,0,0,1)</f>
        <v>8609758710.2215004</v>
      </c>
      <c r="Z73" s="140">
        <f>+_xlfn.XLOOKUP(PROYECTOS2[[#This Row],[MUNICIPIO]],'4.CAP_ENDMNT'!B:B,'4.CAP_ENDMNT'!G:G,0,0,1)</f>
        <v>2357809963</v>
      </c>
      <c r="AA73" s="140">
        <f>+_xlfn.XLOOKUP(PROYECTOS2[[#This Row],[MUNICIPIO]],'4.CAP_ENDMNT'!B:B,'4.CAP_ENDMNT'!H:H,0,0,1)</f>
        <v>1093248488</v>
      </c>
      <c r="AB73" s="140">
        <f>+_xlfn.XLOOKUP(PROYECTOS2[[#This Row],[MUNICIPIO]],'4.CAP_ENDMNT'!B:B,'4.CAP_ENDMNT'!I:I,0,0,1)</f>
        <v>3451058451</v>
      </c>
      <c r="AC73" s="134">
        <f>+_xlfn.XLOOKUP(PROYECTOS2[[#This Row],[MUNICIPIO]],'4.CAP_ENDMNT'!B:B,'4.CAP_ENDMNT'!J:J,0,0,1)</f>
        <v>0.25290160324739891</v>
      </c>
      <c r="AD73" s="140">
        <f>+_xlfn.XLOOKUP(PROYECTOS2[[#This Row],[MUNICIPIO]],'4.CAP_ENDMNT'!B:B,'4.CAP_ENDMNT'!K:K,0,0,1)</f>
        <v>10194795931.4415</v>
      </c>
      <c r="AE73" s="140">
        <f>+_xlfn.XLOOKUP(PROYECTOS2[[#This Row],[MUNICIPIO]],'4.CAP_ENDMNT'!B:B,'4.CAP_ENDMNT'!L:L,0,0,1)</f>
        <v>8155836745.1532001</v>
      </c>
      <c r="AF73" s="140">
        <f>+_xlfn.XLOOKUP(PROYECTOS2[[#This Row],[MUNICIPIO]],'4.CAP_ENDMNT'!B:B,'4.CAP_ENDMNT'!M:M,0,0,1)</f>
        <v>6116877558.8648996</v>
      </c>
      <c r="AG73" s="134">
        <f>+_xlfn.XLOOKUP(PROYECTOS2[[#This Row],[MUNICIPIO]],'4.CAP_ENDMNT'!B:B,'4.CAP_ENDMNT'!N:N,0,0,1)</f>
        <v>0.68321356954032075</v>
      </c>
      <c r="AH73" s="134">
        <f>+_xlfn.XLOOKUP(PROYECTOS2[[#This Row],[MUNICIPIO]],'4.CAP_ENDMNT'!B:B,'4.CAP_ENDMNT'!O:O,0,0,1)</f>
        <v>0.58815143933117542</v>
      </c>
      <c r="AI73" s="134">
        <f>+_xlfn.XLOOKUP(PROYECTOS2[[#This Row],[MUNICIPIO]],'4.CAP_ENDMNT'!B:B,'4.CAP_ENDMNT'!P:P,0,0,1)</f>
        <v>0.8</v>
      </c>
      <c r="AJ73" s="44" t="str">
        <f>+_xlfn.XLOOKUP(PROYECTOS2[[#This Row],[MUNICIPIO]],'4.CAP_ENDMNT'!B:B,'4.CAP_ENDMNT'!Q:Q,0,0,1)</f>
        <v>Cumple</v>
      </c>
    </row>
    <row r="74" spans="1:36">
      <c r="A74" s="44">
        <v>80</v>
      </c>
      <c r="B74" s="37" t="s">
        <v>413</v>
      </c>
      <c r="C74" s="118">
        <f>+_xlfn.XLOOKUP(PROYECTOS2[[#This Row],[ID_NECESIDAD]],'1.RADICADOS'!G:G,'1.RADICADOS'!C:C,0,0,1)*1</f>
        <v>45527</v>
      </c>
      <c r="D74" s="46" t="s">
        <v>166</v>
      </c>
      <c r="E74" s="47" t="str">
        <f>+_xlfn.XLOOKUP(PROYECTOS2[[#This Row],[MUNICIPIO]],MUNICIPIOS!A:A,MUNICIPIOS!E:E,0,0,1)</f>
        <v>Occidente</v>
      </c>
      <c r="F74" s="44" t="e" cm="1">
        <f t="array" ref="F74">+_xlfn.XLOOKUP(PROYECTOS2[[#This Row],[MUNICIPIO]],Table1[Municipio],MUNICIPIOS!F:F,0,0,1)</f>
        <v>#VALUE!</v>
      </c>
      <c r="G74" s="44" t="str">
        <f>+LOOKUP(PROYECTOS2[[#This Row],[MUNICIPIO]],Table1[Municipio],Table1[Latitud])</f>
        <v>6,149903</v>
      </c>
      <c r="H74" s="44">
        <f>+LOOKUP(PROYECTOS2[[#This Row],[MUNICIPIO]],Table1[Municipio],Table1[PDET])</f>
        <v>0</v>
      </c>
      <c r="I74" s="44">
        <f>+LOOKUP(PROYECTOS2[[#This Row],[MUNICIPIO]],Table1[Municipio],Table1[ZOMAC])</f>
        <v>0</v>
      </c>
      <c r="J74" s="3" t="str" cm="1">
        <f t="array" ref="J74">_xlfn.TEXTJOIN(", ", TRUE, IF(radicados[ID PROYECTOS]=A74, radicados[RADICADO], ""))</f>
        <v>2024010402574</v>
      </c>
      <c r="K74" s="45">
        <v>3</v>
      </c>
      <c r="L74" s="45"/>
      <c r="M74" s="43" t="s">
        <v>179</v>
      </c>
      <c r="N74" s="48">
        <v>12667832858</v>
      </c>
      <c r="O74" s="48"/>
      <c r="P74" s="48"/>
      <c r="Q74" s="148" t="s">
        <v>1067</v>
      </c>
      <c r="R74" s="34" t="s">
        <v>288</v>
      </c>
      <c r="S74" s="40" t="s">
        <v>398</v>
      </c>
      <c r="T74" s="40" t="s">
        <v>25</v>
      </c>
      <c r="U74" s="37"/>
      <c r="V74" s="44">
        <f>+_xlfn.XLOOKUP(PROYECTOS2[[#This Row],[MUNICIPIO]],'4.CAP_ENDMNT'!B:B,'4.CAP_ENDMNT'!C:C,0,0,1)</f>
        <v>5</v>
      </c>
      <c r="W74" s="139">
        <f>+_xlfn.XLOOKUP(PROYECTOS2[[#This Row],[MUNICIPIO]],'4.CAP_ENDMNT'!B:B,'4.CAP_ENDMNT'!D:D,0,0,1)</f>
        <v>40656193467.687004</v>
      </c>
      <c r="X74" s="140">
        <f>+_xlfn.XLOOKUP(PROYECTOS2[[#This Row],[MUNICIPIO]],'4.CAP_ENDMNT'!B:B,'4.CAP_ENDMNT'!E:E,0,0,1)</f>
        <v>18778286398.540001</v>
      </c>
      <c r="Y74" s="140">
        <f>+_xlfn.XLOOKUP(PROYECTOS2[[#This Row],[MUNICIPIO]],'4.CAP_ENDMNT'!B:B,'4.CAP_ENDMNT'!F:F,0,0,1)</f>
        <v>21877907069.147003</v>
      </c>
      <c r="Z74" s="140">
        <f>+_xlfn.XLOOKUP(PROYECTOS2[[#This Row],[MUNICIPIO]],'4.CAP_ENDMNT'!B:B,'4.CAP_ENDMNT'!G:G,0,0,1)</f>
        <v>5492975516</v>
      </c>
      <c r="AA74" s="140">
        <f>+_xlfn.XLOOKUP(PROYECTOS2[[#This Row],[MUNICIPIO]],'4.CAP_ENDMNT'!B:B,'4.CAP_ENDMNT'!H:H,0,0,1)</f>
        <v>2014055909</v>
      </c>
      <c r="AB74" s="140">
        <f>+_xlfn.XLOOKUP(PROYECTOS2[[#This Row],[MUNICIPIO]],'4.CAP_ENDMNT'!B:B,'4.CAP_ENDMNT'!I:I,0,0,1)</f>
        <v>7507031425</v>
      </c>
      <c r="AC74" s="134">
        <f>+_xlfn.XLOOKUP(PROYECTOS2[[#This Row],[MUNICIPIO]],'4.CAP_ENDMNT'!B:B,'4.CAP_ENDMNT'!J:J,0,0,1)</f>
        <v>0.18464668688096655</v>
      </c>
      <c r="AD74" s="140">
        <f>+_xlfn.XLOOKUP(PROYECTOS2[[#This Row],[MUNICIPIO]],'4.CAP_ENDMNT'!B:B,'4.CAP_ENDMNT'!K:K,0,0,1)</f>
        <v>33149162042.687004</v>
      </c>
      <c r="AE74" s="140">
        <f>+_xlfn.XLOOKUP(PROYECTOS2[[#This Row],[MUNICIPIO]],'4.CAP_ENDMNT'!B:B,'4.CAP_ENDMNT'!L:L,0,0,1)</f>
        <v>26519329634.149605</v>
      </c>
      <c r="AF74" s="140">
        <f>+_xlfn.XLOOKUP(PROYECTOS2[[#This Row],[MUNICIPIO]],'4.CAP_ENDMNT'!B:B,'4.CAP_ENDMNT'!M:M,0,0,1)</f>
        <v>19889497225.612202</v>
      </c>
      <c r="AG74" s="134">
        <f>+_xlfn.XLOOKUP(PROYECTOS2[[#This Row],[MUNICIPIO]],'4.CAP_ENDMNT'!B:B,'4.CAP_ENDMNT'!N:N,0,0,1)</f>
        <v>0.73171073957506449</v>
      </c>
      <c r="AH74" s="134">
        <f>+_xlfn.XLOOKUP(PROYECTOS2[[#This Row],[MUNICIPIO]],'4.CAP_ENDMNT'!B:B,'4.CAP_ENDMNT'!O:O,0,0,1)</f>
        <v>0.53391906125286837</v>
      </c>
      <c r="AI74" s="134">
        <f>+_xlfn.XLOOKUP(PROYECTOS2[[#This Row],[MUNICIPIO]],'4.CAP_ENDMNT'!B:B,'4.CAP_ENDMNT'!P:P,0,0,1)</f>
        <v>0.8</v>
      </c>
      <c r="AJ74" s="44" t="str">
        <f>+_xlfn.XLOOKUP(PROYECTOS2[[#This Row],[MUNICIPIO]],'4.CAP_ENDMNT'!B:B,'4.CAP_ENDMNT'!Q:Q,0,0,1)</f>
        <v>Cumple</v>
      </c>
    </row>
    <row r="75" spans="1:36">
      <c r="A75" s="44">
        <v>81</v>
      </c>
      <c r="B75" s="37" t="s">
        <v>169</v>
      </c>
      <c r="C75" s="118">
        <f>+_xlfn.XLOOKUP(PROYECTOS2[[#This Row],[ID_NECESIDAD]],'1.RADICADOS'!G:G,'1.RADICADOS'!C:C,0,0,1)*1</f>
        <v>45421</v>
      </c>
      <c r="D75" s="46" t="s">
        <v>168</v>
      </c>
      <c r="E75" s="47" t="str">
        <f>+_xlfn.XLOOKUP(PROYECTOS2[[#This Row],[MUNICIPIO]],MUNICIPIOS!A:A,MUNICIPIOS!E:E,0,0,1)</f>
        <v>Occidente</v>
      </c>
      <c r="F75" s="44" t="e" cm="1">
        <f t="array" ref="F75">+_xlfn.XLOOKUP(PROYECTOS2[[#This Row],[MUNICIPIO]],Table1[Municipio],MUNICIPIOS!F:F,0,0,1)</f>
        <v>#VALUE!</v>
      </c>
      <c r="G75" s="44" t="str">
        <f>+LOOKUP(PROYECTOS2[[#This Row],[MUNICIPIO]],Table1[Municipio],Table1[Latitud])</f>
        <v>7,074703</v>
      </c>
      <c r="H75" s="44">
        <f>+LOOKUP(PROYECTOS2[[#This Row],[MUNICIPIO]],Table1[Municipio],Table1[PDET])</f>
        <v>1</v>
      </c>
      <c r="I75" s="44">
        <f>+LOOKUP(PROYECTOS2[[#This Row],[MUNICIPIO]],Table1[Municipio],Table1[ZOMAC])</f>
        <v>1</v>
      </c>
      <c r="J75" s="3" t="str" cm="1">
        <f t="array" ref="J75">_xlfn.TEXTJOIN(", ", TRUE, IF(radicados[ID PROYECTOS]=A75, radicados[RADICADO], ""))</f>
        <v>2024010403496</v>
      </c>
      <c r="K75" s="45">
        <v>3</v>
      </c>
      <c r="L75" s="45"/>
      <c r="M75" s="43" t="s">
        <v>179</v>
      </c>
      <c r="N75" s="48">
        <v>6508964304</v>
      </c>
      <c r="O75" s="48"/>
      <c r="P75" s="48"/>
      <c r="Q75" s="148" t="s">
        <v>1067</v>
      </c>
      <c r="R75" s="34" t="s">
        <v>288</v>
      </c>
      <c r="S75" s="40" t="s">
        <v>398</v>
      </c>
      <c r="T75" s="40" t="s">
        <v>25</v>
      </c>
      <c r="U75" s="37"/>
      <c r="V75" s="44">
        <f>+_xlfn.XLOOKUP(PROYECTOS2[[#This Row],[MUNICIPIO]],'4.CAP_ENDMNT'!B:B,'4.CAP_ENDMNT'!C:C,0,0,1)</f>
        <v>6</v>
      </c>
      <c r="W75" s="139">
        <f>+_xlfn.XLOOKUP(PROYECTOS2[[#This Row],[MUNICIPIO]],'4.CAP_ENDMNT'!B:B,'4.CAP_ENDMNT'!D:D,0,0,1)</f>
        <v>7049911897.9460001</v>
      </c>
      <c r="X75" s="140">
        <f>+_xlfn.XLOOKUP(PROYECTOS2[[#This Row],[MUNICIPIO]],'4.CAP_ENDMNT'!B:B,'4.CAP_ENDMNT'!E:E,0,0,1)</f>
        <v>2502449802.4500003</v>
      </c>
      <c r="Y75" s="140">
        <f>+_xlfn.XLOOKUP(PROYECTOS2[[#This Row],[MUNICIPIO]],'4.CAP_ENDMNT'!B:B,'4.CAP_ENDMNT'!F:F,0,0,1)</f>
        <v>4547462095.4960003</v>
      </c>
      <c r="Z75" s="140">
        <f>+_xlfn.XLOOKUP(PROYECTOS2[[#This Row],[MUNICIPIO]],'4.CAP_ENDMNT'!B:B,'4.CAP_ENDMNT'!G:G,0,0,1)</f>
        <v>1083993787</v>
      </c>
      <c r="AA75" s="140">
        <f>+_xlfn.XLOOKUP(PROYECTOS2[[#This Row],[MUNICIPIO]],'4.CAP_ENDMNT'!B:B,'4.CAP_ENDMNT'!H:H,0,0,1)</f>
        <v>0</v>
      </c>
      <c r="AB75" s="140">
        <f>+_xlfn.XLOOKUP(PROYECTOS2[[#This Row],[MUNICIPIO]],'4.CAP_ENDMNT'!B:B,'4.CAP_ENDMNT'!I:I,0,0,1)</f>
        <v>1083993787</v>
      </c>
      <c r="AC75" s="134">
        <f>+_xlfn.XLOOKUP(PROYECTOS2[[#This Row],[MUNICIPIO]],'4.CAP_ENDMNT'!B:B,'4.CAP_ENDMNT'!J:J,0,0,1)</f>
        <v>0.15375990546999926</v>
      </c>
      <c r="AD75" s="140">
        <f>+_xlfn.XLOOKUP(PROYECTOS2[[#This Row],[MUNICIPIO]],'4.CAP_ENDMNT'!B:B,'4.CAP_ENDMNT'!K:K,0,0,1)</f>
        <v>5965918110.9460001</v>
      </c>
      <c r="AE75" s="140">
        <f>+_xlfn.XLOOKUP(PROYECTOS2[[#This Row],[MUNICIPIO]],'4.CAP_ENDMNT'!B:B,'4.CAP_ENDMNT'!L:L,0,0,1)</f>
        <v>4772734488.7568007</v>
      </c>
      <c r="AF75" s="140">
        <f>+_xlfn.XLOOKUP(PROYECTOS2[[#This Row],[MUNICIPIO]],'4.CAP_ENDMNT'!B:B,'4.CAP_ENDMNT'!M:M,0,0,1)</f>
        <v>3579550866.5675998</v>
      </c>
      <c r="AG75" s="134">
        <f>+_xlfn.XLOOKUP(PROYECTOS2[[#This Row],[MUNICIPIO]],'4.CAP_ENDMNT'!B:B,'4.CAP_ENDMNT'!N:N,0,0,1)</f>
        <v>1</v>
      </c>
      <c r="AH75" s="134">
        <f>+_xlfn.XLOOKUP(PROYECTOS2[[#This Row],[MUNICIPIO]],'4.CAP_ENDMNT'!B:B,'4.CAP_ENDMNT'!O:O,0,0,1)</f>
        <v>0.68972189795110483</v>
      </c>
      <c r="AI75" s="134">
        <f>+_xlfn.XLOOKUP(PROYECTOS2[[#This Row],[MUNICIPIO]],'4.CAP_ENDMNT'!B:B,'4.CAP_ENDMNT'!P:P,0,0,1)</f>
        <v>0.8</v>
      </c>
      <c r="AJ75" s="44" t="str">
        <f>+_xlfn.XLOOKUP(PROYECTOS2[[#This Row],[MUNICIPIO]],'4.CAP_ENDMNT'!B:B,'4.CAP_ENDMNT'!Q:Q,0,0,1)</f>
        <v>Cumple</v>
      </c>
    </row>
    <row r="76" spans="1:36">
      <c r="A76" s="44">
        <v>82</v>
      </c>
      <c r="B76" s="37" t="s">
        <v>414</v>
      </c>
      <c r="C76" s="118">
        <f>+_xlfn.XLOOKUP(PROYECTOS2[[#This Row],[ID_NECESIDAD]],'1.RADICADOS'!G:G,'1.RADICADOS'!C:C,0,0,1)*1</f>
        <v>45421</v>
      </c>
      <c r="D76" s="46" t="s">
        <v>170</v>
      </c>
      <c r="E76" s="47" t="str">
        <f>+_xlfn.XLOOKUP(PROYECTOS2[[#This Row],[MUNICIPIO]],MUNICIPIOS!A:A,MUNICIPIOS!E:E,0,0,1)</f>
        <v>Bajo Cauca</v>
      </c>
      <c r="F76" s="44" t="e" cm="1">
        <f t="array" ref="F76">+_xlfn.XLOOKUP(PROYECTOS2[[#This Row],[MUNICIPIO]],Table1[Municipio],MUNICIPIOS!F:F,0,0,1)</f>
        <v>#VALUE!</v>
      </c>
      <c r="G76" s="44" t="str">
        <f>+LOOKUP(PROYECTOS2[[#This Row],[MUNICIPIO]],Table1[Municipio],Table1[Latitud])</f>
        <v>6,394348</v>
      </c>
      <c r="H76" s="44">
        <f>+LOOKUP(PROYECTOS2[[#This Row],[MUNICIPIO]],Table1[Municipio],Table1[PDET])</f>
        <v>0</v>
      </c>
      <c r="I76" s="44">
        <f>+LOOKUP(PROYECTOS2[[#This Row],[MUNICIPIO]],Table1[Municipio],Table1[ZOMAC])</f>
        <v>1</v>
      </c>
      <c r="J76" s="3" t="str" cm="1">
        <f t="array" ref="J76">_xlfn.TEXTJOIN(", ", TRUE, IF(radicados[ID PROYECTOS]=A76, radicados[RADICADO], ""))</f>
        <v>2024010403421, 2025010255027</v>
      </c>
      <c r="K76" s="45">
        <v>3</v>
      </c>
      <c r="L76" s="45"/>
      <c r="M76" s="43" t="s">
        <v>179</v>
      </c>
      <c r="N76" s="48">
        <v>30439233612</v>
      </c>
      <c r="O76" s="48"/>
      <c r="P76" s="48"/>
      <c r="Q76" s="148" t="s">
        <v>1067</v>
      </c>
      <c r="R76" s="34" t="s">
        <v>288</v>
      </c>
      <c r="S76" s="40" t="s">
        <v>398</v>
      </c>
      <c r="T76" s="40" t="s">
        <v>25</v>
      </c>
      <c r="U76" s="37"/>
      <c r="V76" s="44">
        <f>+_xlfn.XLOOKUP(PROYECTOS2[[#This Row],[MUNICIPIO]],'4.CAP_ENDMNT'!B:B,'4.CAP_ENDMNT'!C:C,0,0,1)</f>
        <v>6</v>
      </c>
      <c r="W76" s="139">
        <f>+_xlfn.XLOOKUP(PROYECTOS2[[#This Row],[MUNICIPIO]],'4.CAP_ENDMNT'!B:B,'4.CAP_ENDMNT'!D:D,0,0,1)</f>
        <v>50634494381.026505</v>
      </c>
      <c r="X76" s="140">
        <f>+_xlfn.XLOOKUP(PROYECTOS2[[#This Row],[MUNICIPIO]],'4.CAP_ENDMNT'!B:B,'4.CAP_ENDMNT'!E:E,0,0,1)</f>
        <v>15839182742.690001</v>
      </c>
      <c r="Y76" s="140">
        <f>+_xlfn.XLOOKUP(PROYECTOS2[[#This Row],[MUNICIPIO]],'4.CAP_ENDMNT'!B:B,'4.CAP_ENDMNT'!F:F,0,0,1)</f>
        <v>34795311638.336502</v>
      </c>
      <c r="Z76" s="140">
        <f>+_xlfn.XLOOKUP(PROYECTOS2[[#This Row],[MUNICIPIO]],'4.CAP_ENDMNT'!B:B,'4.CAP_ENDMNT'!G:G,0,0,1)</f>
        <v>67652077</v>
      </c>
      <c r="AA76" s="140">
        <f>+_xlfn.XLOOKUP(PROYECTOS2[[#This Row],[MUNICIPIO]],'4.CAP_ENDMNT'!B:B,'4.CAP_ENDMNT'!H:H,0,0,1)</f>
        <v>17477834894.650002</v>
      </c>
      <c r="AB76" s="140">
        <f>+_xlfn.XLOOKUP(PROYECTOS2[[#This Row],[MUNICIPIO]],'4.CAP_ENDMNT'!B:B,'4.CAP_ENDMNT'!I:I,0,0,1)</f>
        <v>17545486971.650002</v>
      </c>
      <c r="AC76" s="134">
        <f>+_xlfn.XLOOKUP(PROYECTOS2[[#This Row],[MUNICIPIO]],'4.CAP_ENDMNT'!B:B,'4.CAP_ENDMNT'!J:J,0,0,1)</f>
        <v>0.34651253431345719</v>
      </c>
      <c r="AD76" s="140">
        <f>+_xlfn.XLOOKUP(PROYECTOS2[[#This Row],[MUNICIPIO]],'4.CAP_ENDMNT'!B:B,'4.CAP_ENDMNT'!K:K,0,0,1)</f>
        <v>33089007409.376503</v>
      </c>
      <c r="AE76" s="140">
        <f>+_xlfn.XLOOKUP(PROYECTOS2[[#This Row],[MUNICIPIO]],'4.CAP_ENDMNT'!B:B,'4.CAP_ENDMNT'!L:L,0,0,1)</f>
        <v>26471205927.501205</v>
      </c>
      <c r="AF76" s="140">
        <f>+_xlfn.XLOOKUP(PROYECTOS2[[#This Row],[MUNICIPIO]],'4.CAP_ENDMNT'!B:B,'4.CAP_ENDMNT'!M:M,0,0,1)</f>
        <v>19853404445.6259</v>
      </c>
      <c r="AG76" s="134">
        <f>+_xlfn.XLOOKUP(PROYECTOS2[[#This Row],[MUNICIPIO]],'4.CAP_ENDMNT'!B:B,'4.CAP_ENDMNT'!N:N,0,0,1)</f>
        <v>3.8558107340829141E-3</v>
      </c>
      <c r="AH76" s="134">
        <f>+_xlfn.XLOOKUP(PROYECTOS2[[#This Row],[MUNICIPIO]],'4.CAP_ENDMNT'!B:B,'4.CAP_ENDMNT'!O:O,0,0,1)</f>
        <v>0.40594992695874271</v>
      </c>
      <c r="AI76" s="134">
        <f>+_xlfn.XLOOKUP(PROYECTOS2[[#This Row],[MUNICIPIO]],'4.CAP_ENDMNT'!B:B,'4.CAP_ENDMNT'!P:P,0,0,1)</f>
        <v>0.8</v>
      </c>
      <c r="AJ76" s="44" t="str">
        <f>+_xlfn.XLOOKUP(PROYECTOS2[[#This Row],[MUNICIPIO]],'4.CAP_ENDMNT'!B:B,'4.CAP_ENDMNT'!Q:Q,0,0,1)</f>
        <v>Cumple</v>
      </c>
    </row>
    <row r="77" spans="1:36">
      <c r="A77" s="44">
        <v>83</v>
      </c>
      <c r="B77" s="37" t="s">
        <v>175</v>
      </c>
      <c r="C77" s="118">
        <f>+_xlfn.XLOOKUP(PROYECTOS2[[#This Row],[ID_NECESIDAD]],'1.RADICADOS'!G:G,'1.RADICADOS'!C:C,0,0,1)*1</f>
        <v>45391</v>
      </c>
      <c r="D77" s="46" t="s">
        <v>174</v>
      </c>
      <c r="E77" s="47" t="str">
        <f>+_xlfn.XLOOKUP(PROYECTOS2[[#This Row],[MUNICIPIO]],MUNICIPIOS!A:A,MUNICIPIOS!E:E,0,0,1)</f>
        <v>Norte</v>
      </c>
      <c r="F77" s="44" t="e" cm="1">
        <f t="array" ref="F77">+_xlfn.XLOOKUP(PROYECTOS2[[#This Row],[MUNICIPIO]],Table1[Municipio],MUNICIPIOS!F:F,0,0,1)</f>
        <v>#VALUE!</v>
      </c>
      <c r="G77" s="44" t="str">
        <f>+LOOKUP(PROYECTOS2[[#This Row],[MUNICIPIO]],Table1[Municipio],Table1[Latitud])</f>
        <v>6,149903</v>
      </c>
      <c r="H77" s="44">
        <f>+LOOKUP(PROYECTOS2[[#This Row],[MUNICIPIO]],Table1[Municipio],Table1[PDET])</f>
        <v>0</v>
      </c>
      <c r="I77" s="44">
        <f>+LOOKUP(PROYECTOS2[[#This Row],[MUNICIPIO]],Table1[Municipio],Table1[ZOMAC])</f>
        <v>0</v>
      </c>
      <c r="J77" s="3" t="str" cm="1">
        <f t="array" ref="J77">_xlfn.TEXTJOIN(", ", TRUE, IF(radicados[ID PROYECTOS]=A77, radicados[RADICADO], ""))</f>
        <v>2024010402557</v>
      </c>
      <c r="K77" s="45">
        <v>3</v>
      </c>
      <c r="L77" s="45"/>
      <c r="M77" s="43"/>
      <c r="N77" s="48">
        <v>9952000000</v>
      </c>
      <c r="O77" s="48"/>
      <c r="P77" s="48"/>
      <c r="Q77" s="148" t="s">
        <v>1067</v>
      </c>
      <c r="R77" s="34" t="s">
        <v>288</v>
      </c>
      <c r="S77" s="34" t="s">
        <v>398</v>
      </c>
      <c r="T77" s="40" t="s">
        <v>25</v>
      </c>
      <c r="U77" s="37"/>
      <c r="V77" s="44">
        <f>+_xlfn.XLOOKUP(PROYECTOS2[[#This Row],[MUNICIPIO]],'4.CAP_ENDMNT'!B:B,'4.CAP_ENDMNT'!C:C,0,0,1)</f>
        <v>6</v>
      </c>
      <c r="W77" s="139">
        <f>+_xlfn.XLOOKUP(PROYECTOS2[[#This Row],[MUNICIPIO]],'4.CAP_ENDMNT'!B:B,'4.CAP_ENDMNT'!D:D,0,0,1)</f>
        <v>31632055796.696003</v>
      </c>
      <c r="X77" s="140">
        <f>+_xlfn.XLOOKUP(PROYECTOS2[[#This Row],[MUNICIPIO]],'4.CAP_ENDMNT'!B:B,'4.CAP_ENDMNT'!E:E,0,0,1)</f>
        <v>14204097707.720001</v>
      </c>
      <c r="Y77" s="140">
        <f>+_xlfn.XLOOKUP(PROYECTOS2[[#This Row],[MUNICIPIO]],'4.CAP_ENDMNT'!B:B,'4.CAP_ENDMNT'!F:F,0,0,1)</f>
        <v>17427958088.976002</v>
      </c>
      <c r="Z77" s="140">
        <f>+_xlfn.XLOOKUP(PROYECTOS2[[#This Row],[MUNICIPIO]],'4.CAP_ENDMNT'!B:B,'4.CAP_ENDMNT'!G:G,0,0,1)</f>
        <v>6063106860</v>
      </c>
      <c r="AA77" s="140">
        <f>+_xlfn.XLOOKUP(PROYECTOS2[[#This Row],[MUNICIPIO]],'4.CAP_ENDMNT'!B:B,'4.CAP_ENDMNT'!H:H,0,0,1)</f>
        <v>5275762021</v>
      </c>
      <c r="AB77" s="140">
        <f>+_xlfn.XLOOKUP(PROYECTOS2[[#This Row],[MUNICIPIO]],'4.CAP_ENDMNT'!B:B,'4.CAP_ENDMNT'!I:I,0,0,1)</f>
        <v>11338868881</v>
      </c>
      <c r="AC77" s="134">
        <f>+_xlfn.XLOOKUP(PROYECTOS2[[#This Row],[MUNICIPIO]],'4.CAP_ENDMNT'!B:B,'4.CAP_ENDMNT'!J:J,0,0,1)</f>
        <v>0.35846133282884368</v>
      </c>
      <c r="AD77" s="140">
        <f>+_xlfn.XLOOKUP(PROYECTOS2[[#This Row],[MUNICIPIO]],'4.CAP_ENDMNT'!B:B,'4.CAP_ENDMNT'!K:K,0,0,1)</f>
        <v>20293186915.696003</v>
      </c>
      <c r="AE77" s="140">
        <f>+_xlfn.XLOOKUP(PROYECTOS2[[#This Row],[MUNICIPIO]],'4.CAP_ENDMNT'!B:B,'4.CAP_ENDMNT'!L:L,0,0,1)</f>
        <v>16234549532.556803</v>
      </c>
      <c r="AF77" s="140">
        <f>+_xlfn.XLOOKUP(PROYECTOS2[[#This Row],[MUNICIPIO]],'4.CAP_ENDMNT'!B:B,'4.CAP_ENDMNT'!M:M,0,0,1)</f>
        <v>12175912149.417601</v>
      </c>
      <c r="AG77" s="134">
        <f>+_xlfn.XLOOKUP(PROYECTOS2[[#This Row],[MUNICIPIO]],'4.CAP_ENDMNT'!B:B,'4.CAP_ENDMNT'!N:N,0,0,1)</f>
        <v>0.53471884397214064</v>
      </c>
      <c r="AH77" s="134">
        <f>+_xlfn.XLOOKUP(PROYECTOS2[[#This Row],[MUNICIPIO]],'4.CAP_ENDMNT'!B:B,'4.CAP_ENDMNT'!O:O,0,0,1)</f>
        <v>0.58208884880898415</v>
      </c>
      <c r="AI77" s="134">
        <f>+_xlfn.XLOOKUP(PROYECTOS2[[#This Row],[MUNICIPIO]],'4.CAP_ENDMNT'!B:B,'4.CAP_ENDMNT'!P:P,0,0,1)</f>
        <v>0.8</v>
      </c>
      <c r="AJ77" s="44" t="str">
        <f>+_xlfn.XLOOKUP(PROYECTOS2[[#This Row],[MUNICIPIO]],'4.CAP_ENDMNT'!B:B,'4.CAP_ENDMNT'!Q:Q,0,0,1)</f>
        <v>Cumple</v>
      </c>
    </row>
    <row r="78" spans="1:36">
      <c r="A78" s="44">
        <v>86</v>
      </c>
      <c r="B78" s="37" t="s">
        <v>183</v>
      </c>
      <c r="C78" s="118">
        <f>+_xlfn.XLOOKUP(PROYECTOS2[[#This Row],[ID_NECESIDAD]],'1.RADICADOS'!G:G,'1.RADICADOS'!C:C,0,0,1)*1</f>
        <v>45360</v>
      </c>
      <c r="D78" s="46" t="s">
        <v>182</v>
      </c>
      <c r="E78" s="47" t="str">
        <f>+_xlfn.XLOOKUP(PROYECTOS2[[#This Row],[MUNICIPIO]],MUNICIPIOS!A:A,MUNICIPIOS!E:E,0,0,1)</f>
        <v>Occidente</v>
      </c>
      <c r="F78" s="44" t="e" cm="1">
        <f t="array" ref="F78">+_xlfn.XLOOKUP(PROYECTOS2[[#This Row],[MUNICIPIO]],Table1[Municipio],MUNICIPIOS!F:F,0,0,1)</f>
        <v>#VALUE!</v>
      </c>
      <c r="G78" s="44" t="str">
        <f>+LOOKUP(PROYECTOS2[[#This Row],[MUNICIPIO]],Table1[Municipio],Table1[Latitud])</f>
        <v>7,074703</v>
      </c>
      <c r="H78" s="44">
        <f>+LOOKUP(PROYECTOS2[[#This Row],[MUNICIPIO]],Table1[Municipio],Table1[PDET])</f>
        <v>1</v>
      </c>
      <c r="I78" s="44">
        <f>+LOOKUP(PROYECTOS2[[#This Row],[MUNICIPIO]],Table1[Municipio],Table1[ZOMAC])</f>
        <v>1</v>
      </c>
      <c r="J78" s="3" t="str" cm="1">
        <f t="array" ref="J78">_xlfn.TEXTJOIN(", ", TRUE, IF(radicados[ID PROYECTOS]=A78, radicados[RADICADO], ""))</f>
        <v>2024010400738</v>
      </c>
      <c r="K78" s="45">
        <v>3</v>
      </c>
      <c r="L78" s="45"/>
      <c r="M78" s="43"/>
      <c r="N78" s="48">
        <v>1555256653.3699999</v>
      </c>
      <c r="O78" s="48"/>
      <c r="P78" s="48"/>
      <c r="Q78" s="148" t="s">
        <v>1067</v>
      </c>
      <c r="R78" s="34" t="s">
        <v>392</v>
      </c>
      <c r="S78" s="40"/>
      <c r="T78" s="40" t="s">
        <v>7</v>
      </c>
      <c r="U78" s="37"/>
      <c r="V78" s="44">
        <f>+_xlfn.XLOOKUP(PROYECTOS2[[#This Row],[MUNICIPIO]],'4.CAP_ENDMNT'!B:B,'4.CAP_ENDMNT'!C:C,0,0,1)</f>
        <v>6</v>
      </c>
      <c r="W78" s="139">
        <f>+_xlfn.XLOOKUP(PROYECTOS2[[#This Row],[MUNICIPIO]],'4.CAP_ENDMNT'!B:B,'4.CAP_ENDMNT'!D:D,0,0,1)</f>
        <v>17304408242.457001</v>
      </c>
      <c r="X78" s="140">
        <f>+_xlfn.XLOOKUP(PROYECTOS2[[#This Row],[MUNICIPIO]],'4.CAP_ENDMNT'!B:B,'4.CAP_ENDMNT'!E:E,0,0,1)</f>
        <v>4260885029.46</v>
      </c>
      <c r="Y78" s="140">
        <f>+_xlfn.XLOOKUP(PROYECTOS2[[#This Row],[MUNICIPIO]],'4.CAP_ENDMNT'!B:B,'4.CAP_ENDMNT'!F:F,0,0,1)</f>
        <v>13043523212.997002</v>
      </c>
      <c r="Z78" s="140">
        <f>+_xlfn.XLOOKUP(PROYECTOS2[[#This Row],[MUNICIPIO]],'4.CAP_ENDMNT'!B:B,'4.CAP_ENDMNT'!G:G,0,0,1)</f>
        <v>3210633884</v>
      </c>
      <c r="AA78" s="140">
        <f>+_xlfn.XLOOKUP(PROYECTOS2[[#This Row],[MUNICIPIO]],'4.CAP_ENDMNT'!B:B,'4.CAP_ENDMNT'!H:H,0,0,1)</f>
        <v>0</v>
      </c>
      <c r="AB78" s="140">
        <f>+_xlfn.XLOOKUP(PROYECTOS2[[#This Row],[MUNICIPIO]],'4.CAP_ENDMNT'!B:B,'4.CAP_ENDMNT'!I:I,0,0,1)</f>
        <v>3210633884</v>
      </c>
      <c r="AC78" s="134">
        <f>+_xlfn.XLOOKUP(PROYECTOS2[[#This Row],[MUNICIPIO]],'4.CAP_ENDMNT'!B:B,'4.CAP_ENDMNT'!J:J,0,0,1)</f>
        <v>0.1855384962614666</v>
      </c>
      <c r="AD78" s="140">
        <f>+_xlfn.XLOOKUP(PROYECTOS2[[#This Row],[MUNICIPIO]],'4.CAP_ENDMNT'!B:B,'4.CAP_ENDMNT'!K:K,0,0,1)</f>
        <v>14093774358.457001</v>
      </c>
      <c r="AE78" s="140">
        <f>+_xlfn.XLOOKUP(PROYECTOS2[[#This Row],[MUNICIPIO]],'4.CAP_ENDMNT'!B:B,'4.CAP_ENDMNT'!L:L,0,0,1)</f>
        <v>11275019486.765602</v>
      </c>
      <c r="AF78" s="140">
        <f>+_xlfn.XLOOKUP(PROYECTOS2[[#This Row],[MUNICIPIO]],'4.CAP_ENDMNT'!B:B,'4.CAP_ENDMNT'!M:M,0,0,1)</f>
        <v>8456264615.0741997</v>
      </c>
      <c r="AG78" s="134">
        <f>+_xlfn.XLOOKUP(PROYECTOS2[[#This Row],[MUNICIPIO]],'4.CAP_ENDMNT'!B:B,'4.CAP_ENDMNT'!N:N,0,0,1)</f>
        <v>1</v>
      </c>
      <c r="AH78" s="134">
        <f>+_xlfn.XLOOKUP(PROYECTOS2[[#This Row],[MUNICIPIO]],'4.CAP_ENDMNT'!B:B,'4.CAP_ENDMNT'!O:O,0,0,1)</f>
        <v>0.3794626866525494</v>
      </c>
      <c r="AI78" s="134">
        <f>+_xlfn.XLOOKUP(PROYECTOS2[[#This Row],[MUNICIPIO]],'4.CAP_ENDMNT'!B:B,'4.CAP_ENDMNT'!P:P,0,0,1)</f>
        <v>0.8</v>
      </c>
      <c r="AJ78" s="44" t="str">
        <f>+_xlfn.XLOOKUP(PROYECTOS2[[#This Row],[MUNICIPIO]],'4.CAP_ENDMNT'!B:B,'4.CAP_ENDMNT'!Q:Q,0,0,1)</f>
        <v>Cumple</v>
      </c>
    </row>
    <row r="79" spans="1:36">
      <c r="A79" s="44">
        <v>87</v>
      </c>
      <c r="B79" s="37" t="s">
        <v>184</v>
      </c>
      <c r="C79" s="118">
        <f>+_xlfn.XLOOKUP(PROYECTOS2[[#This Row],[ID_NECESIDAD]],'1.RADICADOS'!G:G,'1.RADICADOS'!C:C,0,0,1)*1</f>
        <v>45538</v>
      </c>
      <c r="D79" s="46" t="s">
        <v>329</v>
      </c>
      <c r="E79" s="47" t="str">
        <f>+_xlfn.XLOOKUP(PROYECTOS2[[#This Row],[MUNICIPIO]],MUNICIPIOS!A:A,MUNICIPIOS!E:E,0,0,1)</f>
        <v>Bajo Cauca</v>
      </c>
      <c r="F79" s="44" t="e" cm="1">
        <f t="array" ref="F79">+_xlfn.XLOOKUP(PROYECTOS2[[#This Row],[MUNICIPIO]],Table1[Municipio],MUNICIPIOS!F:F,0,0,1)</f>
        <v>#VALUE!</v>
      </c>
      <c r="G79" s="44" t="str">
        <f>+LOOKUP(PROYECTOS2[[#This Row],[MUNICIPIO]],Table1[Municipio],Table1[Latitud])</f>
        <v>6,246631</v>
      </c>
      <c r="H79" s="44">
        <f>+LOOKUP(PROYECTOS2[[#This Row],[MUNICIPIO]],Table1[Municipio],Table1[PDET])</f>
        <v>0</v>
      </c>
      <c r="I79" s="44">
        <f>+LOOKUP(PROYECTOS2[[#This Row],[MUNICIPIO]],Table1[Municipio],Table1[ZOMAC])</f>
        <v>0</v>
      </c>
      <c r="J79" s="3" t="str" cm="1">
        <f t="array" ref="J79">_xlfn.TEXTJOIN(", ", TRUE, IF(radicados[ID PROYECTOS]=A79, radicados[RADICADO], ""))</f>
        <v>2024010415684</v>
      </c>
      <c r="K79" s="45">
        <v>3</v>
      </c>
      <c r="L79" s="45"/>
      <c r="M79" s="43"/>
      <c r="N79" s="48">
        <v>3154988339</v>
      </c>
      <c r="O79" s="48"/>
      <c r="P79" s="48"/>
      <c r="Q79" s="148" t="s">
        <v>1067</v>
      </c>
      <c r="R79" s="34" t="s">
        <v>401</v>
      </c>
      <c r="S79" s="34" t="s">
        <v>398</v>
      </c>
      <c r="T79" s="34" t="s">
        <v>25</v>
      </c>
      <c r="U79" s="37"/>
      <c r="V79" s="44">
        <f>+_xlfn.XLOOKUP(PROYECTOS2[[#This Row],[MUNICIPIO]],'4.CAP_ENDMNT'!B:B,'4.CAP_ENDMNT'!C:C,0,0,1)</f>
        <v>6</v>
      </c>
      <c r="W79" s="139">
        <f>+_xlfn.XLOOKUP(PROYECTOS2[[#This Row],[MUNICIPIO]],'4.CAP_ENDMNT'!B:B,'4.CAP_ENDMNT'!D:D,0,0,1)</f>
        <v>17207529181.433002</v>
      </c>
      <c r="X79" s="140">
        <f>+_xlfn.XLOOKUP(PROYECTOS2[[#This Row],[MUNICIPIO]],'4.CAP_ENDMNT'!B:B,'4.CAP_ENDMNT'!E:E,0,0,1)</f>
        <v>3556882387.1300001</v>
      </c>
      <c r="Y79" s="140">
        <f>+_xlfn.XLOOKUP(PROYECTOS2[[#This Row],[MUNICIPIO]],'4.CAP_ENDMNT'!B:B,'4.CAP_ENDMNT'!F:F,0,0,1)</f>
        <v>13650646794.303001</v>
      </c>
      <c r="Z79" s="140">
        <f>+_xlfn.XLOOKUP(PROYECTOS2[[#This Row],[MUNICIPIO]],'4.CAP_ENDMNT'!B:B,'4.CAP_ENDMNT'!G:G,0,0,1)</f>
        <v>2981910160</v>
      </c>
      <c r="AA79" s="140">
        <f>+_xlfn.XLOOKUP(PROYECTOS2[[#This Row],[MUNICIPIO]],'4.CAP_ENDMNT'!B:B,'4.CAP_ENDMNT'!H:H,0,0,1)</f>
        <v>5898924731</v>
      </c>
      <c r="AB79" s="140">
        <f>+_xlfn.XLOOKUP(PROYECTOS2[[#This Row],[MUNICIPIO]],'4.CAP_ENDMNT'!B:B,'4.CAP_ENDMNT'!I:I,0,0,1)</f>
        <v>8880834891</v>
      </c>
      <c r="AC79" s="134">
        <f>+_xlfn.XLOOKUP(PROYECTOS2[[#This Row],[MUNICIPIO]],'4.CAP_ENDMNT'!B:B,'4.CAP_ENDMNT'!J:J,0,0,1)</f>
        <v>0.51610168998478057</v>
      </c>
      <c r="AD79" s="140">
        <f>+_xlfn.XLOOKUP(PROYECTOS2[[#This Row],[MUNICIPIO]],'4.CAP_ENDMNT'!B:B,'4.CAP_ENDMNT'!K:K,0,0,1)</f>
        <v>8326694290.4330025</v>
      </c>
      <c r="AE79" s="140">
        <f>+_xlfn.XLOOKUP(PROYECTOS2[[#This Row],[MUNICIPIO]],'4.CAP_ENDMNT'!B:B,'4.CAP_ENDMNT'!L:L,0,0,1)</f>
        <v>6661355432.3464022</v>
      </c>
      <c r="AF79" s="140">
        <f>+_xlfn.XLOOKUP(PROYECTOS2[[#This Row],[MUNICIPIO]],'4.CAP_ENDMNT'!B:B,'4.CAP_ENDMNT'!M:M,0,0,1)</f>
        <v>4996016574.2598009</v>
      </c>
      <c r="AG79" s="134">
        <f>+_xlfn.XLOOKUP(PROYECTOS2[[#This Row],[MUNICIPIO]],'4.CAP_ENDMNT'!B:B,'4.CAP_ENDMNT'!N:N,0,0,1)</f>
        <v>0.3357691249301259</v>
      </c>
      <c r="AH79" s="134">
        <f>+_xlfn.XLOOKUP(PROYECTOS2[[#This Row],[MUNICIPIO]],'4.CAP_ENDMNT'!B:B,'4.CAP_ENDMNT'!O:O,0,0,1)</f>
        <v>0.46603493316730282</v>
      </c>
      <c r="AI79" s="134">
        <f>+_xlfn.XLOOKUP(PROYECTOS2[[#This Row],[MUNICIPIO]],'4.CAP_ENDMNT'!B:B,'4.CAP_ENDMNT'!P:P,0,0,1)</f>
        <v>0.8</v>
      </c>
      <c r="AJ79" s="44" t="str">
        <f>+_xlfn.XLOOKUP(PROYECTOS2[[#This Row],[MUNICIPIO]],'4.CAP_ENDMNT'!B:B,'4.CAP_ENDMNT'!Q:Q,0,0,1)</f>
        <v>Cumple</v>
      </c>
    </row>
    <row r="80" spans="1:36">
      <c r="A80" s="44">
        <v>88</v>
      </c>
      <c r="B80" s="37" t="s">
        <v>185</v>
      </c>
      <c r="C80" s="118">
        <f>+_xlfn.XLOOKUP(PROYECTOS2[[#This Row],[ID_NECESIDAD]],'1.RADICADOS'!G:G,'1.RADICADOS'!C:C,0,0,1)*1</f>
        <v>45605</v>
      </c>
      <c r="D80" s="46" t="s">
        <v>166</v>
      </c>
      <c r="E80" s="47" t="str">
        <f>+_xlfn.XLOOKUP(PROYECTOS2[[#This Row],[MUNICIPIO]],MUNICIPIOS!A:A,MUNICIPIOS!E:E,0,0,1)</f>
        <v>Occidente</v>
      </c>
      <c r="F80" s="44" t="e" cm="1">
        <f t="array" ref="F80">+_xlfn.XLOOKUP(PROYECTOS2[[#This Row],[MUNICIPIO]],Table1[Municipio],MUNICIPIOS!F:F,0,0,1)</f>
        <v>#VALUE!</v>
      </c>
      <c r="G80" s="44" t="str">
        <f>+LOOKUP(PROYECTOS2[[#This Row],[MUNICIPIO]],Table1[Municipio],Table1[Latitud])</f>
        <v>6,149903</v>
      </c>
      <c r="H80" s="44">
        <f>+LOOKUP(PROYECTOS2[[#This Row],[MUNICIPIO]],Table1[Municipio],Table1[PDET])</f>
        <v>0</v>
      </c>
      <c r="I80" s="44">
        <f>+LOOKUP(PROYECTOS2[[#This Row],[MUNICIPIO]],Table1[Municipio],Table1[ZOMAC])</f>
        <v>0</v>
      </c>
      <c r="J80" s="3" t="str" cm="1">
        <f t="array" ref="J80">_xlfn.TEXTJOIN(", ", TRUE, IF(radicados[ID PROYECTOS]=A80, radicados[RADICADO], ""))</f>
        <v>2024010415525</v>
      </c>
      <c r="K80" s="45">
        <v>3</v>
      </c>
      <c r="L80" s="45"/>
      <c r="M80" s="43"/>
      <c r="N80" s="48">
        <v>8647258157</v>
      </c>
      <c r="O80" s="48"/>
      <c r="P80" s="48"/>
      <c r="Q80" s="148" t="s">
        <v>1067</v>
      </c>
      <c r="R80" s="34" t="s">
        <v>396</v>
      </c>
      <c r="S80" s="34" t="s">
        <v>398</v>
      </c>
      <c r="T80" s="34" t="s">
        <v>78</v>
      </c>
      <c r="U80" s="37"/>
      <c r="V80" s="44">
        <f>+_xlfn.XLOOKUP(PROYECTOS2[[#This Row],[MUNICIPIO]],'4.CAP_ENDMNT'!B:B,'4.CAP_ENDMNT'!C:C,0,0,1)</f>
        <v>5</v>
      </c>
      <c r="W80" s="139">
        <f>+_xlfn.XLOOKUP(PROYECTOS2[[#This Row],[MUNICIPIO]],'4.CAP_ENDMNT'!B:B,'4.CAP_ENDMNT'!D:D,0,0,1)</f>
        <v>40656193467.687004</v>
      </c>
      <c r="X80" s="140">
        <f>+_xlfn.XLOOKUP(PROYECTOS2[[#This Row],[MUNICIPIO]],'4.CAP_ENDMNT'!B:B,'4.CAP_ENDMNT'!E:E,0,0,1)</f>
        <v>18778286398.540001</v>
      </c>
      <c r="Y80" s="140">
        <f>+_xlfn.XLOOKUP(PROYECTOS2[[#This Row],[MUNICIPIO]],'4.CAP_ENDMNT'!B:B,'4.CAP_ENDMNT'!F:F,0,0,1)</f>
        <v>21877907069.147003</v>
      </c>
      <c r="Z80" s="140">
        <f>+_xlfn.XLOOKUP(PROYECTOS2[[#This Row],[MUNICIPIO]],'4.CAP_ENDMNT'!B:B,'4.CAP_ENDMNT'!G:G,0,0,1)</f>
        <v>5492975516</v>
      </c>
      <c r="AA80" s="140">
        <f>+_xlfn.XLOOKUP(PROYECTOS2[[#This Row],[MUNICIPIO]],'4.CAP_ENDMNT'!B:B,'4.CAP_ENDMNT'!H:H,0,0,1)</f>
        <v>2014055909</v>
      </c>
      <c r="AB80" s="140">
        <f>+_xlfn.XLOOKUP(PROYECTOS2[[#This Row],[MUNICIPIO]],'4.CAP_ENDMNT'!B:B,'4.CAP_ENDMNT'!I:I,0,0,1)</f>
        <v>7507031425</v>
      </c>
      <c r="AC80" s="134">
        <f>+_xlfn.XLOOKUP(PROYECTOS2[[#This Row],[MUNICIPIO]],'4.CAP_ENDMNT'!B:B,'4.CAP_ENDMNT'!J:J,0,0,1)</f>
        <v>0.18464668688096655</v>
      </c>
      <c r="AD80" s="140">
        <f>+_xlfn.XLOOKUP(PROYECTOS2[[#This Row],[MUNICIPIO]],'4.CAP_ENDMNT'!B:B,'4.CAP_ENDMNT'!K:K,0,0,1)</f>
        <v>33149162042.687004</v>
      </c>
      <c r="AE80" s="140">
        <f>+_xlfn.XLOOKUP(PROYECTOS2[[#This Row],[MUNICIPIO]],'4.CAP_ENDMNT'!B:B,'4.CAP_ENDMNT'!L:L,0,0,1)</f>
        <v>26519329634.149605</v>
      </c>
      <c r="AF80" s="140">
        <f>+_xlfn.XLOOKUP(PROYECTOS2[[#This Row],[MUNICIPIO]],'4.CAP_ENDMNT'!B:B,'4.CAP_ENDMNT'!M:M,0,0,1)</f>
        <v>19889497225.612202</v>
      </c>
      <c r="AG80" s="134">
        <f>+_xlfn.XLOOKUP(PROYECTOS2[[#This Row],[MUNICIPIO]],'4.CAP_ENDMNT'!B:B,'4.CAP_ENDMNT'!N:N,0,0,1)</f>
        <v>0.73171073957506449</v>
      </c>
      <c r="AH80" s="134">
        <f>+_xlfn.XLOOKUP(PROYECTOS2[[#This Row],[MUNICIPIO]],'4.CAP_ENDMNT'!B:B,'4.CAP_ENDMNT'!O:O,0,0,1)</f>
        <v>0.53391906125286837</v>
      </c>
      <c r="AI80" s="134">
        <f>+_xlfn.XLOOKUP(PROYECTOS2[[#This Row],[MUNICIPIO]],'4.CAP_ENDMNT'!B:B,'4.CAP_ENDMNT'!P:P,0,0,1)</f>
        <v>0.8</v>
      </c>
      <c r="AJ80" s="44" t="str">
        <f>+_xlfn.XLOOKUP(PROYECTOS2[[#This Row],[MUNICIPIO]],'4.CAP_ENDMNT'!B:B,'4.CAP_ENDMNT'!Q:Q,0,0,1)</f>
        <v>Cumple</v>
      </c>
    </row>
    <row r="81" spans="1:36">
      <c r="A81" s="44">
        <v>89</v>
      </c>
      <c r="B81" s="37" t="s">
        <v>416</v>
      </c>
      <c r="C81" s="118">
        <f>+_xlfn.XLOOKUP(PROYECTOS2[[#This Row],[ID_NECESIDAD]],'1.RADICADOS'!G:G,'1.RADICADOS'!C:C,0,0,1)*1</f>
        <v>45605</v>
      </c>
      <c r="D81" s="46" t="s">
        <v>186</v>
      </c>
      <c r="E81" s="47" t="str">
        <f>+_xlfn.XLOOKUP(PROYECTOS2[[#This Row],[MUNICIPIO]],MUNICIPIOS!A:A,MUNICIPIOS!E:E,0,0,1)</f>
        <v>Oriente</v>
      </c>
      <c r="F81" s="44" t="e" cm="1">
        <f t="array" ref="F81">+_xlfn.XLOOKUP(PROYECTOS2[[#This Row],[MUNICIPIO]],Table1[Municipio],MUNICIPIOS!F:F,0,0,1)</f>
        <v>#VALUE!</v>
      </c>
      <c r="G81" s="44" t="str">
        <f>+LOOKUP(PROYECTOS2[[#This Row],[MUNICIPIO]],Table1[Municipio],Table1[Latitud])</f>
        <v>5,743808</v>
      </c>
      <c r="H81" s="44">
        <f>+LOOKUP(PROYECTOS2[[#This Row],[MUNICIPIO]],Table1[Municipio],Table1[PDET])</f>
        <v>0</v>
      </c>
      <c r="I81" s="44">
        <f>+LOOKUP(PROYECTOS2[[#This Row],[MUNICIPIO]],Table1[Municipio],Table1[ZOMAC])</f>
        <v>0</v>
      </c>
      <c r="J81" s="3" t="str" cm="1">
        <f t="array" ref="J81">_xlfn.TEXTJOIN(", ", TRUE, IF(radicados[ID PROYECTOS]=A81, radicados[RADICADO], ""))</f>
        <v>2024010404422</v>
      </c>
      <c r="K81" s="45">
        <v>3</v>
      </c>
      <c r="L81" s="45"/>
      <c r="M81" s="43" t="s">
        <v>179</v>
      </c>
      <c r="N81" s="48">
        <v>11889457188.450001</v>
      </c>
      <c r="O81" s="48"/>
      <c r="P81" s="48"/>
      <c r="Q81" s="148" t="s">
        <v>1067</v>
      </c>
      <c r="R81" s="34" t="s">
        <v>288</v>
      </c>
      <c r="S81" s="34" t="s">
        <v>398</v>
      </c>
      <c r="T81" s="34" t="s">
        <v>25</v>
      </c>
      <c r="U81" s="37"/>
      <c r="V81" s="44">
        <f>+_xlfn.XLOOKUP(PROYECTOS2[[#This Row],[MUNICIPIO]],'4.CAP_ENDMNT'!B:B,'4.CAP_ENDMNT'!C:C,0,0,1)</f>
        <v>6</v>
      </c>
      <c r="W81" s="139">
        <f>+_xlfn.XLOOKUP(PROYECTOS2[[#This Row],[MUNICIPIO]],'4.CAP_ENDMNT'!B:B,'4.CAP_ENDMNT'!D:D,0,0,1)</f>
        <v>22781121123.307999</v>
      </c>
      <c r="X81" s="140">
        <f>+_xlfn.XLOOKUP(PROYECTOS2[[#This Row],[MUNICIPIO]],'4.CAP_ENDMNT'!B:B,'4.CAP_ENDMNT'!E:E,0,0,1)</f>
        <v>7460247261.1800003</v>
      </c>
      <c r="Y81" s="140">
        <f>+_xlfn.XLOOKUP(PROYECTOS2[[#This Row],[MUNICIPIO]],'4.CAP_ENDMNT'!B:B,'4.CAP_ENDMNT'!F:F,0,0,1)</f>
        <v>15320873862.127998</v>
      </c>
      <c r="Z81" s="140">
        <f>+_xlfn.XLOOKUP(PROYECTOS2[[#This Row],[MUNICIPIO]],'4.CAP_ENDMNT'!B:B,'4.CAP_ENDMNT'!G:G,0,0,1)</f>
        <v>8372353142.5600004</v>
      </c>
      <c r="AA81" s="140">
        <f>+_xlfn.XLOOKUP(PROYECTOS2[[#This Row],[MUNICIPIO]],'4.CAP_ENDMNT'!B:B,'4.CAP_ENDMNT'!H:H,0,0,1)</f>
        <v>142113074</v>
      </c>
      <c r="AB81" s="140">
        <f>+_xlfn.XLOOKUP(PROYECTOS2[[#This Row],[MUNICIPIO]],'4.CAP_ENDMNT'!B:B,'4.CAP_ENDMNT'!I:I,0,0,1)</f>
        <v>8514466216.5600004</v>
      </c>
      <c r="AC81" s="134">
        <f>+_xlfn.XLOOKUP(PROYECTOS2[[#This Row],[MUNICIPIO]],'4.CAP_ENDMNT'!B:B,'4.CAP_ENDMNT'!J:J,0,0,1)</f>
        <v>0.37375097434729027</v>
      </c>
      <c r="AD81" s="140">
        <f>+_xlfn.XLOOKUP(PROYECTOS2[[#This Row],[MUNICIPIO]],'4.CAP_ENDMNT'!B:B,'4.CAP_ENDMNT'!K:K,0,0,1)</f>
        <v>14266654906.747997</v>
      </c>
      <c r="AE81" s="140">
        <f>+_xlfn.XLOOKUP(PROYECTOS2[[#This Row],[MUNICIPIO]],'4.CAP_ENDMNT'!B:B,'4.CAP_ENDMNT'!L:L,0,0,1)</f>
        <v>11413323925.398399</v>
      </c>
      <c r="AF81" s="140">
        <f>+_xlfn.XLOOKUP(PROYECTOS2[[#This Row],[MUNICIPIO]],'4.CAP_ENDMNT'!B:B,'4.CAP_ENDMNT'!M:M,0,0,1)</f>
        <v>8559992944.0487976</v>
      </c>
      <c r="AG81" s="134">
        <f>+_xlfn.XLOOKUP(PROYECTOS2[[#This Row],[MUNICIPIO]],'4.CAP_ENDMNT'!B:B,'4.CAP_ENDMNT'!N:N,0,0,1)</f>
        <v>0.98330922099102336</v>
      </c>
      <c r="AH81" s="134">
        <f>+_xlfn.XLOOKUP(PROYECTOS2[[#This Row],[MUNICIPIO]],'4.CAP_ENDMNT'!B:B,'4.CAP_ENDMNT'!O:O,0,0,1)</f>
        <v>0.47573857187041646</v>
      </c>
      <c r="AI81" s="134">
        <f>+_xlfn.XLOOKUP(PROYECTOS2[[#This Row],[MUNICIPIO]],'4.CAP_ENDMNT'!B:B,'4.CAP_ENDMNT'!P:P,0,0,1)</f>
        <v>0.8</v>
      </c>
      <c r="AJ81" s="44" t="str">
        <f>+_xlfn.XLOOKUP(PROYECTOS2[[#This Row],[MUNICIPIO]],'4.CAP_ENDMNT'!B:B,'4.CAP_ENDMNT'!Q:Q,0,0,1)</f>
        <v>Cumple</v>
      </c>
    </row>
    <row r="82" spans="1:36">
      <c r="A82" s="44">
        <v>90</v>
      </c>
      <c r="B82" s="37" t="s">
        <v>944</v>
      </c>
      <c r="C82" s="118">
        <f>+_xlfn.XLOOKUP(PROYECTOS2[[#This Row],[ID_NECESIDAD]],'1.RADICADOS'!G:G,'1.RADICADOS'!C:C,0,0,1)*1</f>
        <v>45421</v>
      </c>
      <c r="D82" s="46" t="s">
        <v>35</v>
      </c>
      <c r="E82" s="47" t="str">
        <f>+_xlfn.XLOOKUP(PROYECTOS2[[#This Row],[MUNICIPIO]],MUNICIPIOS!A:A,MUNICIPIOS!E:E,0,0,1)</f>
        <v>Norte</v>
      </c>
      <c r="F82" s="44" t="e" cm="1">
        <f t="array" ref="F82">+_xlfn.XLOOKUP(PROYECTOS2[[#This Row],[MUNICIPIO]],Table1[Municipio],MUNICIPIOS!F:F,0,0,1)</f>
        <v>#VALUE!</v>
      </c>
      <c r="G82" s="44" t="str">
        <f>+LOOKUP(PROYECTOS2[[#This Row],[MUNICIPIO]],Table1[Municipio],Table1[Latitud])</f>
        <v>6,394348</v>
      </c>
      <c r="H82" s="44">
        <f>+LOOKUP(PROYECTOS2[[#This Row],[MUNICIPIO]],Table1[Municipio],Table1[PDET])</f>
        <v>0</v>
      </c>
      <c r="I82" s="44">
        <f>+LOOKUP(PROYECTOS2[[#This Row],[MUNICIPIO]],Table1[Municipio],Table1[ZOMAC])</f>
        <v>1</v>
      </c>
      <c r="J82" s="3" t="str" cm="1">
        <f t="array" ref="J82">_xlfn.TEXTJOIN(", ", TRUE, IF(radicados[ID PROYECTOS]=A82, radicados[RADICADO], ""))</f>
        <v>2024010429627</v>
      </c>
      <c r="K82" s="45">
        <v>3</v>
      </c>
      <c r="L82" s="45">
        <v>1</v>
      </c>
      <c r="M82" s="43" t="s">
        <v>179</v>
      </c>
      <c r="N82" s="48">
        <v>5069397911</v>
      </c>
      <c r="O82" s="48"/>
      <c r="P82" s="48"/>
      <c r="Q82" s="148" t="s">
        <v>1067</v>
      </c>
      <c r="R82" s="34" t="s">
        <v>288</v>
      </c>
      <c r="S82" s="34" t="s">
        <v>398</v>
      </c>
      <c r="T82" s="34" t="s">
        <v>25</v>
      </c>
      <c r="U82" s="37"/>
      <c r="V82" s="44">
        <f>+_xlfn.XLOOKUP(PROYECTOS2[[#This Row],[MUNICIPIO]],'4.CAP_ENDMNT'!B:B,'4.CAP_ENDMNT'!C:C,0,0,1)</f>
        <v>6</v>
      </c>
      <c r="W82" s="139">
        <f>+_xlfn.XLOOKUP(PROYECTOS2[[#This Row],[MUNICIPIO]],'4.CAP_ENDMNT'!B:B,'4.CAP_ENDMNT'!D:D,0,0,1)</f>
        <v>24529039369.539501</v>
      </c>
      <c r="X82" s="140">
        <f>+_xlfn.XLOOKUP(PROYECTOS2[[#This Row],[MUNICIPIO]],'4.CAP_ENDMNT'!B:B,'4.CAP_ENDMNT'!E:E,0,0,1)</f>
        <v>8973012363.6700001</v>
      </c>
      <c r="Y82" s="140">
        <f>+_xlfn.XLOOKUP(PROYECTOS2[[#This Row],[MUNICIPIO]],'4.CAP_ENDMNT'!B:B,'4.CAP_ENDMNT'!F:F,0,0,1)</f>
        <v>15556027005.869501</v>
      </c>
      <c r="Z82" s="140">
        <f>+_xlfn.XLOOKUP(PROYECTOS2[[#This Row],[MUNICIPIO]],'4.CAP_ENDMNT'!B:B,'4.CAP_ENDMNT'!G:G,0,0,1)</f>
        <v>7973050390</v>
      </c>
      <c r="AA82" s="140">
        <f>+_xlfn.XLOOKUP(PROYECTOS2[[#This Row],[MUNICIPIO]],'4.CAP_ENDMNT'!B:B,'4.CAP_ENDMNT'!H:H,0,0,1)</f>
        <v>1625381984</v>
      </c>
      <c r="AB82" s="140">
        <f>+_xlfn.XLOOKUP(PROYECTOS2[[#This Row],[MUNICIPIO]],'4.CAP_ENDMNT'!B:B,'4.CAP_ENDMNT'!I:I,0,0,1)</f>
        <v>9598432374</v>
      </c>
      <c r="AC82" s="134">
        <f>+_xlfn.XLOOKUP(PROYECTOS2[[#This Row],[MUNICIPIO]],'4.CAP_ENDMNT'!B:B,'4.CAP_ENDMNT'!J:J,0,0,1)</f>
        <v>0.39130893914742809</v>
      </c>
      <c r="AD82" s="140">
        <f>+_xlfn.XLOOKUP(PROYECTOS2[[#This Row],[MUNICIPIO]],'4.CAP_ENDMNT'!B:B,'4.CAP_ENDMNT'!K:K,0,0,1)</f>
        <v>14930606995.539501</v>
      </c>
      <c r="AE82" s="140">
        <f>+_xlfn.XLOOKUP(PROYECTOS2[[#This Row],[MUNICIPIO]],'4.CAP_ENDMNT'!B:B,'4.CAP_ENDMNT'!L:L,0,0,1)</f>
        <v>11944485596.431602</v>
      </c>
      <c r="AF82" s="140">
        <f>+_xlfn.XLOOKUP(PROYECTOS2[[#This Row],[MUNICIPIO]],'4.CAP_ENDMNT'!B:B,'4.CAP_ENDMNT'!M:M,0,0,1)</f>
        <v>8958364197.3237</v>
      </c>
      <c r="AG82" s="134">
        <f>+_xlfn.XLOOKUP(PROYECTOS2[[#This Row],[MUNICIPIO]],'4.CAP_ENDMNT'!B:B,'4.CAP_ENDMNT'!N:N,0,0,1)</f>
        <v>0.83066172467883448</v>
      </c>
      <c r="AH82" s="134">
        <f>+_xlfn.XLOOKUP(PROYECTOS2[[#This Row],[MUNICIPIO]],'4.CAP_ENDMNT'!B:B,'4.CAP_ENDMNT'!O:O,0,0,1)</f>
        <v>0.53024343717246458</v>
      </c>
      <c r="AI82" s="134">
        <f>+_xlfn.XLOOKUP(PROYECTOS2[[#This Row],[MUNICIPIO]],'4.CAP_ENDMNT'!B:B,'4.CAP_ENDMNT'!P:P,0,0,1)</f>
        <v>0.8</v>
      </c>
      <c r="AJ82" s="44" t="str">
        <f>+_xlfn.XLOOKUP(PROYECTOS2[[#This Row],[MUNICIPIO]],'4.CAP_ENDMNT'!B:B,'4.CAP_ENDMNT'!Q:Q,0,0,1)</f>
        <v>Cumple</v>
      </c>
    </row>
    <row r="83" spans="1:36">
      <c r="A83" s="44">
        <v>91</v>
      </c>
      <c r="B83" s="37" t="s">
        <v>189</v>
      </c>
      <c r="C83" s="118">
        <f>+_xlfn.XLOOKUP(PROYECTOS2[[#This Row],[ID_NECESIDAD]],'1.RADICADOS'!G:G,'1.RADICADOS'!C:C,0,0,1)*1</f>
        <v>45554</v>
      </c>
      <c r="D83" s="46" t="s">
        <v>148</v>
      </c>
      <c r="E83" s="47" t="str">
        <f>+_xlfn.XLOOKUP(PROYECTOS2[[#This Row],[MUNICIPIO]],MUNICIPIOS!A:A,MUNICIPIOS!E:E,0,0,1)</f>
        <v>Urabá</v>
      </c>
      <c r="F83" s="44" t="e" cm="1">
        <f t="array" ref="F83">+_xlfn.XLOOKUP(PROYECTOS2[[#This Row],[MUNICIPIO]],Table1[Municipio],MUNICIPIOS!F:F,0,0,1)</f>
        <v>#VALUE!</v>
      </c>
      <c r="G83" s="44" t="str">
        <f>+LOOKUP(PROYECTOS2[[#This Row],[MUNICIPIO]],Table1[Municipio],Table1[Latitud])</f>
        <v>6,149903</v>
      </c>
      <c r="H83" s="44">
        <f>+LOOKUP(PROYECTOS2[[#This Row],[MUNICIPIO]],Table1[Municipio],Table1[PDET])</f>
        <v>0</v>
      </c>
      <c r="I83" s="44">
        <f>+LOOKUP(PROYECTOS2[[#This Row],[MUNICIPIO]],Table1[Municipio],Table1[ZOMAC])</f>
        <v>0</v>
      </c>
      <c r="J83" s="3" t="str" cm="1">
        <f t="array" ref="J83">_xlfn.TEXTJOIN(", ", TRUE, IF(radicados[ID PROYECTOS]=A83, radicados[RADICADO], ""))</f>
        <v>2024010419609</v>
      </c>
      <c r="K83" s="45">
        <v>3</v>
      </c>
      <c r="L83" s="45"/>
      <c r="M83" s="43"/>
      <c r="N83" s="48">
        <v>3060251962</v>
      </c>
      <c r="O83" s="48"/>
      <c r="P83" s="48"/>
      <c r="Q83" s="148" t="s">
        <v>1067</v>
      </c>
      <c r="R83" s="34" t="s">
        <v>401</v>
      </c>
      <c r="S83" s="34" t="s">
        <v>394</v>
      </c>
      <c r="T83" s="34" t="s">
        <v>18</v>
      </c>
      <c r="U83" s="37"/>
      <c r="V83" s="44">
        <f>+_xlfn.XLOOKUP(PROYECTOS2[[#This Row],[MUNICIPIO]],'4.CAP_ENDMNT'!B:B,'4.CAP_ENDMNT'!C:C,0,0,1)</f>
        <v>6</v>
      </c>
      <c r="W83" s="139">
        <f>+_xlfn.XLOOKUP(PROYECTOS2[[#This Row],[MUNICIPIO]],'4.CAP_ENDMNT'!B:B,'4.CAP_ENDMNT'!D:D,0,0,1)</f>
        <v>18943215673.273502</v>
      </c>
      <c r="X83" s="140">
        <f>+_xlfn.XLOOKUP(PROYECTOS2[[#This Row],[MUNICIPIO]],'4.CAP_ENDMNT'!B:B,'4.CAP_ENDMNT'!E:E,0,0,1)</f>
        <v>6022595389.6999998</v>
      </c>
      <c r="Y83" s="140">
        <f>+_xlfn.XLOOKUP(PROYECTOS2[[#This Row],[MUNICIPIO]],'4.CAP_ENDMNT'!B:B,'4.CAP_ENDMNT'!F:F,0,0,1)</f>
        <v>12920620283.573502</v>
      </c>
      <c r="Z83" s="140">
        <f>+_xlfn.XLOOKUP(PROYECTOS2[[#This Row],[MUNICIPIO]],'4.CAP_ENDMNT'!B:B,'4.CAP_ENDMNT'!G:G,0,0,1)</f>
        <v>4570267145</v>
      </c>
      <c r="AA83" s="140">
        <f>+_xlfn.XLOOKUP(PROYECTOS2[[#This Row],[MUNICIPIO]],'4.CAP_ENDMNT'!B:B,'4.CAP_ENDMNT'!H:H,0,0,1)</f>
        <v>0</v>
      </c>
      <c r="AB83" s="140">
        <f>+_xlfn.XLOOKUP(PROYECTOS2[[#This Row],[MUNICIPIO]],'4.CAP_ENDMNT'!B:B,'4.CAP_ENDMNT'!I:I,0,0,1)</f>
        <v>4570267145</v>
      </c>
      <c r="AC83" s="134">
        <f>+_xlfn.XLOOKUP(PROYECTOS2[[#This Row],[MUNICIPIO]],'4.CAP_ENDMNT'!B:B,'4.CAP_ENDMNT'!J:J,0,0,1)</f>
        <v>0.24126142170508424</v>
      </c>
      <c r="AD83" s="140">
        <f>+_xlfn.XLOOKUP(PROYECTOS2[[#This Row],[MUNICIPIO]],'4.CAP_ENDMNT'!B:B,'4.CAP_ENDMNT'!K:K,0,0,1)</f>
        <v>14372948528.273502</v>
      </c>
      <c r="AE83" s="140">
        <f>+_xlfn.XLOOKUP(PROYECTOS2[[#This Row],[MUNICIPIO]],'4.CAP_ENDMNT'!B:B,'4.CAP_ENDMNT'!L:L,0,0,1)</f>
        <v>11498358822.618803</v>
      </c>
      <c r="AF83" s="140">
        <f>+_xlfn.XLOOKUP(PROYECTOS2[[#This Row],[MUNICIPIO]],'4.CAP_ENDMNT'!B:B,'4.CAP_ENDMNT'!M:M,0,0,1)</f>
        <v>8623769116.9641018</v>
      </c>
      <c r="AG83" s="134">
        <f>+_xlfn.XLOOKUP(PROYECTOS2[[#This Row],[MUNICIPIO]],'4.CAP_ENDMNT'!B:B,'4.CAP_ENDMNT'!N:N,0,0,1)</f>
        <v>1</v>
      </c>
      <c r="AH83" s="134">
        <f>+_xlfn.XLOOKUP(PROYECTOS2[[#This Row],[MUNICIPIO]],'4.CAP_ENDMNT'!B:B,'4.CAP_ENDMNT'!O:O,0,0,1)</f>
        <v>0.63532752805182191</v>
      </c>
      <c r="AI83" s="134">
        <f>+_xlfn.XLOOKUP(PROYECTOS2[[#This Row],[MUNICIPIO]],'4.CAP_ENDMNT'!B:B,'4.CAP_ENDMNT'!P:P,0,0,1)</f>
        <v>0.8</v>
      </c>
      <c r="AJ83" s="44" t="str">
        <f>+_xlfn.XLOOKUP(PROYECTOS2[[#This Row],[MUNICIPIO]],'4.CAP_ENDMNT'!B:B,'4.CAP_ENDMNT'!Q:Q,0,0,1)</f>
        <v>Cumple</v>
      </c>
    </row>
    <row r="84" spans="1:36">
      <c r="A84" s="44">
        <v>92</v>
      </c>
      <c r="B84" s="37" t="s">
        <v>192</v>
      </c>
      <c r="C84" s="118">
        <f>+_xlfn.XLOOKUP(PROYECTOS2[[#This Row],[ID_NECESIDAD]],'1.RADICADOS'!G:G,'1.RADICADOS'!C:C,0,0,1)*1</f>
        <v>45548</v>
      </c>
      <c r="D84" s="46" t="s">
        <v>191</v>
      </c>
      <c r="E84" s="47" t="str">
        <f>+_xlfn.XLOOKUP(PROYECTOS2[[#This Row],[MUNICIPIO]],MUNICIPIOS!A:A,MUNICIPIOS!E:E,0,0,1)</f>
        <v>Bajo Cauca</v>
      </c>
      <c r="F84" s="44" t="e" cm="1">
        <f t="array" ref="F84">+_xlfn.XLOOKUP(PROYECTOS2[[#This Row],[MUNICIPIO]],Table1[Municipio],MUNICIPIOS!F:F,0,0,1)</f>
        <v>#VALUE!</v>
      </c>
      <c r="G84" s="44" t="str">
        <f>+LOOKUP(PROYECTOS2[[#This Row],[MUNICIPIO]],Table1[Municipio],Table1[Latitud])</f>
        <v>7,074703</v>
      </c>
      <c r="H84" s="44">
        <f>+LOOKUP(PROYECTOS2[[#This Row],[MUNICIPIO]],Table1[Municipio],Table1[PDET])</f>
        <v>1</v>
      </c>
      <c r="I84" s="44">
        <f>+LOOKUP(PROYECTOS2[[#This Row],[MUNICIPIO]],Table1[Municipio],Table1[ZOMAC])</f>
        <v>1</v>
      </c>
      <c r="J84" s="3" t="str" cm="1">
        <f t="array" ref="J84">_xlfn.TEXTJOIN(", ", TRUE, IF(radicados[ID PROYECTOS]=A84, radicados[RADICADO], ""))</f>
        <v>2024010430044</v>
      </c>
      <c r="K84" s="45">
        <v>3</v>
      </c>
      <c r="L84" s="45"/>
      <c r="M84" s="43" t="s">
        <v>179</v>
      </c>
      <c r="N84" s="48">
        <v>5048456575</v>
      </c>
      <c r="O84" s="48"/>
      <c r="P84" s="48"/>
      <c r="Q84" s="148" t="s">
        <v>1067</v>
      </c>
      <c r="R84" s="34" t="s">
        <v>288</v>
      </c>
      <c r="S84" s="34" t="s">
        <v>398</v>
      </c>
      <c r="T84" s="34" t="s">
        <v>25</v>
      </c>
      <c r="U84" s="37"/>
      <c r="V84" s="44">
        <f>+_xlfn.XLOOKUP(PROYECTOS2[[#This Row],[MUNICIPIO]],'4.CAP_ENDMNT'!B:B,'4.CAP_ENDMNT'!C:C,0,0,1)</f>
        <v>6</v>
      </c>
      <c r="W84" s="139">
        <f>+_xlfn.XLOOKUP(PROYECTOS2[[#This Row],[MUNICIPIO]],'4.CAP_ENDMNT'!B:B,'4.CAP_ENDMNT'!D:D,0,0,1)</f>
        <v>16341381522.362501</v>
      </c>
      <c r="X84" s="140">
        <f>+_xlfn.XLOOKUP(PROYECTOS2[[#This Row],[MUNICIPIO]],'4.CAP_ENDMNT'!B:B,'4.CAP_ENDMNT'!E:E,0,0,1)</f>
        <v>6183321664.5100002</v>
      </c>
      <c r="Y84" s="140">
        <f>+_xlfn.XLOOKUP(PROYECTOS2[[#This Row],[MUNICIPIO]],'4.CAP_ENDMNT'!B:B,'4.CAP_ENDMNT'!F:F,0,0,1)</f>
        <v>10158059857.852501</v>
      </c>
      <c r="Z84" s="140">
        <f>+_xlfn.XLOOKUP(PROYECTOS2[[#This Row],[MUNICIPIO]],'4.CAP_ENDMNT'!B:B,'4.CAP_ENDMNT'!G:G,0,0,1)</f>
        <v>3504148016</v>
      </c>
      <c r="AA84" s="140">
        <f>+_xlfn.XLOOKUP(PROYECTOS2[[#This Row],[MUNICIPIO]],'4.CAP_ENDMNT'!B:B,'4.CAP_ENDMNT'!H:H,0,0,1)</f>
        <v>5476192157</v>
      </c>
      <c r="AB84" s="140">
        <f>+_xlfn.XLOOKUP(PROYECTOS2[[#This Row],[MUNICIPIO]],'4.CAP_ENDMNT'!B:B,'4.CAP_ENDMNT'!I:I,0,0,1)</f>
        <v>8980340173</v>
      </c>
      <c r="AC84" s="134">
        <f>+_xlfn.XLOOKUP(PROYECTOS2[[#This Row],[MUNICIPIO]],'4.CAP_ENDMNT'!B:B,'4.CAP_ENDMNT'!J:J,0,0,1)</f>
        <v>0.54954595856603539</v>
      </c>
      <c r="AD84" s="140">
        <f>+_xlfn.XLOOKUP(PROYECTOS2[[#This Row],[MUNICIPIO]],'4.CAP_ENDMNT'!B:B,'4.CAP_ENDMNT'!K:K,0,0,1)</f>
        <v>7361041349.3625011</v>
      </c>
      <c r="AE84" s="140">
        <f>+_xlfn.XLOOKUP(PROYECTOS2[[#This Row],[MUNICIPIO]],'4.CAP_ENDMNT'!B:B,'4.CAP_ENDMNT'!L:L,0,0,1)</f>
        <v>5888833079.4900017</v>
      </c>
      <c r="AF84" s="140">
        <f>+_xlfn.XLOOKUP(PROYECTOS2[[#This Row],[MUNICIPIO]],'4.CAP_ENDMNT'!B:B,'4.CAP_ENDMNT'!M:M,0,0,1)</f>
        <v>4416624809.6175003</v>
      </c>
      <c r="AG84" s="134">
        <f>+_xlfn.XLOOKUP(PROYECTOS2[[#This Row],[MUNICIPIO]],'4.CAP_ENDMNT'!B:B,'4.CAP_ENDMNT'!N:N,0,0,1)</f>
        <v>0.39020214696715588</v>
      </c>
      <c r="AH84" s="134">
        <f>+_xlfn.XLOOKUP(PROYECTOS2[[#This Row],[MUNICIPIO]],'4.CAP_ENDMNT'!B:B,'4.CAP_ENDMNT'!O:O,0,0,1)</f>
        <v>0.6661172152696142</v>
      </c>
      <c r="AI84" s="134">
        <f>+_xlfn.XLOOKUP(PROYECTOS2[[#This Row],[MUNICIPIO]],'4.CAP_ENDMNT'!B:B,'4.CAP_ENDMNT'!P:P,0,0,1)</f>
        <v>0.8</v>
      </c>
      <c r="AJ84" s="44" t="str">
        <f>+_xlfn.XLOOKUP(PROYECTOS2[[#This Row],[MUNICIPIO]],'4.CAP_ENDMNT'!B:B,'4.CAP_ENDMNT'!Q:Q,0,0,1)</f>
        <v>Cumple</v>
      </c>
    </row>
    <row r="85" spans="1:36">
      <c r="A85" s="44">
        <v>93</v>
      </c>
      <c r="B85" s="37" t="s">
        <v>417</v>
      </c>
      <c r="C85" s="118">
        <f>+_xlfn.XLOOKUP(PROYECTOS2[[#This Row],[ID_NECESIDAD]],'1.RADICADOS'!G:G,'1.RADICADOS'!C:C,0,0,1)*1</f>
        <v>45554</v>
      </c>
      <c r="D85" s="46" t="s">
        <v>193</v>
      </c>
      <c r="E85" s="47" t="str">
        <f>+_xlfn.XLOOKUP(PROYECTOS2[[#This Row],[MUNICIPIO]],MUNICIPIOS!A:A,MUNICIPIOS!E:E,0,0,1)</f>
        <v>Urabá</v>
      </c>
      <c r="F85" s="44" t="e" cm="1">
        <f t="array" ref="F85">+_xlfn.XLOOKUP(PROYECTOS2[[#This Row],[MUNICIPIO]],Table1[Municipio],MUNICIPIOS!F:F,0,0,1)</f>
        <v>#VALUE!</v>
      </c>
      <c r="G85" s="44" t="str">
        <f>+LOOKUP(PROYECTOS2[[#This Row],[MUNICIPIO]],Table1[Municipio],Table1[Latitud])</f>
        <v>7,074703</v>
      </c>
      <c r="H85" s="44">
        <f>+LOOKUP(PROYECTOS2[[#This Row],[MUNICIPIO]],Table1[Municipio],Table1[PDET])</f>
        <v>1</v>
      </c>
      <c r="I85" s="44">
        <f>+LOOKUP(PROYECTOS2[[#This Row],[MUNICIPIO]],Table1[Municipio],Table1[ZOMAC])</f>
        <v>1</v>
      </c>
      <c r="J85" s="3" t="str" cm="1">
        <f t="array" ref="J85">_xlfn.TEXTJOIN(", ", TRUE, IF(radicados[ID PROYECTOS]=A85, radicados[RADICADO], ""))</f>
        <v>2024010442066</v>
      </c>
      <c r="K85" s="45">
        <v>3</v>
      </c>
      <c r="L85" s="45"/>
      <c r="M85" s="43"/>
      <c r="N85" s="48">
        <v>10681457198</v>
      </c>
      <c r="O85" s="48"/>
      <c r="P85" s="48"/>
      <c r="Q85" s="148" t="s">
        <v>1067</v>
      </c>
      <c r="R85" s="34" t="s">
        <v>401</v>
      </c>
      <c r="S85" s="34" t="s">
        <v>394</v>
      </c>
      <c r="T85" s="34" t="s">
        <v>18</v>
      </c>
      <c r="U85" s="37"/>
      <c r="V85" s="44">
        <f>+_xlfn.XLOOKUP(PROYECTOS2[[#This Row],[MUNICIPIO]],'4.CAP_ENDMNT'!B:B,'4.CAP_ENDMNT'!C:C,0,0,1)</f>
        <v>6</v>
      </c>
      <c r="W85" s="139">
        <f>+_xlfn.XLOOKUP(PROYECTOS2[[#This Row],[MUNICIPIO]],'4.CAP_ENDMNT'!B:B,'4.CAP_ENDMNT'!D:D,0,0,1)</f>
        <v>19782037469.424</v>
      </c>
      <c r="X85" s="140">
        <f>+_xlfn.XLOOKUP(PROYECTOS2[[#This Row],[MUNICIPIO]],'4.CAP_ENDMNT'!B:B,'4.CAP_ENDMNT'!E:E,0,0,1)</f>
        <v>6224691780.3400002</v>
      </c>
      <c r="Y85" s="140">
        <f>+_xlfn.XLOOKUP(PROYECTOS2[[#This Row],[MUNICIPIO]],'4.CAP_ENDMNT'!B:B,'4.CAP_ENDMNT'!F:F,0,0,1)</f>
        <v>13557345689.084</v>
      </c>
      <c r="Z85" s="140">
        <f>+_xlfn.XLOOKUP(PROYECTOS2[[#This Row],[MUNICIPIO]],'4.CAP_ENDMNT'!B:B,'4.CAP_ENDMNT'!G:G,0,0,1)</f>
        <v>5530076291</v>
      </c>
      <c r="AA85" s="140">
        <f>+_xlfn.XLOOKUP(PROYECTOS2[[#This Row],[MUNICIPIO]],'4.CAP_ENDMNT'!B:B,'4.CAP_ENDMNT'!H:H,0,0,1)</f>
        <v>135075758</v>
      </c>
      <c r="AB85" s="140">
        <f>+_xlfn.XLOOKUP(PROYECTOS2[[#This Row],[MUNICIPIO]],'4.CAP_ENDMNT'!B:B,'4.CAP_ENDMNT'!I:I,0,0,1)</f>
        <v>5665152049</v>
      </c>
      <c r="AC85" s="134">
        <f>+_xlfn.XLOOKUP(PROYECTOS2[[#This Row],[MUNICIPIO]],'4.CAP_ENDMNT'!B:B,'4.CAP_ENDMNT'!J:J,0,0,1)</f>
        <v>0.28637859258715448</v>
      </c>
      <c r="AD85" s="140">
        <f>+_xlfn.XLOOKUP(PROYECTOS2[[#This Row],[MUNICIPIO]],'4.CAP_ENDMNT'!B:B,'4.CAP_ENDMNT'!K:K,0,0,1)</f>
        <v>14116885420.424</v>
      </c>
      <c r="AE85" s="140">
        <f>+_xlfn.XLOOKUP(PROYECTOS2[[#This Row],[MUNICIPIO]],'4.CAP_ENDMNT'!B:B,'4.CAP_ENDMNT'!L:L,0,0,1)</f>
        <v>11293508336.339201</v>
      </c>
      <c r="AF85" s="140">
        <f>+_xlfn.XLOOKUP(PROYECTOS2[[#This Row],[MUNICIPIO]],'4.CAP_ENDMNT'!B:B,'4.CAP_ENDMNT'!M:M,0,0,1)</f>
        <v>8470131252.2543993</v>
      </c>
      <c r="AG85" s="134">
        <f>+_xlfn.XLOOKUP(PROYECTOS2[[#This Row],[MUNICIPIO]],'4.CAP_ENDMNT'!B:B,'4.CAP_ENDMNT'!N:N,0,0,1)</f>
        <v>0.97615672856938707</v>
      </c>
      <c r="AH85" s="134">
        <f>+_xlfn.XLOOKUP(PROYECTOS2[[#This Row],[MUNICIPIO]],'4.CAP_ENDMNT'!B:B,'4.CAP_ENDMNT'!O:O,0,0,1)</f>
        <v>0.63121490876418529</v>
      </c>
      <c r="AI85" s="134">
        <f>+_xlfn.XLOOKUP(PROYECTOS2[[#This Row],[MUNICIPIO]],'4.CAP_ENDMNT'!B:B,'4.CAP_ENDMNT'!P:P,0,0,1)</f>
        <v>0.8</v>
      </c>
      <c r="AJ85" s="44" t="str">
        <f>+_xlfn.XLOOKUP(PROYECTOS2[[#This Row],[MUNICIPIO]],'4.CAP_ENDMNT'!B:B,'4.CAP_ENDMNT'!Q:Q,0,0,1)</f>
        <v>Cumple</v>
      </c>
    </row>
    <row r="86" spans="1:36">
      <c r="A86" s="44">
        <v>94</v>
      </c>
      <c r="B86" s="37" t="s">
        <v>418</v>
      </c>
      <c r="C86" s="118">
        <f>+_xlfn.XLOOKUP(PROYECTOS2[[#This Row],[ID_NECESIDAD]],'1.RADICADOS'!G:G,'1.RADICADOS'!C:C,0,0,1)*1</f>
        <v>45562</v>
      </c>
      <c r="D86" s="46" t="s">
        <v>136</v>
      </c>
      <c r="E86" s="47" t="str">
        <f>+_xlfn.XLOOKUP(PROYECTOS2[[#This Row],[MUNICIPIO]],MUNICIPIOS!A:A,MUNICIPIOS!E:E,0,0,1)</f>
        <v>Norte</v>
      </c>
      <c r="F86" s="44" t="e" cm="1">
        <f t="array" ref="F86">+_xlfn.XLOOKUP(PROYECTOS2[[#This Row],[MUNICIPIO]],Table1[Municipio],MUNICIPIOS!F:F,0,0,1)</f>
        <v>#VALUE!</v>
      </c>
      <c r="G86" s="44" t="str">
        <f>+LOOKUP(PROYECTOS2[[#This Row],[MUNICIPIO]],Table1[Municipio],Table1[Latitud])</f>
        <v>7,074703</v>
      </c>
      <c r="H86" s="44">
        <f>+LOOKUP(PROYECTOS2[[#This Row],[MUNICIPIO]],Table1[Municipio],Table1[PDET])</f>
        <v>1</v>
      </c>
      <c r="I86" s="44">
        <f>+LOOKUP(PROYECTOS2[[#This Row],[MUNICIPIO]],Table1[Municipio],Table1[ZOMAC])</f>
        <v>1</v>
      </c>
      <c r="J86" s="3" t="str" cm="1">
        <f t="array" ref="J86">_xlfn.TEXTJOIN(", ", TRUE, IF(radicados[ID PROYECTOS]=A86, radicados[RADICADO], ""))</f>
        <v>2024010446070</v>
      </c>
      <c r="K86" s="45">
        <v>3</v>
      </c>
      <c r="L86" s="45"/>
      <c r="M86" s="43" t="s">
        <v>179</v>
      </c>
      <c r="N86" s="48">
        <v>2753990112</v>
      </c>
      <c r="O86" s="48"/>
      <c r="P86" s="48"/>
      <c r="Q86" s="148" t="s">
        <v>1067</v>
      </c>
      <c r="R86" s="34" t="s">
        <v>288</v>
      </c>
      <c r="S86" s="40" t="s">
        <v>398</v>
      </c>
      <c r="T86" s="34" t="s">
        <v>25</v>
      </c>
      <c r="U86" s="37"/>
      <c r="V86" s="44">
        <f>+_xlfn.XLOOKUP(PROYECTOS2[[#This Row],[MUNICIPIO]],'4.CAP_ENDMNT'!B:B,'4.CAP_ENDMNT'!C:C,0,0,1)</f>
        <v>6</v>
      </c>
      <c r="W86" s="139">
        <f>+_xlfn.XLOOKUP(PROYECTOS2[[#This Row],[MUNICIPIO]],'4.CAP_ENDMNT'!B:B,'4.CAP_ENDMNT'!D:D,0,0,1)</f>
        <v>15936675551.976999</v>
      </c>
      <c r="X86" s="140">
        <f>+_xlfn.XLOOKUP(PROYECTOS2[[#This Row],[MUNICIPIO]],'4.CAP_ENDMNT'!B:B,'4.CAP_ENDMNT'!E:E,0,0,1)</f>
        <v>6355203503.6700001</v>
      </c>
      <c r="Y86" s="140">
        <f>+_xlfn.XLOOKUP(PROYECTOS2[[#This Row],[MUNICIPIO]],'4.CAP_ENDMNT'!B:B,'4.CAP_ENDMNT'!F:F,0,0,1)</f>
        <v>9581472048.3069992</v>
      </c>
      <c r="Z86" s="140">
        <f>+_xlfn.XLOOKUP(PROYECTOS2[[#This Row],[MUNICIPIO]],'4.CAP_ENDMNT'!B:B,'4.CAP_ENDMNT'!G:G,0,0,1)</f>
        <v>166905356.59</v>
      </c>
      <c r="AA86" s="140">
        <f>+_xlfn.XLOOKUP(PROYECTOS2[[#This Row],[MUNICIPIO]],'4.CAP_ENDMNT'!B:B,'4.CAP_ENDMNT'!H:H,0,0,1)</f>
        <v>5064590198</v>
      </c>
      <c r="AB86" s="140">
        <f>+_xlfn.XLOOKUP(PROYECTOS2[[#This Row],[MUNICIPIO]],'4.CAP_ENDMNT'!B:B,'4.CAP_ENDMNT'!I:I,0,0,1)</f>
        <v>5231495554.5900002</v>
      </c>
      <c r="AC86" s="134">
        <f>+_xlfn.XLOOKUP(PROYECTOS2[[#This Row],[MUNICIPIO]],'4.CAP_ENDMNT'!B:B,'4.CAP_ENDMNT'!J:J,0,0,1)</f>
        <v>0.32826768277534613</v>
      </c>
      <c r="AD86" s="140">
        <f>+_xlfn.XLOOKUP(PROYECTOS2[[#This Row],[MUNICIPIO]],'4.CAP_ENDMNT'!B:B,'4.CAP_ENDMNT'!K:K,0,0,1)</f>
        <v>10705179997.386999</v>
      </c>
      <c r="AE86" s="140">
        <f>+_xlfn.XLOOKUP(PROYECTOS2[[#This Row],[MUNICIPIO]],'4.CAP_ENDMNT'!B:B,'4.CAP_ENDMNT'!L:L,0,0,1)</f>
        <v>8564143997.9095993</v>
      </c>
      <c r="AF86" s="140">
        <f>+_xlfn.XLOOKUP(PROYECTOS2[[#This Row],[MUNICIPIO]],'4.CAP_ENDMNT'!B:B,'4.CAP_ENDMNT'!M:M,0,0,1)</f>
        <v>6423107998.4321995</v>
      </c>
      <c r="AG86" s="134">
        <f>+_xlfn.XLOOKUP(PROYECTOS2[[#This Row],[MUNICIPIO]],'4.CAP_ENDMNT'!B:B,'4.CAP_ENDMNT'!N:N,0,0,1)</f>
        <v>3.1903946939907245E-2</v>
      </c>
      <c r="AH86" s="134">
        <f>+_xlfn.XLOOKUP(PROYECTOS2[[#This Row],[MUNICIPIO]],'4.CAP_ENDMNT'!B:B,'4.CAP_ENDMNT'!O:O,0,0,1)</f>
        <v>0.65192157878949775</v>
      </c>
      <c r="AI86" s="134">
        <f>+_xlfn.XLOOKUP(PROYECTOS2[[#This Row],[MUNICIPIO]],'4.CAP_ENDMNT'!B:B,'4.CAP_ENDMNT'!P:P,0,0,1)</f>
        <v>0.8</v>
      </c>
      <c r="AJ86" s="44" t="str">
        <f>+_xlfn.XLOOKUP(PROYECTOS2[[#This Row],[MUNICIPIO]],'4.CAP_ENDMNT'!B:B,'4.CAP_ENDMNT'!Q:Q,0,0,1)</f>
        <v>Cumple</v>
      </c>
    </row>
    <row r="87" spans="1:36">
      <c r="A87" s="44">
        <v>95</v>
      </c>
      <c r="B87" s="37" t="s">
        <v>198</v>
      </c>
      <c r="C87" s="118">
        <f>+_xlfn.XLOOKUP(PROYECTOS2[[#This Row],[ID_NECESIDAD]],'1.RADICADOS'!G:G,'1.RADICADOS'!C:C,0,0,1)*1</f>
        <v>45332</v>
      </c>
      <c r="D87" s="46" t="s">
        <v>196</v>
      </c>
      <c r="E87" s="47" t="str">
        <f>+_xlfn.XLOOKUP(PROYECTOS2[[#This Row],[MUNICIPIO]],MUNICIPIOS!A:A,MUNICIPIOS!E:E,0,0,1)</f>
        <v>Valle de Aburrá</v>
      </c>
      <c r="F87" s="44" t="e" cm="1">
        <f t="array" ref="F87">+_xlfn.XLOOKUP(PROYECTOS2[[#This Row],[MUNICIPIO]],Table1[Municipio],MUNICIPIOS!F:F,0,0,1)</f>
        <v>#VALUE!</v>
      </c>
      <c r="G87" s="44" t="str">
        <f>+LOOKUP(PROYECTOS2[[#This Row],[MUNICIPIO]],Table1[Municipio],Table1[Latitud])</f>
        <v>6,136871</v>
      </c>
      <c r="H87" s="44">
        <f>+LOOKUP(PROYECTOS2[[#This Row],[MUNICIPIO]],Table1[Municipio],Table1[PDET])</f>
        <v>0</v>
      </c>
      <c r="I87" s="44">
        <f>+LOOKUP(PROYECTOS2[[#This Row],[MUNICIPIO]],Table1[Municipio],Table1[ZOMAC])</f>
        <v>0</v>
      </c>
      <c r="J87" s="3" t="str" cm="1">
        <f t="array" ref="J87">_xlfn.TEXTJOIN(", ", TRUE, IF(radicados[ID PROYECTOS]=A87, radicados[RADICADO], ""))</f>
        <v>2024010427693</v>
      </c>
      <c r="K87" s="45">
        <v>3</v>
      </c>
      <c r="L87" s="45"/>
      <c r="M87" s="43"/>
      <c r="N87" s="48">
        <v>18011055743</v>
      </c>
      <c r="O87" s="48"/>
      <c r="P87" s="48"/>
      <c r="Q87" s="148" t="s">
        <v>1067</v>
      </c>
      <c r="R87" s="34" t="s">
        <v>396</v>
      </c>
      <c r="S87" s="34" t="s">
        <v>398</v>
      </c>
      <c r="T87" s="34" t="s">
        <v>25</v>
      </c>
      <c r="U87" s="37"/>
      <c r="V87" s="44">
        <f>+_xlfn.XLOOKUP(PROYECTOS2[[#This Row],[MUNICIPIO]],'4.CAP_ENDMNT'!B:B,'4.CAP_ENDMNT'!C:C,0,0,1)</f>
        <v>2</v>
      </c>
      <c r="W87" s="139">
        <f>+_xlfn.XLOOKUP(PROYECTOS2[[#This Row],[MUNICIPIO]],'4.CAP_ENDMNT'!B:B,'4.CAP_ENDMNT'!D:D,0,0,1)</f>
        <v>101079829717.10699</v>
      </c>
      <c r="X87" s="140">
        <f>+_xlfn.XLOOKUP(PROYECTOS2[[#This Row],[MUNICIPIO]],'4.CAP_ENDMNT'!B:B,'4.CAP_ENDMNT'!E:E,0,0,1)</f>
        <v>35923834396.690002</v>
      </c>
      <c r="Y87" s="140">
        <f>+_xlfn.XLOOKUP(PROYECTOS2[[#This Row],[MUNICIPIO]],'4.CAP_ENDMNT'!B:B,'4.CAP_ENDMNT'!F:F,0,0,1)</f>
        <v>65155995320.416992</v>
      </c>
      <c r="Z87" s="140">
        <f>+_xlfn.XLOOKUP(PROYECTOS2[[#This Row],[MUNICIPIO]],'4.CAP_ENDMNT'!B:B,'4.CAP_ENDMNT'!G:G,0,0,1)</f>
        <v>0</v>
      </c>
      <c r="AA87" s="140">
        <f>+_xlfn.XLOOKUP(PROYECTOS2[[#This Row],[MUNICIPIO]],'4.CAP_ENDMNT'!B:B,'4.CAP_ENDMNT'!H:H,0,0,1)</f>
        <v>33364035579</v>
      </c>
      <c r="AB87" s="140">
        <f>+_xlfn.XLOOKUP(PROYECTOS2[[#This Row],[MUNICIPIO]],'4.CAP_ENDMNT'!B:B,'4.CAP_ENDMNT'!I:I,0,0,1)</f>
        <v>33364035579</v>
      </c>
      <c r="AC87" s="134">
        <f>+_xlfn.XLOOKUP(PROYECTOS2[[#This Row],[MUNICIPIO]],'4.CAP_ENDMNT'!B:B,'4.CAP_ENDMNT'!J:J,0,0,1)</f>
        <v>0.33007609601615101</v>
      </c>
      <c r="AD87" s="140">
        <f>+_xlfn.XLOOKUP(PROYECTOS2[[#This Row],[MUNICIPIO]],'4.CAP_ENDMNT'!B:B,'4.CAP_ENDMNT'!K:K,0,0,1)</f>
        <v>67715794138.106995</v>
      </c>
      <c r="AE87" s="140">
        <f>+_xlfn.XLOOKUP(PROYECTOS2[[#This Row],[MUNICIPIO]],'4.CAP_ENDMNT'!B:B,'4.CAP_ENDMNT'!L:L,0,0,1)</f>
        <v>54172635310.485596</v>
      </c>
      <c r="AF87" s="140">
        <f>+_xlfn.XLOOKUP(PROYECTOS2[[#This Row],[MUNICIPIO]],'4.CAP_ENDMNT'!B:B,'4.CAP_ENDMNT'!M:M,0,0,1)</f>
        <v>40629476482.864197</v>
      </c>
      <c r="AG87" s="134">
        <f>+_xlfn.XLOOKUP(PROYECTOS2[[#This Row],[MUNICIPIO]],'4.CAP_ENDMNT'!B:B,'4.CAP_ENDMNT'!N:N,0,0,1)</f>
        <v>0</v>
      </c>
      <c r="AH87" s="134">
        <f>+_xlfn.XLOOKUP(PROYECTOS2[[#This Row],[MUNICIPIO]],'4.CAP_ENDMNT'!B:B,'4.CAP_ENDMNT'!O:O,0,0,1)</f>
        <v>0.39321465077323631</v>
      </c>
      <c r="AI87" s="134">
        <f>+_xlfn.XLOOKUP(PROYECTOS2[[#This Row],[MUNICIPIO]],'4.CAP_ENDMNT'!B:B,'4.CAP_ENDMNT'!P:P,0,0,1)</f>
        <v>0.7</v>
      </c>
      <c r="AJ87" s="44" t="str">
        <f>+_xlfn.XLOOKUP(PROYECTOS2[[#This Row],[MUNICIPIO]],'4.CAP_ENDMNT'!B:B,'4.CAP_ENDMNT'!Q:Q,0,0,1)</f>
        <v>Cumple</v>
      </c>
    </row>
    <row r="88" spans="1:36">
      <c r="A88" s="44">
        <v>96</v>
      </c>
      <c r="B88" s="37" t="s">
        <v>199</v>
      </c>
      <c r="C88" s="118">
        <f>+_xlfn.XLOOKUP(PROYECTOS2[[#This Row],[ID_NECESIDAD]],'1.RADICADOS'!G:G,'1.RADICADOS'!C:C,0,0,1)*1</f>
        <v>45554</v>
      </c>
      <c r="D88" s="46" t="s">
        <v>193</v>
      </c>
      <c r="E88" s="47" t="str">
        <f>+_xlfn.XLOOKUP(PROYECTOS2[[#This Row],[MUNICIPIO]],MUNICIPIOS!A:A,MUNICIPIOS!E:E,0,0,1)</f>
        <v>Urabá</v>
      </c>
      <c r="F88" s="44" t="e" cm="1">
        <f t="array" ref="F88">+_xlfn.XLOOKUP(PROYECTOS2[[#This Row],[MUNICIPIO]],Table1[Municipio],MUNICIPIOS!F:F,0,0,1)</f>
        <v>#VALUE!</v>
      </c>
      <c r="G88" s="44" t="str">
        <f>+LOOKUP(PROYECTOS2[[#This Row],[MUNICIPIO]],Table1[Municipio],Table1[Latitud])</f>
        <v>7,074703</v>
      </c>
      <c r="H88" s="44">
        <f>+LOOKUP(PROYECTOS2[[#This Row],[MUNICIPIO]],Table1[Municipio],Table1[PDET])</f>
        <v>1</v>
      </c>
      <c r="I88" s="44">
        <f>+LOOKUP(PROYECTOS2[[#This Row],[MUNICIPIO]],Table1[Municipio],Table1[ZOMAC])</f>
        <v>1</v>
      </c>
      <c r="J88" s="3" t="str" cm="1">
        <f t="array" ref="J88">_xlfn.TEXTJOIN(", ", TRUE, IF(radicados[ID PROYECTOS]=A88, radicados[RADICADO], ""))</f>
        <v>2024010423384</v>
      </c>
      <c r="K88" s="45">
        <v>3</v>
      </c>
      <c r="L88" s="45"/>
      <c r="M88" s="43"/>
      <c r="N88" s="48">
        <v>4441184458</v>
      </c>
      <c r="O88" s="48"/>
      <c r="P88" s="48"/>
      <c r="Q88" s="148" t="s">
        <v>1067</v>
      </c>
      <c r="R88" s="34" t="s">
        <v>288</v>
      </c>
      <c r="S88" s="34" t="s">
        <v>398</v>
      </c>
      <c r="T88" s="34" t="s">
        <v>25</v>
      </c>
      <c r="U88" s="37"/>
      <c r="V88" s="44">
        <f>+_xlfn.XLOOKUP(PROYECTOS2[[#This Row],[MUNICIPIO]],'4.CAP_ENDMNT'!B:B,'4.CAP_ENDMNT'!C:C,0,0,1)</f>
        <v>6</v>
      </c>
      <c r="W88" s="139">
        <f>+_xlfn.XLOOKUP(PROYECTOS2[[#This Row],[MUNICIPIO]],'4.CAP_ENDMNT'!B:B,'4.CAP_ENDMNT'!D:D,0,0,1)</f>
        <v>19782037469.424</v>
      </c>
      <c r="X88" s="140">
        <f>+_xlfn.XLOOKUP(PROYECTOS2[[#This Row],[MUNICIPIO]],'4.CAP_ENDMNT'!B:B,'4.CAP_ENDMNT'!E:E,0,0,1)</f>
        <v>6224691780.3400002</v>
      </c>
      <c r="Y88" s="140">
        <f>+_xlfn.XLOOKUP(PROYECTOS2[[#This Row],[MUNICIPIO]],'4.CAP_ENDMNT'!B:B,'4.CAP_ENDMNT'!F:F,0,0,1)</f>
        <v>13557345689.084</v>
      </c>
      <c r="Z88" s="140">
        <f>+_xlfn.XLOOKUP(PROYECTOS2[[#This Row],[MUNICIPIO]],'4.CAP_ENDMNT'!B:B,'4.CAP_ENDMNT'!G:G,0,0,1)</f>
        <v>5530076291</v>
      </c>
      <c r="AA88" s="140">
        <f>+_xlfn.XLOOKUP(PROYECTOS2[[#This Row],[MUNICIPIO]],'4.CAP_ENDMNT'!B:B,'4.CAP_ENDMNT'!H:H,0,0,1)</f>
        <v>135075758</v>
      </c>
      <c r="AB88" s="140">
        <f>+_xlfn.XLOOKUP(PROYECTOS2[[#This Row],[MUNICIPIO]],'4.CAP_ENDMNT'!B:B,'4.CAP_ENDMNT'!I:I,0,0,1)</f>
        <v>5665152049</v>
      </c>
      <c r="AC88" s="134">
        <f>+_xlfn.XLOOKUP(PROYECTOS2[[#This Row],[MUNICIPIO]],'4.CAP_ENDMNT'!B:B,'4.CAP_ENDMNT'!J:J,0,0,1)</f>
        <v>0.28637859258715448</v>
      </c>
      <c r="AD88" s="140">
        <f>+_xlfn.XLOOKUP(PROYECTOS2[[#This Row],[MUNICIPIO]],'4.CAP_ENDMNT'!B:B,'4.CAP_ENDMNT'!K:K,0,0,1)</f>
        <v>14116885420.424</v>
      </c>
      <c r="AE88" s="140">
        <f>+_xlfn.XLOOKUP(PROYECTOS2[[#This Row],[MUNICIPIO]],'4.CAP_ENDMNT'!B:B,'4.CAP_ENDMNT'!L:L,0,0,1)</f>
        <v>11293508336.339201</v>
      </c>
      <c r="AF88" s="140">
        <f>+_xlfn.XLOOKUP(PROYECTOS2[[#This Row],[MUNICIPIO]],'4.CAP_ENDMNT'!B:B,'4.CAP_ENDMNT'!M:M,0,0,1)</f>
        <v>8470131252.2543993</v>
      </c>
      <c r="AG88" s="134">
        <f>+_xlfn.XLOOKUP(PROYECTOS2[[#This Row],[MUNICIPIO]],'4.CAP_ENDMNT'!B:B,'4.CAP_ENDMNT'!N:N,0,0,1)</f>
        <v>0.97615672856938707</v>
      </c>
      <c r="AH88" s="134">
        <f>+_xlfn.XLOOKUP(PROYECTOS2[[#This Row],[MUNICIPIO]],'4.CAP_ENDMNT'!B:B,'4.CAP_ENDMNT'!O:O,0,0,1)</f>
        <v>0.63121490876418529</v>
      </c>
      <c r="AI88" s="134">
        <f>+_xlfn.XLOOKUP(PROYECTOS2[[#This Row],[MUNICIPIO]],'4.CAP_ENDMNT'!B:B,'4.CAP_ENDMNT'!P:P,0,0,1)</f>
        <v>0.8</v>
      </c>
      <c r="AJ88" s="44" t="str">
        <f>+_xlfn.XLOOKUP(PROYECTOS2[[#This Row],[MUNICIPIO]],'4.CAP_ENDMNT'!B:B,'4.CAP_ENDMNT'!Q:Q,0,0,1)</f>
        <v>Cumple</v>
      </c>
    </row>
    <row r="89" spans="1:36">
      <c r="A89" s="44">
        <v>97</v>
      </c>
      <c r="B89" s="37" t="s">
        <v>419</v>
      </c>
      <c r="C89" s="118">
        <f>+_xlfn.XLOOKUP(PROYECTOS2[[#This Row],[ID_NECESIDAD]],'1.RADICADOS'!G:G,'1.RADICADOS'!C:C,0,0,1)*1</f>
        <v>45552</v>
      </c>
      <c r="D89" s="46" t="s">
        <v>200</v>
      </c>
      <c r="E89" s="47" t="str">
        <f>+_xlfn.XLOOKUP(PROYECTOS2[[#This Row],[MUNICIPIO]],MUNICIPIOS!A:A,MUNICIPIOS!E:E,0,0,1)</f>
        <v>Bajo Cauca</v>
      </c>
      <c r="F89" s="44" t="e" cm="1">
        <f t="array" ref="F89">+_xlfn.XLOOKUP(PROYECTOS2[[#This Row],[MUNICIPIO]],Table1[Municipio],MUNICIPIOS!F:F,0,0,1)</f>
        <v>#VALUE!</v>
      </c>
      <c r="G89" s="44" t="str">
        <f>+LOOKUP(PROYECTOS2[[#This Row],[MUNICIPIO]],Table1[Municipio],Table1[Latitud])</f>
        <v>6,149903</v>
      </c>
      <c r="H89" s="44">
        <f>+LOOKUP(PROYECTOS2[[#This Row],[MUNICIPIO]],Table1[Municipio],Table1[PDET])</f>
        <v>0</v>
      </c>
      <c r="I89" s="44">
        <f>+LOOKUP(PROYECTOS2[[#This Row],[MUNICIPIO]],Table1[Municipio],Table1[ZOMAC])</f>
        <v>0</v>
      </c>
      <c r="J89" s="3" t="str" cm="1">
        <f t="array" ref="J89">_xlfn.TEXTJOIN(", ", TRUE, IF(radicados[ID PROYECTOS]=A89, radicados[RADICADO], ""))</f>
        <v>2024010421395</v>
      </c>
      <c r="K89" s="45">
        <v>3</v>
      </c>
      <c r="L89" s="45"/>
      <c r="M89" s="43" t="s">
        <v>179</v>
      </c>
      <c r="N89" s="48">
        <v>12658885829</v>
      </c>
      <c r="O89" s="48"/>
      <c r="P89" s="48"/>
      <c r="Q89" s="148" t="s">
        <v>1067</v>
      </c>
      <c r="R89" s="34" t="s">
        <v>288</v>
      </c>
      <c r="S89" s="34" t="s">
        <v>398</v>
      </c>
      <c r="T89" s="34" t="s">
        <v>25</v>
      </c>
      <c r="U89" s="37"/>
      <c r="V89" s="44">
        <f>+_xlfn.XLOOKUP(PROYECTOS2[[#This Row],[MUNICIPIO]],'4.CAP_ENDMNT'!B:B,'4.CAP_ENDMNT'!C:C,0,0,1)</f>
        <v>6</v>
      </c>
      <c r="W89" s="139">
        <f>+_xlfn.XLOOKUP(PROYECTOS2[[#This Row],[MUNICIPIO]],'4.CAP_ENDMNT'!B:B,'4.CAP_ENDMNT'!D:D,0,0,1)</f>
        <v>26491016162.216</v>
      </c>
      <c r="X89" s="140">
        <f>+_xlfn.XLOOKUP(PROYECTOS2[[#This Row],[MUNICIPIO]],'4.CAP_ENDMNT'!B:B,'4.CAP_ENDMNT'!E:E,0,0,1)</f>
        <v>7986352410.1199999</v>
      </c>
      <c r="Y89" s="140">
        <f>+_xlfn.XLOOKUP(PROYECTOS2[[#This Row],[MUNICIPIO]],'4.CAP_ENDMNT'!B:B,'4.CAP_ENDMNT'!F:F,0,0,1)</f>
        <v>18504663752.096001</v>
      </c>
      <c r="Z89" s="140">
        <f>+_xlfn.XLOOKUP(PROYECTOS2[[#This Row],[MUNICIPIO]],'4.CAP_ENDMNT'!B:B,'4.CAP_ENDMNT'!G:G,0,0,1)</f>
        <v>6804069561</v>
      </c>
      <c r="AA89" s="140">
        <f>+_xlfn.XLOOKUP(PROYECTOS2[[#This Row],[MUNICIPIO]],'4.CAP_ENDMNT'!B:B,'4.CAP_ENDMNT'!H:H,0,0,1)</f>
        <v>0</v>
      </c>
      <c r="AB89" s="140">
        <f>+_xlfn.XLOOKUP(PROYECTOS2[[#This Row],[MUNICIPIO]],'4.CAP_ENDMNT'!B:B,'4.CAP_ENDMNT'!I:I,0,0,1)</f>
        <v>6804069561</v>
      </c>
      <c r="AC89" s="134">
        <f>+_xlfn.XLOOKUP(PROYECTOS2[[#This Row],[MUNICIPIO]],'4.CAP_ENDMNT'!B:B,'4.CAP_ENDMNT'!J:J,0,0,1)</f>
        <v>0.25684441545525194</v>
      </c>
      <c r="AD89" s="140">
        <f>+_xlfn.XLOOKUP(PROYECTOS2[[#This Row],[MUNICIPIO]],'4.CAP_ENDMNT'!B:B,'4.CAP_ENDMNT'!K:K,0,0,1)</f>
        <v>19686946601.216</v>
      </c>
      <c r="AE89" s="140">
        <f>+_xlfn.XLOOKUP(PROYECTOS2[[#This Row],[MUNICIPIO]],'4.CAP_ENDMNT'!B:B,'4.CAP_ENDMNT'!L:L,0,0,1)</f>
        <v>15749557280.972801</v>
      </c>
      <c r="AF89" s="140">
        <f>+_xlfn.XLOOKUP(PROYECTOS2[[#This Row],[MUNICIPIO]],'4.CAP_ENDMNT'!B:B,'4.CAP_ENDMNT'!M:M,0,0,1)</f>
        <v>11812167960.729599</v>
      </c>
      <c r="AG89" s="134">
        <f>+_xlfn.XLOOKUP(PROYECTOS2[[#This Row],[MUNICIPIO]],'4.CAP_ENDMNT'!B:B,'4.CAP_ENDMNT'!N:N,0,0,1)</f>
        <v>1</v>
      </c>
      <c r="AH89" s="134">
        <f>+_xlfn.XLOOKUP(PROYECTOS2[[#This Row],[MUNICIPIO]],'4.CAP_ENDMNT'!B:B,'4.CAP_ENDMNT'!O:O,0,0,1)</f>
        <v>0.54140540347070121</v>
      </c>
      <c r="AI89" s="134">
        <f>+_xlfn.XLOOKUP(PROYECTOS2[[#This Row],[MUNICIPIO]],'4.CAP_ENDMNT'!B:B,'4.CAP_ENDMNT'!P:P,0,0,1)</f>
        <v>0.8</v>
      </c>
      <c r="AJ89" s="44" t="str">
        <f>+_xlfn.XLOOKUP(PROYECTOS2[[#This Row],[MUNICIPIO]],'4.CAP_ENDMNT'!B:B,'4.CAP_ENDMNT'!Q:Q,0,0,1)</f>
        <v>Cumple</v>
      </c>
    </row>
    <row r="90" spans="1:36">
      <c r="A90" s="44">
        <v>98</v>
      </c>
      <c r="B90" s="37" t="s">
        <v>202</v>
      </c>
      <c r="C90" s="118">
        <f>+_xlfn.XLOOKUP(PROYECTOS2[[#This Row],[ID_NECESIDAD]],'1.RADICADOS'!G:G,'1.RADICADOS'!C:C,0,0,1)*1</f>
        <v>45551</v>
      </c>
      <c r="D90" s="46" t="s">
        <v>120</v>
      </c>
      <c r="E90" s="47" t="str">
        <f>+_xlfn.XLOOKUP(PROYECTOS2[[#This Row],[MUNICIPIO]],MUNICIPIOS!A:A,MUNICIPIOS!E:E,0,0,1)</f>
        <v>Norte</v>
      </c>
      <c r="F90" s="44" t="e" cm="1">
        <f t="array" ref="F90">+_xlfn.XLOOKUP(PROYECTOS2[[#This Row],[MUNICIPIO]],Table1[Municipio],MUNICIPIOS!F:F,0,0,1)</f>
        <v>#VALUE!</v>
      </c>
      <c r="G90" s="44" t="str">
        <f>+LOOKUP(PROYECTOS2[[#This Row],[MUNICIPIO]],Table1[Municipio],Table1[Latitud])</f>
        <v>6,149903</v>
      </c>
      <c r="H90" s="44">
        <f>+LOOKUP(PROYECTOS2[[#This Row],[MUNICIPIO]],Table1[Municipio],Table1[PDET])</f>
        <v>0</v>
      </c>
      <c r="I90" s="44">
        <f>+LOOKUP(PROYECTOS2[[#This Row],[MUNICIPIO]],Table1[Municipio],Table1[ZOMAC])</f>
        <v>0</v>
      </c>
      <c r="J90" s="3" t="str" cm="1">
        <f t="array" ref="J90">_xlfn.TEXTJOIN(", ", TRUE, IF(radicados[ID PROYECTOS]=A90, radicados[RADICADO], ""))</f>
        <v>2024010423359</v>
      </c>
      <c r="K90" s="45">
        <v>3</v>
      </c>
      <c r="L90" s="45"/>
      <c r="M90" s="43"/>
      <c r="N90" s="48">
        <v>2934846978</v>
      </c>
      <c r="O90" s="48"/>
      <c r="P90" s="48"/>
      <c r="Q90" s="148" t="s">
        <v>1067</v>
      </c>
      <c r="R90" s="34" t="s">
        <v>401</v>
      </c>
      <c r="S90" s="34" t="s">
        <v>394</v>
      </c>
      <c r="T90" s="34" t="s">
        <v>18</v>
      </c>
      <c r="U90" s="37"/>
      <c r="V90" s="44">
        <f>+_xlfn.XLOOKUP(PROYECTOS2[[#This Row],[MUNICIPIO]],'4.CAP_ENDMNT'!B:B,'4.CAP_ENDMNT'!C:C,0,0,1)</f>
        <v>5</v>
      </c>
      <c r="W90" s="139">
        <f>+_xlfn.XLOOKUP(PROYECTOS2[[#This Row],[MUNICIPIO]],'4.CAP_ENDMNT'!B:B,'4.CAP_ENDMNT'!D:D,0,0,1)</f>
        <v>36204719778.619003</v>
      </c>
      <c r="X90" s="140">
        <f>+_xlfn.XLOOKUP(PROYECTOS2[[#This Row],[MUNICIPIO]],'4.CAP_ENDMNT'!B:B,'4.CAP_ENDMNT'!E:E,0,0,1)</f>
        <v>11082623753.610001</v>
      </c>
      <c r="Y90" s="140">
        <f>+_xlfn.XLOOKUP(PROYECTOS2[[#This Row],[MUNICIPIO]],'4.CAP_ENDMNT'!B:B,'4.CAP_ENDMNT'!F:F,0,0,1)</f>
        <v>25122096025.009003</v>
      </c>
      <c r="Z90" s="140">
        <f>+_xlfn.XLOOKUP(PROYECTOS2[[#This Row],[MUNICIPIO]],'4.CAP_ENDMNT'!B:B,'4.CAP_ENDMNT'!G:G,0,0,1)</f>
        <v>1291156679</v>
      </c>
      <c r="AA90" s="140">
        <f>+_xlfn.XLOOKUP(PROYECTOS2[[#This Row],[MUNICIPIO]],'4.CAP_ENDMNT'!B:B,'4.CAP_ENDMNT'!H:H,0,0,1)</f>
        <v>12320355879.07</v>
      </c>
      <c r="AB90" s="140">
        <f>+_xlfn.XLOOKUP(PROYECTOS2[[#This Row],[MUNICIPIO]],'4.CAP_ENDMNT'!B:B,'4.CAP_ENDMNT'!I:I,0,0,1)</f>
        <v>13611512558.07</v>
      </c>
      <c r="AC90" s="134">
        <f>+_xlfn.XLOOKUP(PROYECTOS2[[#This Row],[MUNICIPIO]],'4.CAP_ENDMNT'!B:B,'4.CAP_ENDMNT'!J:J,0,0,1)</f>
        <v>0.37595961635113639</v>
      </c>
      <c r="AD90" s="140">
        <f>+_xlfn.XLOOKUP(PROYECTOS2[[#This Row],[MUNICIPIO]],'4.CAP_ENDMNT'!B:B,'4.CAP_ENDMNT'!K:K,0,0,1)</f>
        <v>22593207220.549004</v>
      </c>
      <c r="AE90" s="140">
        <f>+_xlfn.XLOOKUP(PROYECTOS2[[#This Row],[MUNICIPIO]],'4.CAP_ENDMNT'!B:B,'4.CAP_ENDMNT'!L:L,0,0,1)</f>
        <v>18074565776.439205</v>
      </c>
      <c r="AF90" s="140">
        <f>+_xlfn.XLOOKUP(PROYECTOS2[[#This Row],[MUNICIPIO]],'4.CAP_ENDMNT'!B:B,'4.CAP_ENDMNT'!M:M,0,0,1)</f>
        <v>13555924332.329401</v>
      </c>
      <c r="AG90" s="134">
        <f>+_xlfn.XLOOKUP(PROYECTOS2[[#This Row],[MUNICIPIO]],'4.CAP_ENDMNT'!B:B,'4.CAP_ENDMNT'!N:N,0,0,1)</f>
        <v>9.4857692963336279E-2</v>
      </c>
      <c r="AH90" s="134">
        <f>+_xlfn.XLOOKUP(PROYECTOS2[[#This Row],[MUNICIPIO]],'4.CAP_ENDMNT'!B:B,'4.CAP_ENDMNT'!O:O,0,0,1)</f>
        <v>0.39053077044629697</v>
      </c>
      <c r="AI90" s="134">
        <f>+_xlfn.XLOOKUP(PROYECTOS2[[#This Row],[MUNICIPIO]],'4.CAP_ENDMNT'!B:B,'4.CAP_ENDMNT'!P:P,0,0,1)</f>
        <v>0.8</v>
      </c>
      <c r="AJ90" s="44" t="str">
        <f>+_xlfn.XLOOKUP(PROYECTOS2[[#This Row],[MUNICIPIO]],'4.CAP_ENDMNT'!B:B,'4.CAP_ENDMNT'!Q:Q,0,0,1)</f>
        <v>Cumple</v>
      </c>
    </row>
    <row r="91" spans="1:36">
      <c r="A91" s="44">
        <v>99</v>
      </c>
      <c r="B91" s="37" t="s">
        <v>203</v>
      </c>
      <c r="C91" s="118">
        <f>+_xlfn.XLOOKUP(PROYECTOS2[[#This Row],[ID_NECESIDAD]],'1.RADICADOS'!G:G,'1.RADICADOS'!C:C,0,0,1)*1</f>
        <v>45552</v>
      </c>
      <c r="D91" s="46" t="s">
        <v>177</v>
      </c>
      <c r="E91" s="47" t="str">
        <f>+_xlfn.XLOOKUP(PROYECTOS2[[#This Row],[MUNICIPIO]],MUNICIPIOS!A:A,MUNICIPIOS!E:E,0,0,1)</f>
        <v>Oriente</v>
      </c>
      <c r="F91" s="44" t="e" cm="1">
        <f t="array" ref="F91">+_xlfn.XLOOKUP(PROYECTOS2[[#This Row],[MUNICIPIO]],Table1[Municipio],MUNICIPIOS!F:F,0,0,1)</f>
        <v>#VALUE!</v>
      </c>
      <c r="G91" s="44" t="str">
        <f>+LOOKUP(PROYECTOS2[[#This Row],[MUNICIPIO]],Table1[Municipio],Table1[Latitud])</f>
        <v>5,743808</v>
      </c>
      <c r="H91" s="44">
        <f>+LOOKUP(PROYECTOS2[[#This Row],[MUNICIPIO]],Table1[Municipio],Table1[PDET])</f>
        <v>0</v>
      </c>
      <c r="I91" s="44">
        <f>+LOOKUP(PROYECTOS2[[#This Row],[MUNICIPIO]],Table1[Municipio],Table1[ZOMAC])</f>
        <v>0</v>
      </c>
      <c r="J91" s="3" t="str" cm="1">
        <f t="array" ref="J91">_xlfn.TEXTJOIN(", ", TRUE, IF(radicados[ID PROYECTOS]=A91, radicados[RADICADO], ""))</f>
        <v>2024010426012</v>
      </c>
      <c r="K91" s="45">
        <v>3</v>
      </c>
      <c r="L91" s="45"/>
      <c r="M91" s="43"/>
      <c r="N91" s="48">
        <v>3418472753</v>
      </c>
      <c r="O91" s="48"/>
      <c r="P91" s="48"/>
      <c r="Q91" s="148" t="s">
        <v>1067</v>
      </c>
      <c r="R91" s="34" t="s">
        <v>402</v>
      </c>
      <c r="S91" s="40"/>
      <c r="T91" s="40" t="s">
        <v>29</v>
      </c>
      <c r="U91" s="37"/>
      <c r="V91" s="44">
        <f>+_xlfn.XLOOKUP(PROYECTOS2[[#This Row],[MUNICIPIO]],'4.CAP_ENDMNT'!B:B,'4.CAP_ENDMNT'!C:C,0,0,1)</f>
        <v>4</v>
      </c>
      <c r="W91" s="139">
        <f>+_xlfn.XLOOKUP(PROYECTOS2[[#This Row],[MUNICIPIO]],'4.CAP_ENDMNT'!B:B,'4.CAP_ENDMNT'!D:D,0,0,1)</f>
        <v>62016835956.019493</v>
      </c>
      <c r="X91" s="140">
        <f>+_xlfn.XLOOKUP(PROYECTOS2[[#This Row],[MUNICIPIO]],'4.CAP_ENDMNT'!B:B,'4.CAP_ENDMNT'!E:E,0,0,1)</f>
        <v>25368005936.310001</v>
      </c>
      <c r="Y91" s="140">
        <f>+_xlfn.XLOOKUP(PROYECTOS2[[#This Row],[MUNICIPIO]],'4.CAP_ENDMNT'!B:B,'4.CAP_ENDMNT'!F:F,0,0,1)</f>
        <v>36648830019.709488</v>
      </c>
      <c r="Z91" s="140">
        <f>+_xlfn.XLOOKUP(PROYECTOS2[[#This Row],[MUNICIPIO]],'4.CAP_ENDMNT'!B:B,'4.CAP_ENDMNT'!G:G,0,0,1)</f>
        <v>25635932166</v>
      </c>
      <c r="AA91" s="140">
        <f>+_xlfn.XLOOKUP(PROYECTOS2[[#This Row],[MUNICIPIO]],'4.CAP_ENDMNT'!B:B,'4.CAP_ENDMNT'!H:H,0,0,1)</f>
        <v>7522176280</v>
      </c>
      <c r="AB91" s="140">
        <f>+_xlfn.XLOOKUP(PROYECTOS2[[#This Row],[MUNICIPIO]],'4.CAP_ENDMNT'!B:B,'4.CAP_ENDMNT'!I:I,0,0,1)</f>
        <v>33158108446</v>
      </c>
      <c r="AC91" s="134">
        <f>+_xlfn.XLOOKUP(PROYECTOS2[[#This Row],[MUNICIPIO]],'4.CAP_ENDMNT'!B:B,'4.CAP_ENDMNT'!J:J,0,0,1)</f>
        <v>0.53466301424204787</v>
      </c>
      <c r="AD91" s="140">
        <f>+_xlfn.XLOOKUP(PROYECTOS2[[#This Row],[MUNICIPIO]],'4.CAP_ENDMNT'!B:B,'4.CAP_ENDMNT'!K:K,0,0,1)</f>
        <v>28858727510.019493</v>
      </c>
      <c r="AE91" s="140">
        <f>+_xlfn.XLOOKUP(PROYECTOS2[[#This Row],[MUNICIPIO]],'4.CAP_ENDMNT'!B:B,'4.CAP_ENDMNT'!L:L,0,0,1)</f>
        <v>23086982008.015594</v>
      </c>
      <c r="AF91" s="140">
        <f>+_xlfn.XLOOKUP(PROYECTOS2[[#This Row],[MUNICIPIO]],'4.CAP_ENDMNT'!B:B,'4.CAP_ENDMNT'!M:M,0,0,1)</f>
        <v>17315236506.011696</v>
      </c>
      <c r="AG91" s="134">
        <f>+_xlfn.XLOOKUP(PROYECTOS2[[#This Row],[MUNICIPIO]],'4.CAP_ENDMNT'!B:B,'4.CAP_ENDMNT'!N:N,0,0,1)</f>
        <v>0.77314217750839676</v>
      </c>
      <c r="AH91" s="134">
        <f>+_xlfn.XLOOKUP(PROYECTOS2[[#This Row],[MUNICIPIO]],'4.CAP_ENDMNT'!B:B,'4.CAP_ENDMNT'!O:O,0,0,1)</f>
        <v>0.52777286703387605</v>
      </c>
      <c r="AI91" s="134">
        <f>+_xlfn.XLOOKUP(PROYECTOS2[[#This Row],[MUNICIPIO]],'4.CAP_ENDMNT'!B:B,'4.CAP_ENDMNT'!P:P,0,0,1)</f>
        <v>0.8</v>
      </c>
      <c r="AJ91" s="44" t="str">
        <f>+_xlfn.XLOOKUP(PROYECTOS2[[#This Row],[MUNICIPIO]],'4.CAP_ENDMNT'!B:B,'4.CAP_ENDMNT'!Q:Q,0,0,1)</f>
        <v>Cumple</v>
      </c>
    </row>
    <row r="92" spans="1:36">
      <c r="A92" s="44">
        <v>100</v>
      </c>
      <c r="B92" s="37" t="s">
        <v>205</v>
      </c>
      <c r="C92" s="118">
        <f>+_xlfn.XLOOKUP(PROYECTOS2[[#This Row],[ID_NECESIDAD]],'1.RADICADOS'!G:G,'1.RADICADOS'!C:C,0,0,1)*1</f>
        <v>45560</v>
      </c>
      <c r="D92" s="46" t="s">
        <v>170</v>
      </c>
      <c r="E92" s="47" t="str">
        <f>+_xlfn.XLOOKUP(PROYECTOS2[[#This Row],[MUNICIPIO]],MUNICIPIOS!A:A,MUNICIPIOS!E:E,0,0,1)</f>
        <v>Bajo Cauca</v>
      </c>
      <c r="F92" s="44" t="e" cm="1">
        <f t="array" ref="F92">+_xlfn.XLOOKUP(PROYECTOS2[[#This Row],[MUNICIPIO]],Table1[Municipio],MUNICIPIOS!F:F,0,0,1)</f>
        <v>#VALUE!</v>
      </c>
      <c r="G92" s="44" t="str">
        <f>+LOOKUP(PROYECTOS2[[#This Row],[MUNICIPIO]],Table1[Municipio],Table1[Latitud])</f>
        <v>6,394348</v>
      </c>
      <c r="H92" s="44">
        <f>+LOOKUP(PROYECTOS2[[#This Row],[MUNICIPIO]],Table1[Municipio],Table1[PDET])</f>
        <v>0</v>
      </c>
      <c r="I92" s="44">
        <f>+LOOKUP(PROYECTOS2[[#This Row],[MUNICIPIO]],Table1[Municipio],Table1[ZOMAC])</f>
        <v>1</v>
      </c>
      <c r="J92" s="3" t="str" cm="1">
        <f t="array" ref="J92">_xlfn.TEXTJOIN(", ", TRUE, IF(radicados[ID PROYECTOS]=A92, radicados[RADICADO], ""))</f>
        <v>2024010445837</v>
      </c>
      <c r="K92" s="45">
        <v>3</v>
      </c>
      <c r="L92" s="45"/>
      <c r="M92" s="43"/>
      <c r="N92" s="48">
        <v>3277125031</v>
      </c>
      <c r="O92" s="48"/>
      <c r="P92" s="48"/>
      <c r="Q92" s="148" t="s">
        <v>1067</v>
      </c>
      <c r="R92" s="34" t="s">
        <v>392</v>
      </c>
      <c r="S92" s="40"/>
      <c r="T92" s="40" t="s">
        <v>7</v>
      </c>
      <c r="U92" s="37"/>
      <c r="V92" s="44">
        <f>+_xlfn.XLOOKUP(PROYECTOS2[[#This Row],[MUNICIPIO]],'4.CAP_ENDMNT'!B:B,'4.CAP_ENDMNT'!C:C,0,0,1)</f>
        <v>6</v>
      </c>
      <c r="W92" s="139">
        <f>+_xlfn.XLOOKUP(PROYECTOS2[[#This Row],[MUNICIPIO]],'4.CAP_ENDMNT'!B:B,'4.CAP_ENDMNT'!D:D,0,0,1)</f>
        <v>50634494381.026505</v>
      </c>
      <c r="X92" s="140">
        <f>+_xlfn.XLOOKUP(PROYECTOS2[[#This Row],[MUNICIPIO]],'4.CAP_ENDMNT'!B:B,'4.CAP_ENDMNT'!E:E,0,0,1)</f>
        <v>15839182742.690001</v>
      </c>
      <c r="Y92" s="140">
        <f>+_xlfn.XLOOKUP(PROYECTOS2[[#This Row],[MUNICIPIO]],'4.CAP_ENDMNT'!B:B,'4.CAP_ENDMNT'!F:F,0,0,1)</f>
        <v>34795311638.336502</v>
      </c>
      <c r="Z92" s="140">
        <f>+_xlfn.XLOOKUP(PROYECTOS2[[#This Row],[MUNICIPIO]],'4.CAP_ENDMNT'!B:B,'4.CAP_ENDMNT'!G:G,0,0,1)</f>
        <v>67652077</v>
      </c>
      <c r="AA92" s="140">
        <f>+_xlfn.XLOOKUP(PROYECTOS2[[#This Row],[MUNICIPIO]],'4.CAP_ENDMNT'!B:B,'4.CAP_ENDMNT'!H:H,0,0,1)</f>
        <v>17477834894.650002</v>
      </c>
      <c r="AB92" s="140">
        <f>+_xlfn.XLOOKUP(PROYECTOS2[[#This Row],[MUNICIPIO]],'4.CAP_ENDMNT'!B:B,'4.CAP_ENDMNT'!I:I,0,0,1)</f>
        <v>17545486971.650002</v>
      </c>
      <c r="AC92" s="134">
        <f>+_xlfn.XLOOKUP(PROYECTOS2[[#This Row],[MUNICIPIO]],'4.CAP_ENDMNT'!B:B,'4.CAP_ENDMNT'!J:J,0,0,1)</f>
        <v>0.34651253431345719</v>
      </c>
      <c r="AD92" s="140">
        <f>+_xlfn.XLOOKUP(PROYECTOS2[[#This Row],[MUNICIPIO]],'4.CAP_ENDMNT'!B:B,'4.CAP_ENDMNT'!K:K,0,0,1)</f>
        <v>33089007409.376503</v>
      </c>
      <c r="AE92" s="140">
        <f>+_xlfn.XLOOKUP(PROYECTOS2[[#This Row],[MUNICIPIO]],'4.CAP_ENDMNT'!B:B,'4.CAP_ENDMNT'!L:L,0,0,1)</f>
        <v>26471205927.501205</v>
      </c>
      <c r="AF92" s="140">
        <f>+_xlfn.XLOOKUP(PROYECTOS2[[#This Row],[MUNICIPIO]],'4.CAP_ENDMNT'!B:B,'4.CAP_ENDMNT'!M:M,0,0,1)</f>
        <v>19853404445.6259</v>
      </c>
      <c r="AG92" s="134">
        <f>+_xlfn.XLOOKUP(PROYECTOS2[[#This Row],[MUNICIPIO]],'4.CAP_ENDMNT'!B:B,'4.CAP_ENDMNT'!N:N,0,0,1)</f>
        <v>3.8558107340829141E-3</v>
      </c>
      <c r="AH92" s="134">
        <f>+_xlfn.XLOOKUP(PROYECTOS2[[#This Row],[MUNICIPIO]],'4.CAP_ENDMNT'!B:B,'4.CAP_ENDMNT'!O:O,0,0,1)</f>
        <v>0.40594992695874271</v>
      </c>
      <c r="AI92" s="134">
        <f>+_xlfn.XLOOKUP(PROYECTOS2[[#This Row],[MUNICIPIO]],'4.CAP_ENDMNT'!B:B,'4.CAP_ENDMNT'!P:P,0,0,1)</f>
        <v>0.8</v>
      </c>
      <c r="AJ92" s="44" t="str">
        <f>+_xlfn.XLOOKUP(PROYECTOS2[[#This Row],[MUNICIPIO]],'4.CAP_ENDMNT'!B:B,'4.CAP_ENDMNT'!Q:Q,0,0,1)</f>
        <v>Cumple</v>
      </c>
    </row>
    <row r="93" spans="1:36">
      <c r="A93" s="44">
        <v>101</v>
      </c>
      <c r="B93" s="37" t="s">
        <v>206</v>
      </c>
      <c r="C93" s="118">
        <f>+_xlfn.XLOOKUP(PROYECTOS2[[#This Row],[ID_NECESIDAD]],'1.RADICADOS'!G:G,'1.RADICADOS'!C:C,0,0,1)*1</f>
        <v>45520</v>
      </c>
      <c r="D93" s="46" t="s">
        <v>52</v>
      </c>
      <c r="E93" s="47" t="str">
        <f>+_xlfn.XLOOKUP(PROYECTOS2[[#This Row],[MUNICIPIO]],MUNICIPIOS!A:A,MUNICIPIOS!E:E,0,0,1)</f>
        <v>Suroeste</v>
      </c>
      <c r="F93" s="44" t="e" cm="1">
        <f t="array" ref="F93">+_xlfn.XLOOKUP(PROYECTOS2[[#This Row],[MUNICIPIO]],Table1[Municipio],MUNICIPIOS!F:F,0,0,1)</f>
        <v>#VALUE!</v>
      </c>
      <c r="G93" s="44" t="str">
        <f>+LOOKUP(PROYECTOS2[[#This Row],[MUNICIPIO]],Table1[Municipio],Table1[Latitud])</f>
        <v>6,149903</v>
      </c>
      <c r="H93" s="44">
        <f>+LOOKUP(PROYECTOS2[[#This Row],[MUNICIPIO]],Table1[Municipio],Table1[PDET])</f>
        <v>0</v>
      </c>
      <c r="I93" s="44">
        <f>+LOOKUP(PROYECTOS2[[#This Row],[MUNICIPIO]],Table1[Municipio],Table1[ZOMAC])</f>
        <v>0</v>
      </c>
      <c r="J93" s="3" t="str" cm="1">
        <f t="array" ref="J93">_xlfn.TEXTJOIN(", ", TRUE, IF(radicados[ID PROYECTOS]=A93, radicados[RADICADO], ""))</f>
        <v>2024010371189, 2024010432714</v>
      </c>
      <c r="K93" s="45">
        <v>3</v>
      </c>
      <c r="L93" s="45"/>
      <c r="M93" s="43"/>
      <c r="N93" s="48">
        <v>2882732416</v>
      </c>
      <c r="O93" s="48"/>
      <c r="P93" s="48"/>
      <c r="Q93" s="148" t="s">
        <v>1067</v>
      </c>
      <c r="R93" s="34" t="s">
        <v>392</v>
      </c>
      <c r="S93" s="40"/>
      <c r="T93" s="40" t="s">
        <v>7</v>
      </c>
      <c r="U93" s="37"/>
      <c r="V93" s="44">
        <f>+_xlfn.XLOOKUP(PROYECTOS2[[#This Row],[MUNICIPIO]],'4.CAP_ENDMNT'!B:B,'4.CAP_ENDMNT'!C:C,0,0,1)</f>
        <v>6</v>
      </c>
      <c r="W93" s="139">
        <f>+_xlfn.XLOOKUP(PROYECTOS2[[#This Row],[MUNICIPIO]],'4.CAP_ENDMNT'!B:B,'4.CAP_ENDMNT'!D:D,0,0,1)</f>
        <v>13939577899.640499</v>
      </c>
      <c r="X93" s="140">
        <f>+_xlfn.XLOOKUP(PROYECTOS2[[#This Row],[MUNICIPIO]],'4.CAP_ENDMNT'!B:B,'4.CAP_ENDMNT'!E:E,0,0,1)</f>
        <v>5408645166.3600006</v>
      </c>
      <c r="Y93" s="140">
        <f>+_xlfn.XLOOKUP(PROYECTOS2[[#This Row],[MUNICIPIO]],'4.CAP_ENDMNT'!B:B,'4.CAP_ENDMNT'!F:F,0,0,1)</f>
        <v>8530932733.2804985</v>
      </c>
      <c r="Z93" s="140">
        <f>+_xlfn.XLOOKUP(PROYECTOS2[[#This Row],[MUNICIPIO]],'4.CAP_ENDMNT'!B:B,'4.CAP_ENDMNT'!G:G,0,0,1)</f>
        <v>2408239973</v>
      </c>
      <c r="AA93" s="140">
        <f>+_xlfn.XLOOKUP(PROYECTOS2[[#This Row],[MUNICIPIO]],'4.CAP_ENDMNT'!B:B,'4.CAP_ENDMNT'!H:H,0,0,1)</f>
        <v>812109375</v>
      </c>
      <c r="AB93" s="140">
        <f>+_xlfn.XLOOKUP(PROYECTOS2[[#This Row],[MUNICIPIO]],'4.CAP_ENDMNT'!B:B,'4.CAP_ENDMNT'!I:I,0,0,1)</f>
        <v>3220349348</v>
      </c>
      <c r="AC93" s="134">
        <f>+_xlfn.XLOOKUP(PROYECTOS2[[#This Row],[MUNICIPIO]],'4.CAP_ENDMNT'!B:B,'4.CAP_ENDMNT'!J:J,0,0,1)</f>
        <v>0.23102201309001277</v>
      </c>
      <c r="AD93" s="140">
        <f>+_xlfn.XLOOKUP(PROYECTOS2[[#This Row],[MUNICIPIO]],'4.CAP_ENDMNT'!B:B,'4.CAP_ENDMNT'!K:K,0,0,1)</f>
        <v>10719228551.640499</v>
      </c>
      <c r="AE93" s="140">
        <f>+_xlfn.XLOOKUP(PROYECTOS2[[#This Row],[MUNICIPIO]],'4.CAP_ENDMNT'!B:B,'4.CAP_ENDMNT'!L:L,0,0,1)</f>
        <v>8575382841.3123999</v>
      </c>
      <c r="AF93" s="140">
        <f>+_xlfn.XLOOKUP(PROYECTOS2[[#This Row],[MUNICIPIO]],'4.CAP_ENDMNT'!B:B,'4.CAP_ENDMNT'!M:M,0,0,1)</f>
        <v>6431537130.9842997</v>
      </c>
      <c r="AG93" s="134">
        <f>+_xlfn.XLOOKUP(PROYECTOS2[[#This Row],[MUNICIPIO]],'4.CAP_ENDMNT'!B:B,'4.CAP_ENDMNT'!N:N,0,0,1)</f>
        <v>0.74781947942872684</v>
      </c>
      <c r="AH93" s="134">
        <f>+_xlfn.XLOOKUP(PROYECTOS2[[#This Row],[MUNICIPIO]],'4.CAP_ENDMNT'!B:B,'4.CAP_ENDMNT'!O:O,0,0,1)</f>
        <v>0.48148969869574604</v>
      </c>
      <c r="AI93" s="134">
        <f>+_xlfn.XLOOKUP(PROYECTOS2[[#This Row],[MUNICIPIO]],'4.CAP_ENDMNT'!B:B,'4.CAP_ENDMNT'!P:P,0,0,1)</f>
        <v>0.8</v>
      </c>
      <c r="AJ93" s="44" t="str">
        <f>+_xlfn.XLOOKUP(PROYECTOS2[[#This Row],[MUNICIPIO]],'4.CAP_ENDMNT'!B:B,'4.CAP_ENDMNT'!Q:Q,0,0,1)</f>
        <v>Cumple</v>
      </c>
    </row>
    <row r="94" spans="1:36">
      <c r="A94" s="44">
        <v>102</v>
      </c>
      <c r="B94" s="37" t="s">
        <v>207</v>
      </c>
      <c r="C94" s="118">
        <f>+_xlfn.XLOOKUP(PROYECTOS2[[#This Row],[ID_NECESIDAD]],'1.RADICADOS'!G:G,'1.RADICADOS'!C:C,0,0,1)*1</f>
        <v>45558</v>
      </c>
      <c r="D94" s="46" t="s">
        <v>113</v>
      </c>
      <c r="E94" s="47" t="str">
        <f>+_xlfn.XLOOKUP(PROYECTOS2[[#This Row],[MUNICIPIO]],MUNICIPIOS!A:A,MUNICIPIOS!E:E,0,0,1)</f>
        <v>Oriente</v>
      </c>
      <c r="F94" s="44" t="e" cm="1">
        <f t="array" ref="F94">+_xlfn.XLOOKUP(PROYECTOS2[[#This Row],[MUNICIPIO]],Table1[Municipio],MUNICIPIOS!F:F,0,0,1)</f>
        <v>#VALUE!</v>
      </c>
      <c r="G94" s="44" t="str">
        <f>+LOOKUP(PROYECTOS2[[#This Row],[MUNICIPIO]],Table1[Municipio],Table1[Latitud])</f>
        <v>6,149903</v>
      </c>
      <c r="H94" s="44">
        <f>+LOOKUP(PROYECTOS2[[#This Row],[MUNICIPIO]],Table1[Municipio],Table1[PDET])</f>
        <v>0</v>
      </c>
      <c r="I94" s="44">
        <f>+LOOKUP(PROYECTOS2[[#This Row],[MUNICIPIO]],Table1[Municipio],Table1[ZOMAC])</f>
        <v>0</v>
      </c>
      <c r="J94" s="3" t="str" cm="1">
        <f t="array" ref="J94">_xlfn.TEXTJOIN(", ", TRUE, IF(radicados[ID PROYECTOS]=A94, radicados[RADICADO], ""))</f>
        <v>2024010444377</v>
      </c>
      <c r="K94" s="45">
        <v>3</v>
      </c>
      <c r="L94" s="45">
        <v>1</v>
      </c>
      <c r="M94" s="43" t="s">
        <v>179</v>
      </c>
      <c r="N94" s="48">
        <v>6559849123</v>
      </c>
      <c r="O94" s="48"/>
      <c r="P94" s="48"/>
      <c r="Q94" s="148" t="s">
        <v>1067</v>
      </c>
      <c r="R94" s="34" t="s">
        <v>288</v>
      </c>
      <c r="S94" s="40" t="s">
        <v>398</v>
      </c>
      <c r="T94" s="40" t="s">
        <v>25</v>
      </c>
      <c r="U94" s="37"/>
      <c r="V94" s="44">
        <f>+_xlfn.XLOOKUP(PROYECTOS2[[#This Row],[MUNICIPIO]],'4.CAP_ENDMNT'!B:B,'4.CAP_ENDMNT'!C:C,0,0,1)</f>
        <v>6</v>
      </c>
      <c r="W94" s="139">
        <f>+_xlfn.XLOOKUP(PROYECTOS2[[#This Row],[MUNICIPIO]],'4.CAP_ENDMNT'!B:B,'4.CAP_ENDMNT'!D:D,0,0,1)</f>
        <v>7763487077.335</v>
      </c>
      <c r="X94" s="140">
        <f>+_xlfn.XLOOKUP(PROYECTOS2[[#This Row],[MUNICIPIO]],'4.CAP_ENDMNT'!B:B,'4.CAP_ENDMNT'!E:E,0,0,1)</f>
        <v>2329929022.3600001</v>
      </c>
      <c r="Y94" s="140">
        <f>+_xlfn.XLOOKUP(PROYECTOS2[[#This Row],[MUNICIPIO]],'4.CAP_ENDMNT'!B:B,'4.CAP_ENDMNT'!F:F,0,0,1)</f>
        <v>5433558054.9750004</v>
      </c>
      <c r="Z94" s="140">
        <f>+_xlfn.XLOOKUP(PROYECTOS2[[#This Row],[MUNICIPIO]],'4.CAP_ENDMNT'!B:B,'4.CAP_ENDMNT'!G:G,0,0,1)</f>
        <v>1217107364.4400001</v>
      </c>
      <c r="AA94" s="140">
        <f>+_xlfn.XLOOKUP(PROYECTOS2[[#This Row],[MUNICIPIO]],'4.CAP_ENDMNT'!B:B,'4.CAP_ENDMNT'!H:H,0,0,1)</f>
        <v>0</v>
      </c>
      <c r="AB94" s="140">
        <f>+_xlfn.XLOOKUP(PROYECTOS2[[#This Row],[MUNICIPIO]],'4.CAP_ENDMNT'!B:B,'4.CAP_ENDMNT'!I:I,0,0,1)</f>
        <v>1217107364.4400001</v>
      </c>
      <c r="AC94" s="134">
        <f>+_xlfn.XLOOKUP(PROYECTOS2[[#This Row],[MUNICIPIO]],'4.CAP_ENDMNT'!B:B,'4.CAP_ENDMNT'!J:J,0,0,1)</f>
        <v>0.15677328400446064</v>
      </c>
      <c r="AD94" s="140">
        <f>+_xlfn.XLOOKUP(PROYECTOS2[[#This Row],[MUNICIPIO]],'4.CAP_ENDMNT'!B:B,'4.CAP_ENDMNT'!K:K,0,0,1)</f>
        <v>6546379712.8950005</v>
      </c>
      <c r="AE94" s="140">
        <f>+_xlfn.XLOOKUP(PROYECTOS2[[#This Row],[MUNICIPIO]],'4.CAP_ENDMNT'!B:B,'4.CAP_ENDMNT'!L:L,0,0,1)</f>
        <v>5237103770.3160009</v>
      </c>
      <c r="AF94" s="140">
        <f>+_xlfn.XLOOKUP(PROYECTOS2[[#This Row],[MUNICIPIO]],'4.CAP_ENDMNT'!B:B,'4.CAP_ENDMNT'!M:M,0,0,1)</f>
        <v>3927827827.737</v>
      </c>
      <c r="AG94" s="134">
        <f>+_xlfn.XLOOKUP(PROYECTOS2[[#This Row],[MUNICIPIO]],'4.CAP_ENDMNT'!B:B,'4.CAP_ENDMNT'!N:N,0,0,1)</f>
        <v>1</v>
      </c>
      <c r="AH94" s="134">
        <f>+_xlfn.XLOOKUP(PROYECTOS2[[#This Row],[MUNICIPIO]],'4.CAP_ENDMNT'!B:B,'4.CAP_ENDMNT'!O:O,0,0,1)</f>
        <v>0.68141761997590633</v>
      </c>
      <c r="AI94" s="134">
        <f>+_xlfn.XLOOKUP(PROYECTOS2[[#This Row],[MUNICIPIO]],'4.CAP_ENDMNT'!B:B,'4.CAP_ENDMNT'!P:P,0,0,1)</f>
        <v>0.8</v>
      </c>
      <c r="AJ94" s="44" t="str">
        <f>+_xlfn.XLOOKUP(PROYECTOS2[[#This Row],[MUNICIPIO]],'4.CAP_ENDMNT'!B:B,'4.CAP_ENDMNT'!Q:Q,0,0,1)</f>
        <v>Cumple</v>
      </c>
    </row>
    <row r="95" spans="1:36">
      <c r="A95" s="44">
        <v>103</v>
      </c>
      <c r="B95" s="37" t="s">
        <v>210</v>
      </c>
      <c r="C95" s="118">
        <f>+_xlfn.XLOOKUP(PROYECTOS2[[#This Row],[ID_NECESIDAD]],'1.RADICADOS'!G:G,'1.RADICADOS'!C:C,0,0,1)*1</f>
        <v>45565</v>
      </c>
      <c r="D95" s="46" t="s">
        <v>209</v>
      </c>
      <c r="E95" s="47" t="str">
        <f>+_xlfn.XLOOKUP(PROYECTOS2[[#This Row],[MUNICIPIO]],MUNICIPIOS!A:A,MUNICIPIOS!E:E,0,0,1)</f>
        <v>Norte</v>
      </c>
      <c r="F95" s="44" t="e" cm="1">
        <f t="array" ref="F95">+_xlfn.XLOOKUP(PROYECTOS2[[#This Row],[MUNICIPIO]],Table1[Municipio],MUNICIPIOS!F:F,0,0,1)</f>
        <v>#VALUE!</v>
      </c>
      <c r="G95" s="44" t="str">
        <f>+LOOKUP(PROYECTOS2[[#This Row],[MUNICIPIO]],Table1[Municipio],Table1[Latitud])</f>
        <v>6,149903</v>
      </c>
      <c r="H95" s="44">
        <f>+LOOKUP(PROYECTOS2[[#This Row],[MUNICIPIO]],Table1[Municipio],Table1[PDET])</f>
        <v>0</v>
      </c>
      <c r="I95" s="44">
        <f>+LOOKUP(PROYECTOS2[[#This Row],[MUNICIPIO]],Table1[Municipio],Table1[ZOMAC])</f>
        <v>0</v>
      </c>
      <c r="J95" s="3" t="str" cm="1">
        <f t="array" ref="J95">_xlfn.TEXTJOIN(", ", TRUE, IF(radicados[ID PROYECTOS]=A95, radicados[RADICADO], ""))</f>
        <v>2024010445251</v>
      </c>
      <c r="K95" s="45">
        <v>3</v>
      </c>
      <c r="L95" s="45"/>
      <c r="M95" s="43"/>
      <c r="N95" s="48">
        <v>2715816249</v>
      </c>
      <c r="O95" s="48"/>
      <c r="P95" s="48"/>
      <c r="Q95" s="148" t="s">
        <v>1067</v>
      </c>
      <c r="R95" s="34" t="s">
        <v>288</v>
      </c>
      <c r="S95" s="34" t="s">
        <v>398</v>
      </c>
      <c r="T95" s="34" t="s">
        <v>25</v>
      </c>
      <c r="U95" s="37"/>
      <c r="V95" s="44">
        <f>+_xlfn.XLOOKUP(PROYECTOS2[[#This Row],[MUNICIPIO]],'4.CAP_ENDMNT'!B:B,'4.CAP_ENDMNT'!C:C,0,0,1)</f>
        <v>6</v>
      </c>
      <c r="W95" s="139">
        <f>+_xlfn.XLOOKUP(PROYECTOS2[[#This Row],[MUNICIPIO]],'4.CAP_ENDMNT'!B:B,'4.CAP_ENDMNT'!D:D,0,0,1)</f>
        <v>13037566833.207003</v>
      </c>
      <c r="X95" s="140">
        <f>+_xlfn.XLOOKUP(PROYECTOS2[[#This Row],[MUNICIPIO]],'4.CAP_ENDMNT'!B:B,'4.CAP_ENDMNT'!E:E,0,0,1)</f>
        <v>3869989518.3099999</v>
      </c>
      <c r="Y95" s="140">
        <f>+_xlfn.XLOOKUP(PROYECTOS2[[#This Row],[MUNICIPIO]],'4.CAP_ENDMNT'!B:B,'4.CAP_ENDMNT'!F:F,0,0,1)</f>
        <v>9167577314.8970032</v>
      </c>
      <c r="Z95" s="140">
        <f>+_xlfn.XLOOKUP(PROYECTOS2[[#This Row],[MUNICIPIO]],'4.CAP_ENDMNT'!B:B,'4.CAP_ENDMNT'!G:G,0,0,1)</f>
        <v>3761583922</v>
      </c>
      <c r="AA95" s="140">
        <f>+_xlfn.XLOOKUP(PROYECTOS2[[#This Row],[MUNICIPIO]],'4.CAP_ENDMNT'!B:B,'4.CAP_ENDMNT'!H:H,0,0,1)</f>
        <v>0</v>
      </c>
      <c r="AB95" s="140">
        <f>+_xlfn.XLOOKUP(PROYECTOS2[[#This Row],[MUNICIPIO]],'4.CAP_ENDMNT'!B:B,'4.CAP_ENDMNT'!I:I,0,0,1)</f>
        <v>3761583922</v>
      </c>
      <c r="AC95" s="134">
        <f>+_xlfn.XLOOKUP(PROYECTOS2[[#This Row],[MUNICIPIO]],'4.CAP_ENDMNT'!B:B,'4.CAP_ENDMNT'!J:J,0,0,1)</f>
        <v>0.28851886016178674</v>
      </c>
      <c r="AD95" s="140">
        <f>+_xlfn.XLOOKUP(PROYECTOS2[[#This Row],[MUNICIPIO]],'4.CAP_ENDMNT'!B:B,'4.CAP_ENDMNT'!K:K,0,0,1)</f>
        <v>9275982911.2070026</v>
      </c>
      <c r="AE95" s="140">
        <f>+_xlfn.XLOOKUP(PROYECTOS2[[#This Row],[MUNICIPIO]],'4.CAP_ENDMNT'!B:B,'4.CAP_ENDMNT'!L:L,0,0,1)</f>
        <v>7420786328.9656029</v>
      </c>
      <c r="AF95" s="140">
        <f>+_xlfn.XLOOKUP(PROYECTOS2[[#This Row],[MUNICIPIO]],'4.CAP_ENDMNT'!B:B,'4.CAP_ENDMNT'!M:M,0,0,1)</f>
        <v>5565589746.7242012</v>
      </c>
      <c r="AG95" s="134">
        <f>+_xlfn.XLOOKUP(PROYECTOS2[[#This Row],[MUNICIPIO]],'4.CAP_ENDMNT'!B:B,'4.CAP_ENDMNT'!N:N,0,0,1)</f>
        <v>1</v>
      </c>
      <c r="AH95" s="134">
        <f>+_xlfn.XLOOKUP(PROYECTOS2[[#This Row],[MUNICIPIO]],'4.CAP_ENDMNT'!B:B,'4.CAP_ENDMNT'!O:O,0,0,1)</f>
        <v>0.55776534569064784</v>
      </c>
      <c r="AI95" s="134">
        <f>+_xlfn.XLOOKUP(PROYECTOS2[[#This Row],[MUNICIPIO]],'4.CAP_ENDMNT'!B:B,'4.CAP_ENDMNT'!P:P,0,0,1)</f>
        <v>0.8</v>
      </c>
      <c r="AJ95" s="44" t="str">
        <f>+_xlfn.XLOOKUP(PROYECTOS2[[#This Row],[MUNICIPIO]],'4.CAP_ENDMNT'!B:B,'4.CAP_ENDMNT'!Q:Q,0,0,1)</f>
        <v>Cumple</v>
      </c>
    </row>
    <row r="96" spans="1:36">
      <c r="A96" s="44">
        <v>104</v>
      </c>
      <c r="B96" s="37" t="s">
        <v>212</v>
      </c>
      <c r="C96" s="118">
        <f>+_xlfn.XLOOKUP(PROYECTOS2[[#This Row],[ID_NECESIDAD]],'1.RADICADOS'!G:G,'1.RADICADOS'!C:C,0,0,1)*1</f>
        <v>45565</v>
      </c>
      <c r="D96" s="46" t="s">
        <v>211</v>
      </c>
      <c r="E96" s="47" t="str">
        <f>+_xlfn.XLOOKUP(PROYECTOS2[[#This Row],[MUNICIPIO]],MUNICIPIOS!A:A,MUNICIPIOS!E:E,0,0,1)</f>
        <v>Oriente</v>
      </c>
      <c r="F96" s="44" t="e" cm="1">
        <f t="array" ref="F96">+_xlfn.XLOOKUP(PROYECTOS2[[#This Row],[MUNICIPIO]],Table1[Municipio],MUNICIPIOS!F:F,0,0,1)</f>
        <v>#VALUE!</v>
      </c>
      <c r="G96" s="44" t="str">
        <f>+LOOKUP(PROYECTOS2[[#This Row],[MUNICIPIO]],Table1[Municipio],Table1[Latitud])</f>
        <v>6,082885</v>
      </c>
      <c r="H96" s="44">
        <f>+LOOKUP(PROYECTOS2[[#This Row],[MUNICIPIO]],Table1[Municipio],Table1[PDET])</f>
        <v>0</v>
      </c>
      <c r="I96" s="44">
        <f>+LOOKUP(PROYECTOS2[[#This Row],[MUNICIPIO]],Table1[Municipio],Table1[ZOMAC])</f>
        <v>0</v>
      </c>
      <c r="J96" s="3" t="str" cm="1">
        <f t="array" ref="J96">_xlfn.TEXTJOIN(", ", TRUE, IF(radicados[ID PROYECTOS]=A96, radicados[RADICADO], ""))</f>
        <v>2024010446606</v>
      </c>
      <c r="K96" s="45">
        <v>3</v>
      </c>
      <c r="L96" s="45"/>
      <c r="M96" s="43"/>
      <c r="N96" s="48">
        <v>2747763151</v>
      </c>
      <c r="O96" s="48"/>
      <c r="P96" s="48"/>
      <c r="Q96" s="148" t="s">
        <v>1067</v>
      </c>
      <c r="R96" s="34" t="s">
        <v>288</v>
      </c>
      <c r="S96" s="34" t="s">
        <v>398</v>
      </c>
      <c r="T96" s="34" t="s">
        <v>25</v>
      </c>
      <c r="U96" s="37"/>
      <c r="V96" s="44">
        <f>+_xlfn.XLOOKUP(PROYECTOS2[[#This Row],[MUNICIPIO]],'4.CAP_ENDMNT'!B:B,'4.CAP_ENDMNT'!C:C,0,0,1)</f>
        <v>3</v>
      </c>
      <c r="W96" s="139">
        <f>+_xlfn.XLOOKUP(PROYECTOS2[[#This Row],[MUNICIPIO]],'4.CAP_ENDMNT'!B:B,'4.CAP_ENDMNT'!D:D,0,0,1)</f>
        <v>70430942311.208496</v>
      </c>
      <c r="X96" s="140">
        <f>+_xlfn.XLOOKUP(PROYECTOS2[[#This Row],[MUNICIPIO]],'4.CAP_ENDMNT'!B:B,'4.CAP_ENDMNT'!E:E,0,0,1)</f>
        <v>29041990033.869999</v>
      </c>
      <c r="Y96" s="140">
        <f>+_xlfn.XLOOKUP(PROYECTOS2[[#This Row],[MUNICIPIO]],'4.CAP_ENDMNT'!B:B,'4.CAP_ENDMNT'!F:F,0,0,1)</f>
        <v>41388952277.338501</v>
      </c>
      <c r="Z96" s="140">
        <f>+_xlfn.XLOOKUP(PROYECTOS2[[#This Row],[MUNICIPIO]],'4.CAP_ENDMNT'!B:B,'4.CAP_ENDMNT'!G:G,0,0,1)</f>
        <v>14609948257</v>
      </c>
      <c r="AA96" s="140">
        <f>+_xlfn.XLOOKUP(PROYECTOS2[[#This Row],[MUNICIPIO]],'4.CAP_ENDMNT'!B:B,'4.CAP_ENDMNT'!H:H,0,0,1)</f>
        <v>2802411494.09375</v>
      </c>
      <c r="AB96" s="140">
        <f>+_xlfn.XLOOKUP(PROYECTOS2[[#This Row],[MUNICIPIO]],'4.CAP_ENDMNT'!B:B,'4.CAP_ENDMNT'!I:I,0,0,1)</f>
        <v>17412359751.09375</v>
      </c>
      <c r="AC96" s="134">
        <f>+_xlfn.XLOOKUP(PROYECTOS2[[#This Row],[MUNICIPIO]],'4.CAP_ENDMNT'!B:B,'4.CAP_ENDMNT'!J:J,0,0,1)</f>
        <v>0.24722599442379914</v>
      </c>
      <c r="AD96" s="140">
        <f>+_xlfn.XLOOKUP(PROYECTOS2[[#This Row],[MUNICIPIO]],'4.CAP_ENDMNT'!B:B,'4.CAP_ENDMNT'!K:K,0,0,1)</f>
        <v>53018582560.114746</v>
      </c>
      <c r="AE96" s="140">
        <f>+_xlfn.XLOOKUP(PROYECTOS2[[#This Row],[MUNICIPIO]],'4.CAP_ENDMNT'!B:B,'4.CAP_ENDMNT'!L:L,0,0,1)</f>
        <v>42414866048.091797</v>
      </c>
      <c r="AF96" s="140">
        <f>+_xlfn.XLOOKUP(PROYECTOS2[[#This Row],[MUNICIPIO]],'4.CAP_ENDMNT'!B:B,'4.CAP_ENDMNT'!M:M,0,0,1)</f>
        <v>31811149536.068848</v>
      </c>
      <c r="AG96" s="134">
        <f>+_xlfn.XLOOKUP(PROYECTOS2[[#This Row],[MUNICIPIO]],'4.CAP_ENDMNT'!B:B,'4.CAP_ENDMNT'!N:N,0,0,1)</f>
        <v>0.83905619145516919</v>
      </c>
      <c r="AH96" s="134">
        <f>+_xlfn.XLOOKUP(PROYECTOS2[[#This Row],[MUNICIPIO]],'4.CAP_ENDMNT'!B:B,'4.CAP_ENDMNT'!O:O,0,0,1)</f>
        <v>0.45782837875910809</v>
      </c>
      <c r="AI96" s="134">
        <f>+_xlfn.XLOOKUP(PROYECTOS2[[#This Row],[MUNICIPIO]],'4.CAP_ENDMNT'!B:B,'4.CAP_ENDMNT'!P:P,0,0,1)</f>
        <v>0.7</v>
      </c>
      <c r="AJ96" s="44" t="str">
        <f>+_xlfn.XLOOKUP(PROYECTOS2[[#This Row],[MUNICIPIO]],'4.CAP_ENDMNT'!B:B,'4.CAP_ENDMNT'!Q:Q,0,0,1)</f>
        <v>Cumple</v>
      </c>
    </row>
    <row r="97" spans="1:36">
      <c r="A97" s="44">
        <v>105</v>
      </c>
      <c r="B97" s="37" t="s">
        <v>213</v>
      </c>
      <c r="C97" s="118">
        <f>+_xlfn.XLOOKUP(PROYECTOS2[[#This Row],[ID_NECESIDAD]],'1.RADICADOS'!G:G,'1.RADICADOS'!C:C,0,0,1)*1</f>
        <v>45301</v>
      </c>
      <c r="D97" s="46" t="s">
        <v>191</v>
      </c>
      <c r="E97" s="47" t="str">
        <f>+_xlfn.XLOOKUP(PROYECTOS2[[#This Row],[MUNICIPIO]],MUNICIPIOS!A:A,MUNICIPIOS!E:E,0,0,1)</f>
        <v>Bajo Cauca</v>
      </c>
      <c r="F97" s="44" t="e" cm="1">
        <f t="array" ref="F97">+_xlfn.XLOOKUP(PROYECTOS2[[#This Row],[MUNICIPIO]],Table1[Municipio],MUNICIPIOS!F:F,0,0,1)</f>
        <v>#VALUE!</v>
      </c>
      <c r="G97" s="44" t="str">
        <f>+LOOKUP(PROYECTOS2[[#This Row],[MUNICIPIO]],Table1[Municipio],Table1[Latitud])</f>
        <v>7,074703</v>
      </c>
      <c r="H97" s="44">
        <f>+LOOKUP(PROYECTOS2[[#This Row],[MUNICIPIO]],Table1[Municipio],Table1[PDET])</f>
        <v>1</v>
      </c>
      <c r="I97" s="44">
        <f>+LOOKUP(PROYECTOS2[[#This Row],[MUNICIPIO]],Table1[Municipio],Table1[ZOMAC])</f>
        <v>1</v>
      </c>
      <c r="J97" s="3" t="str" cm="1">
        <f t="array" ref="J97">_xlfn.TEXTJOIN(", ", TRUE, IF(radicados[ID PROYECTOS]=A97, radicados[RADICADO], ""))</f>
        <v>2024010463584</v>
      </c>
      <c r="K97" s="45">
        <v>3</v>
      </c>
      <c r="L97" s="45"/>
      <c r="M97" s="43"/>
      <c r="N97" s="48">
        <v>3201509388.04</v>
      </c>
      <c r="O97" s="48"/>
      <c r="P97" s="48"/>
      <c r="Q97" s="148" t="s">
        <v>1067</v>
      </c>
      <c r="R97" s="34" t="s">
        <v>401</v>
      </c>
      <c r="S97" s="34" t="s">
        <v>394</v>
      </c>
      <c r="T97" s="34" t="s">
        <v>18</v>
      </c>
      <c r="U97" s="37"/>
      <c r="V97" s="44">
        <f>+_xlfn.XLOOKUP(PROYECTOS2[[#This Row],[MUNICIPIO]],'4.CAP_ENDMNT'!B:B,'4.CAP_ENDMNT'!C:C,0,0,1)</f>
        <v>6</v>
      </c>
      <c r="W97" s="139">
        <f>+_xlfn.XLOOKUP(PROYECTOS2[[#This Row],[MUNICIPIO]],'4.CAP_ENDMNT'!B:B,'4.CAP_ENDMNT'!D:D,0,0,1)</f>
        <v>16341381522.362501</v>
      </c>
      <c r="X97" s="140">
        <f>+_xlfn.XLOOKUP(PROYECTOS2[[#This Row],[MUNICIPIO]],'4.CAP_ENDMNT'!B:B,'4.CAP_ENDMNT'!E:E,0,0,1)</f>
        <v>6183321664.5100002</v>
      </c>
      <c r="Y97" s="140">
        <f>+_xlfn.XLOOKUP(PROYECTOS2[[#This Row],[MUNICIPIO]],'4.CAP_ENDMNT'!B:B,'4.CAP_ENDMNT'!F:F,0,0,1)</f>
        <v>10158059857.852501</v>
      </c>
      <c r="Z97" s="140">
        <f>+_xlfn.XLOOKUP(PROYECTOS2[[#This Row],[MUNICIPIO]],'4.CAP_ENDMNT'!B:B,'4.CAP_ENDMNT'!G:G,0,0,1)</f>
        <v>3504148016</v>
      </c>
      <c r="AA97" s="140">
        <f>+_xlfn.XLOOKUP(PROYECTOS2[[#This Row],[MUNICIPIO]],'4.CAP_ENDMNT'!B:B,'4.CAP_ENDMNT'!H:H,0,0,1)</f>
        <v>5476192157</v>
      </c>
      <c r="AB97" s="140">
        <f>+_xlfn.XLOOKUP(PROYECTOS2[[#This Row],[MUNICIPIO]],'4.CAP_ENDMNT'!B:B,'4.CAP_ENDMNT'!I:I,0,0,1)</f>
        <v>8980340173</v>
      </c>
      <c r="AC97" s="134">
        <f>+_xlfn.XLOOKUP(PROYECTOS2[[#This Row],[MUNICIPIO]],'4.CAP_ENDMNT'!B:B,'4.CAP_ENDMNT'!J:J,0,0,1)</f>
        <v>0.54954595856603539</v>
      </c>
      <c r="AD97" s="140">
        <f>+_xlfn.XLOOKUP(PROYECTOS2[[#This Row],[MUNICIPIO]],'4.CAP_ENDMNT'!B:B,'4.CAP_ENDMNT'!K:K,0,0,1)</f>
        <v>7361041349.3625011</v>
      </c>
      <c r="AE97" s="140">
        <f>+_xlfn.XLOOKUP(PROYECTOS2[[#This Row],[MUNICIPIO]],'4.CAP_ENDMNT'!B:B,'4.CAP_ENDMNT'!L:L,0,0,1)</f>
        <v>5888833079.4900017</v>
      </c>
      <c r="AF97" s="140">
        <f>+_xlfn.XLOOKUP(PROYECTOS2[[#This Row],[MUNICIPIO]],'4.CAP_ENDMNT'!B:B,'4.CAP_ENDMNT'!M:M,0,0,1)</f>
        <v>4416624809.6175003</v>
      </c>
      <c r="AG97" s="134">
        <f>+_xlfn.XLOOKUP(PROYECTOS2[[#This Row],[MUNICIPIO]],'4.CAP_ENDMNT'!B:B,'4.CAP_ENDMNT'!N:N,0,0,1)</f>
        <v>0.39020214696715588</v>
      </c>
      <c r="AH97" s="134">
        <f>+_xlfn.XLOOKUP(PROYECTOS2[[#This Row],[MUNICIPIO]],'4.CAP_ENDMNT'!B:B,'4.CAP_ENDMNT'!O:O,0,0,1)</f>
        <v>0.6661172152696142</v>
      </c>
      <c r="AI97" s="134">
        <f>+_xlfn.XLOOKUP(PROYECTOS2[[#This Row],[MUNICIPIO]],'4.CAP_ENDMNT'!B:B,'4.CAP_ENDMNT'!P:P,0,0,1)</f>
        <v>0.8</v>
      </c>
      <c r="AJ97" s="44" t="str">
        <f>+_xlfn.XLOOKUP(PROYECTOS2[[#This Row],[MUNICIPIO]],'4.CAP_ENDMNT'!B:B,'4.CAP_ENDMNT'!Q:Q,0,0,1)</f>
        <v>Cumple</v>
      </c>
    </row>
    <row r="98" spans="1:36">
      <c r="A98" s="44">
        <v>106</v>
      </c>
      <c r="B98" s="37" t="s">
        <v>420</v>
      </c>
      <c r="C98" s="118">
        <f>+_xlfn.XLOOKUP(PROYECTOS2[[#This Row],[ID_NECESIDAD]],'1.RADICADOS'!G:G,'1.RADICADOS'!C:C,0,0,1)*1</f>
        <v>45606</v>
      </c>
      <c r="D98" s="46" t="s">
        <v>214</v>
      </c>
      <c r="E98" s="47" t="str">
        <f>+_xlfn.XLOOKUP(PROYECTOS2[[#This Row],[MUNICIPIO]],MUNICIPIOS!A:A,MUNICIPIOS!E:E,0,0,1)</f>
        <v>Occidente</v>
      </c>
      <c r="F98" s="44" t="e" cm="1">
        <f t="array" ref="F98">+_xlfn.XLOOKUP(PROYECTOS2[[#This Row],[MUNICIPIO]],Table1[Municipio],MUNICIPIOS!F:F,0,0,1)</f>
        <v>#VALUE!</v>
      </c>
      <c r="G98" s="44" t="str">
        <f>+LOOKUP(PROYECTOS2[[#This Row],[MUNICIPIO]],Table1[Municipio],Table1[Latitud])</f>
        <v>5,743808</v>
      </c>
      <c r="H98" s="44">
        <f>+LOOKUP(PROYECTOS2[[#This Row],[MUNICIPIO]],Table1[Municipio],Table1[PDET])</f>
        <v>0</v>
      </c>
      <c r="I98" s="44">
        <f>+LOOKUP(PROYECTOS2[[#This Row],[MUNICIPIO]],Table1[Municipio],Table1[ZOMAC])</f>
        <v>0</v>
      </c>
      <c r="J98" s="3" t="str" cm="1">
        <f t="array" ref="J98">_xlfn.TEXTJOIN(", ", TRUE, IF(radicados[ID PROYECTOS]=A98, radicados[RADICADO], ""))</f>
        <v>2024010464392</v>
      </c>
      <c r="K98" s="45">
        <v>2</v>
      </c>
      <c r="L98" s="45"/>
      <c r="M98" s="43"/>
      <c r="N98" s="48">
        <v>3000000000</v>
      </c>
      <c r="O98" s="48"/>
      <c r="P98" s="48"/>
      <c r="Q98" s="148" t="s">
        <v>1067</v>
      </c>
      <c r="R98" s="34" t="s">
        <v>401</v>
      </c>
      <c r="S98" s="34" t="s">
        <v>398</v>
      </c>
      <c r="T98" s="34" t="s">
        <v>25</v>
      </c>
      <c r="U98" s="37" t="s">
        <v>954</v>
      </c>
      <c r="V98" s="44">
        <f>+_xlfn.XLOOKUP(PROYECTOS2[[#This Row],[MUNICIPIO]],'4.CAP_ENDMNT'!B:B,'4.CAP_ENDMNT'!C:C,0,0,1)</f>
        <v>6</v>
      </c>
      <c r="W98" s="139">
        <f>+_xlfn.XLOOKUP(PROYECTOS2[[#This Row],[MUNICIPIO]],'4.CAP_ENDMNT'!B:B,'4.CAP_ENDMNT'!D:D,0,0,1)</f>
        <v>8030428413.9210014</v>
      </c>
      <c r="X98" s="140">
        <f>+_xlfn.XLOOKUP(PROYECTOS2[[#This Row],[MUNICIPIO]],'4.CAP_ENDMNT'!B:B,'4.CAP_ENDMNT'!E:E,0,0,1)</f>
        <v>3080588699.4500003</v>
      </c>
      <c r="Y98" s="140">
        <f>+_xlfn.XLOOKUP(PROYECTOS2[[#This Row],[MUNICIPIO]],'4.CAP_ENDMNT'!B:B,'4.CAP_ENDMNT'!F:F,0,0,1)</f>
        <v>4949839714.4710007</v>
      </c>
      <c r="Z98" s="140">
        <f>+_xlfn.XLOOKUP(PROYECTOS2[[#This Row],[MUNICIPIO]],'4.CAP_ENDMNT'!B:B,'4.CAP_ENDMNT'!G:G,0,0,1)</f>
        <v>1577607418.01</v>
      </c>
      <c r="AA98" s="140">
        <f>+_xlfn.XLOOKUP(PROYECTOS2[[#This Row],[MUNICIPIO]],'4.CAP_ENDMNT'!B:B,'4.CAP_ENDMNT'!H:H,0,0,1)</f>
        <v>1800000000</v>
      </c>
      <c r="AB98" s="140">
        <f>+_xlfn.XLOOKUP(PROYECTOS2[[#This Row],[MUNICIPIO]],'4.CAP_ENDMNT'!B:B,'4.CAP_ENDMNT'!I:I,0,0,1)</f>
        <v>3377607418.0100002</v>
      </c>
      <c r="AC98" s="134">
        <f>+_xlfn.XLOOKUP(PROYECTOS2[[#This Row],[MUNICIPIO]],'4.CAP_ENDMNT'!B:B,'4.CAP_ENDMNT'!J:J,0,0,1)</f>
        <v>0.42060114901900014</v>
      </c>
      <c r="AD98" s="140">
        <f>+_xlfn.XLOOKUP(PROYECTOS2[[#This Row],[MUNICIPIO]],'4.CAP_ENDMNT'!B:B,'4.CAP_ENDMNT'!K:K,0,0,1)</f>
        <v>4652820995.9110012</v>
      </c>
      <c r="AE98" s="140">
        <f>+_xlfn.XLOOKUP(PROYECTOS2[[#This Row],[MUNICIPIO]],'4.CAP_ENDMNT'!B:B,'4.CAP_ENDMNT'!L:L,0,0,1)</f>
        <v>3722256796.7288013</v>
      </c>
      <c r="AF98" s="140">
        <f>+_xlfn.XLOOKUP(PROYECTOS2[[#This Row],[MUNICIPIO]],'4.CAP_ENDMNT'!B:B,'4.CAP_ENDMNT'!M:M,0,0,1)</f>
        <v>2791692597.5466008</v>
      </c>
      <c r="AG98" s="134">
        <f>+_xlfn.XLOOKUP(PROYECTOS2[[#This Row],[MUNICIPIO]],'4.CAP_ENDMNT'!B:B,'4.CAP_ENDMNT'!N:N,0,0,1)</f>
        <v>0.46707838501239612</v>
      </c>
      <c r="AH98" s="134">
        <f>+_xlfn.XLOOKUP(PROYECTOS2[[#This Row],[MUNICIPIO]],'4.CAP_ENDMNT'!B:B,'4.CAP_ENDMNT'!O:O,0,0,1)</f>
        <v>0.73590701114566914</v>
      </c>
      <c r="AI98" s="134">
        <f>+_xlfn.XLOOKUP(PROYECTOS2[[#This Row],[MUNICIPIO]],'4.CAP_ENDMNT'!B:B,'4.CAP_ENDMNT'!P:P,0,0,1)</f>
        <v>0.8</v>
      </c>
      <c r="AJ98" s="44" t="str">
        <f>+_xlfn.XLOOKUP(PROYECTOS2[[#This Row],[MUNICIPIO]],'4.CAP_ENDMNT'!B:B,'4.CAP_ENDMNT'!Q:Q,0,0,1)</f>
        <v>Cumple</v>
      </c>
    </row>
    <row r="99" spans="1:36">
      <c r="A99" s="44">
        <v>107</v>
      </c>
      <c r="B99" s="37" t="s">
        <v>421</v>
      </c>
      <c r="C99" s="118">
        <f>+_xlfn.XLOOKUP(PROYECTOS2[[#This Row],[ID_NECESIDAD]],'1.RADICADOS'!G:G,'1.RADICADOS'!C:C,0,0,1)*1</f>
        <v>45545</v>
      </c>
      <c r="D99" s="46" t="s">
        <v>216</v>
      </c>
      <c r="E99" s="47" t="str">
        <f>+_xlfn.XLOOKUP(PROYECTOS2[[#This Row],[MUNICIPIO]],MUNICIPIOS!A:A,MUNICIPIOS!E:E,0,0,1)</f>
        <v>Suroeste</v>
      </c>
      <c r="F99" s="44" t="e" cm="1">
        <f t="array" ref="F99">+_xlfn.XLOOKUP(PROYECTOS2[[#This Row],[MUNICIPIO]],Table1[Municipio],MUNICIPIOS!F:F,0,0,1)</f>
        <v>#VALUE!</v>
      </c>
      <c r="G99" s="44" t="e">
        <f>+LOOKUP(PROYECTOS2[[#This Row],[MUNICIPIO]],Table1[Municipio],Table1[Latitud])</f>
        <v>#N/A</v>
      </c>
      <c r="H99" s="44" t="e">
        <f>+LOOKUP(PROYECTOS2[[#This Row],[MUNICIPIO]],Table1[Municipio],Table1[PDET])</f>
        <v>#N/A</v>
      </c>
      <c r="I99" s="44" t="e">
        <f>+LOOKUP(PROYECTOS2[[#This Row],[MUNICIPIO]],Table1[Municipio],Table1[ZOMAC])</f>
        <v>#N/A</v>
      </c>
      <c r="J99" s="3" t="str" cm="1">
        <f t="array" ref="J99">_xlfn.TEXTJOIN(", ", TRUE, IF(radicados[ID PROYECTOS]=A99, radicados[RADICADO], ""))</f>
        <v>2024010477292, 2024010477263</v>
      </c>
      <c r="K99" s="45">
        <v>3</v>
      </c>
      <c r="L99" s="45"/>
      <c r="M99" s="43"/>
      <c r="N99" s="48">
        <v>27306608479</v>
      </c>
      <c r="O99" s="48"/>
      <c r="P99" s="48"/>
      <c r="Q99" s="148" t="s">
        <v>1067</v>
      </c>
      <c r="R99" s="34" t="s">
        <v>401</v>
      </c>
      <c r="S99" s="34" t="s">
        <v>398</v>
      </c>
      <c r="T99" s="34" t="s">
        <v>25</v>
      </c>
      <c r="U99" s="37"/>
      <c r="V99" s="44">
        <f>+_xlfn.XLOOKUP(PROYECTOS2[[#This Row],[MUNICIPIO]],'4.CAP_ENDMNT'!B:B,'4.CAP_ENDMNT'!C:C,0,0,1)</f>
        <v>6</v>
      </c>
      <c r="W99" s="139">
        <f>+_xlfn.XLOOKUP(PROYECTOS2[[#This Row],[MUNICIPIO]],'4.CAP_ENDMNT'!B:B,'4.CAP_ENDMNT'!D:D,0,0,1)</f>
        <v>27843076411.630001</v>
      </c>
      <c r="X99" s="140">
        <f>+_xlfn.XLOOKUP(PROYECTOS2[[#This Row],[MUNICIPIO]],'4.CAP_ENDMNT'!B:B,'4.CAP_ENDMNT'!E:E,0,0,1)</f>
        <v>11739999040.630001</v>
      </c>
      <c r="Y99" s="140">
        <f>+_xlfn.XLOOKUP(PROYECTOS2[[#This Row],[MUNICIPIO]],'4.CAP_ENDMNT'!B:B,'4.CAP_ENDMNT'!F:F,0,0,1)</f>
        <v>16103077371</v>
      </c>
      <c r="Z99" s="140">
        <f>+_xlfn.XLOOKUP(PROYECTOS2[[#This Row],[MUNICIPIO]],'4.CAP_ENDMNT'!B:B,'4.CAP_ENDMNT'!G:G,0,0,1)</f>
        <v>13999483044</v>
      </c>
      <c r="AA99" s="140">
        <f>+_xlfn.XLOOKUP(PROYECTOS2[[#This Row],[MUNICIPIO]],'4.CAP_ENDMNT'!B:B,'4.CAP_ENDMNT'!H:H,0,0,1)</f>
        <v>1243354438.6800001</v>
      </c>
      <c r="AB99" s="140">
        <f>+_xlfn.XLOOKUP(PROYECTOS2[[#This Row],[MUNICIPIO]],'4.CAP_ENDMNT'!B:B,'4.CAP_ENDMNT'!I:I,0,0,1)</f>
        <v>15242837482.68</v>
      </c>
      <c r="AC99" s="134">
        <f>+_xlfn.XLOOKUP(PROYECTOS2[[#This Row],[MUNICIPIO]],'4.CAP_ENDMNT'!B:B,'4.CAP_ENDMNT'!J:J,0,0,1)</f>
        <v>0.54745521857322832</v>
      </c>
      <c r="AD99" s="140">
        <f>+_xlfn.XLOOKUP(PROYECTOS2[[#This Row],[MUNICIPIO]],'4.CAP_ENDMNT'!B:B,'4.CAP_ENDMNT'!K:K,0,0,1)</f>
        <v>12600238928.950001</v>
      </c>
      <c r="AE99" s="140">
        <f>+_xlfn.XLOOKUP(PROYECTOS2[[#This Row],[MUNICIPIO]],'4.CAP_ENDMNT'!B:B,'4.CAP_ENDMNT'!L:L,0,0,1)</f>
        <v>10080191143.160002</v>
      </c>
      <c r="AF99" s="140">
        <f>+_xlfn.XLOOKUP(PROYECTOS2[[#This Row],[MUNICIPIO]],'4.CAP_ENDMNT'!B:B,'4.CAP_ENDMNT'!M:M,0,0,1)</f>
        <v>7560143357.3699999</v>
      </c>
      <c r="AG99" s="134">
        <f>+_xlfn.XLOOKUP(PROYECTOS2[[#This Row],[MUNICIPIO]],'4.CAP_ENDMNT'!B:B,'4.CAP_ENDMNT'!N:N,0,0,1)</f>
        <v>0.91843025026719671</v>
      </c>
      <c r="AH99" s="134">
        <f>+_xlfn.XLOOKUP(PROYECTOS2[[#This Row],[MUNICIPIO]],'4.CAP_ENDMNT'!B:B,'4.CAP_ENDMNT'!O:O,0,0,1)</f>
        <v>0.46026317160648733</v>
      </c>
      <c r="AI99" s="134">
        <f>+_xlfn.XLOOKUP(PROYECTOS2[[#This Row],[MUNICIPIO]],'4.CAP_ENDMNT'!B:B,'4.CAP_ENDMNT'!P:P,0,0,1)</f>
        <v>0.8</v>
      </c>
      <c r="AJ99" s="44" t="str">
        <f>+_xlfn.XLOOKUP(PROYECTOS2[[#This Row],[MUNICIPIO]],'4.CAP_ENDMNT'!B:B,'4.CAP_ENDMNT'!Q:Q,0,0,1)</f>
        <v>Cumple</v>
      </c>
    </row>
    <row r="100" spans="1:36">
      <c r="A100" s="44">
        <v>108</v>
      </c>
      <c r="B100" s="37" t="s">
        <v>218</v>
      </c>
      <c r="C100" s="118">
        <f>+_xlfn.XLOOKUP(PROYECTOS2[[#This Row],[ID_NECESIDAD]],'1.RADICADOS'!G:G,'1.RADICADOS'!C:C,0,0,1)*1</f>
        <v>45575</v>
      </c>
      <c r="D100" s="46" t="s">
        <v>38</v>
      </c>
      <c r="E100" s="47" t="str">
        <f>+_xlfn.XLOOKUP(PROYECTOS2[[#This Row],[MUNICIPIO]],MUNICIPIOS!A:A,MUNICIPIOS!E:E,0,0,1)</f>
        <v>Urabá</v>
      </c>
      <c r="F100" s="44" t="e" cm="1">
        <f t="array" ref="F100">+_xlfn.XLOOKUP(PROYECTOS2[[#This Row],[MUNICIPIO]],Table1[Municipio],MUNICIPIOS!F:F,0,0,1)</f>
        <v>#VALUE!</v>
      </c>
      <c r="G100" s="44" t="str">
        <f>+LOOKUP(PROYECTOS2[[#This Row],[MUNICIPIO]],Table1[Municipio],Table1[Latitud])</f>
        <v>7,074703</v>
      </c>
      <c r="H100" s="44">
        <f>+LOOKUP(PROYECTOS2[[#This Row],[MUNICIPIO]],Table1[Municipio],Table1[PDET])</f>
        <v>1</v>
      </c>
      <c r="I100" s="44">
        <f>+LOOKUP(PROYECTOS2[[#This Row],[MUNICIPIO]],Table1[Municipio],Table1[ZOMAC])</f>
        <v>1</v>
      </c>
      <c r="J100" s="3" t="str" cm="1">
        <f t="array" ref="J100">_xlfn.TEXTJOIN(", ", TRUE, IF(radicados[ID PROYECTOS]=A100, radicados[RADICADO], ""))</f>
        <v>2024010464862</v>
      </c>
      <c r="K100" s="45">
        <v>3</v>
      </c>
      <c r="L100" s="45"/>
      <c r="M100" s="43"/>
      <c r="N100" s="48">
        <v>7789949678</v>
      </c>
      <c r="O100" s="48"/>
      <c r="P100" s="48"/>
      <c r="Q100" s="148" t="s">
        <v>1067</v>
      </c>
      <c r="R100" s="34" t="s">
        <v>401</v>
      </c>
      <c r="S100" s="34" t="s">
        <v>394</v>
      </c>
      <c r="T100" s="34" t="s">
        <v>18</v>
      </c>
      <c r="U100" s="37"/>
      <c r="V100" s="44">
        <f>+_xlfn.XLOOKUP(PROYECTOS2[[#This Row],[MUNICIPIO]],'4.CAP_ENDMNT'!B:B,'4.CAP_ENDMNT'!C:C,0,0,1)</f>
        <v>6</v>
      </c>
      <c r="W100" s="139">
        <f>+_xlfn.XLOOKUP(PROYECTOS2[[#This Row],[MUNICIPIO]],'4.CAP_ENDMNT'!B:B,'4.CAP_ENDMNT'!D:D,0,0,1)</f>
        <v>31551501799.776001</v>
      </c>
      <c r="X100" s="140">
        <f>+_xlfn.XLOOKUP(PROYECTOS2[[#This Row],[MUNICIPIO]],'4.CAP_ENDMNT'!B:B,'4.CAP_ENDMNT'!E:E,0,0,1)</f>
        <v>12896901947.809999</v>
      </c>
      <c r="Y100" s="140">
        <f>+_xlfn.XLOOKUP(PROYECTOS2[[#This Row],[MUNICIPIO]],'4.CAP_ENDMNT'!B:B,'4.CAP_ENDMNT'!F:F,0,0,1)</f>
        <v>18654599851.966003</v>
      </c>
      <c r="Z100" s="140">
        <f>+_xlfn.XLOOKUP(PROYECTOS2[[#This Row],[MUNICIPIO]],'4.CAP_ENDMNT'!B:B,'4.CAP_ENDMNT'!G:G,0,0,1)</f>
        <v>4320802475</v>
      </c>
      <c r="AA100" s="140">
        <f>+_xlfn.XLOOKUP(PROYECTOS2[[#This Row],[MUNICIPIO]],'4.CAP_ENDMNT'!B:B,'4.CAP_ENDMNT'!H:H,0,0,1)</f>
        <v>2118562934.45</v>
      </c>
      <c r="AB100" s="140">
        <f>+_xlfn.XLOOKUP(PROYECTOS2[[#This Row],[MUNICIPIO]],'4.CAP_ENDMNT'!B:B,'4.CAP_ENDMNT'!I:I,0,0,1)</f>
        <v>6439365409.4499998</v>
      </c>
      <c r="AC100" s="134">
        <f>+_xlfn.XLOOKUP(PROYECTOS2[[#This Row],[MUNICIPIO]],'4.CAP_ENDMNT'!B:B,'4.CAP_ENDMNT'!J:J,0,0,1)</f>
        <v>0.20409061509381832</v>
      </c>
      <c r="AD100" s="140">
        <f>+_xlfn.XLOOKUP(PROYECTOS2[[#This Row],[MUNICIPIO]],'4.CAP_ENDMNT'!B:B,'4.CAP_ENDMNT'!K:K,0,0,1)</f>
        <v>25112136390.326</v>
      </c>
      <c r="AE100" s="140">
        <f>+_xlfn.XLOOKUP(PROYECTOS2[[#This Row],[MUNICIPIO]],'4.CAP_ENDMNT'!B:B,'4.CAP_ENDMNT'!L:L,0,0,1)</f>
        <v>20089709112.260799</v>
      </c>
      <c r="AF100" s="140">
        <f>+_xlfn.XLOOKUP(PROYECTOS2[[#This Row],[MUNICIPIO]],'4.CAP_ENDMNT'!B:B,'4.CAP_ENDMNT'!M:M,0,0,1)</f>
        <v>15067281834.195601</v>
      </c>
      <c r="AG100" s="134">
        <f>+_xlfn.XLOOKUP(PROYECTOS2[[#This Row],[MUNICIPIO]],'4.CAP_ENDMNT'!B:B,'4.CAP_ENDMNT'!N:N,0,0,1)</f>
        <v>0.67099818076158058</v>
      </c>
      <c r="AH100" s="134">
        <f>+_xlfn.XLOOKUP(PROYECTOS2[[#This Row],[MUNICIPIO]],'4.CAP_ENDMNT'!B:B,'4.CAP_ENDMNT'!O:O,0,0,1)</f>
        <v>0.60103296352987046</v>
      </c>
      <c r="AI100" s="134">
        <f>+_xlfn.XLOOKUP(PROYECTOS2[[#This Row],[MUNICIPIO]],'4.CAP_ENDMNT'!B:B,'4.CAP_ENDMNT'!P:P,0,0,1)</f>
        <v>0.8</v>
      </c>
      <c r="AJ100" s="44" t="str">
        <f>+_xlfn.XLOOKUP(PROYECTOS2[[#This Row],[MUNICIPIO]],'4.CAP_ENDMNT'!B:B,'4.CAP_ENDMNT'!Q:Q,0,0,1)</f>
        <v>Cumple</v>
      </c>
    </row>
    <row r="101" spans="1:36">
      <c r="A101" s="44">
        <v>109</v>
      </c>
      <c r="B101" s="37" t="s">
        <v>219</v>
      </c>
      <c r="C101" s="118">
        <f>+_xlfn.XLOOKUP(PROYECTOS2[[#This Row],[ID_NECESIDAD]],'1.RADICADOS'!G:G,'1.RADICADOS'!C:C,0,0,1)*1</f>
        <v>45366</v>
      </c>
      <c r="D101" s="46" t="s">
        <v>23</v>
      </c>
      <c r="E101" s="47" t="str">
        <f>+_xlfn.XLOOKUP(PROYECTOS2[[#This Row],[MUNICIPIO]],MUNICIPIOS!A:A,MUNICIPIOS!E:E,0,0,1)</f>
        <v>Suroeste</v>
      </c>
      <c r="F101" s="44" t="e" cm="1">
        <f t="array" ref="F101">+_xlfn.XLOOKUP(PROYECTOS2[[#This Row],[MUNICIPIO]],Table1[Municipio],MUNICIPIOS!F:F,0,0,1)</f>
        <v>#VALUE!</v>
      </c>
      <c r="G101" s="44" t="str">
        <f>+LOOKUP(PROYECTOS2[[#This Row],[MUNICIPIO]],Table1[Municipio],Table1[Latitud])</f>
        <v>6,149903</v>
      </c>
      <c r="H101" s="44">
        <f>+LOOKUP(PROYECTOS2[[#This Row],[MUNICIPIO]],Table1[Municipio],Table1[PDET])</f>
        <v>0</v>
      </c>
      <c r="I101" s="44">
        <f>+LOOKUP(PROYECTOS2[[#This Row],[MUNICIPIO]],Table1[Municipio],Table1[ZOMAC])</f>
        <v>0</v>
      </c>
      <c r="J101" s="3" t="str" cm="1">
        <f t="array" ref="J101">_xlfn.TEXTJOIN(", ", TRUE, IF(radicados[ID PROYECTOS]=A101, radicados[RADICADO], ""))</f>
        <v>2024010118992, 2024010467655</v>
      </c>
      <c r="K101" s="45">
        <v>3</v>
      </c>
      <c r="L101" s="45"/>
      <c r="M101" s="43"/>
      <c r="N101" s="48">
        <v>4999509465</v>
      </c>
      <c r="O101" s="48"/>
      <c r="P101" s="48"/>
      <c r="Q101" s="148" t="s">
        <v>1067</v>
      </c>
      <c r="R101" s="34" t="s">
        <v>401</v>
      </c>
      <c r="S101" s="34" t="s">
        <v>394</v>
      </c>
      <c r="T101" s="34" t="s">
        <v>18</v>
      </c>
      <c r="U101" s="37"/>
      <c r="V101" s="44">
        <f>+_xlfn.XLOOKUP(PROYECTOS2[[#This Row],[MUNICIPIO]],'4.CAP_ENDMNT'!B:B,'4.CAP_ENDMNT'!C:C,0,0,1)</f>
        <v>6</v>
      </c>
      <c r="W101" s="139">
        <f>+_xlfn.XLOOKUP(PROYECTOS2[[#This Row],[MUNICIPIO]],'4.CAP_ENDMNT'!B:B,'4.CAP_ENDMNT'!D:D,0,0,1)</f>
        <v>16589184003.816</v>
      </c>
      <c r="X101" s="140">
        <f>+_xlfn.XLOOKUP(PROYECTOS2[[#This Row],[MUNICIPIO]],'4.CAP_ENDMNT'!B:B,'4.CAP_ENDMNT'!E:E,0,0,1)</f>
        <v>7984390195.2300005</v>
      </c>
      <c r="Y101" s="140">
        <f>+_xlfn.XLOOKUP(PROYECTOS2[[#This Row],[MUNICIPIO]],'4.CAP_ENDMNT'!B:B,'4.CAP_ENDMNT'!F:F,0,0,1)</f>
        <v>8604793808.5859985</v>
      </c>
      <c r="Z101" s="140">
        <f>+_xlfn.XLOOKUP(PROYECTOS2[[#This Row],[MUNICIPIO]],'4.CAP_ENDMNT'!B:B,'4.CAP_ENDMNT'!G:G,0,0,1)</f>
        <v>1709535383</v>
      </c>
      <c r="AA101" s="140">
        <f>+_xlfn.XLOOKUP(PROYECTOS2[[#This Row],[MUNICIPIO]],'4.CAP_ENDMNT'!B:B,'4.CAP_ENDMNT'!H:H,0,0,1)</f>
        <v>1454838487</v>
      </c>
      <c r="AB101" s="140">
        <f>+_xlfn.XLOOKUP(PROYECTOS2[[#This Row],[MUNICIPIO]],'4.CAP_ENDMNT'!B:B,'4.CAP_ENDMNT'!I:I,0,0,1)</f>
        <v>3164373870</v>
      </c>
      <c r="AC101" s="134">
        <f>+_xlfn.XLOOKUP(PROYECTOS2[[#This Row],[MUNICIPIO]],'4.CAP_ENDMNT'!B:B,'4.CAP_ENDMNT'!J:J,0,0,1)</f>
        <v>0.19074921763916181</v>
      </c>
      <c r="AD101" s="140">
        <f>+_xlfn.XLOOKUP(PROYECTOS2[[#This Row],[MUNICIPIO]],'4.CAP_ENDMNT'!B:B,'4.CAP_ENDMNT'!K:K,0,0,1)</f>
        <v>13424810133.816</v>
      </c>
      <c r="AE101" s="140">
        <f>+_xlfn.XLOOKUP(PROYECTOS2[[#This Row],[MUNICIPIO]],'4.CAP_ENDMNT'!B:B,'4.CAP_ENDMNT'!L:L,0,0,1)</f>
        <v>10739848107.052801</v>
      </c>
      <c r="AF101" s="140">
        <f>+_xlfn.XLOOKUP(PROYECTOS2[[#This Row],[MUNICIPIO]],'4.CAP_ENDMNT'!B:B,'4.CAP_ENDMNT'!M:M,0,0,1)</f>
        <v>8054886080.2895994</v>
      </c>
      <c r="AG101" s="134">
        <f>+_xlfn.XLOOKUP(PROYECTOS2[[#This Row],[MUNICIPIO]],'4.CAP_ENDMNT'!B:B,'4.CAP_ENDMNT'!N:N,0,0,1)</f>
        <v>0.5402444379936685</v>
      </c>
      <c r="AH101" s="134">
        <f>+_xlfn.XLOOKUP(PROYECTOS2[[#This Row],[MUNICIPIO]],'4.CAP_ENDMNT'!B:B,'4.CAP_ENDMNT'!O:O,0,0,1)</f>
        <v>0.52370394920362784</v>
      </c>
      <c r="AI101" s="134">
        <f>+_xlfn.XLOOKUP(PROYECTOS2[[#This Row],[MUNICIPIO]],'4.CAP_ENDMNT'!B:B,'4.CAP_ENDMNT'!P:P,0,0,1)</f>
        <v>0.8</v>
      </c>
      <c r="AJ101" s="44" t="str">
        <f>+_xlfn.XLOOKUP(PROYECTOS2[[#This Row],[MUNICIPIO]],'4.CAP_ENDMNT'!B:B,'4.CAP_ENDMNT'!Q:Q,0,0,1)</f>
        <v>Cumple</v>
      </c>
    </row>
    <row r="102" spans="1:36">
      <c r="A102" s="44">
        <v>111</v>
      </c>
      <c r="B102" s="37" t="s">
        <v>221</v>
      </c>
      <c r="C102" s="118">
        <f>+_xlfn.XLOOKUP(PROYECTOS2[[#This Row],[ID_NECESIDAD]],'1.RADICADOS'!G:G,'1.RADICADOS'!C:C,0,0,1)*1</f>
        <v>45596</v>
      </c>
      <c r="D102" s="46" t="s">
        <v>163</v>
      </c>
      <c r="E102" s="47" t="str">
        <f>+_xlfn.XLOOKUP(PROYECTOS2[[#This Row],[MUNICIPIO]],MUNICIPIOS!A:A,MUNICIPIOS!E:E,0,0,1)</f>
        <v>Oriente</v>
      </c>
      <c r="F102" s="44" t="e" cm="1">
        <f t="array" ref="F102">+_xlfn.XLOOKUP(PROYECTOS2[[#This Row],[MUNICIPIO]],Table1[Municipio],MUNICIPIOS!F:F,0,0,1)</f>
        <v>#VALUE!</v>
      </c>
      <c r="G102" s="44" t="str">
        <f>+LOOKUP(PROYECTOS2[[#This Row],[MUNICIPIO]],Table1[Municipio],Table1[Latitud])</f>
        <v>6,27787</v>
      </c>
      <c r="H102" s="44">
        <f>+LOOKUP(PROYECTOS2[[#This Row],[MUNICIPIO]],Table1[Municipio],Table1[PDET])</f>
        <v>0</v>
      </c>
      <c r="I102" s="44">
        <f>+LOOKUP(PROYECTOS2[[#This Row],[MUNICIPIO]],Table1[Municipio],Table1[ZOMAC])</f>
        <v>0</v>
      </c>
      <c r="J102" s="3" t="str" cm="1">
        <f t="array" ref="J102">_xlfn.TEXTJOIN(", ", TRUE, IF(radicados[ID PROYECTOS]=A102, radicados[RADICADO], ""))</f>
        <v>2024010499529</v>
      </c>
      <c r="K102" s="142">
        <v>3</v>
      </c>
      <c r="L102" s="45"/>
      <c r="M102" s="43"/>
      <c r="N102" s="48">
        <v>400000000</v>
      </c>
      <c r="O102" s="48"/>
      <c r="P102" s="48"/>
      <c r="Q102" s="148" t="s">
        <v>1067</v>
      </c>
      <c r="R102" s="34" t="s">
        <v>422</v>
      </c>
      <c r="S102" s="34" t="s">
        <v>397</v>
      </c>
      <c r="T102" s="34" t="s">
        <v>56</v>
      </c>
      <c r="U102" s="37" t="s">
        <v>975</v>
      </c>
      <c r="V102" s="44">
        <f>+_xlfn.XLOOKUP(PROYECTOS2[[#This Row],[MUNICIPIO]],'4.CAP_ENDMNT'!B:B,'4.CAP_ENDMNT'!C:C,0,0,1)</f>
        <v>2</v>
      </c>
      <c r="W102" s="139">
        <f>+_xlfn.XLOOKUP(PROYECTOS2[[#This Row],[MUNICIPIO]],'4.CAP_ENDMNT'!B:B,'4.CAP_ENDMNT'!D:D,0,0,1)</f>
        <v>94297942873.182495</v>
      </c>
      <c r="X102" s="140">
        <f>+_xlfn.XLOOKUP(PROYECTOS2[[#This Row],[MUNICIPIO]],'4.CAP_ENDMNT'!B:B,'4.CAP_ENDMNT'!E:E,0,0,1)</f>
        <v>31502477356.16</v>
      </c>
      <c r="Y102" s="140">
        <f>+_xlfn.XLOOKUP(PROYECTOS2[[#This Row],[MUNICIPIO]],'4.CAP_ENDMNT'!B:B,'4.CAP_ENDMNT'!F:F,0,0,1)</f>
        <v>62795465517.022491</v>
      </c>
      <c r="Z102" s="140">
        <f>+_xlfn.XLOOKUP(PROYECTOS2[[#This Row],[MUNICIPIO]],'4.CAP_ENDMNT'!B:B,'4.CAP_ENDMNT'!G:G,0,0,1)</f>
        <v>12269275368</v>
      </c>
      <c r="AA102" s="140">
        <f>+_xlfn.XLOOKUP(PROYECTOS2[[#This Row],[MUNICIPIO]],'4.CAP_ENDMNT'!B:B,'4.CAP_ENDMNT'!H:H,0,0,1)</f>
        <v>1587282296.6800001</v>
      </c>
      <c r="AB102" s="140">
        <f>+_xlfn.XLOOKUP(PROYECTOS2[[#This Row],[MUNICIPIO]],'4.CAP_ENDMNT'!B:B,'4.CAP_ENDMNT'!I:I,0,0,1)</f>
        <v>13856557664.68</v>
      </c>
      <c r="AC102" s="134">
        <f>+_xlfn.XLOOKUP(PROYECTOS2[[#This Row],[MUNICIPIO]],'4.CAP_ENDMNT'!B:B,'4.CAP_ENDMNT'!J:J,0,0,1)</f>
        <v>0.14694443211041333</v>
      </c>
      <c r="AD102" s="140">
        <f>+_xlfn.XLOOKUP(PROYECTOS2[[#This Row],[MUNICIPIO]],'4.CAP_ENDMNT'!B:B,'4.CAP_ENDMNT'!K:K,0,0,1)</f>
        <v>80441385208.502502</v>
      </c>
      <c r="AE102" s="140">
        <f>+_xlfn.XLOOKUP(PROYECTOS2[[#This Row],[MUNICIPIO]],'4.CAP_ENDMNT'!B:B,'4.CAP_ENDMNT'!L:L,0,0,1)</f>
        <v>64353108166.802002</v>
      </c>
      <c r="AF102" s="140">
        <f>+_xlfn.XLOOKUP(PROYECTOS2[[#This Row],[MUNICIPIO]],'4.CAP_ENDMNT'!B:B,'4.CAP_ENDMNT'!M:M,0,0,1)</f>
        <v>48264831125.101501</v>
      </c>
      <c r="AG102" s="134">
        <f>+_xlfn.XLOOKUP(PROYECTOS2[[#This Row],[MUNICIPIO]],'4.CAP_ENDMNT'!B:B,'4.CAP_ENDMNT'!N:N,0,0,1)</f>
        <v>0.88544901734678727</v>
      </c>
      <c r="AH102" s="134">
        <f>+_xlfn.XLOOKUP(PROYECTOS2[[#This Row],[MUNICIPIO]],'4.CAP_ENDMNT'!B:B,'4.CAP_ENDMNT'!O:O,0,0,1)</f>
        <v>0.32613717500698253</v>
      </c>
      <c r="AI102" s="134">
        <f>+_xlfn.XLOOKUP(PROYECTOS2[[#This Row],[MUNICIPIO]],'4.CAP_ENDMNT'!B:B,'4.CAP_ENDMNT'!P:P,0,0,1)</f>
        <v>0.7</v>
      </c>
      <c r="AJ102" s="44" t="str">
        <f>+_xlfn.XLOOKUP(PROYECTOS2[[#This Row],[MUNICIPIO]],'4.CAP_ENDMNT'!B:B,'4.CAP_ENDMNT'!Q:Q,0,0,1)</f>
        <v>Cumple</v>
      </c>
    </row>
    <row r="103" spans="1:36">
      <c r="A103" s="44">
        <v>112</v>
      </c>
      <c r="B103" s="37" t="s">
        <v>222</v>
      </c>
      <c r="C103" s="118">
        <f>+_xlfn.XLOOKUP(PROYECTOS2[[#This Row],[ID_NECESIDAD]],'1.RADICADOS'!G:G,'1.RADICADOS'!C:C,0,0,1)*1</f>
        <v>45590</v>
      </c>
      <c r="D103" s="46" t="s">
        <v>74</v>
      </c>
      <c r="E103" s="47" t="str">
        <f>+_xlfn.XLOOKUP(PROYECTOS2[[#This Row],[MUNICIPIO]],MUNICIPIOS!A:A,MUNICIPIOS!E:E,0,0,1)</f>
        <v>Urabá</v>
      </c>
      <c r="F103" s="44" t="e" cm="1">
        <f t="array" ref="F103">+_xlfn.XLOOKUP(PROYECTOS2[[#This Row],[MUNICIPIO]],Table1[Municipio],MUNICIPIOS!F:F,0,0,1)</f>
        <v>#VALUE!</v>
      </c>
      <c r="G103" s="44" t="str">
        <f>+LOOKUP(PROYECTOS2[[#This Row],[MUNICIPIO]],Table1[Municipio],Table1[Latitud])</f>
        <v>6,149903</v>
      </c>
      <c r="H103" s="44">
        <f>+LOOKUP(PROYECTOS2[[#This Row],[MUNICIPIO]],Table1[Municipio],Table1[PDET])</f>
        <v>0</v>
      </c>
      <c r="I103" s="44">
        <f>+LOOKUP(PROYECTOS2[[#This Row],[MUNICIPIO]],Table1[Municipio],Table1[ZOMAC])</f>
        <v>0</v>
      </c>
      <c r="J103" s="3" t="str" cm="1">
        <f t="array" ref="J103">_xlfn.TEXTJOIN(", ", TRUE, IF(radicados[ID PROYECTOS]=A103, radicados[RADICADO], ""))</f>
        <v>2024010490524</v>
      </c>
      <c r="K103" s="45">
        <v>3</v>
      </c>
      <c r="L103" s="45">
        <v>1</v>
      </c>
      <c r="M103" s="43" t="s">
        <v>179</v>
      </c>
      <c r="N103" s="48">
        <v>2775714198</v>
      </c>
      <c r="O103" s="48"/>
      <c r="P103" s="48"/>
      <c r="Q103" s="148" t="s">
        <v>1067</v>
      </c>
      <c r="R103" s="34" t="s">
        <v>396</v>
      </c>
      <c r="S103" s="34" t="s">
        <v>394</v>
      </c>
      <c r="T103" s="34" t="s">
        <v>18</v>
      </c>
      <c r="U103" s="37"/>
      <c r="V103" s="44">
        <f>+_xlfn.XLOOKUP(PROYECTOS2[[#This Row],[MUNICIPIO]],'4.CAP_ENDMNT'!B:B,'4.CAP_ENDMNT'!C:C,0,0,1)</f>
        <v>5</v>
      </c>
      <c r="W103" s="139">
        <f>+_xlfn.XLOOKUP(PROYECTOS2[[#This Row],[MUNICIPIO]],'4.CAP_ENDMNT'!B:B,'4.CAP_ENDMNT'!D:D,0,0,1)</f>
        <v>57277943756.629501</v>
      </c>
      <c r="X103" s="140">
        <f>+_xlfn.XLOOKUP(PROYECTOS2[[#This Row],[MUNICIPIO]],'4.CAP_ENDMNT'!B:B,'4.CAP_ENDMNT'!E:E,0,0,1)</f>
        <v>34159399600.959999</v>
      </c>
      <c r="Y103" s="140">
        <f>+_xlfn.XLOOKUP(PROYECTOS2[[#This Row],[MUNICIPIO]],'4.CAP_ENDMNT'!B:B,'4.CAP_ENDMNT'!F:F,0,0,1)</f>
        <v>23118544155.669502</v>
      </c>
      <c r="Z103" s="140">
        <f>+_xlfn.XLOOKUP(PROYECTOS2[[#This Row],[MUNICIPIO]],'4.CAP_ENDMNT'!B:B,'4.CAP_ENDMNT'!G:G,0,0,1)</f>
        <v>3450000000</v>
      </c>
      <c r="AA103" s="140">
        <f>+_xlfn.XLOOKUP(PROYECTOS2[[#This Row],[MUNICIPIO]],'4.CAP_ENDMNT'!B:B,'4.CAP_ENDMNT'!H:H,0,0,1)</f>
        <v>21452083665</v>
      </c>
      <c r="AB103" s="140">
        <f>+_xlfn.XLOOKUP(PROYECTOS2[[#This Row],[MUNICIPIO]],'4.CAP_ENDMNT'!B:B,'4.CAP_ENDMNT'!I:I,0,0,1)</f>
        <v>24902083665</v>
      </c>
      <c r="AC103" s="134">
        <f>+_xlfn.XLOOKUP(PROYECTOS2[[#This Row],[MUNICIPIO]],'4.CAP_ENDMNT'!B:B,'4.CAP_ENDMNT'!J:J,0,0,1)</f>
        <v>0.43475868775610099</v>
      </c>
      <c r="AD103" s="140">
        <f>+_xlfn.XLOOKUP(PROYECTOS2[[#This Row],[MUNICIPIO]],'4.CAP_ENDMNT'!B:B,'4.CAP_ENDMNT'!K:K,0,0,1)</f>
        <v>32375860091.629501</v>
      </c>
      <c r="AE103" s="140">
        <f>+_xlfn.XLOOKUP(PROYECTOS2[[#This Row],[MUNICIPIO]],'4.CAP_ENDMNT'!B:B,'4.CAP_ENDMNT'!L:L,0,0,1)</f>
        <v>25900688073.303604</v>
      </c>
      <c r="AF103" s="140">
        <f>+_xlfn.XLOOKUP(PROYECTOS2[[#This Row],[MUNICIPIO]],'4.CAP_ENDMNT'!B:B,'4.CAP_ENDMNT'!M:M,0,0,1)</f>
        <v>19425516054.977699</v>
      </c>
      <c r="AG103" s="134">
        <f>+_xlfn.XLOOKUP(PROYECTOS2[[#This Row],[MUNICIPIO]],'4.CAP_ENDMNT'!B:B,'4.CAP_ENDMNT'!N:N,0,0,1)</f>
        <v>0.13854262343712995</v>
      </c>
      <c r="AH103" s="134">
        <f>+_xlfn.XLOOKUP(PROYECTOS2[[#This Row],[MUNICIPIO]],'4.CAP_ENDMNT'!B:B,'4.CAP_ENDMNT'!O:O,0,0,1)</f>
        <v>0.87015152665365447</v>
      </c>
      <c r="AI103" s="134">
        <f>+_xlfn.XLOOKUP(PROYECTOS2[[#This Row],[MUNICIPIO]],'4.CAP_ENDMNT'!B:B,'4.CAP_ENDMNT'!P:P,0,0,1)</f>
        <v>0.8</v>
      </c>
      <c r="AJ103" s="44" t="str">
        <f>+_xlfn.XLOOKUP(PROYECTOS2[[#This Row],[MUNICIPIO]],'4.CAP_ENDMNT'!B:B,'4.CAP_ENDMNT'!Q:Q,0,0,1)</f>
        <v>Incumple</v>
      </c>
    </row>
    <row r="104" spans="1:36">
      <c r="A104" s="44">
        <v>113</v>
      </c>
      <c r="B104" s="37" t="s">
        <v>423</v>
      </c>
      <c r="C104" s="118">
        <f>+_xlfn.XLOOKUP(PROYECTOS2[[#This Row],[ID_NECESIDAD]],'1.RADICADOS'!G:G,'1.RADICADOS'!C:C,0,0,1)*1</f>
        <v>45302</v>
      </c>
      <c r="D104" s="46" t="s">
        <v>223</v>
      </c>
      <c r="E104" s="47" t="str">
        <f>+_xlfn.XLOOKUP(PROYECTOS2[[#This Row],[MUNICIPIO]],MUNICIPIOS!A:A,MUNICIPIOS!E:E,0,0,1)</f>
        <v>Suroeste</v>
      </c>
      <c r="F104" s="44" t="e" cm="1">
        <f t="array" ref="F104">+_xlfn.XLOOKUP(PROYECTOS2[[#This Row],[MUNICIPIO]],Table1[Municipio],MUNICIPIOS!F:F,0,0,1)</f>
        <v>#VALUE!</v>
      </c>
      <c r="G104" s="44" t="str">
        <f>+LOOKUP(PROYECTOS2[[#This Row],[MUNICIPIO]],Table1[Municipio],Table1[Latitud])</f>
        <v>6,537829</v>
      </c>
      <c r="H104" s="44">
        <f>+LOOKUP(PROYECTOS2[[#This Row],[MUNICIPIO]],Table1[Municipio],Table1[PDET])</f>
        <v>0</v>
      </c>
      <c r="I104" s="44">
        <f>+LOOKUP(PROYECTOS2[[#This Row],[MUNICIPIO]],Table1[Municipio],Table1[ZOMAC])</f>
        <v>0</v>
      </c>
      <c r="J104" s="3" t="str" cm="1">
        <f t="array" ref="J104">_xlfn.TEXTJOIN(", ", TRUE, IF(radicados[ID PROYECTOS]=A104, radicados[RADICADO], ""))</f>
        <v>2024010502109</v>
      </c>
      <c r="K104" s="45">
        <v>3</v>
      </c>
      <c r="L104" s="45"/>
      <c r="M104" s="43"/>
      <c r="N104" s="48">
        <v>39324539081.5</v>
      </c>
      <c r="O104" s="48"/>
      <c r="P104" s="48"/>
      <c r="Q104" s="148" t="s">
        <v>1067</v>
      </c>
      <c r="R104" s="34" t="s">
        <v>401</v>
      </c>
      <c r="S104" s="34" t="s">
        <v>398</v>
      </c>
      <c r="T104" s="34" t="s">
        <v>25</v>
      </c>
      <c r="U104" s="37"/>
      <c r="V104" s="44">
        <f>+_xlfn.XLOOKUP(PROYECTOS2[[#This Row],[MUNICIPIO]],'4.CAP_ENDMNT'!B:B,'4.CAP_ENDMNT'!C:C,0,0,1)</f>
        <v>6</v>
      </c>
      <c r="W104" s="139">
        <f>+_xlfn.XLOOKUP(PROYECTOS2[[#This Row],[MUNICIPIO]],'4.CAP_ENDMNT'!B:B,'4.CAP_ENDMNT'!D:D,0,0,1)</f>
        <v>18608617574.017002</v>
      </c>
      <c r="X104" s="140">
        <f>+_xlfn.XLOOKUP(PROYECTOS2[[#This Row],[MUNICIPIO]],'4.CAP_ENDMNT'!B:B,'4.CAP_ENDMNT'!E:E,0,0,1)</f>
        <v>7376218347.0799999</v>
      </c>
      <c r="Y104" s="140">
        <f>+_xlfn.XLOOKUP(PROYECTOS2[[#This Row],[MUNICIPIO]],'4.CAP_ENDMNT'!B:B,'4.CAP_ENDMNT'!F:F,0,0,1)</f>
        <v>11232399226.937002</v>
      </c>
      <c r="Z104" s="140">
        <f>+_xlfn.XLOOKUP(PROYECTOS2[[#This Row],[MUNICIPIO]],'4.CAP_ENDMNT'!B:B,'4.CAP_ENDMNT'!G:G,0,0,1)</f>
        <v>2665498102.3000002</v>
      </c>
      <c r="AA104" s="140">
        <f>+_xlfn.XLOOKUP(PROYECTOS2[[#This Row],[MUNICIPIO]],'4.CAP_ENDMNT'!B:B,'4.CAP_ENDMNT'!H:H,0,0,1)</f>
        <v>2057047588</v>
      </c>
      <c r="AB104" s="140">
        <f>+_xlfn.XLOOKUP(PROYECTOS2[[#This Row],[MUNICIPIO]],'4.CAP_ENDMNT'!B:B,'4.CAP_ENDMNT'!I:I,0,0,1)</f>
        <v>4722545690.3000002</v>
      </c>
      <c r="AC104" s="134">
        <f>+_xlfn.XLOOKUP(PROYECTOS2[[#This Row],[MUNICIPIO]],'4.CAP_ENDMNT'!B:B,'4.CAP_ENDMNT'!J:J,0,0,1)</f>
        <v>0.25378272574605631</v>
      </c>
      <c r="AD104" s="140">
        <f>+_xlfn.XLOOKUP(PROYECTOS2[[#This Row],[MUNICIPIO]],'4.CAP_ENDMNT'!B:B,'4.CAP_ENDMNT'!K:K,0,0,1)</f>
        <v>13886071883.717003</v>
      </c>
      <c r="AE104" s="140">
        <f>+_xlfn.XLOOKUP(PROYECTOS2[[#This Row],[MUNICIPIO]],'4.CAP_ENDMNT'!B:B,'4.CAP_ENDMNT'!L:L,0,0,1)</f>
        <v>11108857506.973602</v>
      </c>
      <c r="AF104" s="140">
        <f>+_xlfn.XLOOKUP(PROYECTOS2[[#This Row],[MUNICIPIO]],'4.CAP_ENDMNT'!B:B,'4.CAP_ENDMNT'!M:M,0,0,1)</f>
        <v>8331643130.2302017</v>
      </c>
      <c r="AG104" s="134">
        <f>+_xlfn.XLOOKUP(PROYECTOS2[[#This Row],[MUNICIPIO]],'4.CAP_ENDMNT'!B:B,'4.CAP_ENDMNT'!N:N,0,0,1)</f>
        <v>0.56441975940537148</v>
      </c>
      <c r="AH104" s="134">
        <f>+_xlfn.XLOOKUP(PROYECTOS2[[#This Row],[MUNICIPIO]],'4.CAP_ENDMNT'!B:B,'4.CAP_ENDMNT'!O:O,0,0,1)</f>
        <v>0.57306836090110702</v>
      </c>
      <c r="AI104" s="134">
        <f>+_xlfn.XLOOKUP(PROYECTOS2[[#This Row],[MUNICIPIO]],'4.CAP_ENDMNT'!B:B,'4.CAP_ENDMNT'!P:P,0,0,1)</f>
        <v>0.8</v>
      </c>
      <c r="AJ104" s="44" t="str">
        <f>+_xlfn.XLOOKUP(PROYECTOS2[[#This Row],[MUNICIPIO]],'4.CAP_ENDMNT'!B:B,'4.CAP_ENDMNT'!Q:Q,0,0,1)</f>
        <v>Cumple</v>
      </c>
    </row>
    <row r="105" spans="1:36">
      <c r="A105" s="44">
        <v>114</v>
      </c>
      <c r="B105" s="37" t="s">
        <v>225</v>
      </c>
      <c r="C105" s="118">
        <f>+_xlfn.XLOOKUP(PROYECTOS2[[#This Row],[ID_NECESIDAD]],'1.RADICADOS'!G:G,'1.RADICADOS'!C:C,0,0,1)*1</f>
        <v>45565</v>
      </c>
      <c r="D105" s="46" t="s">
        <v>196</v>
      </c>
      <c r="E105" s="47" t="str">
        <f>+_xlfn.XLOOKUP(PROYECTOS2[[#This Row],[MUNICIPIO]],MUNICIPIOS!A:A,MUNICIPIOS!E:E,0,0,1)</f>
        <v>Valle de Aburrá</v>
      </c>
      <c r="F105" s="44" t="e" cm="1">
        <f t="array" ref="F105">+_xlfn.XLOOKUP(PROYECTOS2[[#This Row],[MUNICIPIO]],Table1[Municipio],MUNICIPIOS!F:F,0,0,1)</f>
        <v>#VALUE!</v>
      </c>
      <c r="G105" s="44" t="str">
        <f>+LOOKUP(PROYECTOS2[[#This Row],[MUNICIPIO]],Table1[Municipio],Table1[Latitud])</f>
        <v>6,136871</v>
      </c>
      <c r="H105" s="44">
        <f>+LOOKUP(PROYECTOS2[[#This Row],[MUNICIPIO]],Table1[Municipio],Table1[PDET])</f>
        <v>0</v>
      </c>
      <c r="I105" s="44">
        <f>+LOOKUP(PROYECTOS2[[#This Row],[MUNICIPIO]],Table1[Municipio],Table1[ZOMAC])</f>
        <v>0</v>
      </c>
      <c r="J105" s="3" t="str" cm="1">
        <f t="array" ref="J105">_xlfn.TEXTJOIN(", ", TRUE, IF(radicados[ID PROYECTOS]=A105, radicados[RADICADO], ""))</f>
        <v>2024010449385, 2024010513281, 2024010513286</v>
      </c>
      <c r="K105" s="45">
        <v>2</v>
      </c>
      <c r="L105" s="45"/>
      <c r="M105" s="43"/>
      <c r="N105" s="48">
        <v>17008905667.6</v>
      </c>
      <c r="O105" s="48"/>
      <c r="P105" s="48"/>
      <c r="Q105" s="148" t="s">
        <v>1067</v>
      </c>
      <c r="R105" s="34" t="s">
        <v>396</v>
      </c>
      <c r="S105" s="34" t="s">
        <v>398</v>
      </c>
      <c r="T105" s="34" t="s">
        <v>25</v>
      </c>
      <c r="U105" s="37"/>
      <c r="V105" s="44">
        <f>+_xlfn.XLOOKUP(PROYECTOS2[[#This Row],[MUNICIPIO]],'4.CAP_ENDMNT'!B:B,'4.CAP_ENDMNT'!C:C,0,0,1)</f>
        <v>2</v>
      </c>
      <c r="W105" s="139">
        <f>+_xlfn.XLOOKUP(PROYECTOS2[[#This Row],[MUNICIPIO]],'4.CAP_ENDMNT'!B:B,'4.CAP_ENDMNT'!D:D,0,0,1)</f>
        <v>101079829717.10699</v>
      </c>
      <c r="X105" s="140">
        <f>+_xlfn.XLOOKUP(PROYECTOS2[[#This Row],[MUNICIPIO]],'4.CAP_ENDMNT'!B:B,'4.CAP_ENDMNT'!E:E,0,0,1)</f>
        <v>35923834396.690002</v>
      </c>
      <c r="Y105" s="140">
        <f>+_xlfn.XLOOKUP(PROYECTOS2[[#This Row],[MUNICIPIO]],'4.CAP_ENDMNT'!B:B,'4.CAP_ENDMNT'!F:F,0,0,1)</f>
        <v>65155995320.416992</v>
      </c>
      <c r="Z105" s="140">
        <f>+_xlfn.XLOOKUP(PROYECTOS2[[#This Row],[MUNICIPIO]],'4.CAP_ENDMNT'!B:B,'4.CAP_ENDMNT'!G:G,0,0,1)</f>
        <v>0</v>
      </c>
      <c r="AA105" s="140">
        <f>+_xlfn.XLOOKUP(PROYECTOS2[[#This Row],[MUNICIPIO]],'4.CAP_ENDMNT'!B:B,'4.CAP_ENDMNT'!H:H,0,0,1)</f>
        <v>33364035579</v>
      </c>
      <c r="AB105" s="140">
        <f>+_xlfn.XLOOKUP(PROYECTOS2[[#This Row],[MUNICIPIO]],'4.CAP_ENDMNT'!B:B,'4.CAP_ENDMNT'!I:I,0,0,1)</f>
        <v>33364035579</v>
      </c>
      <c r="AC105" s="134">
        <f>+_xlfn.XLOOKUP(PROYECTOS2[[#This Row],[MUNICIPIO]],'4.CAP_ENDMNT'!B:B,'4.CAP_ENDMNT'!J:J,0,0,1)</f>
        <v>0.33007609601615101</v>
      </c>
      <c r="AD105" s="140">
        <f>+_xlfn.XLOOKUP(PROYECTOS2[[#This Row],[MUNICIPIO]],'4.CAP_ENDMNT'!B:B,'4.CAP_ENDMNT'!K:K,0,0,1)</f>
        <v>67715794138.106995</v>
      </c>
      <c r="AE105" s="140">
        <f>+_xlfn.XLOOKUP(PROYECTOS2[[#This Row],[MUNICIPIO]],'4.CAP_ENDMNT'!B:B,'4.CAP_ENDMNT'!L:L,0,0,1)</f>
        <v>54172635310.485596</v>
      </c>
      <c r="AF105" s="140">
        <f>+_xlfn.XLOOKUP(PROYECTOS2[[#This Row],[MUNICIPIO]],'4.CAP_ENDMNT'!B:B,'4.CAP_ENDMNT'!M:M,0,0,1)</f>
        <v>40629476482.864197</v>
      </c>
      <c r="AG105" s="134">
        <f>+_xlfn.XLOOKUP(PROYECTOS2[[#This Row],[MUNICIPIO]],'4.CAP_ENDMNT'!B:B,'4.CAP_ENDMNT'!N:N,0,0,1)</f>
        <v>0</v>
      </c>
      <c r="AH105" s="134">
        <f>+_xlfn.XLOOKUP(PROYECTOS2[[#This Row],[MUNICIPIO]],'4.CAP_ENDMNT'!B:B,'4.CAP_ENDMNT'!O:O,0,0,1)</f>
        <v>0.39321465077323631</v>
      </c>
      <c r="AI105" s="134">
        <f>+_xlfn.XLOOKUP(PROYECTOS2[[#This Row],[MUNICIPIO]],'4.CAP_ENDMNT'!B:B,'4.CAP_ENDMNT'!P:P,0,0,1)</f>
        <v>0.7</v>
      </c>
      <c r="AJ105" s="44" t="str">
        <f>+_xlfn.XLOOKUP(PROYECTOS2[[#This Row],[MUNICIPIO]],'4.CAP_ENDMNT'!B:B,'4.CAP_ENDMNT'!Q:Q,0,0,1)</f>
        <v>Cumple</v>
      </c>
    </row>
    <row r="106" spans="1:36">
      <c r="A106" s="44">
        <v>115</v>
      </c>
      <c r="B106" s="37" t="s">
        <v>226</v>
      </c>
      <c r="C106" s="118">
        <f>+_xlfn.XLOOKUP(PROYECTOS2[[#This Row],[ID_NECESIDAD]],'1.RADICADOS'!G:G,'1.RADICADOS'!C:C,0,0,1)*1</f>
        <v>45610</v>
      </c>
      <c r="D106" s="46" t="s">
        <v>223</v>
      </c>
      <c r="E106" s="47" t="str">
        <f>+_xlfn.XLOOKUP(PROYECTOS2[[#This Row],[MUNICIPIO]],MUNICIPIOS!A:A,MUNICIPIOS!E:E,0,0,1)</f>
        <v>Suroeste</v>
      </c>
      <c r="F106" s="44" t="e" cm="1">
        <f t="array" ref="F106">+_xlfn.XLOOKUP(PROYECTOS2[[#This Row],[MUNICIPIO]],Table1[Municipio],MUNICIPIOS!F:F,0,0,1)</f>
        <v>#VALUE!</v>
      </c>
      <c r="G106" s="44" t="str">
        <f>+LOOKUP(PROYECTOS2[[#This Row],[MUNICIPIO]],Table1[Municipio],Table1[Latitud])</f>
        <v>6,537829</v>
      </c>
      <c r="H106" s="44">
        <f>+LOOKUP(PROYECTOS2[[#This Row],[MUNICIPIO]],Table1[Municipio],Table1[PDET])</f>
        <v>0</v>
      </c>
      <c r="I106" s="44">
        <f>+LOOKUP(PROYECTOS2[[#This Row],[MUNICIPIO]],Table1[Municipio],Table1[ZOMAC])</f>
        <v>0</v>
      </c>
      <c r="J106" s="3" t="str" cm="1">
        <f t="array" ref="J106">_xlfn.TEXTJOIN(", ", TRUE, IF(radicados[ID PROYECTOS]=A106, radicados[RADICADO], ""))</f>
        <v>2024010520677</v>
      </c>
      <c r="K106" s="45">
        <v>2</v>
      </c>
      <c r="L106" s="45"/>
      <c r="M106" s="43"/>
      <c r="N106" s="48">
        <v>2177618498</v>
      </c>
      <c r="O106" s="48"/>
      <c r="P106" s="48"/>
      <c r="Q106" s="148" t="s">
        <v>1067</v>
      </c>
      <c r="R106" s="34" t="s">
        <v>288</v>
      </c>
      <c r="S106" s="34" t="s">
        <v>398</v>
      </c>
      <c r="T106" s="34" t="s">
        <v>25</v>
      </c>
      <c r="U106" s="37"/>
      <c r="V106" s="44">
        <f>+_xlfn.XLOOKUP(PROYECTOS2[[#This Row],[MUNICIPIO]],'4.CAP_ENDMNT'!B:B,'4.CAP_ENDMNT'!C:C,0,0,1)</f>
        <v>6</v>
      </c>
      <c r="W106" s="139">
        <f>+_xlfn.XLOOKUP(PROYECTOS2[[#This Row],[MUNICIPIO]],'4.CAP_ENDMNT'!B:B,'4.CAP_ENDMNT'!D:D,0,0,1)</f>
        <v>18608617574.017002</v>
      </c>
      <c r="X106" s="140">
        <f>+_xlfn.XLOOKUP(PROYECTOS2[[#This Row],[MUNICIPIO]],'4.CAP_ENDMNT'!B:B,'4.CAP_ENDMNT'!E:E,0,0,1)</f>
        <v>7376218347.0799999</v>
      </c>
      <c r="Y106" s="140">
        <f>+_xlfn.XLOOKUP(PROYECTOS2[[#This Row],[MUNICIPIO]],'4.CAP_ENDMNT'!B:B,'4.CAP_ENDMNT'!F:F,0,0,1)</f>
        <v>11232399226.937002</v>
      </c>
      <c r="Z106" s="140">
        <f>+_xlfn.XLOOKUP(PROYECTOS2[[#This Row],[MUNICIPIO]],'4.CAP_ENDMNT'!B:B,'4.CAP_ENDMNT'!G:G,0,0,1)</f>
        <v>2665498102.3000002</v>
      </c>
      <c r="AA106" s="140">
        <f>+_xlfn.XLOOKUP(PROYECTOS2[[#This Row],[MUNICIPIO]],'4.CAP_ENDMNT'!B:B,'4.CAP_ENDMNT'!H:H,0,0,1)</f>
        <v>2057047588</v>
      </c>
      <c r="AB106" s="140">
        <f>+_xlfn.XLOOKUP(PROYECTOS2[[#This Row],[MUNICIPIO]],'4.CAP_ENDMNT'!B:B,'4.CAP_ENDMNT'!I:I,0,0,1)</f>
        <v>4722545690.3000002</v>
      </c>
      <c r="AC106" s="134">
        <f>+_xlfn.XLOOKUP(PROYECTOS2[[#This Row],[MUNICIPIO]],'4.CAP_ENDMNT'!B:B,'4.CAP_ENDMNT'!J:J,0,0,1)</f>
        <v>0.25378272574605631</v>
      </c>
      <c r="AD106" s="140">
        <f>+_xlfn.XLOOKUP(PROYECTOS2[[#This Row],[MUNICIPIO]],'4.CAP_ENDMNT'!B:B,'4.CAP_ENDMNT'!K:K,0,0,1)</f>
        <v>13886071883.717003</v>
      </c>
      <c r="AE106" s="140">
        <f>+_xlfn.XLOOKUP(PROYECTOS2[[#This Row],[MUNICIPIO]],'4.CAP_ENDMNT'!B:B,'4.CAP_ENDMNT'!L:L,0,0,1)</f>
        <v>11108857506.973602</v>
      </c>
      <c r="AF106" s="140">
        <f>+_xlfn.XLOOKUP(PROYECTOS2[[#This Row],[MUNICIPIO]],'4.CAP_ENDMNT'!B:B,'4.CAP_ENDMNT'!M:M,0,0,1)</f>
        <v>8331643130.2302017</v>
      </c>
      <c r="AG106" s="134">
        <f>+_xlfn.XLOOKUP(PROYECTOS2[[#This Row],[MUNICIPIO]],'4.CAP_ENDMNT'!B:B,'4.CAP_ENDMNT'!N:N,0,0,1)</f>
        <v>0.56441975940537148</v>
      </c>
      <c r="AH106" s="134">
        <f>+_xlfn.XLOOKUP(PROYECTOS2[[#This Row],[MUNICIPIO]],'4.CAP_ENDMNT'!B:B,'4.CAP_ENDMNT'!O:O,0,0,1)</f>
        <v>0.57306836090110702</v>
      </c>
      <c r="AI106" s="134">
        <f>+_xlfn.XLOOKUP(PROYECTOS2[[#This Row],[MUNICIPIO]],'4.CAP_ENDMNT'!B:B,'4.CAP_ENDMNT'!P:P,0,0,1)</f>
        <v>0.8</v>
      </c>
      <c r="AJ106" s="44" t="str">
        <f>+_xlfn.XLOOKUP(PROYECTOS2[[#This Row],[MUNICIPIO]],'4.CAP_ENDMNT'!B:B,'4.CAP_ENDMNT'!Q:Q,0,0,1)</f>
        <v>Cumple</v>
      </c>
    </row>
    <row r="107" spans="1:36">
      <c r="A107" s="44">
        <v>116</v>
      </c>
      <c r="B107" s="37" t="s">
        <v>424</v>
      </c>
      <c r="C107" s="118">
        <f>+_xlfn.XLOOKUP(PROYECTOS2[[#This Row],[ID_NECESIDAD]],'1.RADICADOS'!G:G,'1.RADICADOS'!C:C,0,0,1)*1</f>
        <v>45454</v>
      </c>
      <c r="D107" s="46" t="s">
        <v>125</v>
      </c>
      <c r="E107" s="47" t="str">
        <f>+_xlfn.XLOOKUP(PROYECTOS2[[#This Row],[MUNICIPIO]],MUNICIPIOS!A:A,MUNICIPIOS!E:E,0,0,1)</f>
        <v>Oriente</v>
      </c>
      <c r="F107" s="44" t="e" cm="1">
        <f t="array" ref="F107">+_xlfn.XLOOKUP(PROYECTOS2[[#This Row],[MUNICIPIO]],Table1[Municipio],MUNICIPIOS!F:F,0,0,1)</f>
        <v>#VALUE!</v>
      </c>
      <c r="G107" s="44" t="str">
        <f>+LOOKUP(PROYECTOS2[[#This Row],[MUNICIPIO]],Table1[Municipio],Table1[Latitud])</f>
        <v>6,058295</v>
      </c>
      <c r="H107" s="44">
        <f>+LOOKUP(PROYECTOS2[[#This Row],[MUNICIPIO]],Table1[Municipio],Table1[PDET])</f>
        <v>0</v>
      </c>
      <c r="I107" s="44">
        <f>+LOOKUP(PROYECTOS2[[#This Row],[MUNICIPIO]],Table1[Municipio],Table1[ZOMAC])</f>
        <v>1</v>
      </c>
      <c r="J107" s="3" t="str" cm="1">
        <f t="array" ref="J107">_xlfn.TEXTJOIN(", ", TRUE, IF(radicados[ID PROYECTOS]=A107, radicados[RADICADO], ""))</f>
        <v>2024010506674</v>
      </c>
      <c r="K107" s="45">
        <v>3</v>
      </c>
      <c r="L107" s="45"/>
      <c r="M107" s="43"/>
      <c r="N107" s="48">
        <v>3721767433</v>
      </c>
      <c r="O107" s="48"/>
      <c r="P107" s="48"/>
      <c r="Q107" s="148" t="s">
        <v>1067</v>
      </c>
      <c r="R107" s="34" t="s">
        <v>401</v>
      </c>
      <c r="S107" s="34" t="s">
        <v>394</v>
      </c>
      <c r="T107" s="34" t="s">
        <v>18</v>
      </c>
      <c r="U107" s="37"/>
      <c r="V107" s="44">
        <f>+_xlfn.XLOOKUP(PROYECTOS2[[#This Row],[MUNICIPIO]],'4.CAP_ENDMNT'!B:B,'4.CAP_ENDMNT'!C:C,0,0,1)</f>
        <v>6</v>
      </c>
      <c r="W107" s="139">
        <f>+_xlfn.XLOOKUP(PROYECTOS2[[#This Row],[MUNICIPIO]],'4.CAP_ENDMNT'!B:B,'4.CAP_ENDMNT'!D:D,0,0,1)</f>
        <v>12327690626.8465</v>
      </c>
      <c r="X107" s="140">
        <f>+_xlfn.XLOOKUP(PROYECTOS2[[#This Row],[MUNICIPIO]],'4.CAP_ENDMNT'!B:B,'4.CAP_ENDMNT'!E:E,0,0,1)</f>
        <v>4723680091.2799997</v>
      </c>
      <c r="Y107" s="140">
        <f>+_xlfn.XLOOKUP(PROYECTOS2[[#This Row],[MUNICIPIO]],'4.CAP_ENDMNT'!B:B,'4.CAP_ENDMNT'!F:F,0,0,1)</f>
        <v>7604010535.5665007</v>
      </c>
      <c r="Z107" s="140">
        <f>+_xlfn.XLOOKUP(PROYECTOS2[[#This Row],[MUNICIPIO]],'4.CAP_ENDMNT'!B:B,'4.CAP_ENDMNT'!G:G,0,0,1)</f>
        <v>445297438</v>
      </c>
      <c r="AA107" s="140">
        <f>+_xlfn.XLOOKUP(PROYECTOS2[[#This Row],[MUNICIPIO]],'4.CAP_ENDMNT'!B:B,'4.CAP_ENDMNT'!H:H,0,0,1)</f>
        <v>33508702</v>
      </c>
      <c r="AB107" s="140">
        <f>+_xlfn.XLOOKUP(PROYECTOS2[[#This Row],[MUNICIPIO]],'4.CAP_ENDMNT'!B:B,'4.CAP_ENDMNT'!I:I,0,0,1)</f>
        <v>478806140</v>
      </c>
      <c r="AC107" s="134">
        <f>+_xlfn.XLOOKUP(PROYECTOS2[[#This Row],[MUNICIPIO]],'4.CAP_ENDMNT'!B:B,'4.CAP_ENDMNT'!J:J,0,0,1)</f>
        <v>3.8839889359105498E-2</v>
      </c>
      <c r="AD107" s="140">
        <f>+_xlfn.XLOOKUP(PROYECTOS2[[#This Row],[MUNICIPIO]],'4.CAP_ENDMNT'!B:B,'4.CAP_ENDMNT'!K:K,0,0,1)</f>
        <v>11848884486.8465</v>
      </c>
      <c r="AE107" s="140">
        <f>+_xlfn.XLOOKUP(PROYECTOS2[[#This Row],[MUNICIPIO]],'4.CAP_ENDMNT'!B:B,'4.CAP_ENDMNT'!L:L,0,0,1)</f>
        <v>9479107589.4772015</v>
      </c>
      <c r="AF107" s="140">
        <f>+_xlfn.XLOOKUP(PROYECTOS2[[#This Row],[MUNICIPIO]],'4.CAP_ENDMNT'!B:B,'4.CAP_ENDMNT'!M:M,0,0,1)</f>
        <v>7109330692.1078997</v>
      </c>
      <c r="AG107" s="134">
        <f>+_xlfn.XLOOKUP(PROYECTOS2[[#This Row],[MUNICIPIO]],'4.CAP_ENDMNT'!B:B,'4.CAP_ENDMNT'!N:N,0,0,1)</f>
        <v>0.93001613972619479</v>
      </c>
      <c r="AH107" s="134">
        <f>+_xlfn.XLOOKUP(PROYECTOS2[[#This Row],[MUNICIPIO]],'4.CAP_ENDMNT'!B:B,'4.CAP_ENDMNT'!O:O,0,0,1)</f>
        <v>0.63996045822337311</v>
      </c>
      <c r="AI107" s="134">
        <f>+_xlfn.XLOOKUP(PROYECTOS2[[#This Row],[MUNICIPIO]],'4.CAP_ENDMNT'!B:B,'4.CAP_ENDMNT'!P:P,0,0,1)</f>
        <v>0.8</v>
      </c>
      <c r="AJ107" s="44" t="str">
        <f>+_xlfn.XLOOKUP(PROYECTOS2[[#This Row],[MUNICIPIO]],'4.CAP_ENDMNT'!B:B,'4.CAP_ENDMNT'!Q:Q,0,0,1)</f>
        <v>Cumple</v>
      </c>
    </row>
    <row r="108" spans="1:36">
      <c r="A108" s="44">
        <v>117</v>
      </c>
      <c r="B108" s="37" t="s">
        <v>425</v>
      </c>
      <c r="C108" s="118">
        <f>+_xlfn.XLOOKUP(PROYECTOS2[[#This Row],[ID_NECESIDAD]],'1.RADICADOS'!G:G,'1.RADICADOS'!C:C,0,0,1)*1</f>
        <v>45637</v>
      </c>
      <c r="D108" s="46" t="s">
        <v>232</v>
      </c>
      <c r="E108" s="47" t="str">
        <f>+_xlfn.XLOOKUP(PROYECTOS2[[#This Row],[MUNICIPIO]],MUNICIPIOS!A:A,MUNICIPIOS!E:E,0,0,1)</f>
        <v>Suroeste</v>
      </c>
      <c r="F108" s="44" t="e" cm="1">
        <f t="array" ref="F108">+_xlfn.XLOOKUP(PROYECTOS2[[#This Row],[MUNICIPIO]],Table1[Municipio],MUNICIPIOS!F:F,0,0,1)</f>
        <v>#VALUE!</v>
      </c>
      <c r="G108" s="44" t="str">
        <f>+LOOKUP(PROYECTOS2[[#This Row],[MUNICIPIO]],Table1[Municipio],Table1[Latitud])</f>
        <v>5,946313</v>
      </c>
      <c r="H108" s="44">
        <f>+LOOKUP(PROYECTOS2[[#This Row],[MUNICIPIO]],Table1[Municipio],Table1[PDET])</f>
        <v>0</v>
      </c>
      <c r="I108" s="44">
        <f>+LOOKUP(PROYECTOS2[[#This Row],[MUNICIPIO]],Table1[Municipio],Table1[ZOMAC])</f>
        <v>1</v>
      </c>
      <c r="J108" s="3" t="str" cm="1">
        <f t="array" ref="J108">_xlfn.TEXTJOIN(", ", TRUE, IF(radicados[ID PROYECTOS]=A108, radicados[RADICADO], ""))</f>
        <v>2024010515296</v>
      </c>
      <c r="K108" s="45">
        <v>2</v>
      </c>
      <c r="L108" s="45"/>
      <c r="M108" s="43"/>
      <c r="N108" s="48">
        <v>2999057314</v>
      </c>
      <c r="O108" s="48"/>
      <c r="P108" s="48"/>
      <c r="Q108" s="148" t="s">
        <v>1067</v>
      </c>
      <c r="R108" s="34" t="s">
        <v>426</v>
      </c>
      <c r="S108" s="34" t="s">
        <v>394</v>
      </c>
      <c r="T108" s="34" t="s">
        <v>18</v>
      </c>
      <c r="U108" s="37"/>
      <c r="V108" s="44">
        <f>+_xlfn.XLOOKUP(PROYECTOS2[[#This Row],[MUNICIPIO]],'4.CAP_ENDMNT'!B:B,'4.CAP_ENDMNT'!C:C,0,0,1)</f>
        <v>6</v>
      </c>
      <c r="W108" s="139">
        <f>+_xlfn.XLOOKUP(PROYECTOS2[[#This Row],[MUNICIPIO]],'4.CAP_ENDMNT'!B:B,'4.CAP_ENDMNT'!D:D,0,0,1)</f>
        <v>6527267076.0299997</v>
      </c>
      <c r="X108" s="140">
        <f>+_xlfn.XLOOKUP(PROYECTOS2[[#This Row],[MUNICIPIO]],'4.CAP_ENDMNT'!B:B,'4.CAP_ENDMNT'!E:E,0,0,1)</f>
        <v>2852468155.77</v>
      </c>
      <c r="Y108" s="140">
        <f>+_xlfn.XLOOKUP(PROYECTOS2[[#This Row],[MUNICIPIO]],'4.CAP_ENDMNT'!B:B,'4.CAP_ENDMNT'!F:F,0,0,1)</f>
        <v>3674798920.2599998</v>
      </c>
      <c r="Z108" s="140">
        <f>+_xlfn.XLOOKUP(PROYECTOS2[[#This Row],[MUNICIPIO]],'4.CAP_ENDMNT'!B:B,'4.CAP_ENDMNT'!G:G,0,0,1)</f>
        <v>1320825426</v>
      </c>
      <c r="AA108" s="140">
        <f>+_xlfn.XLOOKUP(PROYECTOS2[[#This Row],[MUNICIPIO]],'4.CAP_ENDMNT'!B:B,'4.CAP_ENDMNT'!H:H,0,0,1)</f>
        <v>0</v>
      </c>
      <c r="AB108" s="140">
        <f>+_xlfn.XLOOKUP(PROYECTOS2[[#This Row],[MUNICIPIO]],'4.CAP_ENDMNT'!B:B,'4.CAP_ENDMNT'!I:I,0,0,1)</f>
        <v>1320825426</v>
      </c>
      <c r="AC108" s="134">
        <f>+_xlfn.XLOOKUP(PROYECTOS2[[#This Row],[MUNICIPIO]],'4.CAP_ENDMNT'!B:B,'4.CAP_ENDMNT'!J:J,0,0,1)</f>
        <v>0.2023550454753798</v>
      </c>
      <c r="AD108" s="140">
        <f>+_xlfn.XLOOKUP(PROYECTOS2[[#This Row],[MUNICIPIO]],'4.CAP_ENDMNT'!B:B,'4.CAP_ENDMNT'!K:K,0,0,1)</f>
        <v>5206441650.0299997</v>
      </c>
      <c r="AE108" s="140">
        <f>+_xlfn.XLOOKUP(PROYECTOS2[[#This Row],[MUNICIPIO]],'4.CAP_ENDMNT'!B:B,'4.CAP_ENDMNT'!L:L,0,0,1)</f>
        <v>4165153320.0240002</v>
      </c>
      <c r="AF108" s="140">
        <f>+_xlfn.XLOOKUP(PROYECTOS2[[#This Row],[MUNICIPIO]],'4.CAP_ENDMNT'!B:B,'4.CAP_ENDMNT'!M:M,0,0,1)</f>
        <v>3123864990.0179996</v>
      </c>
      <c r="AG108" s="134">
        <f>+_xlfn.XLOOKUP(PROYECTOS2[[#This Row],[MUNICIPIO]],'4.CAP_ENDMNT'!B:B,'4.CAP_ENDMNT'!N:N,0,0,1)</f>
        <v>1</v>
      </c>
      <c r="AH108" s="134">
        <f>+_xlfn.XLOOKUP(PROYECTOS2[[#This Row],[MUNICIPIO]],'4.CAP_ENDMNT'!B:B,'4.CAP_ENDMNT'!O:O,0,0,1)</f>
        <v>0.63926485007667311</v>
      </c>
      <c r="AI108" s="134">
        <f>+_xlfn.XLOOKUP(PROYECTOS2[[#This Row],[MUNICIPIO]],'4.CAP_ENDMNT'!B:B,'4.CAP_ENDMNT'!P:P,0,0,1)</f>
        <v>0.8</v>
      </c>
      <c r="AJ108" s="44" t="str">
        <f>+_xlfn.XLOOKUP(PROYECTOS2[[#This Row],[MUNICIPIO]],'4.CAP_ENDMNT'!B:B,'4.CAP_ENDMNT'!Q:Q,0,0,1)</f>
        <v>Cumple</v>
      </c>
    </row>
    <row r="109" spans="1:36">
      <c r="A109" s="44">
        <v>118</v>
      </c>
      <c r="B109" s="37" t="s">
        <v>234</v>
      </c>
      <c r="C109" s="118">
        <f>+_xlfn.XLOOKUP(PROYECTOS2[[#This Row],[ID_NECESIDAD]],'1.RADICADOS'!G:G,'1.RADICADOS'!C:C,0,0,1)*1</f>
        <v>45609</v>
      </c>
      <c r="D109" s="46" t="s">
        <v>38</v>
      </c>
      <c r="E109" s="47" t="str">
        <f>+_xlfn.XLOOKUP(PROYECTOS2[[#This Row],[MUNICIPIO]],MUNICIPIOS!A:A,MUNICIPIOS!E:E,0,0,1)</f>
        <v>Urabá</v>
      </c>
      <c r="F109" s="44" t="e" cm="1">
        <f t="array" ref="F109">+_xlfn.XLOOKUP(PROYECTOS2[[#This Row],[MUNICIPIO]],Table1[Municipio],MUNICIPIOS!F:F,0,0,1)</f>
        <v>#VALUE!</v>
      </c>
      <c r="G109" s="44" t="str">
        <f>+LOOKUP(PROYECTOS2[[#This Row],[MUNICIPIO]],Table1[Municipio],Table1[Latitud])</f>
        <v>7,074703</v>
      </c>
      <c r="H109" s="44">
        <f>+LOOKUP(PROYECTOS2[[#This Row],[MUNICIPIO]],Table1[Municipio],Table1[PDET])</f>
        <v>1</v>
      </c>
      <c r="I109" s="44">
        <f>+LOOKUP(PROYECTOS2[[#This Row],[MUNICIPIO]],Table1[Municipio],Table1[ZOMAC])</f>
        <v>1</v>
      </c>
      <c r="J109" s="3" t="str" cm="1">
        <f t="array" ref="J109">_xlfn.TEXTJOIN(", ", TRUE, IF(radicados[ID PROYECTOS]=A109, radicados[RADICADO], ""))</f>
        <v>2024010519763</v>
      </c>
      <c r="K109" s="45">
        <v>2</v>
      </c>
      <c r="L109" s="45"/>
      <c r="M109" s="43"/>
      <c r="N109" s="48">
        <v>800000000</v>
      </c>
      <c r="O109" s="48"/>
      <c r="P109" s="48"/>
      <c r="Q109" s="148" t="s">
        <v>1067</v>
      </c>
      <c r="R109" s="34" t="s">
        <v>401</v>
      </c>
      <c r="S109" s="34" t="s">
        <v>398</v>
      </c>
      <c r="T109" s="34" t="s">
        <v>25</v>
      </c>
      <c r="U109" s="37"/>
      <c r="V109" s="44">
        <f>+_xlfn.XLOOKUP(PROYECTOS2[[#This Row],[MUNICIPIO]],'4.CAP_ENDMNT'!B:B,'4.CAP_ENDMNT'!C:C,0,0,1)</f>
        <v>6</v>
      </c>
      <c r="W109" s="139">
        <f>+_xlfn.XLOOKUP(PROYECTOS2[[#This Row],[MUNICIPIO]],'4.CAP_ENDMNT'!B:B,'4.CAP_ENDMNT'!D:D,0,0,1)</f>
        <v>31551501799.776001</v>
      </c>
      <c r="X109" s="140">
        <f>+_xlfn.XLOOKUP(PROYECTOS2[[#This Row],[MUNICIPIO]],'4.CAP_ENDMNT'!B:B,'4.CAP_ENDMNT'!E:E,0,0,1)</f>
        <v>12896901947.809999</v>
      </c>
      <c r="Y109" s="140">
        <f>+_xlfn.XLOOKUP(PROYECTOS2[[#This Row],[MUNICIPIO]],'4.CAP_ENDMNT'!B:B,'4.CAP_ENDMNT'!F:F,0,0,1)</f>
        <v>18654599851.966003</v>
      </c>
      <c r="Z109" s="140">
        <f>+_xlfn.XLOOKUP(PROYECTOS2[[#This Row],[MUNICIPIO]],'4.CAP_ENDMNT'!B:B,'4.CAP_ENDMNT'!G:G,0,0,1)</f>
        <v>4320802475</v>
      </c>
      <c r="AA109" s="140">
        <f>+_xlfn.XLOOKUP(PROYECTOS2[[#This Row],[MUNICIPIO]],'4.CAP_ENDMNT'!B:B,'4.CAP_ENDMNT'!H:H,0,0,1)</f>
        <v>2118562934.45</v>
      </c>
      <c r="AB109" s="140">
        <f>+_xlfn.XLOOKUP(PROYECTOS2[[#This Row],[MUNICIPIO]],'4.CAP_ENDMNT'!B:B,'4.CAP_ENDMNT'!I:I,0,0,1)</f>
        <v>6439365409.4499998</v>
      </c>
      <c r="AC109" s="134">
        <f>+_xlfn.XLOOKUP(PROYECTOS2[[#This Row],[MUNICIPIO]],'4.CAP_ENDMNT'!B:B,'4.CAP_ENDMNT'!J:J,0,0,1)</f>
        <v>0.20409061509381832</v>
      </c>
      <c r="AD109" s="140">
        <f>+_xlfn.XLOOKUP(PROYECTOS2[[#This Row],[MUNICIPIO]],'4.CAP_ENDMNT'!B:B,'4.CAP_ENDMNT'!K:K,0,0,1)</f>
        <v>25112136390.326</v>
      </c>
      <c r="AE109" s="140">
        <f>+_xlfn.XLOOKUP(PROYECTOS2[[#This Row],[MUNICIPIO]],'4.CAP_ENDMNT'!B:B,'4.CAP_ENDMNT'!L:L,0,0,1)</f>
        <v>20089709112.260799</v>
      </c>
      <c r="AF109" s="140">
        <f>+_xlfn.XLOOKUP(PROYECTOS2[[#This Row],[MUNICIPIO]],'4.CAP_ENDMNT'!B:B,'4.CAP_ENDMNT'!M:M,0,0,1)</f>
        <v>15067281834.195601</v>
      </c>
      <c r="AG109" s="134">
        <f>+_xlfn.XLOOKUP(PROYECTOS2[[#This Row],[MUNICIPIO]],'4.CAP_ENDMNT'!B:B,'4.CAP_ENDMNT'!N:N,0,0,1)</f>
        <v>0.67099818076158058</v>
      </c>
      <c r="AH109" s="134">
        <f>+_xlfn.XLOOKUP(PROYECTOS2[[#This Row],[MUNICIPIO]],'4.CAP_ENDMNT'!B:B,'4.CAP_ENDMNT'!O:O,0,0,1)</f>
        <v>0.60103296352987046</v>
      </c>
      <c r="AI109" s="134">
        <f>+_xlfn.XLOOKUP(PROYECTOS2[[#This Row],[MUNICIPIO]],'4.CAP_ENDMNT'!B:B,'4.CAP_ENDMNT'!P:P,0,0,1)</f>
        <v>0.8</v>
      </c>
      <c r="AJ109" s="44" t="str">
        <f>+_xlfn.XLOOKUP(PROYECTOS2[[#This Row],[MUNICIPIO]],'4.CAP_ENDMNT'!B:B,'4.CAP_ENDMNT'!Q:Q,0,0,1)</f>
        <v>Cumple</v>
      </c>
    </row>
    <row r="110" spans="1:36">
      <c r="A110" s="44">
        <v>119</v>
      </c>
      <c r="B110" s="37" t="s">
        <v>235</v>
      </c>
      <c r="C110" s="118">
        <f>+_xlfn.XLOOKUP(PROYECTOS2[[#This Row],[ID_NECESIDAD]],'1.RADICADOS'!G:G,'1.RADICADOS'!C:C,0,0,1)*1</f>
        <v>45637</v>
      </c>
      <c r="D110" s="46" t="s">
        <v>200</v>
      </c>
      <c r="E110" s="47" t="str">
        <f>+_xlfn.XLOOKUP(PROYECTOS2[[#This Row],[MUNICIPIO]],MUNICIPIOS!A:A,MUNICIPIOS!E:E,0,0,1)</f>
        <v>Bajo Cauca</v>
      </c>
      <c r="F110" s="44" t="e" cm="1">
        <f t="array" ref="F110">+_xlfn.XLOOKUP(PROYECTOS2[[#This Row],[MUNICIPIO]],Table1[Municipio],MUNICIPIOS!F:F,0,0,1)</f>
        <v>#VALUE!</v>
      </c>
      <c r="G110" s="44" t="str">
        <f>+LOOKUP(PROYECTOS2[[#This Row],[MUNICIPIO]],Table1[Municipio],Table1[Latitud])</f>
        <v>6,149903</v>
      </c>
      <c r="H110" s="44">
        <f>+LOOKUP(PROYECTOS2[[#This Row],[MUNICIPIO]],Table1[Municipio],Table1[PDET])</f>
        <v>0</v>
      </c>
      <c r="I110" s="44">
        <f>+LOOKUP(PROYECTOS2[[#This Row],[MUNICIPIO]],Table1[Municipio],Table1[ZOMAC])</f>
        <v>0</v>
      </c>
      <c r="J110" s="3" t="str" cm="1">
        <f t="array" ref="J110">_xlfn.TEXTJOIN(", ", TRUE, IF(radicados[ID PROYECTOS]=A110, radicados[RADICADO], ""))</f>
        <v>2024020054785</v>
      </c>
      <c r="K110" s="45">
        <v>3</v>
      </c>
      <c r="L110" s="45"/>
      <c r="M110" s="43"/>
      <c r="N110" s="48">
        <v>3347941547</v>
      </c>
      <c r="O110" s="48"/>
      <c r="P110" s="48"/>
      <c r="Q110" s="148" t="s">
        <v>1067</v>
      </c>
      <c r="R110" s="34" t="s">
        <v>392</v>
      </c>
      <c r="S110" s="40"/>
      <c r="T110" s="40" t="s">
        <v>7</v>
      </c>
      <c r="U110" s="37"/>
      <c r="V110" s="44">
        <f>+_xlfn.XLOOKUP(PROYECTOS2[[#This Row],[MUNICIPIO]],'4.CAP_ENDMNT'!B:B,'4.CAP_ENDMNT'!C:C,0,0,1)</f>
        <v>6</v>
      </c>
      <c r="W110" s="139">
        <f>+_xlfn.XLOOKUP(PROYECTOS2[[#This Row],[MUNICIPIO]],'4.CAP_ENDMNT'!B:B,'4.CAP_ENDMNT'!D:D,0,0,1)</f>
        <v>26491016162.216</v>
      </c>
      <c r="X110" s="140">
        <f>+_xlfn.XLOOKUP(PROYECTOS2[[#This Row],[MUNICIPIO]],'4.CAP_ENDMNT'!B:B,'4.CAP_ENDMNT'!E:E,0,0,1)</f>
        <v>7986352410.1199999</v>
      </c>
      <c r="Y110" s="140">
        <f>+_xlfn.XLOOKUP(PROYECTOS2[[#This Row],[MUNICIPIO]],'4.CAP_ENDMNT'!B:B,'4.CAP_ENDMNT'!F:F,0,0,1)</f>
        <v>18504663752.096001</v>
      </c>
      <c r="Z110" s="140">
        <f>+_xlfn.XLOOKUP(PROYECTOS2[[#This Row],[MUNICIPIO]],'4.CAP_ENDMNT'!B:B,'4.CAP_ENDMNT'!G:G,0,0,1)</f>
        <v>6804069561</v>
      </c>
      <c r="AA110" s="140">
        <f>+_xlfn.XLOOKUP(PROYECTOS2[[#This Row],[MUNICIPIO]],'4.CAP_ENDMNT'!B:B,'4.CAP_ENDMNT'!H:H,0,0,1)</f>
        <v>0</v>
      </c>
      <c r="AB110" s="140">
        <f>+_xlfn.XLOOKUP(PROYECTOS2[[#This Row],[MUNICIPIO]],'4.CAP_ENDMNT'!B:B,'4.CAP_ENDMNT'!I:I,0,0,1)</f>
        <v>6804069561</v>
      </c>
      <c r="AC110" s="134">
        <f>+_xlfn.XLOOKUP(PROYECTOS2[[#This Row],[MUNICIPIO]],'4.CAP_ENDMNT'!B:B,'4.CAP_ENDMNT'!J:J,0,0,1)</f>
        <v>0.25684441545525194</v>
      </c>
      <c r="AD110" s="140">
        <f>+_xlfn.XLOOKUP(PROYECTOS2[[#This Row],[MUNICIPIO]],'4.CAP_ENDMNT'!B:B,'4.CAP_ENDMNT'!K:K,0,0,1)</f>
        <v>19686946601.216</v>
      </c>
      <c r="AE110" s="140">
        <f>+_xlfn.XLOOKUP(PROYECTOS2[[#This Row],[MUNICIPIO]],'4.CAP_ENDMNT'!B:B,'4.CAP_ENDMNT'!L:L,0,0,1)</f>
        <v>15749557280.972801</v>
      </c>
      <c r="AF110" s="140">
        <f>+_xlfn.XLOOKUP(PROYECTOS2[[#This Row],[MUNICIPIO]],'4.CAP_ENDMNT'!B:B,'4.CAP_ENDMNT'!M:M,0,0,1)</f>
        <v>11812167960.729599</v>
      </c>
      <c r="AG110" s="134">
        <f>+_xlfn.XLOOKUP(PROYECTOS2[[#This Row],[MUNICIPIO]],'4.CAP_ENDMNT'!B:B,'4.CAP_ENDMNT'!N:N,0,0,1)</f>
        <v>1</v>
      </c>
      <c r="AH110" s="134">
        <f>+_xlfn.XLOOKUP(PROYECTOS2[[#This Row],[MUNICIPIO]],'4.CAP_ENDMNT'!B:B,'4.CAP_ENDMNT'!O:O,0,0,1)</f>
        <v>0.54140540347070121</v>
      </c>
      <c r="AI110" s="134">
        <f>+_xlfn.XLOOKUP(PROYECTOS2[[#This Row],[MUNICIPIO]],'4.CAP_ENDMNT'!B:B,'4.CAP_ENDMNT'!P:P,0,0,1)</f>
        <v>0.8</v>
      </c>
      <c r="AJ110" s="44" t="str">
        <f>+_xlfn.XLOOKUP(PROYECTOS2[[#This Row],[MUNICIPIO]],'4.CAP_ENDMNT'!B:B,'4.CAP_ENDMNT'!Q:Q,0,0,1)</f>
        <v>Cumple</v>
      </c>
    </row>
    <row r="111" spans="1:36">
      <c r="A111" s="44">
        <v>120</v>
      </c>
      <c r="B111" s="37" t="s">
        <v>331</v>
      </c>
      <c r="C111" s="118">
        <f>+_xlfn.XLOOKUP(PROYECTOS2[[#This Row],[ID_NECESIDAD]],'1.RADICADOS'!G:G,'1.RADICADOS'!C:C,0,0,1)*1</f>
        <v>45483</v>
      </c>
      <c r="D111" s="46" t="s">
        <v>141</v>
      </c>
      <c r="E111" s="47" t="str">
        <f>+_xlfn.XLOOKUP(PROYECTOS2[[#This Row],[MUNICIPIO]],MUNICIPIOS!A:A,MUNICIPIOS!E:E,0,0,1)</f>
        <v>Oriente</v>
      </c>
      <c r="F111" s="44" t="e" cm="1">
        <f t="array" ref="F111">+_xlfn.XLOOKUP(PROYECTOS2[[#This Row],[MUNICIPIO]],Table1[Municipio],MUNICIPIOS!F:F,0,0,1)</f>
        <v>#VALUE!</v>
      </c>
      <c r="G111" s="44" t="str">
        <f>+LOOKUP(PROYECTOS2[[#This Row],[MUNICIPIO]],Table1[Municipio],Table1[Latitud])</f>
        <v>7,074703</v>
      </c>
      <c r="H111" s="44">
        <f>+LOOKUP(PROYECTOS2[[#This Row],[MUNICIPIO]],Table1[Municipio],Table1[PDET])</f>
        <v>1</v>
      </c>
      <c r="I111" s="44">
        <f>+LOOKUP(PROYECTOS2[[#This Row],[MUNICIPIO]],Table1[Municipio],Table1[ZOMAC])</f>
        <v>1</v>
      </c>
      <c r="J111" s="3" t="str" cm="1">
        <f t="array" ref="J111">_xlfn.TEXTJOIN(", ", TRUE, IF(radicados[ID PROYECTOS]=A111, radicados[RADICADO], ""))</f>
        <v>2024010499742</v>
      </c>
      <c r="K111" s="142">
        <v>2</v>
      </c>
      <c r="L111" s="45"/>
      <c r="M111" s="43"/>
      <c r="N111" s="48">
        <v>175062094</v>
      </c>
      <c r="O111" s="48"/>
      <c r="P111" s="48"/>
      <c r="Q111" s="148" t="s">
        <v>1067</v>
      </c>
      <c r="R111" s="34" t="s">
        <v>401</v>
      </c>
      <c r="S111" s="40" t="s">
        <v>398</v>
      </c>
      <c r="T111" s="40" t="s">
        <v>25</v>
      </c>
      <c r="U111" s="37" t="s">
        <v>966</v>
      </c>
      <c r="V111" s="44">
        <f>+_xlfn.XLOOKUP(PROYECTOS2[[#This Row],[MUNICIPIO]],'4.CAP_ENDMNT'!B:B,'4.CAP_ENDMNT'!C:C,0,0,1)</f>
        <v>6</v>
      </c>
      <c r="W111" s="139">
        <f>+_xlfn.XLOOKUP(PROYECTOS2[[#This Row],[MUNICIPIO]],'4.CAP_ENDMNT'!B:B,'4.CAP_ENDMNT'!D:D,0,0,1)</f>
        <v>7397887197.3409996</v>
      </c>
      <c r="X111" s="140">
        <f>+_xlfn.XLOOKUP(PROYECTOS2[[#This Row],[MUNICIPIO]],'4.CAP_ENDMNT'!B:B,'4.CAP_ENDMNT'!E:E,0,0,1)</f>
        <v>2145550795.75</v>
      </c>
      <c r="Y111" s="140">
        <f>+_xlfn.XLOOKUP(PROYECTOS2[[#This Row],[MUNICIPIO]],'4.CAP_ENDMNT'!B:B,'4.CAP_ENDMNT'!F:F,0,0,1)</f>
        <v>5252336401.5909996</v>
      </c>
      <c r="Z111" s="140">
        <f>+_xlfn.XLOOKUP(PROYECTOS2[[#This Row],[MUNICIPIO]],'4.CAP_ENDMNT'!B:B,'4.CAP_ENDMNT'!G:G,0,0,1)</f>
        <v>913988424</v>
      </c>
      <c r="AA111" s="140">
        <f>+_xlfn.XLOOKUP(PROYECTOS2[[#This Row],[MUNICIPIO]],'4.CAP_ENDMNT'!B:B,'4.CAP_ENDMNT'!H:H,0,0,1)</f>
        <v>0</v>
      </c>
      <c r="AB111" s="140">
        <f>+_xlfn.XLOOKUP(PROYECTOS2[[#This Row],[MUNICIPIO]],'4.CAP_ENDMNT'!B:B,'4.CAP_ENDMNT'!I:I,0,0,1)</f>
        <v>913988424</v>
      </c>
      <c r="AC111" s="134">
        <f>+_xlfn.XLOOKUP(PROYECTOS2[[#This Row],[MUNICIPIO]],'4.CAP_ENDMNT'!B:B,'4.CAP_ENDMNT'!J:J,0,0,1)</f>
        <v>0.12354722363548773</v>
      </c>
      <c r="AD111" s="140">
        <f>+_xlfn.XLOOKUP(PROYECTOS2[[#This Row],[MUNICIPIO]],'4.CAP_ENDMNT'!B:B,'4.CAP_ENDMNT'!K:K,0,0,1)</f>
        <v>6483898773.3409996</v>
      </c>
      <c r="AE111" s="140">
        <f>+_xlfn.XLOOKUP(PROYECTOS2[[#This Row],[MUNICIPIO]],'4.CAP_ENDMNT'!B:B,'4.CAP_ENDMNT'!L:L,0,0,1)</f>
        <v>5187119018.6728001</v>
      </c>
      <c r="AF111" s="140">
        <f>+_xlfn.XLOOKUP(PROYECTOS2[[#This Row],[MUNICIPIO]],'4.CAP_ENDMNT'!B:B,'4.CAP_ENDMNT'!M:M,0,0,1)</f>
        <v>3890339264.0045996</v>
      </c>
      <c r="AG111" s="134">
        <f>+_xlfn.XLOOKUP(PROYECTOS2[[#This Row],[MUNICIPIO]],'4.CAP_ENDMNT'!B:B,'4.CAP_ENDMNT'!N:N,0,0,1)</f>
        <v>1</v>
      </c>
      <c r="AH111" s="134">
        <f>+_xlfn.XLOOKUP(PROYECTOS2[[#This Row],[MUNICIPIO]],'4.CAP_ENDMNT'!B:B,'4.CAP_ENDMNT'!O:O,0,0,1)</f>
        <v>0.55936476249157852</v>
      </c>
      <c r="AI111" s="134">
        <f>+_xlfn.XLOOKUP(PROYECTOS2[[#This Row],[MUNICIPIO]],'4.CAP_ENDMNT'!B:B,'4.CAP_ENDMNT'!P:P,0,0,1)</f>
        <v>0.8</v>
      </c>
      <c r="AJ111" s="44" t="str">
        <f>+_xlfn.XLOOKUP(PROYECTOS2[[#This Row],[MUNICIPIO]],'4.CAP_ENDMNT'!B:B,'4.CAP_ENDMNT'!Q:Q,0,0,1)</f>
        <v>Cumple</v>
      </c>
    </row>
    <row r="112" spans="1:36">
      <c r="A112" s="44">
        <v>122</v>
      </c>
      <c r="B112" s="37" t="s">
        <v>239</v>
      </c>
      <c r="C112" s="118">
        <f>+_xlfn.XLOOKUP(PROYECTOS2[[#This Row],[ID_NECESIDAD]],'1.RADICADOS'!G:G,'1.RADICADOS'!C:C,0,0,1)*1</f>
        <v>45609</v>
      </c>
      <c r="D112" s="46" t="s">
        <v>97</v>
      </c>
      <c r="E112" s="47" t="str">
        <f>+_xlfn.XLOOKUP(PROYECTOS2[[#This Row],[MUNICIPIO]],MUNICIPIOS!A:A,MUNICIPIOS!E:E,0,0,1)</f>
        <v>Oriente</v>
      </c>
      <c r="F112" s="44" t="e" cm="1">
        <f t="array" ref="F112">+_xlfn.XLOOKUP(PROYECTOS2[[#This Row],[MUNICIPIO]],Table1[Municipio],MUNICIPIOS!F:F,0,0,1)</f>
        <v>#VALUE!</v>
      </c>
      <c r="G112" s="44" t="str">
        <f>+LOOKUP(PROYECTOS2[[#This Row],[MUNICIPIO]],Table1[Municipio],Table1[Latitud])</f>
        <v>6,149903</v>
      </c>
      <c r="H112" s="44">
        <f>+LOOKUP(PROYECTOS2[[#This Row],[MUNICIPIO]],Table1[Municipio],Table1[PDET])</f>
        <v>0</v>
      </c>
      <c r="I112" s="44">
        <f>+LOOKUP(PROYECTOS2[[#This Row],[MUNICIPIO]],Table1[Municipio],Table1[ZOMAC])</f>
        <v>0</v>
      </c>
      <c r="J112" s="3" t="str" cm="1">
        <f t="array" ref="J112">_xlfn.TEXTJOIN(", ", TRUE, IF(radicados[ID PROYECTOS]=A112, radicados[RADICADO], ""))</f>
        <v>2024010523151</v>
      </c>
      <c r="K112" s="45">
        <v>3</v>
      </c>
      <c r="L112" s="45"/>
      <c r="M112" s="43"/>
      <c r="N112" s="48">
        <v>2371629272</v>
      </c>
      <c r="O112" s="48"/>
      <c r="P112" s="48"/>
      <c r="Q112" s="148" t="s">
        <v>1067</v>
      </c>
      <c r="R112" s="34" t="s">
        <v>401</v>
      </c>
      <c r="S112" s="34" t="s">
        <v>394</v>
      </c>
      <c r="T112" s="34" t="s">
        <v>18</v>
      </c>
      <c r="U112" s="37"/>
      <c r="V112" s="44">
        <f>+_xlfn.XLOOKUP(PROYECTOS2[[#This Row],[MUNICIPIO]],'4.CAP_ENDMNT'!B:B,'4.CAP_ENDMNT'!C:C,0,0,1)</f>
        <v>6</v>
      </c>
      <c r="W112" s="139">
        <f>+_xlfn.XLOOKUP(PROYECTOS2[[#This Row],[MUNICIPIO]],'4.CAP_ENDMNT'!B:B,'4.CAP_ENDMNT'!D:D,0,0,1)</f>
        <v>29325876885.033001</v>
      </c>
      <c r="X112" s="140">
        <f>+_xlfn.XLOOKUP(PROYECTOS2[[#This Row],[MUNICIPIO]],'4.CAP_ENDMNT'!B:B,'4.CAP_ENDMNT'!E:E,0,0,1)</f>
        <v>5835926728.4000006</v>
      </c>
      <c r="Y112" s="140">
        <f>+_xlfn.XLOOKUP(PROYECTOS2[[#This Row],[MUNICIPIO]],'4.CAP_ENDMNT'!B:B,'4.CAP_ENDMNT'!F:F,0,0,1)</f>
        <v>23489950156.632999</v>
      </c>
      <c r="Z112" s="140">
        <f>+_xlfn.XLOOKUP(PROYECTOS2[[#This Row],[MUNICIPIO]],'4.CAP_ENDMNT'!B:B,'4.CAP_ENDMNT'!G:G,0,0,1)</f>
        <v>5787068508</v>
      </c>
      <c r="AA112" s="140">
        <f>+_xlfn.XLOOKUP(PROYECTOS2[[#This Row],[MUNICIPIO]],'4.CAP_ENDMNT'!B:B,'4.CAP_ENDMNT'!H:H,0,0,1)</f>
        <v>0</v>
      </c>
      <c r="AB112" s="140">
        <f>+_xlfn.XLOOKUP(PROYECTOS2[[#This Row],[MUNICIPIO]],'4.CAP_ENDMNT'!B:B,'4.CAP_ENDMNT'!I:I,0,0,1)</f>
        <v>5787068508</v>
      </c>
      <c r="AC112" s="134">
        <f>+_xlfn.XLOOKUP(PROYECTOS2[[#This Row],[MUNICIPIO]],'4.CAP_ENDMNT'!B:B,'4.CAP_ENDMNT'!J:J,0,0,1)</f>
        <v>0.19733658879791371</v>
      </c>
      <c r="AD112" s="140">
        <f>+_xlfn.XLOOKUP(PROYECTOS2[[#This Row],[MUNICIPIO]],'4.CAP_ENDMNT'!B:B,'4.CAP_ENDMNT'!K:K,0,0,1)</f>
        <v>23538808377.033001</v>
      </c>
      <c r="AE112" s="140">
        <f>+_xlfn.XLOOKUP(PROYECTOS2[[#This Row],[MUNICIPIO]],'4.CAP_ENDMNT'!B:B,'4.CAP_ENDMNT'!L:L,0,0,1)</f>
        <v>18831046701.6264</v>
      </c>
      <c r="AF112" s="140">
        <f>+_xlfn.XLOOKUP(PROYECTOS2[[#This Row],[MUNICIPIO]],'4.CAP_ENDMNT'!B:B,'4.CAP_ENDMNT'!M:M,0,0,1)</f>
        <v>14123285026.219801</v>
      </c>
      <c r="AG112" s="134">
        <f>+_xlfn.XLOOKUP(PROYECTOS2[[#This Row],[MUNICIPIO]],'4.CAP_ENDMNT'!B:B,'4.CAP_ENDMNT'!N:N,0,0,1)</f>
        <v>1</v>
      </c>
      <c r="AH112" s="134">
        <f>+_xlfn.XLOOKUP(PROYECTOS2[[#This Row],[MUNICIPIO]],'4.CAP_ENDMNT'!B:B,'4.CAP_ENDMNT'!O:O,0,0,1)</f>
        <v>0.67595312063685153</v>
      </c>
      <c r="AI112" s="134">
        <f>+_xlfn.XLOOKUP(PROYECTOS2[[#This Row],[MUNICIPIO]],'4.CAP_ENDMNT'!B:B,'4.CAP_ENDMNT'!P:P,0,0,1)</f>
        <v>0.8</v>
      </c>
      <c r="AJ112" s="44" t="str">
        <f>+_xlfn.XLOOKUP(PROYECTOS2[[#This Row],[MUNICIPIO]],'4.CAP_ENDMNT'!B:B,'4.CAP_ENDMNT'!Q:Q,0,0,1)</f>
        <v>Cumple</v>
      </c>
    </row>
    <row r="113" spans="1:36">
      <c r="A113" s="44">
        <v>123</v>
      </c>
      <c r="B113" s="37" t="s">
        <v>240</v>
      </c>
      <c r="C113" s="118">
        <f>+_xlfn.XLOOKUP(PROYECTOS2[[#This Row],[ID_NECESIDAD]],'1.RADICADOS'!G:G,'1.RADICADOS'!C:C,0,0,1)*1</f>
        <v>45611</v>
      </c>
      <c r="D113" s="46" t="s">
        <v>84</v>
      </c>
      <c r="E113" s="47" t="str">
        <f>+_xlfn.XLOOKUP(PROYECTOS2[[#This Row],[MUNICIPIO]],MUNICIPIOS!A:A,MUNICIPIOS!E:E,0,0,1)</f>
        <v>Oriente</v>
      </c>
      <c r="F113" s="44" t="e" cm="1">
        <f t="array" ref="F113">+_xlfn.XLOOKUP(PROYECTOS2[[#This Row],[MUNICIPIO]],Table1[Municipio],MUNICIPIOS!F:F,0,0,1)</f>
        <v>#VALUE!</v>
      </c>
      <c r="G113" s="44" t="str">
        <f>+LOOKUP(PROYECTOS2[[#This Row],[MUNICIPIO]],Table1[Municipio],Table1[Latitud])</f>
        <v>6,149903</v>
      </c>
      <c r="H113" s="44">
        <f>+LOOKUP(PROYECTOS2[[#This Row],[MUNICIPIO]],Table1[Municipio],Table1[PDET])</f>
        <v>0</v>
      </c>
      <c r="I113" s="44">
        <f>+LOOKUP(PROYECTOS2[[#This Row],[MUNICIPIO]],Table1[Municipio],Table1[ZOMAC])</f>
        <v>0</v>
      </c>
      <c r="J113" s="3" t="str" cm="1">
        <f t="array" ref="J113">_xlfn.TEXTJOIN(", ", TRUE, IF(radicados[ID PROYECTOS]=A113, radicados[RADICADO], ""))</f>
        <v>2024010524340</v>
      </c>
      <c r="K113" s="45">
        <v>3</v>
      </c>
      <c r="L113" s="45"/>
      <c r="M113" s="43"/>
      <c r="N113" s="48">
        <v>10000000000</v>
      </c>
      <c r="O113" s="48"/>
      <c r="P113" s="48"/>
      <c r="Q113" s="148" t="s">
        <v>1067</v>
      </c>
      <c r="R113" s="34" t="s">
        <v>401</v>
      </c>
      <c r="S113" s="34" t="s">
        <v>398</v>
      </c>
      <c r="T113" s="34" t="s">
        <v>25</v>
      </c>
      <c r="U113" s="37"/>
      <c r="V113" s="44">
        <f>+_xlfn.XLOOKUP(PROYECTOS2[[#This Row],[MUNICIPIO]],'4.CAP_ENDMNT'!B:B,'4.CAP_ENDMNT'!C:C,0,0,1)</f>
        <v>5</v>
      </c>
      <c r="W113" s="139">
        <f>+_xlfn.XLOOKUP(PROYECTOS2[[#This Row],[MUNICIPIO]],'4.CAP_ENDMNT'!B:B,'4.CAP_ENDMNT'!D:D,0,0,1)</f>
        <v>35695767669.016502</v>
      </c>
      <c r="X113" s="140">
        <f>+_xlfn.XLOOKUP(PROYECTOS2[[#This Row],[MUNICIPIO]],'4.CAP_ENDMNT'!B:B,'4.CAP_ENDMNT'!E:E,0,0,1)</f>
        <v>13532488388.23</v>
      </c>
      <c r="Y113" s="140">
        <f>+_xlfn.XLOOKUP(PROYECTOS2[[#This Row],[MUNICIPIO]],'4.CAP_ENDMNT'!B:B,'4.CAP_ENDMNT'!F:F,0,0,1)</f>
        <v>22163279280.786503</v>
      </c>
      <c r="Z113" s="140">
        <f>+_xlfn.XLOOKUP(PROYECTOS2[[#This Row],[MUNICIPIO]],'4.CAP_ENDMNT'!B:B,'4.CAP_ENDMNT'!G:G,0,0,1)</f>
        <v>1067761948</v>
      </c>
      <c r="AA113" s="140">
        <f>+_xlfn.XLOOKUP(PROYECTOS2[[#This Row],[MUNICIPIO]],'4.CAP_ENDMNT'!B:B,'4.CAP_ENDMNT'!H:H,0,0,1)</f>
        <v>4932032890</v>
      </c>
      <c r="AB113" s="140">
        <f>+_xlfn.XLOOKUP(PROYECTOS2[[#This Row],[MUNICIPIO]],'4.CAP_ENDMNT'!B:B,'4.CAP_ENDMNT'!I:I,0,0,1)</f>
        <v>5999794838</v>
      </c>
      <c r="AC113" s="134">
        <f>+_xlfn.XLOOKUP(PROYECTOS2[[#This Row],[MUNICIPIO]],'4.CAP_ENDMNT'!B:B,'4.CAP_ENDMNT'!J:J,0,0,1)</f>
        <v>0.16808140655867587</v>
      </c>
      <c r="AD113" s="140">
        <f>+_xlfn.XLOOKUP(PROYECTOS2[[#This Row],[MUNICIPIO]],'4.CAP_ENDMNT'!B:B,'4.CAP_ENDMNT'!K:K,0,0,1)</f>
        <v>29695972831.016502</v>
      </c>
      <c r="AE113" s="140">
        <f>+_xlfn.XLOOKUP(PROYECTOS2[[#This Row],[MUNICIPIO]],'4.CAP_ENDMNT'!B:B,'4.CAP_ENDMNT'!L:L,0,0,1)</f>
        <v>23756778264.813202</v>
      </c>
      <c r="AF113" s="140">
        <f>+_xlfn.XLOOKUP(PROYECTOS2[[#This Row],[MUNICIPIO]],'4.CAP_ENDMNT'!B:B,'4.CAP_ENDMNT'!M:M,0,0,1)</f>
        <v>17817583698.609901</v>
      </c>
      <c r="AG113" s="134">
        <f>+_xlfn.XLOOKUP(PROYECTOS2[[#This Row],[MUNICIPIO]],'4.CAP_ENDMNT'!B:B,'4.CAP_ENDMNT'!N:N,0,0,1)</f>
        <v>0.17796640999076777</v>
      </c>
      <c r="AH113" s="134">
        <f>+_xlfn.XLOOKUP(PROYECTOS2[[#This Row],[MUNICIPIO]],'4.CAP_ENDMNT'!B:B,'4.CAP_ENDMNT'!O:O,0,0,1)</f>
        <v>0.4016729815979605</v>
      </c>
      <c r="AI113" s="134">
        <f>+_xlfn.XLOOKUP(PROYECTOS2[[#This Row],[MUNICIPIO]],'4.CAP_ENDMNT'!B:B,'4.CAP_ENDMNT'!P:P,0,0,1)</f>
        <v>0.8</v>
      </c>
      <c r="AJ113" s="44" t="str">
        <f>+_xlfn.XLOOKUP(PROYECTOS2[[#This Row],[MUNICIPIO]],'4.CAP_ENDMNT'!B:B,'4.CAP_ENDMNT'!Q:Q,0,0,1)</f>
        <v>Cumple</v>
      </c>
    </row>
    <row r="114" spans="1:36">
      <c r="A114" s="44">
        <v>124</v>
      </c>
      <c r="B114" s="37" t="s">
        <v>241</v>
      </c>
      <c r="C114" s="118">
        <f>+_xlfn.XLOOKUP(PROYECTOS2[[#This Row],[ID_NECESIDAD]],'1.RADICADOS'!G:G,'1.RADICADOS'!C:C,0,0,1)*1</f>
        <v>45611</v>
      </c>
      <c r="D114" s="46" t="s">
        <v>115</v>
      </c>
      <c r="E114" s="47" t="str">
        <f>+_xlfn.XLOOKUP(PROYECTOS2[[#This Row],[MUNICIPIO]],MUNICIPIOS!A:A,MUNICIPIOS!E:E,0,0,1)</f>
        <v>Oriente</v>
      </c>
      <c r="F114" s="44" t="e" cm="1">
        <f t="array" ref="F114">+_xlfn.XLOOKUP(PROYECTOS2[[#This Row],[MUNICIPIO]],Table1[Municipio],MUNICIPIOS!F:F,0,0,1)</f>
        <v>#VALUE!</v>
      </c>
      <c r="G114" s="44" t="str">
        <f>+LOOKUP(PROYECTOS2[[#This Row],[MUNICIPIO]],Table1[Municipio],Table1[Latitud])</f>
        <v>6,028062</v>
      </c>
      <c r="H114" s="44">
        <f>+LOOKUP(PROYECTOS2[[#This Row],[MUNICIPIO]],Table1[Municipio],Table1[PDET])</f>
        <v>0</v>
      </c>
      <c r="I114" s="44">
        <f>+LOOKUP(PROYECTOS2[[#This Row],[MUNICIPIO]],Table1[Municipio],Table1[ZOMAC])</f>
        <v>0</v>
      </c>
      <c r="J114" s="3" t="str" cm="1">
        <f t="array" ref="J114">_xlfn.TEXTJOIN(", ", TRUE, IF(radicados[ID PROYECTOS]=A114, radicados[RADICADO], ""))</f>
        <v>2024010528792</v>
      </c>
      <c r="K114" s="45">
        <v>1</v>
      </c>
      <c r="L114" s="45"/>
      <c r="M114" s="43"/>
      <c r="N114" s="48">
        <v>9902922492</v>
      </c>
      <c r="O114" s="48"/>
      <c r="P114" s="48"/>
      <c r="Q114" s="148" t="s">
        <v>1067</v>
      </c>
      <c r="R114" s="34" t="s">
        <v>288</v>
      </c>
      <c r="S114" s="34" t="s">
        <v>398</v>
      </c>
      <c r="T114" s="34" t="s">
        <v>25</v>
      </c>
      <c r="U114" s="37" t="s">
        <v>977</v>
      </c>
      <c r="V114" s="44">
        <f>+_xlfn.XLOOKUP(PROYECTOS2[[#This Row],[MUNICIPIO]],'4.CAP_ENDMNT'!B:B,'4.CAP_ENDMNT'!C:C,0,0,1)</f>
        <v>2</v>
      </c>
      <c r="W114" s="139">
        <f>+_xlfn.XLOOKUP(PROYECTOS2[[#This Row],[MUNICIPIO]],'4.CAP_ENDMNT'!B:B,'4.CAP_ENDMNT'!D:D,0,0,1)</f>
        <v>102691614388.099</v>
      </c>
      <c r="X114" s="140">
        <f>+_xlfn.XLOOKUP(PROYECTOS2[[#This Row],[MUNICIPIO]],'4.CAP_ENDMNT'!B:B,'4.CAP_ENDMNT'!E:E,0,0,1)</f>
        <v>29123622287.32</v>
      </c>
      <c r="Y114" s="140">
        <f>+_xlfn.XLOOKUP(PROYECTOS2[[#This Row],[MUNICIPIO]],'4.CAP_ENDMNT'!B:B,'4.CAP_ENDMNT'!F:F,0,0,1)</f>
        <v>73567992100.778992</v>
      </c>
      <c r="Z114" s="140">
        <f>+_xlfn.XLOOKUP(PROYECTOS2[[#This Row],[MUNICIPIO]],'4.CAP_ENDMNT'!B:B,'4.CAP_ENDMNT'!G:G,0,0,1)</f>
        <v>5166195556</v>
      </c>
      <c r="AA114" s="140">
        <f>+_xlfn.XLOOKUP(PROYECTOS2[[#This Row],[MUNICIPIO]],'4.CAP_ENDMNT'!B:B,'4.CAP_ENDMNT'!H:H,0,0,1)</f>
        <v>27283390599</v>
      </c>
      <c r="AB114" s="140">
        <f>+_xlfn.XLOOKUP(PROYECTOS2[[#This Row],[MUNICIPIO]],'4.CAP_ENDMNT'!B:B,'4.CAP_ENDMNT'!I:I,0,0,1)</f>
        <v>32449586155</v>
      </c>
      <c r="AC114" s="134">
        <f>+_xlfn.XLOOKUP(PROYECTOS2[[#This Row],[MUNICIPIO]],'4.CAP_ENDMNT'!B:B,'4.CAP_ENDMNT'!J:J,0,0,1)</f>
        <v>0.3159906127521217</v>
      </c>
      <c r="AD114" s="140">
        <f>+_xlfn.XLOOKUP(PROYECTOS2[[#This Row],[MUNICIPIO]],'4.CAP_ENDMNT'!B:B,'4.CAP_ENDMNT'!K:K,0,0,1)</f>
        <v>70242028233.098999</v>
      </c>
      <c r="AE114" s="140">
        <f>+_xlfn.XLOOKUP(PROYECTOS2[[#This Row],[MUNICIPIO]],'4.CAP_ENDMNT'!B:B,'4.CAP_ENDMNT'!L:L,0,0,1)</f>
        <v>56193622586.479202</v>
      </c>
      <c r="AF114" s="140">
        <f>+_xlfn.XLOOKUP(PROYECTOS2[[#This Row],[MUNICIPIO]],'4.CAP_ENDMNT'!B:B,'4.CAP_ENDMNT'!M:M,0,0,1)</f>
        <v>42145216939.859398</v>
      </c>
      <c r="AG114" s="134">
        <f>+_xlfn.XLOOKUP(PROYECTOS2[[#This Row],[MUNICIPIO]],'4.CAP_ENDMNT'!B:B,'4.CAP_ENDMNT'!N:N,0,0,1)</f>
        <v>0.15920682412783146</v>
      </c>
      <c r="AH114" s="134">
        <f>+_xlfn.XLOOKUP(PROYECTOS2[[#This Row],[MUNICIPIO]],'4.CAP_ENDMNT'!B:B,'4.CAP_ENDMNT'!O:O,0,0,1)</f>
        <v>0.28977187660096981</v>
      </c>
      <c r="AI114" s="134">
        <f>+_xlfn.XLOOKUP(PROYECTOS2[[#This Row],[MUNICIPIO]],'4.CAP_ENDMNT'!B:B,'4.CAP_ENDMNT'!P:P,0,0,1)</f>
        <v>0.7</v>
      </c>
      <c r="AJ114" s="44" t="str">
        <f>+_xlfn.XLOOKUP(PROYECTOS2[[#This Row],[MUNICIPIO]],'4.CAP_ENDMNT'!B:B,'4.CAP_ENDMNT'!Q:Q,0,0,1)</f>
        <v>Cumple</v>
      </c>
    </row>
    <row r="115" spans="1:36">
      <c r="A115" s="44">
        <v>125</v>
      </c>
      <c r="B115" s="37" t="s">
        <v>242</v>
      </c>
      <c r="C115" s="118">
        <f>+_xlfn.XLOOKUP(PROYECTOS2[[#This Row],[ID_NECESIDAD]],'1.RADICADOS'!G:G,'1.RADICADOS'!C:C,0,0,1)*1</f>
        <v>45615</v>
      </c>
      <c r="D115" s="46" t="s">
        <v>332</v>
      </c>
      <c r="E115" s="47" t="str">
        <f>+_xlfn.XLOOKUP(PROYECTOS2[[#This Row],[MUNICIPIO]],MUNICIPIOS!A:A,MUNICIPIOS!E:E,0,0,1)</f>
        <v>Oriente</v>
      </c>
      <c r="F115" s="44" t="e" cm="1">
        <f t="array" ref="F115">+_xlfn.XLOOKUP(PROYECTOS2[[#This Row],[MUNICIPIO]],Table1[Municipio],MUNICIPIOS!F:F,0,0,1)</f>
        <v>#VALUE!</v>
      </c>
      <c r="G115" s="44" t="str">
        <f>+LOOKUP(PROYECTOS2[[#This Row],[MUNICIPIO]],Table1[Municipio],Table1[Latitud])</f>
        <v>6,219349</v>
      </c>
      <c r="H115" s="44">
        <f>+LOOKUP(PROYECTOS2[[#This Row],[MUNICIPIO]],Table1[Municipio],Table1[PDET])</f>
        <v>0</v>
      </c>
      <c r="I115" s="44">
        <f>+LOOKUP(PROYECTOS2[[#This Row],[MUNICIPIO]],Table1[Municipio],Table1[ZOMAC])</f>
        <v>0</v>
      </c>
      <c r="J115" s="3" t="str" cm="1">
        <f t="array" ref="J115">_xlfn.TEXTJOIN(", ", TRUE, IF(radicados[ID PROYECTOS]=A115, radicados[RADICADO], ""))</f>
        <v>2024010535795</v>
      </c>
      <c r="K115" s="45">
        <v>3</v>
      </c>
      <c r="L115" s="45"/>
      <c r="M115" s="43"/>
      <c r="N115" s="48">
        <v>4155687169</v>
      </c>
      <c r="O115" s="48"/>
      <c r="P115" s="48"/>
      <c r="Q115" s="148" t="s">
        <v>1067</v>
      </c>
      <c r="R115" s="34" t="s">
        <v>396</v>
      </c>
      <c r="S115" s="34" t="s">
        <v>394</v>
      </c>
      <c r="T115" s="34" t="s">
        <v>18</v>
      </c>
      <c r="U115" s="37"/>
      <c r="V115" s="44">
        <f>+_xlfn.XLOOKUP(PROYECTOS2[[#This Row],[MUNICIPIO]],'4.CAP_ENDMNT'!B:B,'4.CAP_ENDMNT'!C:C,0,0,1)</f>
        <v>6</v>
      </c>
      <c r="W115" s="139">
        <f>+_xlfn.XLOOKUP(PROYECTOS2[[#This Row],[MUNICIPIO]],'4.CAP_ENDMNT'!B:B,'4.CAP_ENDMNT'!D:D,0,0,1)</f>
        <v>28258567441.100002</v>
      </c>
      <c r="X115" s="140">
        <f>+_xlfn.XLOOKUP(PROYECTOS2[[#This Row],[MUNICIPIO]],'4.CAP_ENDMNT'!B:B,'4.CAP_ENDMNT'!E:E,0,0,1)</f>
        <v>6469994311.25</v>
      </c>
      <c r="Y115" s="140">
        <f>+_xlfn.XLOOKUP(PROYECTOS2[[#This Row],[MUNICIPIO]],'4.CAP_ENDMNT'!B:B,'4.CAP_ENDMNT'!F:F,0,0,1)</f>
        <v>21788573129.850002</v>
      </c>
      <c r="Z115" s="140">
        <f>+_xlfn.XLOOKUP(PROYECTOS2[[#This Row],[MUNICIPIO]],'4.CAP_ENDMNT'!B:B,'4.CAP_ENDMNT'!G:G,0,0,1)</f>
        <v>1548230438</v>
      </c>
      <c r="AA115" s="140">
        <f>+_xlfn.XLOOKUP(PROYECTOS2[[#This Row],[MUNICIPIO]],'4.CAP_ENDMNT'!B:B,'4.CAP_ENDMNT'!H:H,0,0,1)</f>
        <v>3356151670</v>
      </c>
      <c r="AB115" s="140">
        <f>+_xlfn.XLOOKUP(PROYECTOS2[[#This Row],[MUNICIPIO]],'4.CAP_ENDMNT'!B:B,'4.CAP_ENDMNT'!I:I,0,0,1)</f>
        <v>4904382108</v>
      </c>
      <c r="AC115" s="134">
        <f>+_xlfn.XLOOKUP(PROYECTOS2[[#This Row],[MUNICIPIO]],'4.CAP_ENDMNT'!B:B,'4.CAP_ENDMNT'!J:J,0,0,1)</f>
        <v>0.17355381224551877</v>
      </c>
      <c r="AD115" s="140">
        <f>+_xlfn.XLOOKUP(PROYECTOS2[[#This Row],[MUNICIPIO]],'4.CAP_ENDMNT'!B:B,'4.CAP_ENDMNT'!K:K,0,0,1)</f>
        <v>23354185333.100002</v>
      </c>
      <c r="AE115" s="140">
        <f>+_xlfn.XLOOKUP(PROYECTOS2[[#This Row],[MUNICIPIO]],'4.CAP_ENDMNT'!B:B,'4.CAP_ENDMNT'!L:L,0,0,1)</f>
        <v>18683348266.480003</v>
      </c>
      <c r="AF115" s="140">
        <f>+_xlfn.XLOOKUP(PROYECTOS2[[#This Row],[MUNICIPIO]],'4.CAP_ENDMNT'!B:B,'4.CAP_ENDMNT'!M:M,0,0,1)</f>
        <v>14012511199.860001</v>
      </c>
      <c r="AG115" s="134">
        <f>+_xlfn.XLOOKUP(PROYECTOS2[[#This Row],[MUNICIPIO]],'4.CAP_ENDMNT'!B:B,'4.CAP_ENDMNT'!N:N,0,0,1)</f>
        <v>0.31568307768567533</v>
      </c>
      <c r="AH115" s="134">
        <f>+_xlfn.XLOOKUP(PROYECTOS2[[#This Row],[MUNICIPIO]],'4.CAP_ENDMNT'!B:B,'4.CAP_ENDMNT'!O:O,0,0,1)</f>
        <v>0.29902452385532635</v>
      </c>
      <c r="AI115" s="134">
        <f>+_xlfn.XLOOKUP(PROYECTOS2[[#This Row],[MUNICIPIO]],'4.CAP_ENDMNT'!B:B,'4.CAP_ENDMNT'!P:P,0,0,1)</f>
        <v>0.8</v>
      </c>
      <c r="AJ115" s="44" t="str">
        <f>+_xlfn.XLOOKUP(PROYECTOS2[[#This Row],[MUNICIPIO]],'4.CAP_ENDMNT'!B:B,'4.CAP_ENDMNT'!Q:Q,0,0,1)</f>
        <v>Cumple</v>
      </c>
    </row>
    <row r="116" spans="1:36">
      <c r="A116" s="44">
        <v>126</v>
      </c>
      <c r="B116" s="37" t="s">
        <v>1097</v>
      </c>
      <c r="C116" s="118">
        <f>+_xlfn.XLOOKUP(PROYECTOS2[[#This Row],[ID_NECESIDAD]],'1.RADICADOS'!G:G,'1.RADICADOS'!C:C,0,0,1)*1</f>
        <v>45618</v>
      </c>
      <c r="D116" s="46" t="s">
        <v>232</v>
      </c>
      <c r="E116" s="47" t="str">
        <f>+_xlfn.XLOOKUP(PROYECTOS2[[#This Row],[MUNICIPIO]],MUNICIPIOS!A:A,MUNICIPIOS!E:E,0,0,1)</f>
        <v>Suroeste</v>
      </c>
      <c r="F116" s="44" t="e" cm="1">
        <f t="array" ref="F116">+_xlfn.XLOOKUP(PROYECTOS2[[#This Row],[MUNICIPIO]],Table1[Municipio],MUNICIPIOS!F:F,0,0,1)</f>
        <v>#VALUE!</v>
      </c>
      <c r="G116" s="44" t="str">
        <f>+LOOKUP(PROYECTOS2[[#This Row],[MUNICIPIO]],Table1[Municipio],Table1[Latitud])</f>
        <v>5,946313</v>
      </c>
      <c r="H116" s="44">
        <f>+LOOKUP(PROYECTOS2[[#This Row],[MUNICIPIO]],Table1[Municipio],Table1[PDET])</f>
        <v>0</v>
      </c>
      <c r="I116" s="44">
        <f>+LOOKUP(PROYECTOS2[[#This Row],[MUNICIPIO]],Table1[Municipio],Table1[ZOMAC])</f>
        <v>1</v>
      </c>
      <c r="J116" s="3" t="str" cm="1">
        <f t="array" ref="J116">_xlfn.TEXTJOIN(", ", TRUE, IF(radicados[ID PROYECTOS]=A116, radicados[RADICADO], ""))</f>
        <v>2024010538367</v>
      </c>
      <c r="K116" s="45">
        <v>1</v>
      </c>
      <c r="L116" s="45"/>
      <c r="M116" s="43"/>
      <c r="N116" s="48"/>
      <c r="O116" s="48"/>
      <c r="P116" s="48"/>
      <c r="Q116" s="148" t="s">
        <v>1067</v>
      </c>
      <c r="R116" s="34" t="s">
        <v>288</v>
      </c>
      <c r="S116" s="34" t="s">
        <v>398</v>
      </c>
      <c r="T116" s="34" t="s">
        <v>25</v>
      </c>
      <c r="U116" s="37"/>
      <c r="V116" s="44">
        <f>+_xlfn.XLOOKUP(PROYECTOS2[[#This Row],[MUNICIPIO]],'4.CAP_ENDMNT'!B:B,'4.CAP_ENDMNT'!C:C,0,0,1)</f>
        <v>6</v>
      </c>
      <c r="W116" s="139">
        <f>+_xlfn.XLOOKUP(PROYECTOS2[[#This Row],[MUNICIPIO]],'4.CAP_ENDMNT'!B:B,'4.CAP_ENDMNT'!D:D,0,0,1)</f>
        <v>6527267076.0299997</v>
      </c>
      <c r="X116" s="140">
        <f>+_xlfn.XLOOKUP(PROYECTOS2[[#This Row],[MUNICIPIO]],'4.CAP_ENDMNT'!B:B,'4.CAP_ENDMNT'!E:E,0,0,1)</f>
        <v>2852468155.77</v>
      </c>
      <c r="Y116" s="140">
        <f>+_xlfn.XLOOKUP(PROYECTOS2[[#This Row],[MUNICIPIO]],'4.CAP_ENDMNT'!B:B,'4.CAP_ENDMNT'!F:F,0,0,1)</f>
        <v>3674798920.2599998</v>
      </c>
      <c r="Z116" s="140">
        <f>+_xlfn.XLOOKUP(PROYECTOS2[[#This Row],[MUNICIPIO]],'4.CAP_ENDMNT'!B:B,'4.CAP_ENDMNT'!G:G,0,0,1)</f>
        <v>1320825426</v>
      </c>
      <c r="AA116" s="140">
        <f>+_xlfn.XLOOKUP(PROYECTOS2[[#This Row],[MUNICIPIO]],'4.CAP_ENDMNT'!B:B,'4.CAP_ENDMNT'!H:H,0,0,1)</f>
        <v>0</v>
      </c>
      <c r="AB116" s="140">
        <f>+_xlfn.XLOOKUP(PROYECTOS2[[#This Row],[MUNICIPIO]],'4.CAP_ENDMNT'!B:B,'4.CAP_ENDMNT'!I:I,0,0,1)</f>
        <v>1320825426</v>
      </c>
      <c r="AC116" s="134">
        <f>+_xlfn.XLOOKUP(PROYECTOS2[[#This Row],[MUNICIPIO]],'4.CAP_ENDMNT'!B:B,'4.CAP_ENDMNT'!J:J,0,0,1)</f>
        <v>0.2023550454753798</v>
      </c>
      <c r="AD116" s="140">
        <f>+_xlfn.XLOOKUP(PROYECTOS2[[#This Row],[MUNICIPIO]],'4.CAP_ENDMNT'!B:B,'4.CAP_ENDMNT'!K:K,0,0,1)</f>
        <v>5206441650.0299997</v>
      </c>
      <c r="AE116" s="140">
        <f>+_xlfn.XLOOKUP(PROYECTOS2[[#This Row],[MUNICIPIO]],'4.CAP_ENDMNT'!B:B,'4.CAP_ENDMNT'!L:L,0,0,1)</f>
        <v>4165153320.0240002</v>
      </c>
      <c r="AF116" s="140">
        <f>+_xlfn.XLOOKUP(PROYECTOS2[[#This Row],[MUNICIPIO]],'4.CAP_ENDMNT'!B:B,'4.CAP_ENDMNT'!M:M,0,0,1)</f>
        <v>3123864990.0179996</v>
      </c>
      <c r="AG116" s="134">
        <f>+_xlfn.XLOOKUP(PROYECTOS2[[#This Row],[MUNICIPIO]],'4.CAP_ENDMNT'!B:B,'4.CAP_ENDMNT'!N:N,0,0,1)</f>
        <v>1</v>
      </c>
      <c r="AH116" s="134">
        <f>+_xlfn.XLOOKUP(PROYECTOS2[[#This Row],[MUNICIPIO]],'4.CAP_ENDMNT'!B:B,'4.CAP_ENDMNT'!O:O,0,0,1)</f>
        <v>0.63926485007667311</v>
      </c>
      <c r="AI116" s="134">
        <f>+_xlfn.XLOOKUP(PROYECTOS2[[#This Row],[MUNICIPIO]],'4.CAP_ENDMNT'!B:B,'4.CAP_ENDMNT'!P:P,0,0,1)</f>
        <v>0.8</v>
      </c>
      <c r="AJ116" s="44" t="str">
        <f>+_xlfn.XLOOKUP(PROYECTOS2[[#This Row],[MUNICIPIO]],'4.CAP_ENDMNT'!B:B,'4.CAP_ENDMNT'!Q:Q,0,0,1)</f>
        <v>Cumple</v>
      </c>
    </row>
    <row r="117" spans="1:36">
      <c r="A117" s="44">
        <v>128</v>
      </c>
      <c r="B117" s="37" t="s">
        <v>246</v>
      </c>
      <c r="C117" s="118">
        <f>+_xlfn.XLOOKUP(PROYECTOS2[[#This Row],[ID_NECESIDAD]],'1.RADICADOS'!G:G,'1.RADICADOS'!C:C,0,0,1)*1</f>
        <v>45624</v>
      </c>
      <c r="D117" s="46" t="s">
        <v>35</v>
      </c>
      <c r="E117" s="47" t="str">
        <f>+_xlfn.XLOOKUP(PROYECTOS2[[#This Row],[MUNICIPIO]],MUNICIPIOS!A:A,MUNICIPIOS!E:E,0,0,1)</f>
        <v>Norte</v>
      </c>
      <c r="F117" s="44" t="e" cm="1">
        <f t="array" ref="F117">+_xlfn.XLOOKUP(PROYECTOS2[[#This Row],[MUNICIPIO]],Table1[Municipio],MUNICIPIOS!F:F,0,0,1)</f>
        <v>#VALUE!</v>
      </c>
      <c r="G117" s="44" t="str">
        <f>+LOOKUP(PROYECTOS2[[#This Row],[MUNICIPIO]],Table1[Municipio],Table1[Latitud])</f>
        <v>6,394348</v>
      </c>
      <c r="H117" s="44">
        <f>+LOOKUP(PROYECTOS2[[#This Row],[MUNICIPIO]],Table1[Municipio],Table1[PDET])</f>
        <v>0</v>
      </c>
      <c r="I117" s="44">
        <f>+LOOKUP(PROYECTOS2[[#This Row],[MUNICIPIO]],Table1[Municipio],Table1[ZOMAC])</f>
        <v>1</v>
      </c>
      <c r="J117" s="3" t="str" cm="1">
        <f t="array" ref="J117">_xlfn.TEXTJOIN(", ", TRUE, IF(radicados[ID PROYECTOS]=A117, radicados[RADICADO], ""))</f>
        <v>2024010552957</v>
      </c>
      <c r="K117" s="128">
        <v>2</v>
      </c>
      <c r="L117" s="45"/>
      <c r="M117" s="43"/>
      <c r="N117" s="48">
        <v>5716669019</v>
      </c>
      <c r="O117" s="48"/>
      <c r="P117" s="48"/>
      <c r="Q117" s="148" t="s">
        <v>1067</v>
      </c>
      <c r="R117" s="34" t="s">
        <v>396</v>
      </c>
      <c r="S117" s="34" t="s">
        <v>398</v>
      </c>
      <c r="T117" s="34" t="s">
        <v>25</v>
      </c>
      <c r="U117" s="37"/>
      <c r="V117" s="44">
        <f>+_xlfn.XLOOKUP(PROYECTOS2[[#This Row],[MUNICIPIO]],'4.CAP_ENDMNT'!B:B,'4.CAP_ENDMNT'!C:C,0,0,1)</f>
        <v>6</v>
      </c>
      <c r="W117" s="139">
        <f>+_xlfn.XLOOKUP(PROYECTOS2[[#This Row],[MUNICIPIO]],'4.CAP_ENDMNT'!B:B,'4.CAP_ENDMNT'!D:D,0,0,1)</f>
        <v>24529039369.539501</v>
      </c>
      <c r="X117" s="140">
        <f>+_xlfn.XLOOKUP(PROYECTOS2[[#This Row],[MUNICIPIO]],'4.CAP_ENDMNT'!B:B,'4.CAP_ENDMNT'!E:E,0,0,1)</f>
        <v>8973012363.6700001</v>
      </c>
      <c r="Y117" s="140">
        <f>+_xlfn.XLOOKUP(PROYECTOS2[[#This Row],[MUNICIPIO]],'4.CAP_ENDMNT'!B:B,'4.CAP_ENDMNT'!F:F,0,0,1)</f>
        <v>15556027005.869501</v>
      </c>
      <c r="Z117" s="140">
        <f>+_xlfn.XLOOKUP(PROYECTOS2[[#This Row],[MUNICIPIO]],'4.CAP_ENDMNT'!B:B,'4.CAP_ENDMNT'!G:G,0,0,1)</f>
        <v>7973050390</v>
      </c>
      <c r="AA117" s="140">
        <f>+_xlfn.XLOOKUP(PROYECTOS2[[#This Row],[MUNICIPIO]],'4.CAP_ENDMNT'!B:B,'4.CAP_ENDMNT'!H:H,0,0,1)</f>
        <v>1625381984</v>
      </c>
      <c r="AB117" s="140">
        <f>+_xlfn.XLOOKUP(PROYECTOS2[[#This Row],[MUNICIPIO]],'4.CAP_ENDMNT'!B:B,'4.CAP_ENDMNT'!I:I,0,0,1)</f>
        <v>9598432374</v>
      </c>
      <c r="AC117" s="134">
        <f>+_xlfn.XLOOKUP(PROYECTOS2[[#This Row],[MUNICIPIO]],'4.CAP_ENDMNT'!B:B,'4.CAP_ENDMNT'!J:J,0,0,1)</f>
        <v>0.39130893914742809</v>
      </c>
      <c r="AD117" s="140">
        <f>+_xlfn.XLOOKUP(PROYECTOS2[[#This Row],[MUNICIPIO]],'4.CAP_ENDMNT'!B:B,'4.CAP_ENDMNT'!K:K,0,0,1)</f>
        <v>14930606995.539501</v>
      </c>
      <c r="AE117" s="140">
        <f>+_xlfn.XLOOKUP(PROYECTOS2[[#This Row],[MUNICIPIO]],'4.CAP_ENDMNT'!B:B,'4.CAP_ENDMNT'!L:L,0,0,1)</f>
        <v>11944485596.431602</v>
      </c>
      <c r="AF117" s="140">
        <f>+_xlfn.XLOOKUP(PROYECTOS2[[#This Row],[MUNICIPIO]],'4.CAP_ENDMNT'!B:B,'4.CAP_ENDMNT'!M:M,0,0,1)</f>
        <v>8958364197.3237</v>
      </c>
      <c r="AG117" s="134">
        <f>+_xlfn.XLOOKUP(PROYECTOS2[[#This Row],[MUNICIPIO]],'4.CAP_ENDMNT'!B:B,'4.CAP_ENDMNT'!N:N,0,0,1)</f>
        <v>0.83066172467883448</v>
      </c>
      <c r="AH117" s="134">
        <f>+_xlfn.XLOOKUP(PROYECTOS2[[#This Row],[MUNICIPIO]],'4.CAP_ENDMNT'!B:B,'4.CAP_ENDMNT'!O:O,0,0,1)</f>
        <v>0.53024343717246458</v>
      </c>
      <c r="AI117" s="134">
        <f>+_xlfn.XLOOKUP(PROYECTOS2[[#This Row],[MUNICIPIO]],'4.CAP_ENDMNT'!B:B,'4.CAP_ENDMNT'!P:P,0,0,1)</f>
        <v>0.8</v>
      </c>
      <c r="AJ117" s="44" t="str">
        <f>+_xlfn.XLOOKUP(PROYECTOS2[[#This Row],[MUNICIPIO]],'4.CAP_ENDMNT'!B:B,'4.CAP_ENDMNT'!Q:Q,0,0,1)</f>
        <v>Cumple</v>
      </c>
    </row>
    <row r="118" spans="1:36">
      <c r="A118" s="44">
        <v>129</v>
      </c>
      <c r="B118" s="37" t="s">
        <v>248</v>
      </c>
      <c r="C118" s="118">
        <f>+_xlfn.XLOOKUP(PROYECTOS2[[#This Row],[ID_NECESIDAD]],'1.RADICADOS'!G:G,'1.RADICADOS'!C:C,0,0,1)*1</f>
        <v>45565</v>
      </c>
      <c r="D118" s="46" t="s">
        <v>208</v>
      </c>
      <c r="E118" s="47" t="str">
        <f>+_xlfn.XLOOKUP(PROYECTOS2[[#This Row],[MUNICIPIO]],MUNICIPIOS!A:A,MUNICIPIOS!E:E,0,0,1)</f>
        <v>Oriente</v>
      </c>
      <c r="F118" s="44" t="e" cm="1">
        <f t="array" ref="F118">+_xlfn.XLOOKUP(PROYECTOS2[[#This Row],[MUNICIPIO]],Table1[Municipio],MUNICIPIOS!F:F,0,0,1)</f>
        <v>#VALUE!</v>
      </c>
      <c r="G118" s="44" t="str">
        <f>+LOOKUP(PROYECTOS2[[#This Row],[MUNICIPIO]],Table1[Municipio],Table1[Latitud])</f>
        <v>6,136871</v>
      </c>
      <c r="H118" s="44">
        <f>+LOOKUP(PROYECTOS2[[#This Row],[MUNICIPIO]],Table1[Municipio],Table1[PDET])</f>
        <v>0</v>
      </c>
      <c r="I118" s="44">
        <f>+LOOKUP(PROYECTOS2[[#This Row],[MUNICIPIO]],Table1[Municipio],Table1[ZOMAC])</f>
        <v>0</v>
      </c>
      <c r="J118" s="3" t="str" cm="1">
        <f t="array" ref="J118">_xlfn.TEXTJOIN(", ", TRUE, IF(radicados[ID PROYECTOS]=A118, radicados[RADICADO], ""))</f>
        <v>2024010444750, 2024010559100, 2025010060550</v>
      </c>
      <c r="K118" s="45">
        <v>3</v>
      </c>
      <c r="L118" s="45"/>
      <c r="M118" s="43" t="s">
        <v>179</v>
      </c>
      <c r="N118" s="48">
        <v>2482841960</v>
      </c>
      <c r="O118" s="48"/>
      <c r="P118" s="48"/>
      <c r="Q118" s="148" t="s">
        <v>1067</v>
      </c>
      <c r="R118" s="34" t="s">
        <v>288</v>
      </c>
      <c r="S118" s="40" t="s">
        <v>398</v>
      </c>
      <c r="T118" s="40" t="s">
        <v>25</v>
      </c>
      <c r="U118" s="37"/>
      <c r="V118" s="44">
        <f>+_xlfn.XLOOKUP(PROYECTOS2[[#This Row],[MUNICIPIO]],'4.CAP_ENDMNT'!B:B,'4.CAP_ENDMNT'!C:C,0,0,1)</f>
        <v>6</v>
      </c>
      <c r="W118" s="139">
        <f>+_xlfn.XLOOKUP(PROYECTOS2[[#This Row],[MUNICIPIO]],'4.CAP_ENDMNT'!B:B,'4.CAP_ENDMNT'!D:D,0,0,1)</f>
        <v>28148489568.315498</v>
      </c>
      <c r="X118" s="140">
        <f>+_xlfn.XLOOKUP(PROYECTOS2[[#This Row],[MUNICIPIO]],'4.CAP_ENDMNT'!B:B,'4.CAP_ENDMNT'!E:E,0,0,1)</f>
        <v>9574117926.6900005</v>
      </c>
      <c r="Y118" s="140">
        <f>+_xlfn.XLOOKUP(PROYECTOS2[[#This Row],[MUNICIPIO]],'4.CAP_ENDMNT'!B:B,'4.CAP_ENDMNT'!F:F,0,0,1)</f>
        <v>18574371641.625496</v>
      </c>
      <c r="Z118" s="140">
        <f>+_xlfn.XLOOKUP(PROYECTOS2[[#This Row],[MUNICIPIO]],'4.CAP_ENDMNT'!B:B,'4.CAP_ENDMNT'!G:G,0,0,1)</f>
        <v>7165025466</v>
      </c>
      <c r="AA118" s="140">
        <f>+_xlfn.XLOOKUP(PROYECTOS2[[#This Row],[MUNICIPIO]],'4.CAP_ENDMNT'!B:B,'4.CAP_ENDMNT'!H:H,0,0,1)</f>
        <v>0</v>
      </c>
      <c r="AB118" s="140">
        <f>+_xlfn.XLOOKUP(PROYECTOS2[[#This Row],[MUNICIPIO]],'4.CAP_ENDMNT'!B:B,'4.CAP_ENDMNT'!I:I,0,0,1)</f>
        <v>7165025466</v>
      </c>
      <c r="AC118" s="134">
        <f>+_xlfn.XLOOKUP(PROYECTOS2[[#This Row],[MUNICIPIO]],'4.CAP_ENDMNT'!B:B,'4.CAP_ENDMNT'!J:J,0,0,1)</f>
        <v>0.25454386988014788</v>
      </c>
      <c r="AD118" s="140">
        <f>+_xlfn.XLOOKUP(PROYECTOS2[[#This Row],[MUNICIPIO]],'4.CAP_ENDMNT'!B:B,'4.CAP_ENDMNT'!K:K,0,0,1)</f>
        <v>20983464102.315498</v>
      </c>
      <c r="AE118" s="140">
        <f>+_xlfn.XLOOKUP(PROYECTOS2[[#This Row],[MUNICIPIO]],'4.CAP_ENDMNT'!B:B,'4.CAP_ENDMNT'!L:L,0,0,1)</f>
        <v>16786771281.8524</v>
      </c>
      <c r="AF118" s="140">
        <f>+_xlfn.XLOOKUP(PROYECTOS2[[#This Row],[MUNICIPIO]],'4.CAP_ENDMNT'!B:B,'4.CAP_ENDMNT'!M:M,0,0,1)</f>
        <v>12590078461.389299</v>
      </c>
      <c r="AG118" s="134">
        <f>+_xlfn.XLOOKUP(PROYECTOS2[[#This Row],[MUNICIPIO]],'4.CAP_ENDMNT'!B:B,'4.CAP_ENDMNT'!N:N,0,0,1)</f>
        <v>1</v>
      </c>
      <c r="AH118" s="134">
        <f>+_xlfn.XLOOKUP(PROYECTOS2[[#This Row],[MUNICIPIO]],'4.CAP_ENDMNT'!B:B,'4.CAP_ENDMNT'!O:O,0,0,1)</f>
        <v>0.38693852418292884</v>
      </c>
      <c r="AI118" s="134">
        <f>+_xlfn.XLOOKUP(PROYECTOS2[[#This Row],[MUNICIPIO]],'4.CAP_ENDMNT'!B:B,'4.CAP_ENDMNT'!P:P,0,0,1)</f>
        <v>0.8</v>
      </c>
      <c r="AJ118" s="44" t="str">
        <f>+_xlfn.XLOOKUP(PROYECTOS2[[#This Row],[MUNICIPIO]],'4.CAP_ENDMNT'!B:B,'4.CAP_ENDMNT'!Q:Q,0,0,1)</f>
        <v>Cumple</v>
      </c>
    </row>
    <row r="119" spans="1:36">
      <c r="A119" s="44">
        <v>130</v>
      </c>
      <c r="B119" s="37" t="s">
        <v>427</v>
      </c>
      <c r="C119" s="118">
        <f>+_xlfn.XLOOKUP(PROYECTOS2[[#This Row],[ID_NECESIDAD]],'1.RADICADOS'!G:G,'1.RADICADOS'!C:C,0,0,1)*1</f>
        <v>45424</v>
      </c>
      <c r="D119" s="46" t="s">
        <v>45</v>
      </c>
      <c r="E119" s="47" t="str">
        <f>+_xlfn.XLOOKUP(PROYECTOS2[[#This Row],[MUNICIPIO]],MUNICIPIOS!A:A,MUNICIPIOS!E:E,0,0,1)</f>
        <v>Bajo Cauca</v>
      </c>
      <c r="F119" s="44" t="e" cm="1">
        <f t="array" ref="F119">+_xlfn.XLOOKUP(PROYECTOS2[[#This Row],[MUNICIPIO]],Table1[Municipio],MUNICIPIOS!F:F,0,0,1)</f>
        <v>#VALUE!</v>
      </c>
      <c r="G119" s="44" t="str">
        <f>+LOOKUP(PROYECTOS2[[#This Row],[MUNICIPIO]],Table1[Municipio],Table1[Latitud])</f>
        <v>7,074703</v>
      </c>
      <c r="H119" s="44">
        <f>+LOOKUP(PROYECTOS2[[#This Row],[MUNICIPIO]],Table1[Municipio],Table1[PDET])</f>
        <v>1</v>
      </c>
      <c r="I119" s="44">
        <f>+LOOKUP(PROYECTOS2[[#This Row],[MUNICIPIO]],Table1[Municipio],Table1[ZOMAC])</f>
        <v>1</v>
      </c>
      <c r="J119" s="3" t="str" cm="1">
        <f t="array" ref="J119">_xlfn.TEXTJOIN(", ", TRUE, IF(radicados[ID PROYECTOS]=A119, radicados[RADICADO], ""))</f>
        <v>2024010559910</v>
      </c>
      <c r="K119" s="45">
        <v>3</v>
      </c>
      <c r="L119" s="45"/>
      <c r="M119" s="43"/>
      <c r="N119" s="48">
        <v>1614250889</v>
      </c>
      <c r="O119" s="48"/>
      <c r="P119" s="48"/>
      <c r="Q119" s="148" t="s">
        <v>1067</v>
      </c>
      <c r="R119" s="34" t="s">
        <v>401</v>
      </c>
      <c r="S119" s="34" t="s">
        <v>394</v>
      </c>
      <c r="T119" s="34" t="s">
        <v>18</v>
      </c>
      <c r="U119" s="37"/>
      <c r="V119" s="44">
        <f>+_xlfn.XLOOKUP(PROYECTOS2[[#This Row],[MUNICIPIO]],'4.CAP_ENDMNT'!B:B,'4.CAP_ENDMNT'!C:C,0,0,1)</f>
        <v>5</v>
      </c>
      <c r="W119" s="139">
        <f>+_xlfn.XLOOKUP(PROYECTOS2[[#This Row],[MUNICIPIO]],'4.CAP_ENDMNT'!B:B,'4.CAP_ENDMNT'!D:D,0,0,1)</f>
        <v>55415011363.643501</v>
      </c>
      <c r="X119" s="140">
        <f>+_xlfn.XLOOKUP(PROYECTOS2[[#This Row],[MUNICIPIO]],'4.CAP_ENDMNT'!B:B,'4.CAP_ENDMNT'!E:E,0,0,1)</f>
        <v>24252117123.400002</v>
      </c>
      <c r="Y119" s="140">
        <f>+_xlfn.XLOOKUP(PROYECTOS2[[#This Row],[MUNICIPIO]],'4.CAP_ENDMNT'!B:B,'4.CAP_ENDMNT'!F:F,0,0,1)</f>
        <v>31162894240.2435</v>
      </c>
      <c r="Z119" s="140">
        <f>+_xlfn.XLOOKUP(PROYECTOS2[[#This Row],[MUNICIPIO]],'4.CAP_ENDMNT'!B:B,'4.CAP_ENDMNT'!G:G,0,0,1)</f>
        <v>8970758412</v>
      </c>
      <c r="AA119" s="140">
        <f>+_xlfn.XLOOKUP(PROYECTOS2[[#This Row],[MUNICIPIO]],'4.CAP_ENDMNT'!B:B,'4.CAP_ENDMNT'!H:H,0,0,1)</f>
        <v>3572173854.98</v>
      </c>
      <c r="AB119" s="140">
        <f>+_xlfn.XLOOKUP(PROYECTOS2[[#This Row],[MUNICIPIO]],'4.CAP_ENDMNT'!B:B,'4.CAP_ENDMNT'!I:I,0,0,1)</f>
        <v>12542932266.98</v>
      </c>
      <c r="AC119" s="134">
        <f>+_xlfn.XLOOKUP(PROYECTOS2[[#This Row],[MUNICIPIO]],'4.CAP_ENDMNT'!B:B,'4.CAP_ENDMNT'!J:J,0,0,1)</f>
        <v>0.22634538834019124</v>
      </c>
      <c r="AD119" s="140">
        <f>+_xlfn.XLOOKUP(PROYECTOS2[[#This Row],[MUNICIPIO]],'4.CAP_ENDMNT'!B:B,'4.CAP_ENDMNT'!K:K,0,0,1)</f>
        <v>42872079096.663498</v>
      </c>
      <c r="AE119" s="140">
        <f>+_xlfn.XLOOKUP(PROYECTOS2[[#This Row],[MUNICIPIO]],'4.CAP_ENDMNT'!B:B,'4.CAP_ENDMNT'!L:L,0,0,1)</f>
        <v>34297663277.330799</v>
      </c>
      <c r="AF119" s="140">
        <f>+_xlfn.XLOOKUP(PROYECTOS2[[#This Row],[MUNICIPIO]],'4.CAP_ENDMNT'!B:B,'4.CAP_ENDMNT'!M:M,0,0,1)</f>
        <v>25723247457.998096</v>
      </c>
      <c r="AG119" s="134">
        <f>+_xlfn.XLOOKUP(PROYECTOS2[[#This Row],[MUNICIPIO]],'4.CAP_ENDMNT'!B:B,'4.CAP_ENDMNT'!N:N,0,0,1)</f>
        <v>0.71520424578996133</v>
      </c>
      <c r="AH119" s="134">
        <f>+_xlfn.XLOOKUP(PROYECTOS2[[#This Row],[MUNICIPIO]],'4.CAP_ENDMNT'!B:B,'4.CAP_ENDMNT'!O:O,0,0,1)</f>
        <v>0.67052010826145281</v>
      </c>
      <c r="AI119" s="134">
        <f>+_xlfn.XLOOKUP(PROYECTOS2[[#This Row],[MUNICIPIO]],'4.CAP_ENDMNT'!B:B,'4.CAP_ENDMNT'!P:P,0,0,1)</f>
        <v>0.8</v>
      </c>
      <c r="AJ119" s="44" t="str">
        <f>+_xlfn.XLOOKUP(PROYECTOS2[[#This Row],[MUNICIPIO]],'4.CAP_ENDMNT'!B:B,'4.CAP_ENDMNT'!Q:Q,0,0,1)</f>
        <v>Cumple</v>
      </c>
    </row>
    <row r="120" spans="1:36">
      <c r="A120" s="44">
        <v>131</v>
      </c>
      <c r="B120" s="37" t="s">
        <v>251</v>
      </c>
      <c r="C120" s="118">
        <f>+_xlfn.XLOOKUP(PROYECTOS2[[#This Row],[ID_NECESIDAD]],'1.RADICADOS'!G:G,'1.RADICADOS'!C:C,0,0,1)*1</f>
        <v>45455</v>
      </c>
      <c r="D120" s="46" t="s">
        <v>250</v>
      </c>
      <c r="E120" s="47" t="str">
        <f>+_xlfn.XLOOKUP(PROYECTOS2[[#This Row],[MUNICIPIO]],MUNICIPIOS!A:A,MUNICIPIOS!E:E,0,0,1)</f>
        <v>Valle de Aburrá</v>
      </c>
      <c r="F120" s="44" t="e" cm="1">
        <f t="array" ref="F120">+_xlfn.XLOOKUP(PROYECTOS2[[#This Row],[MUNICIPIO]],Table1[Municipio],MUNICIPIOS!F:F,0,0,1)</f>
        <v>#VALUE!</v>
      </c>
      <c r="G120" s="44" t="str">
        <f>+LOOKUP(PROYECTOS2[[#This Row],[MUNICIPIO]],Table1[Municipio],Table1[Latitud])</f>
        <v>6,149903</v>
      </c>
      <c r="H120" s="44">
        <f>+LOOKUP(PROYECTOS2[[#This Row],[MUNICIPIO]],Table1[Municipio],Table1[PDET])</f>
        <v>0</v>
      </c>
      <c r="I120" s="44">
        <f>+LOOKUP(PROYECTOS2[[#This Row],[MUNICIPIO]],Table1[Municipio],Table1[ZOMAC])</f>
        <v>0</v>
      </c>
      <c r="J120" s="3" t="str" cm="1">
        <f t="array" ref="J120">_xlfn.TEXTJOIN(", ", TRUE, IF(radicados[ID PROYECTOS]=A120, radicados[RADICADO], ""))</f>
        <v>2024010562218</v>
      </c>
      <c r="K120" s="45">
        <v>3</v>
      </c>
      <c r="L120" s="45"/>
      <c r="M120" s="43"/>
      <c r="N120" s="48">
        <v>16755097970</v>
      </c>
      <c r="O120" s="48"/>
      <c r="P120" s="48"/>
      <c r="Q120" s="148" t="s">
        <v>1067</v>
      </c>
      <c r="R120" s="34" t="s">
        <v>393</v>
      </c>
      <c r="S120" s="34" t="s">
        <v>394</v>
      </c>
      <c r="T120" s="34" t="s">
        <v>18</v>
      </c>
      <c r="U120" s="37"/>
      <c r="V120" s="44">
        <f>+_xlfn.XLOOKUP(PROYECTOS2[[#This Row],[MUNICIPIO]],'4.CAP_ENDMNT'!B:B,'4.CAP_ENDMNT'!C:C,0,0,1)</f>
        <v>1</v>
      </c>
      <c r="W120" s="139">
        <f>+_xlfn.XLOOKUP(PROYECTOS2[[#This Row],[MUNICIPIO]],'4.CAP_ENDMNT'!B:B,'4.CAP_ENDMNT'!D:D,0,0,1)</f>
        <v>277583995965.57904</v>
      </c>
      <c r="X120" s="140">
        <f>+_xlfn.XLOOKUP(PROYECTOS2[[#This Row],[MUNICIPIO]],'4.CAP_ENDMNT'!B:B,'4.CAP_ENDMNT'!E:E,0,0,1)</f>
        <v>130145150133.79001</v>
      </c>
      <c r="Y120" s="140">
        <f>+_xlfn.XLOOKUP(PROYECTOS2[[#This Row],[MUNICIPIO]],'4.CAP_ENDMNT'!B:B,'4.CAP_ENDMNT'!F:F,0,0,1)</f>
        <v>147438845831.78903</v>
      </c>
      <c r="Z120" s="140">
        <f>+_xlfn.XLOOKUP(PROYECTOS2[[#This Row],[MUNICIPIO]],'4.CAP_ENDMNT'!B:B,'4.CAP_ENDMNT'!G:G,0,0,1)</f>
        <v>5311889964</v>
      </c>
      <c r="AA120" s="140">
        <f>+_xlfn.XLOOKUP(PROYECTOS2[[#This Row],[MUNICIPIO]],'4.CAP_ENDMNT'!B:B,'4.CAP_ENDMNT'!H:H,0,0,1)</f>
        <v>73866541452</v>
      </c>
      <c r="AB120" s="140">
        <f>+_xlfn.XLOOKUP(PROYECTOS2[[#This Row],[MUNICIPIO]],'4.CAP_ENDMNT'!B:B,'4.CAP_ENDMNT'!I:I,0,0,1)</f>
        <v>79178431416</v>
      </c>
      <c r="AC120" s="134">
        <f>+_xlfn.XLOOKUP(PROYECTOS2[[#This Row],[MUNICIPIO]],'4.CAP_ENDMNT'!B:B,'4.CAP_ENDMNT'!J:J,0,0,1)</f>
        <v>0.2852413416003215</v>
      </c>
      <c r="AD120" s="140">
        <f>+_xlfn.XLOOKUP(PROYECTOS2[[#This Row],[MUNICIPIO]],'4.CAP_ENDMNT'!B:B,'4.CAP_ENDMNT'!K:K,0,0,1)</f>
        <v>198405564549.57904</v>
      </c>
      <c r="AE120" s="140">
        <f>+_xlfn.XLOOKUP(PROYECTOS2[[#This Row],[MUNICIPIO]],'4.CAP_ENDMNT'!B:B,'4.CAP_ENDMNT'!L:L,0,0,1)</f>
        <v>158724451639.66324</v>
      </c>
      <c r="AF120" s="140">
        <f>+_xlfn.XLOOKUP(PROYECTOS2[[#This Row],[MUNICIPIO]],'4.CAP_ENDMNT'!B:B,'4.CAP_ENDMNT'!M:M,0,0,1)</f>
        <v>119043338729.74742</v>
      </c>
      <c r="AG120" s="134">
        <f>+_xlfn.XLOOKUP(PROYECTOS2[[#This Row],[MUNICIPIO]],'4.CAP_ENDMNT'!B:B,'4.CAP_ENDMNT'!N:N,0,0,1)</f>
        <v>6.7087587730698575E-2</v>
      </c>
      <c r="AH120" s="134">
        <f>+_xlfn.XLOOKUP(PROYECTOS2[[#This Row],[MUNICIPIO]],'4.CAP_ENDMNT'!B:B,'4.CAP_ENDMNT'!O:O,0,0,1)</f>
        <v>0.44877725222713505</v>
      </c>
      <c r="AI120" s="134">
        <f>+_xlfn.XLOOKUP(PROYECTOS2[[#This Row],[MUNICIPIO]],'4.CAP_ENDMNT'!B:B,'4.CAP_ENDMNT'!P:P,0,0,1)</f>
        <v>0.65</v>
      </c>
      <c r="AJ120" s="44" t="str">
        <f>+_xlfn.XLOOKUP(PROYECTOS2[[#This Row],[MUNICIPIO]],'4.CAP_ENDMNT'!B:B,'4.CAP_ENDMNT'!Q:Q,0,0,1)</f>
        <v>Cumple</v>
      </c>
    </row>
    <row r="121" spans="1:36">
      <c r="A121" s="44">
        <v>132</v>
      </c>
      <c r="B121" s="37" t="s">
        <v>252</v>
      </c>
      <c r="C121" s="118">
        <f>+_xlfn.XLOOKUP(PROYECTOS2[[#This Row],[ID_NECESIDAD]],'1.RADICADOS'!G:G,'1.RADICADOS'!C:C,0,0,1)*1</f>
        <v>45455</v>
      </c>
      <c r="D121" s="46" t="s">
        <v>11</v>
      </c>
      <c r="E121" s="47" t="str">
        <f>+_xlfn.XLOOKUP(PROYECTOS2[[#This Row],[MUNICIPIO]],MUNICIPIOS!A:A,MUNICIPIOS!E:E,0,0,1)</f>
        <v>Magdalena Medio</v>
      </c>
      <c r="F121" s="44" t="e" cm="1">
        <f t="array" ref="F121">+_xlfn.XLOOKUP(PROYECTOS2[[#This Row],[MUNICIPIO]],Table1[Municipio],MUNICIPIOS!F:F,0,0,1)</f>
        <v>#VALUE!</v>
      </c>
      <c r="G121" s="44" t="str">
        <f>+LOOKUP(PROYECTOS2[[#This Row],[MUNICIPIO]],Table1[Municipio],Table1[Latitud])</f>
        <v>6,246631</v>
      </c>
      <c r="H121" s="44">
        <f>+LOOKUP(PROYECTOS2[[#This Row],[MUNICIPIO]],Table1[Municipio],Table1[PDET])</f>
        <v>0</v>
      </c>
      <c r="I121" s="44">
        <f>+LOOKUP(PROYECTOS2[[#This Row],[MUNICIPIO]],Table1[Municipio],Table1[ZOMAC])</f>
        <v>0</v>
      </c>
      <c r="J121" s="3" t="str" cm="1">
        <f t="array" ref="J121">_xlfn.TEXTJOIN(", ", TRUE, IF(radicados[ID PROYECTOS]=A121, radicados[RADICADO], ""))</f>
        <v>2024010569332</v>
      </c>
      <c r="K121" s="45">
        <v>3</v>
      </c>
      <c r="L121" s="45"/>
      <c r="M121" s="43"/>
      <c r="N121" s="48">
        <v>5766878117</v>
      </c>
      <c r="O121" s="48"/>
      <c r="P121" s="48"/>
      <c r="Q121" s="148" t="s">
        <v>1067</v>
      </c>
      <c r="R121" s="34" t="s">
        <v>401</v>
      </c>
      <c r="S121" s="34" t="s">
        <v>394</v>
      </c>
      <c r="T121" s="34" t="s">
        <v>18</v>
      </c>
      <c r="U121" s="37"/>
      <c r="V121" s="44">
        <f>+_xlfn.XLOOKUP(PROYECTOS2[[#This Row],[MUNICIPIO]],'4.CAP_ENDMNT'!B:B,'4.CAP_ENDMNT'!C:C,0,0,1)</f>
        <v>6</v>
      </c>
      <c r="W121" s="139">
        <f>+_xlfn.XLOOKUP(PROYECTOS2[[#This Row],[MUNICIPIO]],'4.CAP_ENDMNT'!B:B,'4.CAP_ENDMNT'!D:D,0,0,1)</f>
        <v>22896432570.9105</v>
      </c>
      <c r="X121" s="140">
        <f>+_xlfn.XLOOKUP(PROYECTOS2[[#This Row],[MUNICIPIO]],'4.CAP_ENDMNT'!B:B,'4.CAP_ENDMNT'!E:E,0,0,1)</f>
        <v>6514105665.9899998</v>
      </c>
      <c r="Y121" s="140">
        <f>+_xlfn.XLOOKUP(PROYECTOS2[[#This Row],[MUNICIPIO]],'4.CAP_ENDMNT'!B:B,'4.CAP_ENDMNT'!F:F,0,0,1)</f>
        <v>16382326904.9205</v>
      </c>
      <c r="Z121" s="140">
        <f>+_xlfn.XLOOKUP(PROYECTOS2[[#This Row],[MUNICIPIO]],'4.CAP_ENDMNT'!B:B,'4.CAP_ENDMNT'!G:G,0,0,1)</f>
        <v>15087488121</v>
      </c>
      <c r="AA121" s="140">
        <f>+_xlfn.XLOOKUP(PROYECTOS2[[#This Row],[MUNICIPIO]],'4.CAP_ENDMNT'!B:B,'4.CAP_ENDMNT'!H:H,0,0,1)</f>
        <v>152370595</v>
      </c>
      <c r="AB121" s="140">
        <f>+_xlfn.XLOOKUP(PROYECTOS2[[#This Row],[MUNICIPIO]],'4.CAP_ENDMNT'!B:B,'4.CAP_ENDMNT'!I:I,0,0,1)</f>
        <v>15239858716</v>
      </c>
      <c r="AC121" s="134">
        <f>+_xlfn.XLOOKUP(PROYECTOS2[[#This Row],[MUNICIPIO]],'4.CAP_ENDMNT'!B:B,'4.CAP_ENDMNT'!J:J,0,0,1)</f>
        <v>0.66559970287082904</v>
      </c>
      <c r="AD121" s="140">
        <f>+_xlfn.XLOOKUP(PROYECTOS2[[#This Row],[MUNICIPIO]],'4.CAP_ENDMNT'!B:B,'4.CAP_ENDMNT'!K:K,0,0,1)</f>
        <v>7656573854.9104996</v>
      </c>
      <c r="AE121" s="140">
        <f>+_xlfn.XLOOKUP(PROYECTOS2[[#This Row],[MUNICIPIO]],'4.CAP_ENDMNT'!B:B,'4.CAP_ENDMNT'!L:L,0,0,1)</f>
        <v>6125259083.9284</v>
      </c>
      <c r="AF121" s="140">
        <f>+_xlfn.XLOOKUP(PROYECTOS2[[#This Row],[MUNICIPIO]],'4.CAP_ENDMNT'!B:B,'4.CAP_ENDMNT'!M:M,0,0,1)</f>
        <v>4593944312.9462996</v>
      </c>
      <c r="AG121" s="134">
        <f>+_xlfn.XLOOKUP(PROYECTOS2[[#This Row],[MUNICIPIO]],'4.CAP_ENDMNT'!B:B,'4.CAP_ENDMNT'!N:N,0,0,1)</f>
        <v>0.99000183677293352</v>
      </c>
      <c r="AH121" s="134">
        <f>+_xlfn.XLOOKUP(PROYECTOS2[[#This Row],[MUNICIPIO]],'4.CAP_ENDMNT'!B:B,'4.CAP_ENDMNT'!O:O,0,0,1)</f>
        <v>0.53987925149269589</v>
      </c>
      <c r="AI121" s="134">
        <f>+_xlfn.XLOOKUP(PROYECTOS2[[#This Row],[MUNICIPIO]],'4.CAP_ENDMNT'!B:B,'4.CAP_ENDMNT'!P:P,0,0,1)</f>
        <v>0.8</v>
      </c>
      <c r="AJ121" s="44" t="str">
        <f>+_xlfn.XLOOKUP(PROYECTOS2[[#This Row],[MUNICIPIO]],'4.CAP_ENDMNT'!B:B,'4.CAP_ENDMNT'!Q:Q,0,0,1)</f>
        <v>Cumple</v>
      </c>
    </row>
    <row r="122" spans="1:36">
      <c r="A122" s="44">
        <v>133</v>
      </c>
      <c r="B122" s="37" t="s">
        <v>253</v>
      </c>
      <c r="C122" s="118">
        <f>+_xlfn.XLOOKUP(PROYECTOS2[[#This Row],[ID_NECESIDAD]],'1.RADICADOS'!G:G,'1.RADICADOS'!C:C,0,0,1)*1</f>
        <v>45608</v>
      </c>
      <c r="D122" s="46" t="s">
        <v>327</v>
      </c>
      <c r="E122" s="47" t="str">
        <f>+_xlfn.XLOOKUP(PROYECTOS2[[#This Row],[MUNICIPIO]],MUNICIPIOS!A:A,MUNICIPIOS!E:E,0,0,1)</f>
        <v>Nordeste</v>
      </c>
      <c r="F122" s="44" t="e" cm="1">
        <f t="array" ref="F122">+_xlfn.XLOOKUP(PROYECTOS2[[#This Row],[MUNICIPIO]],Table1[Municipio],MUNICIPIOS!F:F,0,0,1)</f>
        <v>#VALUE!</v>
      </c>
      <c r="G122" s="44" t="str">
        <f>+LOOKUP(PROYECTOS2[[#This Row],[MUNICIPIO]],Table1[Municipio],Table1[Latitud])</f>
        <v>6,149903</v>
      </c>
      <c r="H122" s="44">
        <f>+LOOKUP(PROYECTOS2[[#This Row],[MUNICIPIO]],Table1[Municipio],Table1[PDET])</f>
        <v>0</v>
      </c>
      <c r="I122" s="44">
        <f>+LOOKUP(PROYECTOS2[[#This Row],[MUNICIPIO]],Table1[Municipio],Table1[ZOMAC])</f>
        <v>0</v>
      </c>
      <c r="J122" s="3" t="str" cm="1">
        <f t="array" ref="J122">_xlfn.TEXTJOIN(", ", TRUE, IF(radicados[ID PROYECTOS]=A122, radicados[RADICADO], ""))</f>
        <v>2024010572157</v>
      </c>
      <c r="K122" s="45">
        <v>3</v>
      </c>
      <c r="L122" s="45"/>
      <c r="M122" s="43"/>
      <c r="N122" s="48">
        <v>1955624022</v>
      </c>
      <c r="O122" s="48"/>
      <c r="P122" s="48"/>
      <c r="Q122" s="148" t="s">
        <v>1067</v>
      </c>
      <c r="R122" s="34" t="s">
        <v>401</v>
      </c>
      <c r="S122" s="34" t="s">
        <v>398</v>
      </c>
      <c r="T122" s="34" t="s">
        <v>25</v>
      </c>
      <c r="U122" s="37"/>
      <c r="V122" s="44">
        <f>+_xlfn.XLOOKUP(PROYECTOS2[[#This Row],[MUNICIPIO]],'4.CAP_ENDMNT'!B:B,'4.CAP_ENDMNT'!C:C,0,0,1)</f>
        <v>6</v>
      </c>
      <c r="W122" s="139">
        <f>+_xlfn.XLOOKUP(PROYECTOS2[[#This Row],[MUNICIPIO]],'4.CAP_ENDMNT'!B:B,'4.CAP_ENDMNT'!D:D,0,0,1)</f>
        <v>13645854382.4415</v>
      </c>
      <c r="X122" s="140">
        <f>+_xlfn.XLOOKUP(PROYECTOS2[[#This Row],[MUNICIPIO]],'4.CAP_ENDMNT'!B:B,'4.CAP_ENDMNT'!E:E,0,0,1)</f>
        <v>5036095672.2200003</v>
      </c>
      <c r="Y122" s="140">
        <f>+_xlfn.XLOOKUP(PROYECTOS2[[#This Row],[MUNICIPIO]],'4.CAP_ENDMNT'!B:B,'4.CAP_ENDMNT'!F:F,0,0,1)</f>
        <v>8609758710.2215004</v>
      </c>
      <c r="Z122" s="140">
        <f>+_xlfn.XLOOKUP(PROYECTOS2[[#This Row],[MUNICIPIO]],'4.CAP_ENDMNT'!B:B,'4.CAP_ENDMNT'!G:G,0,0,1)</f>
        <v>2357809963</v>
      </c>
      <c r="AA122" s="140">
        <f>+_xlfn.XLOOKUP(PROYECTOS2[[#This Row],[MUNICIPIO]],'4.CAP_ENDMNT'!B:B,'4.CAP_ENDMNT'!H:H,0,0,1)</f>
        <v>1093248488</v>
      </c>
      <c r="AB122" s="140">
        <f>+_xlfn.XLOOKUP(PROYECTOS2[[#This Row],[MUNICIPIO]],'4.CAP_ENDMNT'!B:B,'4.CAP_ENDMNT'!I:I,0,0,1)</f>
        <v>3451058451</v>
      </c>
      <c r="AC122" s="134">
        <f>+_xlfn.XLOOKUP(PROYECTOS2[[#This Row],[MUNICIPIO]],'4.CAP_ENDMNT'!B:B,'4.CAP_ENDMNT'!J:J,0,0,1)</f>
        <v>0.25290160324739891</v>
      </c>
      <c r="AD122" s="140">
        <f>+_xlfn.XLOOKUP(PROYECTOS2[[#This Row],[MUNICIPIO]],'4.CAP_ENDMNT'!B:B,'4.CAP_ENDMNT'!K:K,0,0,1)</f>
        <v>10194795931.4415</v>
      </c>
      <c r="AE122" s="140">
        <f>+_xlfn.XLOOKUP(PROYECTOS2[[#This Row],[MUNICIPIO]],'4.CAP_ENDMNT'!B:B,'4.CAP_ENDMNT'!L:L,0,0,1)</f>
        <v>8155836745.1532001</v>
      </c>
      <c r="AF122" s="140">
        <f>+_xlfn.XLOOKUP(PROYECTOS2[[#This Row],[MUNICIPIO]],'4.CAP_ENDMNT'!B:B,'4.CAP_ENDMNT'!M:M,0,0,1)</f>
        <v>6116877558.8648996</v>
      </c>
      <c r="AG122" s="134">
        <f>+_xlfn.XLOOKUP(PROYECTOS2[[#This Row],[MUNICIPIO]],'4.CAP_ENDMNT'!B:B,'4.CAP_ENDMNT'!N:N,0,0,1)</f>
        <v>0.68321356954032075</v>
      </c>
      <c r="AH122" s="134">
        <f>+_xlfn.XLOOKUP(PROYECTOS2[[#This Row],[MUNICIPIO]],'4.CAP_ENDMNT'!B:B,'4.CAP_ENDMNT'!O:O,0,0,1)</f>
        <v>0.58815143933117542</v>
      </c>
      <c r="AI122" s="134">
        <f>+_xlfn.XLOOKUP(PROYECTOS2[[#This Row],[MUNICIPIO]],'4.CAP_ENDMNT'!B:B,'4.CAP_ENDMNT'!P:P,0,0,1)</f>
        <v>0.8</v>
      </c>
      <c r="AJ122" s="44" t="str">
        <f>+_xlfn.XLOOKUP(PROYECTOS2[[#This Row],[MUNICIPIO]],'4.CAP_ENDMNT'!B:B,'4.CAP_ENDMNT'!Q:Q,0,0,1)</f>
        <v>Cumple</v>
      </c>
    </row>
    <row r="123" spans="1:36">
      <c r="A123" s="44">
        <v>134</v>
      </c>
      <c r="B123" s="37" t="s">
        <v>254</v>
      </c>
      <c r="C123" s="118">
        <f>+_xlfn.XLOOKUP(PROYECTOS2[[#This Row],[ID_NECESIDAD]],'1.RADICADOS'!G:G,'1.RADICADOS'!C:C,0,0,1)*1</f>
        <v>45638</v>
      </c>
      <c r="D123" s="46" t="s">
        <v>208</v>
      </c>
      <c r="E123" s="47" t="str">
        <f>+_xlfn.XLOOKUP(PROYECTOS2[[#This Row],[MUNICIPIO]],MUNICIPIOS!A:A,MUNICIPIOS!E:E,0,0,1)</f>
        <v>Oriente</v>
      </c>
      <c r="F123" s="44" t="e" cm="1">
        <f t="array" ref="F123">+_xlfn.XLOOKUP(PROYECTOS2[[#This Row],[MUNICIPIO]],Table1[Municipio],MUNICIPIOS!F:F,0,0,1)</f>
        <v>#VALUE!</v>
      </c>
      <c r="G123" s="44" t="str">
        <f>+LOOKUP(PROYECTOS2[[#This Row],[MUNICIPIO]],Table1[Municipio],Table1[Latitud])</f>
        <v>6,136871</v>
      </c>
      <c r="H123" s="44">
        <f>+LOOKUP(PROYECTOS2[[#This Row],[MUNICIPIO]],Table1[Municipio],Table1[PDET])</f>
        <v>0</v>
      </c>
      <c r="I123" s="44">
        <f>+LOOKUP(PROYECTOS2[[#This Row],[MUNICIPIO]],Table1[Municipio],Table1[ZOMAC])</f>
        <v>0</v>
      </c>
      <c r="J123" s="3" t="str" cm="1">
        <f t="array" ref="J123">_xlfn.TEXTJOIN(", ", TRUE, IF(radicados[ID PROYECTOS]=A123, radicados[RADICADO], ""))</f>
        <v>2024010575640</v>
      </c>
      <c r="K123" s="45">
        <v>3</v>
      </c>
      <c r="L123" s="45"/>
      <c r="M123" s="43"/>
      <c r="N123" s="48">
        <v>9804796414</v>
      </c>
      <c r="O123" s="48"/>
      <c r="P123" s="48"/>
      <c r="Q123" s="148" t="s">
        <v>1067</v>
      </c>
      <c r="R123" s="34" t="s">
        <v>396</v>
      </c>
      <c r="S123" s="34" t="s">
        <v>394</v>
      </c>
      <c r="T123" s="34" t="s">
        <v>18</v>
      </c>
      <c r="U123" s="37"/>
      <c r="V123" s="44">
        <f>+_xlfn.XLOOKUP(PROYECTOS2[[#This Row],[MUNICIPIO]],'4.CAP_ENDMNT'!B:B,'4.CAP_ENDMNT'!C:C,0,0,1)</f>
        <v>6</v>
      </c>
      <c r="W123" s="139">
        <f>+_xlfn.XLOOKUP(PROYECTOS2[[#This Row],[MUNICIPIO]],'4.CAP_ENDMNT'!B:B,'4.CAP_ENDMNT'!D:D,0,0,1)</f>
        <v>28148489568.315498</v>
      </c>
      <c r="X123" s="140">
        <f>+_xlfn.XLOOKUP(PROYECTOS2[[#This Row],[MUNICIPIO]],'4.CAP_ENDMNT'!B:B,'4.CAP_ENDMNT'!E:E,0,0,1)</f>
        <v>9574117926.6900005</v>
      </c>
      <c r="Y123" s="140">
        <f>+_xlfn.XLOOKUP(PROYECTOS2[[#This Row],[MUNICIPIO]],'4.CAP_ENDMNT'!B:B,'4.CAP_ENDMNT'!F:F,0,0,1)</f>
        <v>18574371641.625496</v>
      </c>
      <c r="Z123" s="140">
        <f>+_xlfn.XLOOKUP(PROYECTOS2[[#This Row],[MUNICIPIO]],'4.CAP_ENDMNT'!B:B,'4.CAP_ENDMNT'!G:G,0,0,1)</f>
        <v>7165025466</v>
      </c>
      <c r="AA123" s="140">
        <f>+_xlfn.XLOOKUP(PROYECTOS2[[#This Row],[MUNICIPIO]],'4.CAP_ENDMNT'!B:B,'4.CAP_ENDMNT'!H:H,0,0,1)</f>
        <v>0</v>
      </c>
      <c r="AB123" s="140">
        <f>+_xlfn.XLOOKUP(PROYECTOS2[[#This Row],[MUNICIPIO]],'4.CAP_ENDMNT'!B:B,'4.CAP_ENDMNT'!I:I,0,0,1)</f>
        <v>7165025466</v>
      </c>
      <c r="AC123" s="134">
        <f>+_xlfn.XLOOKUP(PROYECTOS2[[#This Row],[MUNICIPIO]],'4.CAP_ENDMNT'!B:B,'4.CAP_ENDMNT'!J:J,0,0,1)</f>
        <v>0.25454386988014788</v>
      </c>
      <c r="AD123" s="140">
        <f>+_xlfn.XLOOKUP(PROYECTOS2[[#This Row],[MUNICIPIO]],'4.CAP_ENDMNT'!B:B,'4.CAP_ENDMNT'!K:K,0,0,1)</f>
        <v>20983464102.315498</v>
      </c>
      <c r="AE123" s="140">
        <f>+_xlfn.XLOOKUP(PROYECTOS2[[#This Row],[MUNICIPIO]],'4.CAP_ENDMNT'!B:B,'4.CAP_ENDMNT'!L:L,0,0,1)</f>
        <v>16786771281.8524</v>
      </c>
      <c r="AF123" s="140">
        <f>+_xlfn.XLOOKUP(PROYECTOS2[[#This Row],[MUNICIPIO]],'4.CAP_ENDMNT'!B:B,'4.CAP_ENDMNT'!M:M,0,0,1)</f>
        <v>12590078461.389299</v>
      </c>
      <c r="AG123" s="134">
        <f>+_xlfn.XLOOKUP(PROYECTOS2[[#This Row],[MUNICIPIO]],'4.CAP_ENDMNT'!B:B,'4.CAP_ENDMNT'!N:N,0,0,1)</f>
        <v>1</v>
      </c>
      <c r="AH123" s="134">
        <f>+_xlfn.XLOOKUP(PROYECTOS2[[#This Row],[MUNICIPIO]],'4.CAP_ENDMNT'!B:B,'4.CAP_ENDMNT'!O:O,0,0,1)</f>
        <v>0.38693852418292884</v>
      </c>
      <c r="AI123" s="134">
        <f>+_xlfn.XLOOKUP(PROYECTOS2[[#This Row],[MUNICIPIO]],'4.CAP_ENDMNT'!B:B,'4.CAP_ENDMNT'!P:P,0,0,1)</f>
        <v>0.8</v>
      </c>
      <c r="AJ123" s="44" t="str">
        <f>+_xlfn.XLOOKUP(PROYECTOS2[[#This Row],[MUNICIPIO]],'4.CAP_ENDMNT'!B:B,'4.CAP_ENDMNT'!Q:Q,0,0,1)</f>
        <v>Cumple</v>
      </c>
    </row>
    <row r="124" spans="1:36">
      <c r="A124" s="44">
        <v>135</v>
      </c>
      <c r="B124" s="37" t="s">
        <v>255</v>
      </c>
      <c r="C124" s="118">
        <f>+_xlfn.XLOOKUP(PROYECTOS2[[#This Row],[ID_NECESIDAD]],'1.RADICADOS'!G:G,'1.RADICADOS'!C:C,0,0,1)*1</f>
        <v>45639</v>
      </c>
      <c r="D124" s="46" t="s">
        <v>35</v>
      </c>
      <c r="E124" s="47" t="str">
        <f>+_xlfn.XLOOKUP(PROYECTOS2[[#This Row],[MUNICIPIO]],MUNICIPIOS!A:A,MUNICIPIOS!E:E,0,0,1)</f>
        <v>Norte</v>
      </c>
      <c r="F124" s="44" t="e" cm="1">
        <f t="array" ref="F124">+_xlfn.XLOOKUP(PROYECTOS2[[#This Row],[MUNICIPIO]],Table1[Municipio],MUNICIPIOS!F:F,0,0,1)</f>
        <v>#VALUE!</v>
      </c>
      <c r="G124" s="44" t="str">
        <f>+LOOKUP(PROYECTOS2[[#This Row],[MUNICIPIO]],Table1[Municipio],Table1[Latitud])</f>
        <v>6,394348</v>
      </c>
      <c r="H124" s="44">
        <f>+LOOKUP(PROYECTOS2[[#This Row],[MUNICIPIO]],Table1[Municipio],Table1[PDET])</f>
        <v>0</v>
      </c>
      <c r="I124" s="44">
        <f>+LOOKUP(PROYECTOS2[[#This Row],[MUNICIPIO]],Table1[Municipio],Table1[ZOMAC])</f>
        <v>1</v>
      </c>
      <c r="J124" s="3" t="str" cm="1">
        <f t="array" ref="J124">_xlfn.TEXTJOIN(", ", TRUE, IF(radicados[ID PROYECTOS]=A124, radicados[RADICADO], ""))</f>
        <v>2024010435914</v>
      </c>
      <c r="K124" s="45">
        <v>3</v>
      </c>
      <c r="L124" s="45"/>
      <c r="M124" s="43"/>
      <c r="N124" s="48">
        <v>2405517156</v>
      </c>
      <c r="O124" s="48"/>
      <c r="P124" s="48"/>
      <c r="Q124" s="148" t="s">
        <v>1067</v>
      </c>
      <c r="R124" s="34" t="s">
        <v>396</v>
      </c>
      <c r="S124" s="40" t="s">
        <v>394</v>
      </c>
      <c r="T124" s="40" t="s">
        <v>18</v>
      </c>
      <c r="U124" s="37"/>
      <c r="V124" s="44">
        <f>+_xlfn.XLOOKUP(PROYECTOS2[[#This Row],[MUNICIPIO]],'4.CAP_ENDMNT'!B:B,'4.CAP_ENDMNT'!C:C,0,0,1)</f>
        <v>6</v>
      </c>
      <c r="W124" s="139">
        <f>+_xlfn.XLOOKUP(PROYECTOS2[[#This Row],[MUNICIPIO]],'4.CAP_ENDMNT'!B:B,'4.CAP_ENDMNT'!D:D,0,0,1)</f>
        <v>24529039369.539501</v>
      </c>
      <c r="X124" s="140">
        <f>+_xlfn.XLOOKUP(PROYECTOS2[[#This Row],[MUNICIPIO]],'4.CAP_ENDMNT'!B:B,'4.CAP_ENDMNT'!E:E,0,0,1)</f>
        <v>8973012363.6700001</v>
      </c>
      <c r="Y124" s="140">
        <f>+_xlfn.XLOOKUP(PROYECTOS2[[#This Row],[MUNICIPIO]],'4.CAP_ENDMNT'!B:B,'4.CAP_ENDMNT'!F:F,0,0,1)</f>
        <v>15556027005.869501</v>
      </c>
      <c r="Z124" s="140">
        <f>+_xlfn.XLOOKUP(PROYECTOS2[[#This Row],[MUNICIPIO]],'4.CAP_ENDMNT'!B:B,'4.CAP_ENDMNT'!G:G,0,0,1)</f>
        <v>7973050390</v>
      </c>
      <c r="AA124" s="140">
        <f>+_xlfn.XLOOKUP(PROYECTOS2[[#This Row],[MUNICIPIO]],'4.CAP_ENDMNT'!B:B,'4.CAP_ENDMNT'!H:H,0,0,1)</f>
        <v>1625381984</v>
      </c>
      <c r="AB124" s="140">
        <f>+_xlfn.XLOOKUP(PROYECTOS2[[#This Row],[MUNICIPIO]],'4.CAP_ENDMNT'!B:B,'4.CAP_ENDMNT'!I:I,0,0,1)</f>
        <v>9598432374</v>
      </c>
      <c r="AC124" s="134">
        <f>+_xlfn.XLOOKUP(PROYECTOS2[[#This Row],[MUNICIPIO]],'4.CAP_ENDMNT'!B:B,'4.CAP_ENDMNT'!J:J,0,0,1)</f>
        <v>0.39130893914742809</v>
      </c>
      <c r="AD124" s="140">
        <f>+_xlfn.XLOOKUP(PROYECTOS2[[#This Row],[MUNICIPIO]],'4.CAP_ENDMNT'!B:B,'4.CAP_ENDMNT'!K:K,0,0,1)</f>
        <v>14930606995.539501</v>
      </c>
      <c r="AE124" s="140">
        <f>+_xlfn.XLOOKUP(PROYECTOS2[[#This Row],[MUNICIPIO]],'4.CAP_ENDMNT'!B:B,'4.CAP_ENDMNT'!L:L,0,0,1)</f>
        <v>11944485596.431602</v>
      </c>
      <c r="AF124" s="140">
        <f>+_xlfn.XLOOKUP(PROYECTOS2[[#This Row],[MUNICIPIO]],'4.CAP_ENDMNT'!B:B,'4.CAP_ENDMNT'!M:M,0,0,1)</f>
        <v>8958364197.3237</v>
      </c>
      <c r="AG124" s="134">
        <f>+_xlfn.XLOOKUP(PROYECTOS2[[#This Row],[MUNICIPIO]],'4.CAP_ENDMNT'!B:B,'4.CAP_ENDMNT'!N:N,0,0,1)</f>
        <v>0.83066172467883448</v>
      </c>
      <c r="AH124" s="134">
        <f>+_xlfn.XLOOKUP(PROYECTOS2[[#This Row],[MUNICIPIO]],'4.CAP_ENDMNT'!B:B,'4.CAP_ENDMNT'!O:O,0,0,1)</f>
        <v>0.53024343717246458</v>
      </c>
      <c r="AI124" s="134">
        <f>+_xlfn.XLOOKUP(PROYECTOS2[[#This Row],[MUNICIPIO]],'4.CAP_ENDMNT'!B:B,'4.CAP_ENDMNT'!P:P,0,0,1)</f>
        <v>0.8</v>
      </c>
      <c r="AJ124" s="44" t="str">
        <f>+_xlfn.XLOOKUP(PROYECTOS2[[#This Row],[MUNICIPIO]],'4.CAP_ENDMNT'!B:B,'4.CAP_ENDMNT'!Q:Q,0,0,1)</f>
        <v>Cumple</v>
      </c>
    </row>
    <row r="125" spans="1:36">
      <c r="A125" s="44">
        <v>136</v>
      </c>
      <c r="B125" s="37" t="s">
        <v>257</v>
      </c>
      <c r="C125" s="118">
        <f>+_xlfn.XLOOKUP(PROYECTOS2[[#This Row],[ID_NECESIDAD]],'1.RADICADOS'!G:G,'1.RADICADOS'!C:C,0,0,1)*1</f>
        <v>45559</v>
      </c>
      <c r="D125" s="46" t="s">
        <v>256</v>
      </c>
      <c r="E125" s="47" t="str">
        <f>+_xlfn.XLOOKUP(PROYECTOS2[[#This Row],[MUNICIPIO]],MUNICIPIOS!A:A,MUNICIPIOS!E:E,0,0,1)</f>
        <v>Occidente</v>
      </c>
      <c r="F125" s="44" t="e" cm="1">
        <f t="array" ref="F125">+_xlfn.XLOOKUP(PROYECTOS2[[#This Row],[MUNICIPIO]],Table1[Municipio],MUNICIPIOS!F:F,0,0,1)</f>
        <v>#VALUE!</v>
      </c>
      <c r="G125" s="44" t="str">
        <f>+LOOKUP(PROYECTOS2[[#This Row],[MUNICIPIO]],Table1[Municipio],Table1[Latitud])</f>
        <v>6,136871</v>
      </c>
      <c r="H125" s="44">
        <f>+LOOKUP(PROYECTOS2[[#This Row],[MUNICIPIO]],Table1[Municipio],Table1[PDET])</f>
        <v>0</v>
      </c>
      <c r="I125" s="44">
        <f>+LOOKUP(PROYECTOS2[[#This Row],[MUNICIPIO]],Table1[Municipio],Table1[ZOMAC])</f>
        <v>0</v>
      </c>
      <c r="J125" s="3" t="str" cm="1">
        <f t="array" ref="J125">_xlfn.TEXTJOIN(", ", TRUE, IF(radicados[ID PROYECTOS]=A125, radicados[RADICADO], ""))</f>
        <v>2024010435573</v>
      </c>
      <c r="K125" s="45">
        <v>3</v>
      </c>
      <c r="L125" s="45"/>
      <c r="M125" s="43"/>
      <c r="N125" s="48">
        <v>18933645714</v>
      </c>
      <c r="O125" s="48"/>
      <c r="P125" s="48"/>
      <c r="Q125" s="148" t="s">
        <v>1067</v>
      </c>
      <c r="R125" s="34" t="s">
        <v>396</v>
      </c>
      <c r="S125" s="40" t="s">
        <v>397</v>
      </c>
      <c r="T125" s="40" t="s">
        <v>56</v>
      </c>
      <c r="U125" s="37"/>
      <c r="V125" s="44">
        <f>+_xlfn.XLOOKUP(PROYECTOS2[[#This Row],[MUNICIPIO]],'4.CAP_ENDMNT'!B:B,'4.CAP_ENDMNT'!C:C,0,0,1)</f>
        <v>6</v>
      </c>
      <c r="W125" s="139">
        <f>+_xlfn.XLOOKUP(PROYECTOS2[[#This Row],[MUNICIPIO]],'4.CAP_ENDMNT'!B:B,'4.CAP_ENDMNT'!D:D,0,0,1)</f>
        <v>15502017167.017002</v>
      </c>
      <c r="X125" s="140">
        <f>+_xlfn.XLOOKUP(PROYECTOS2[[#This Row],[MUNICIPIO]],'4.CAP_ENDMNT'!B:B,'4.CAP_ENDMNT'!E:E,0,0,1)</f>
        <v>4560047682.8000002</v>
      </c>
      <c r="Y125" s="140">
        <f>+_xlfn.XLOOKUP(PROYECTOS2[[#This Row],[MUNICIPIO]],'4.CAP_ENDMNT'!B:B,'4.CAP_ENDMNT'!F:F,0,0,1)</f>
        <v>10941969484.217003</v>
      </c>
      <c r="Z125" s="140">
        <f>+_xlfn.XLOOKUP(PROYECTOS2[[#This Row],[MUNICIPIO]],'4.CAP_ENDMNT'!B:B,'4.CAP_ENDMNT'!G:G,0,0,1)</f>
        <v>1591148139</v>
      </c>
      <c r="AA125" s="140">
        <f>+_xlfn.XLOOKUP(PROYECTOS2[[#This Row],[MUNICIPIO]],'4.CAP_ENDMNT'!B:B,'4.CAP_ENDMNT'!H:H,0,0,1)</f>
        <v>1671853559</v>
      </c>
      <c r="AB125" s="140">
        <f>+_xlfn.XLOOKUP(PROYECTOS2[[#This Row],[MUNICIPIO]],'4.CAP_ENDMNT'!B:B,'4.CAP_ENDMNT'!I:I,0,0,1)</f>
        <v>3263001698</v>
      </c>
      <c r="AC125" s="134">
        <f>+_xlfn.XLOOKUP(PROYECTOS2[[#This Row],[MUNICIPIO]],'4.CAP_ENDMNT'!B:B,'4.CAP_ENDMNT'!J:J,0,0,1)</f>
        <v>0.2104888456027873</v>
      </c>
      <c r="AD125" s="140">
        <f>+_xlfn.XLOOKUP(PROYECTOS2[[#This Row],[MUNICIPIO]],'4.CAP_ENDMNT'!B:B,'4.CAP_ENDMNT'!K:K,0,0,1)</f>
        <v>12239015469.017002</v>
      </c>
      <c r="AE125" s="140">
        <f>+_xlfn.XLOOKUP(PROYECTOS2[[#This Row],[MUNICIPIO]],'4.CAP_ENDMNT'!B:B,'4.CAP_ENDMNT'!L:L,0,0,1)</f>
        <v>9791212375.2136021</v>
      </c>
      <c r="AF125" s="140">
        <f>+_xlfn.XLOOKUP(PROYECTOS2[[#This Row],[MUNICIPIO]],'4.CAP_ENDMNT'!B:B,'4.CAP_ENDMNT'!M:M,0,0,1)</f>
        <v>7343409281.4102011</v>
      </c>
      <c r="AG125" s="134">
        <f>+_xlfn.XLOOKUP(PROYECTOS2[[#This Row],[MUNICIPIO]],'4.CAP_ENDMNT'!B:B,'4.CAP_ENDMNT'!N:N,0,0,1)</f>
        <v>0.4876332549796914</v>
      </c>
      <c r="AH125" s="134">
        <f>+_xlfn.XLOOKUP(PROYECTOS2[[#This Row],[MUNICIPIO]],'4.CAP_ENDMNT'!B:B,'4.CAP_ENDMNT'!O:O,0,0,1)</f>
        <v>0.42560105953702715</v>
      </c>
      <c r="AI125" s="134">
        <f>+_xlfn.XLOOKUP(PROYECTOS2[[#This Row],[MUNICIPIO]],'4.CAP_ENDMNT'!B:B,'4.CAP_ENDMNT'!P:P,0,0,1)</f>
        <v>0.8</v>
      </c>
      <c r="AJ125" s="44" t="str">
        <f>+_xlfn.XLOOKUP(PROYECTOS2[[#This Row],[MUNICIPIO]],'4.CAP_ENDMNT'!B:B,'4.CAP_ENDMNT'!Q:Q,0,0,1)</f>
        <v>Cumple</v>
      </c>
    </row>
    <row r="126" spans="1:36">
      <c r="A126" s="44">
        <v>137</v>
      </c>
      <c r="B126" s="37" t="s">
        <v>259</v>
      </c>
      <c r="C126" s="118">
        <f>+_xlfn.XLOOKUP(PROYECTOS2[[#This Row],[ID_NECESIDAD]],'1.RADICADOS'!G:G,'1.RADICADOS'!C:C,0,0,1)*1</f>
        <v>45559</v>
      </c>
      <c r="D126" s="46" t="s">
        <v>258</v>
      </c>
      <c r="E126" s="47" t="str">
        <f>+_xlfn.XLOOKUP(PROYECTOS2[[#This Row],[MUNICIPIO]],MUNICIPIOS!A:A,MUNICIPIOS!E:E,0,0,1)</f>
        <v>Urabá</v>
      </c>
      <c r="F126" s="44" t="e" cm="1">
        <f t="array" ref="F126">+_xlfn.XLOOKUP(PROYECTOS2[[#This Row],[MUNICIPIO]],Table1[Municipio],MUNICIPIOS!F:F,0,0,1)</f>
        <v>#VALUE!</v>
      </c>
      <c r="G126" s="44" t="str">
        <f>+LOOKUP(PROYECTOS2[[#This Row],[MUNICIPIO]],Table1[Municipio],Table1[Latitud])</f>
        <v>5,946313</v>
      </c>
      <c r="H126" s="44">
        <f>+LOOKUP(PROYECTOS2[[#This Row],[MUNICIPIO]],Table1[Municipio],Table1[PDET])</f>
        <v>0</v>
      </c>
      <c r="I126" s="44">
        <f>+LOOKUP(PROYECTOS2[[#This Row],[MUNICIPIO]],Table1[Municipio],Table1[ZOMAC])</f>
        <v>1</v>
      </c>
      <c r="J126" s="3" t="str" cm="1">
        <f t="array" ref="J126">_xlfn.TEXTJOIN(", ", TRUE, IF(radicados[ID PROYECTOS]=A126, radicados[RADICADO], ""))</f>
        <v>2024010432919</v>
      </c>
      <c r="K126" s="45">
        <v>2</v>
      </c>
      <c r="L126" s="45"/>
      <c r="M126" s="43"/>
      <c r="N126" s="48"/>
      <c r="O126" s="48"/>
      <c r="P126" s="48"/>
      <c r="Q126" s="148" t="s">
        <v>1067</v>
      </c>
      <c r="R126" s="34" t="s">
        <v>428</v>
      </c>
      <c r="S126" s="40" t="s">
        <v>394</v>
      </c>
      <c r="T126" s="40" t="s">
        <v>18</v>
      </c>
      <c r="U126" s="37"/>
      <c r="V126" s="44">
        <f>+_xlfn.XLOOKUP(PROYECTOS2[[#This Row],[MUNICIPIO]],'4.CAP_ENDMNT'!B:B,'4.CAP_ENDMNT'!C:C,0,0,1)</f>
        <v>6</v>
      </c>
      <c r="W126" s="139">
        <f>+_xlfn.XLOOKUP(PROYECTOS2[[#This Row],[MUNICIPIO]],'4.CAP_ENDMNT'!B:B,'4.CAP_ENDMNT'!D:D,0,0,1)</f>
        <v>17114409570.042</v>
      </c>
      <c r="X126" s="140">
        <f>+_xlfn.XLOOKUP(PROYECTOS2[[#This Row],[MUNICIPIO]],'4.CAP_ENDMNT'!B:B,'4.CAP_ENDMNT'!E:E,0,0,1)</f>
        <v>5233556503.5699997</v>
      </c>
      <c r="Y126" s="140">
        <f>+_xlfn.XLOOKUP(PROYECTOS2[[#This Row],[MUNICIPIO]],'4.CAP_ENDMNT'!B:B,'4.CAP_ENDMNT'!F:F,0,0,1)</f>
        <v>11880853066.472</v>
      </c>
      <c r="Z126" s="140">
        <f>+_xlfn.XLOOKUP(PROYECTOS2[[#This Row],[MUNICIPIO]],'4.CAP_ENDMNT'!B:B,'4.CAP_ENDMNT'!G:G,0,0,1)</f>
        <v>690572471</v>
      </c>
      <c r="AA126" s="140">
        <f>+_xlfn.XLOOKUP(PROYECTOS2[[#This Row],[MUNICIPIO]],'4.CAP_ENDMNT'!B:B,'4.CAP_ENDMNT'!H:H,0,0,1)</f>
        <v>0</v>
      </c>
      <c r="AB126" s="140">
        <f>+_xlfn.XLOOKUP(PROYECTOS2[[#This Row],[MUNICIPIO]],'4.CAP_ENDMNT'!B:B,'4.CAP_ENDMNT'!I:I,0,0,1)</f>
        <v>690572471</v>
      </c>
      <c r="AC126" s="134">
        <f>+_xlfn.XLOOKUP(PROYECTOS2[[#This Row],[MUNICIPIO]],'4.CAP_ENDMNT'!B:B,'4.CAP_ENDMNT'!J:J,0,0,1)</f>
        <v>4.0350353202298947E-2</v>
      </c>
      <c r="AD126" s="140">
        <f>+_xlfn.XLOOKUP(PROYECTOS2[[#This Row],[MUNICIPIO]],'4.CAP_ENDMNT'!B:B,'4.CAP_ENDMNT'!K:K,0,0,1)</f>
        <v>16423837099.042</v>
      </c>
      <c r="AE126" s="140">
        <f>+_xlfn.XLOOKUP(PROYECTOS2[[#This Row],[MUNICIPIO]],'4.CAP_ENDMNT'!B:B,'4.CAP_ENDMNT'!L:L,0,0,1)</f>
        <v>13139069679.233601</v>
      </c>
      <c r="AF126" s="140">
        <f>+_xlfn.XLOOKUP(PROYECTOS2[[#This Row],[MUNICIPIO]],'4.CAP_ENDMNT'!B:B,'4.CAP_ENDMNT'!M:M,0,0,1)</f>
        <v>9854302259.4251995</v>
      </c>
      <c r="AG126" s="134">
        <f>+_xlfn.XLOOKUP(PROYECTOS2[[#This Row],[MUNICIPIO]],'4.CAP_ENDMNT'!B:B,'4.CAP_ENDMNT'!N:N,0,0,1)</f>
        <v>1</v>
      </c>
      <c r="AH126" s="134">
        <f>+_xlfn.XLOOKUP(PROYECTOS2[[#This Row],[MUNICIPIO]],'4.CAP_ENDMNT'!B:B,'4.CAP_ENDMNT'!O:O,0,0,1)</f>
        <v>0.61563469645402102</v>
      </c>
      <c r="AI126" s="134">
        <f>+_xlfn.XLOOKUP(PROYECTOS2[[#This Row],[MUNICIPIO]],'4.CAP_ENDMNT'!B:B,'4.CAP_ENDMNT'!P:P,0,0,1)</f>
        <v>0.8</v>
      </c>
      <c r="AJ126" s="44" t="str">
        <f>+_xlfn.XLOOKUP(PROYECTOS2[[#This Row],[MUNICIPIO]],'4.CAP_ENDMNT'!B:B,'4.CAP_ENDMNT'!Q:Q,0,0,1)</f>
        <v>Cumple</v>
      </c>
    </row>
    <row r="127" spans="1:36">
      <c r="A127" s="44">
        <v>138</v>
      </c>
      <c r="B127" s="37" t="s">
        <v>261</v>
      </c>
      <c r="C127" s="118">
        <f>+_xlfn.XLOOKUP(PROYECTOS2[[#This Row],[ID_NECESIDAD]],'1.RADICADOS'!G:G,'1.RADICADOS'!C:C,0,0,1)*1</f>
        <v>45558</v>
      </c>
      <c r="D127" s="46" t="s">
        <v>260</v>
      </c>
      <c r="E127" s="47" t="str">
        <f>+_xlfn.XLOOKUP(PROYECTOS2[[#This Row],[MUNICIPIO]],MUNICIPIOS!A:A,MUNICIPIOS!E:E,0,0,1)</f>
        <v>Occidente</v>
      </c>
      <c r="F127" s="44" t="e" cm="1">
        <f t="array" ref="F127">+_xlfn.XLOOKUP(PROYECTOS2[[#This Row],[MUNICIPIO]],Table1[Municipio],MUNICIPIOS!F:F,0,0,1)</f>
        <v>#VALUE!</v>
      </c>
      <c r="G127" s="44" t="str">
        <f>+LOOKUP(PROYECTOS2[[#This Row],[MUNICIPIO]],Table1[Municipio],Table1[Latitud])</f>
        <v>6,149903</v>
      </c>
      <c r="H127" s="44">
        <f>+LOOKUP(PROYECTOS2[[#This Row],[MUNICIPIO]],Table1[Municipio],Table1[PDET])</f>
        <v>0</v>
      </c>
      <c r="I127" s="44">
        <f>+LOOKUP(PROYECTOS2[[#This Row],[MUNICIPIO]],Table1[Municipio],Table1[ZOMAC])</f>
        <v>0</v>
      </c>
      <c r="J127" s="3" t="str" cm="1">
        <f t="array" ref="J127">_xlfn.TEXTJOIN(", ", TRUE, IF(radicados[ID PROYECTOS]=A127, radicados[RADICADO], ""))</f>
        <v>2024010575497</v>
      </c>
      <c r="K127" s="45">
        <v>3</v>
      </c>
      <c r="L127" s="45"/>
      <c r="M127" s="43"/>
      <c r="N127" s="48">
        <v>1958822896</v>
      </c>
      <c r="O127" s="48"/>
      <c r="P127" s="48"/>
      <c r="Q127" s="148" t="s">
        <v>1067</v>
      </c>
      <c r="R127" s="34" t="s">
        <v>396</v>
      </c>
      <c r="S127" s="34" t="s">
        <v>394</v>
      </c>
      <c r="T127" s="34" t="s">
        <v>18</v>
      </c>
      <c r="U127" s="37"/>
      <c r="V127" s="44">
        <f>+_xlfn.XLOOKUP(PROYECTOS2[[#This Row],[MUNICIPIO]],'4.CAP_ENDMNT'!B:B,'4.CAP_ENDMNT'!C:C,0,0,1)</f>
        <v>6</v>
      </c>
      <c r="W127" s="139">
        <f>+_xlfn.XLOOKUP(PROYECTOS2[[#This Row],[MUNICIPIO]],'4.CAP_ENDMNT'!B:B,'4.CAP_ENDMNT'!D:D,0,0,1)</f>
        <v>9683475507.1875</v>
      </c>
      <c r="X127" s="140">
        <f>+_xlfn.XLOOKUP(PROYECTOS2[[#This Row],[MUNICIPIO]],'4.CAP_ENDMNT'!B:B,'4.CAP_ENDMNT'!E:E,0,0,1)</f>
        <v>3083007311.46</v>
      </c>
      <c r="Y127" s="140">
        <f>+_xlfn.XLOOKUP(PROYECTOS2[[#This Row],[MUNICIPIO]],'4.CAP_ENDMNT'!B:B,'4.CAP_ENDMNT'!F:F,0,0,1)</f>
        <v>6600468195.7275</v>
      </c>
      <c r="Z127" s="140">
        <f>+_xlfn.XLOOKUP(PROYECTOS2[[#This Row],[MUNICIPIO]],'4.CAP_ENDMNT'!B:B,'4.CAP_ENDMNT'!G:G,0,0,1)</f>
        <v>178661475</v>
      </c>
      <c r="AA127" s="140">
        <f>+_xlfn.XLOOKUP(PROYECTOS2[[#This Row],[MUNICIPIO]],'4.CAP_ENDMNT'!B:B,'4.CAP_ENDMNT'!H:H,0,0,1)</f>
        <v>2978048806</v>
      </c>
      <c r="AB127" s="140">
        <f>+_xlfn.XLOOKUP(PROYECTOS2[[#This Row],[MUNICIPIO]],'4.CAP_ENDMNT'!B:B,'4.CAP_ENDMNT'!I:I,0,0,1)</f>
        <v>3156710281</v>
      </c>
      <c r="AC127" s="134">
        <f>+_xlfn.XLOOKUP(PROYECTOS2[[#This Row],[MUNICIPIO]],'4.CAP_ENDMNT'!B:B,'4.CAP_ENDMNT'!J:J,0,0,1)</f>
        <v>0.32598939075716682</v>
      </c>
      <c r="AD127" s="140">
        <f>+_xlfn.XLOOKUP(PROYECTOS2[[#This Row],[MUNICIPIO]],'4.CAP_ENDMNT'!B:B,'4.CAP_ENDMNT'!K:K,0,0,1)</f>
        <v>6526765226.1875</v>
      </c>
      <c r="AE127" s="140">
        <f>+_xlfn.XLOOKUP(PROYECTOS2[[#This Row],[MUNICIPIO]],'4.CAP_ENDMNT'!B:B,'4.CAP_ENDMNT'!L:L,0,0,1)</f>
        <v>5221412180.9500008</v>
      </c>
      <c r="AF127" s="140">
        <f>+_xlfn.XLOOKUP(PROYECTOS2[[#This Row],[MUNICIPIO]],'4.CAP_ENDMNT'!B:B,'4.CAP_ENDMNT'!M:M,0,0,1)</f>
        <v>3916059135.7124996</v>
      </c>
      <c r="AG127" s="134">
        <f>+_xlfn.XLOOKUP(PROYECTOS2[[#This Row],[MUNICIPIO]],'4.CAP_ENDMNT'!B:B,'4.CAP_ENDMNT'!N:N,0,0,1)</f>
        <v>5.6597362157480804E-2</v>
      </c>
      <c r="AH127" s="134">
        <f>+_xlfn.XLOOKUP(PROYECTOS2[[#This Row],[MUNICIPIO]],'4.CAP_ENDMNT'!B:B,'4.CAP_ENDMNT'!O:O,0,0,1)</f>
        <v>0.64507007180798703</v>
      </c>
      <c r="AI127" s="134">
        <f>+_xlfn.XLOOKUP(PROYECTOS2[[#This Row],[MUNICIPIO]],'4.CAP_ENDMNT'!B:B,'4.CAP_ENDMNT'!P:P,0,0,1)</f>
        <v>0.8</v>
      </c>
      <c r="AJ127" s="44" t="str">
        <f>+_xlfn.XLOOKUP(PROYECTOS2[[#This Row],[MUNICIPIO]],'4.CAP_ENDMNT'!B:B,'4.CAP_ENDMNT'!Q:Q,0,0,1)</f>
        <v>Cumple</v>
      </c>
    </row>
    <row r="128" spans="1:36">
      <c r="A128" s="44">
        <v>140</v>
      </c>
      <c r="B128" s="37" t="s">
        <v>263</v>
      </c>
      <c r="C128" s="118">
        <f>+_xlfn.XLOOKUP(PROYECTOS2[[#This Row],[ID_NECESIDAD]],'1.RADICADOS'!G:G,'1.RADICADOS'!C:C,0,0,1)*1</f>
        <v>45552</v>
      </c>
      <c r="D128" s="46" t="s">
        <v>11</v>
      </c>
      <c r="E128" s="47" t="str">
        <f>+_xlfn.XLOOKUP(PROYECTOS2[[#This Row],[MUNICIPIO]],MUNICIPIOS!A:A,MUNICIPIOS!E:E,0,0,1)</f>
        <v>Magdalena Medio</v>
      </c>
      <c r="F128" s="44" t="e" cm="1">
        <f t="array" ref="F128">+_xlfn.XLOOKUP(PROYECTOS2[[#This Row],[MUNICIPIO]],Table1[Municipio],MUNICIPIOS!F:F,0,0,1)</f>
        <v>#VALUE!</v>
      </c>
      <c r="G128" s="44" t="str">
        <f>+LOOKUP(PROYECTOS2[[#This Row],[MUNICIPIO]],Table1[Municipio],Table1[Latitud])</f>
        <v>6,246631</v>
      </c>
      <c r="H128" s="44">
        <f>+LOOKUP(PROYECTOS2[[#This Row],[MUNICIPIO]],Table1[Municipio],Table1[PDET])</f>
        <v>0</v>
      </c>
      <c r="I128" s="44">
        <f>+LOOKUP(PROYECTOS2[[#This Row],[MUNICIPIO]],Table1[Municipio],Table1[ZOMAC])</f>
        <v>0</v>
      </c>
      <c r="J128" s="3" t="str" cm="1">
        <f t="array" ref="J128">_xlfn.TEXTJOIN(", ", TRUE, IF(radicados[ID PROYECTOS]=A128, radicados[RADICADO], ""))</f>
        <v>2024010569315</v>
      </c>
      <c r="K128" s="45">
        <v>3</v>
      </c>
      <c r="L128" s="45"/>
      <c r="M128" s="43"/>
      <c r="N128" s="48">
        <v>180000000</v>
      </c>
      <c r="O128" s="48"/>
      <c r="P128" s="48"/>
      <c r="Q128" s="148" t="s">
        <v>1067</v>
      </c>
      <c r="R128" s="34" t="s">
        <v>392</v>
      </c>
      <c r="S128" s="40"/>
      <c r="T128" s="40" t="s">
        <v>7</v>
      </c>
      <c r="U128" s="37"/>
      <c r="V128" s="44">
        <f>+_xlfn.XLOOKUP(PROYECTOS2[[#This Row],[MUNICIPIO]],'4.CAP_ENDMNT'!B:B,'4.CAP_ENDMNT'!C:C,0,0,1)</f>
        <v>6</v>
      </c>
      <c r="W128" s="139">
        <f>+_xlfn.XLOOKUP(PROYECTOS2[[#This Row],[MUNICIPIO]],'4.CAP_ENDMNT'!B:B,'4.CAP_ENDMNT'!D:D,0,0,1)</f>
        <v>22896432570.9105</v>
      </c>
      <c r="X128" s="140">
        <f>+_xlfn.XLOOKUP(PROYECTOS2[[#This Row],[MUNICIPIO]],'4.CAP_ENDMNT'!B:B,'4.CAP_ENDMNT'!E:E,0,0,1)</f>
        <v>6514105665.9899998</v>
      </c>
      <c r="Y128" s="140">
        <f>+_xlfn.XLOOKUP(PROYECTOS2[[#This Row],[MUNICIPIO]],'4.CAP_ENDMNT'!B:B,'4.CAP_ENDMNT'!F:F,0,0,1)</f>
        <v>16382326904.9205</v>
      </c>
      <c r="Z128" s="140">
        <f>+_xlfn.XLOOKUP(PROYECTOS2[[#This Row],[MUNICIPIO]],'4.CAP_ENDMNT'!B:B,'4.CAP_ENDMNT'!G:G,0,0,1)</f>
        <v>15087488121</v>
      </c>
      <c r="AA128" s="140">
        <f>+_xlfn.XLOOKUP(PROYECTOS2[[#This Row],[MUNICIPIO]],'4.CAP_ENDMNT'!B:B,'4.CAP_ENDMNT'!H:H,0,0,1)</f>
        <v>152370595</v>
      </c>
      <c r="AB128" s="140">
        <f>+_xlfn.XLOOKUP(PROYECTOS2[[#This Row],[MUNICIPIO]],'4.CAP_ENDMNT'!B:B,'4.CAP_ENDMNT'!I:I,0,0,1)</f>
        <v>15239858716</v>
      </c>
      <c r="AC128" s="134">
        <f>+_xlfn.XLOOKUP(PROYECTOS2[[#This Row],[MUNICIPIO]],'4.CAP_ENDMNT'!B:B,'4.CAP_ENDMNT'!J:J,0,0,1)</f>
        <v>0.66559970287082904</v>
      </c>
      <c r="AD128" s="140">
        <f>+_xlfn.XLOOKUP(PROYECTOS2[[#This Row],[MUNICIPIO]],'4.CAP_ENDMNT'!B:B,'4.CAP_ENDMNT'!K:K,0,0,1)</f>
        <v>7656573854.9104996</v>
      </c>
      <c r="AE128" s="140">
        <f>+_xlfn.XLOOKUP(PROYECTOS2[[#This Row],[MUNICIPIO]],'4.CAP_ENDMNT'!B:B,'4.CAP_ENDMNT'!L:L,0,0,1)</f>
        <v>6125259083.9284</v>
      </c>
      <c r="AF128" s="140">
        <f>+_xlfn.XLOOKUP(PROYECTOS2[[#This Row],[MUNICIPIO]],'4.CAP_ENDMNT'!B:B,'4.CAP_ENDMNT'!M:M,0,0,1)</f>
        <v>4593944312.9462996</v>
      </c>
      <c r="AG128" s="134">
        <f>+_xlfn.XLOOKUP(PROYECTOS2[[#This Row],[MUNICIPIO]],'4.CAP_ENDMNT'!B:B,'4.CAP_ENDMNT'!N:N,0,0,1)</f>
        <v>0.99000183677293352</v>
      </c>
      <c r="AH128" s="134">
        <f>+_xlfn.XLOOKUP(PROYECTOS2[[#This Row],[MUNICIPIO]],'4.CAP_ENDMNT'!B:B,'4.CAP_ENDMNT'!O:O,0,0,1)</f>
        <v>0.53987925149269589</v>
      </c>
      <c r="AI128" s="134">
        <f>+_xlfn.XLOOKUP(PROYECTOS2[[#This Row],[MUNICIPIO]],'4.CAP_ENDMNT'!B:B,'4.CAP_ENDMNT'!P:P,0,0,1)</f>
        <v>0.8</v>
      </c>
      <c r="AJ128" s="44" t="str">
        <f>+_xlfn.XLOOKUP(PROYECTOS2[[#This Row],[MUNICIPIO]],'4.CAP_ENDMNT'!B:B,'4.CAP_ENDMNT'!Q:Q,0,0,1)</f>
        <v>Cumple</v>
      </c>
    </row>
    <row r="129" spans="1:36">
      <c r="A129" s="44">
        <v>141</v>
      </c>
      <c r="B129" s="37" t="s">
        <v>984</v>
      </c>
      <c r="C129" s="118">
        <f>+_xlfn.XLOOKUP(PROYECTOS2[[#This Row],[ID_NECESIDAD]],'1.RADICADOS'!G:G,'1.RADICADOS'!C:C,0,0,1)*1</f>
        <v>45394</v>
      </c>
      <c r="D129" s="46" t="s">
        <v>177</v>
      </c>
      <c r="E129" s="47" t="str">
        <f>+_xlfn.XLOOKUP(PROYECTOS2[[#This Row],[MUNICIPIO]],MUNICIPIOS!A:A,MUNICIPIOS!E:E,0,0,1)</f>
        <v>Oriente</v>
      </c>
      <c r="F129" s="44" t="e" cm="1">
        <f t="array" ref="F129">+_xlfn.XLOOKUP(PROYECTOS2[[#This Row],[MUNICIPIO]],Table1[Municipio],MUNICIPIOS!F:F,0,0,1)</f>
        <v>#VALUE!</v>
      </c>
      <c r="G129" s="44" t="str">
        <f>+LOOKUP(PROYECTOS2[[#This Row],[MUNICIPIO]],Table1[Municipio],Table1[Latitud])</f>
        <v>5,743808</v>
      </c>
      <c r="H129" s="44">
        <f>+LOOKUP(PROYECTOS2[[#This Row],[MUNICIPIO]],Table1[Municipio],Table1[PDET])</f>
        <v>0</v>
      </c>
      <c r="I129" s="44">
        <f>+LOOKUP(PROYECTOS2[[#This Row],[MUNICIPIO]],Table1[Municipio],Table1[ZOMAC])</f>
        <v>0</v>
      </c>
      <c r="J129" s="3" t="str" cm="1">
        <f t="array" ref="J129">_xlfn.TEXTJOIN(", ", TRUE, IF(radicados[ID PROYECTOS]=A129, radicados[RADICADO], ""))</f>
        <v>2024010572114</v>
      </c>
      <c r="K129" s="45">
        <v>3</v>
      </c>
      <c r="L129" s="45"/>
      <c r="M129" s="43"/>
      <c r="N129" s="48">
        <v>15180146478.83</v>
      </c>
      <c r="O129" s="48"/>
      <c r="P129" s="48"/>
      <c r="Q129" s="148" t="s">
        <v>1067</v>
      </c>
      <c r="R129" s="34" t="s">
        <v>429</v>
      </c>
      <c r="S129" s="40"/>
      <c r="T129" s="40" t="s">
        <v>7</v>
      </c>
      <c r="U129" s="37"/>
      <c r="V129" s="44">
        <f>+_xlfn.XLOOKUP(PROYECTOS2[[#This Row],[MUNICIPIO]],'4.CAP_ENDMNT'!B:B,'4.CAP_ENDMNT'!C:C,0,0,1)</f>
        <v>4</v>
      </c>
      <c r="W129" s="139">
        <f>+_xlfn.XLOOKUP(PROYECTOS2[[#This Row],[MUNICIPIO]],'4.CAP_ENDMNT'!B:B,'4.CAP_ENDMNT'!D:D,0,0,1)</f>
        <v>62016835956.019493</v>
      </c>
      <c r="X129" s="140">
        <f>+_xlfn.XLOOKUP(PROYECTOS2[[#This Row],[MUNICIPIO]],'4.CAP_ENDMNT'!B:B,'4.CAP_ENDMNT'!E:E,0,0,1)</f>
        <v>25368005936.310001</v>
      </c>
      <c r="Y129" s="140">
        <f>+_xlfn.XLOOKUP(PROYECTOS2[[#This Row],[MUNICIPIO]],'4.CAP_ENDMNT'!B:B,'4.CAP_ENDMNT'!F:F,0,0,1)</f>
        <v>36648830019.709488</v>
      </c>
      <c r="Z129" s="140">
        <f>+_xlfn.XLOOKUP(PROYECTOS2[[#This Row],[MUNICIPIO]],'4.CAP_ENDMNT'!B:B,'4.CAP_ENDMNT'!G:G,0,0,1)</f>
        <v>25635932166</v>
      </c>
      <c r="AA129" s="140">
        <f>+_xlfn.XLOOKUP(PROYECTOS2[[#This Row],[MUNICIPIO]],'4.CAP_ENDMNT'!B:B,'4.CAP_ENDMNT'!H:H,0,0,1)</f>
        <v>7522176280</v>
      </c>
      <c r="AB129" s="140">
        <f>+_xlfn.XLOOKUP(PROYECTOS2[[#This Row],[MUNICIPIO]],'4.CAP_ENDMNT'!B:B,'4.CAP_ENDMNT'!I:I,0,0,1)</f>
        <v>33158108446</v>
      </c>
      <c r="AC129" s="134">
        <f>+_xlfn.XLOOKUP(PROYECTOS2[[#This Row],[MUNICIPIO]],'4.CAP_ENDMNT'!B:B,'4.CAP_ENDMNT'!J:J,0,0,1)</f>
        <v>0.53466301424204787</v>
      </c>
      <c r="AD129" s="140">
        <f>+_xlfn.XLOOKUP(PROYECTOS2[[#This Row],[MUNICIPIO]],'4.CAP_ENDMNT'!B:B,'4.CAP_ENDMNT'!K:K,0,0,1)</f>
        <v>28858727510.019493</v>
      </c>
      <c r="AE129" s="140">
        <f>+_xlfn.XLOOKUP(PROYECTOS2[[#This Row],[MUNICIPIO]],'4.CAP_ENDMNT'!B:B,'4.CAP_ENDMNT'!L:L,0,0,1)</f>
        <v>23086982008.015594</v>
      </c>
      <c r="AF129" s="140">
        <f>+_xlfn.XLOOKUP(PROYECTOS2[[#This Row],[MUNICIPIO]],'4.CAP_ENDMNT'!B:B,'4.CAP_ENDMNT'!M:M,0,0,1)</f>
        <v>17315236506.011696</v>
      </c>
      <c r="AG129" s="134">
        <f>+_xlfn.XLOOKUP(PROYECTOS2[[#This Row],[MUNICIPIO]],'4.CAP_ENDMNT'!B:B,'4.CAP_ENDMNT'!N:N,0,0,1)</f>
        <v>0.77314217750839676</v>
      </c>
      <c r="AH129" s="134">
        <f>+_xlfn.XLOOKUP(PROYECTOS2[[#This Row],[MUNICIPIO]],'4.CAP_ENDMNT'!B:B,'4.CAP_ENDMNT'!O:O,0,0,1)</f>
        <v>0.52777286703387605</v>
      </c>
      <c r="AI129" s="134">
        <f>+_xlfn.XLOOKUP(PROYECTOS2[[#This Row],[MUNICIPIO]],'4.CAP_ENDMNT'!B:B,'4.CAP_ENDMNT'!P:P,0,0,1)</f>
        <v>0.8</v>
      </c>
      <c r="AJ129" s="44" t="str">
        <f>+_xlfn.XLOOKUP(PROYECTOS2[[#This Row],[MUNICIPIO]],'4.CAP_ENDMNT'!B:B,'4.CAP_ENDMNT'!Q:Q,0,0,1)</f>
        <v>Cumple</v>
      </c>
    </row>
    <row r="130" spans="1:36">
      <c r="A130" s="44">
        <v>142</v>
      </c>
      <c r="B130" s="37" t="s">
        <v>265</v>
      </c>
      <c r="C130" s="118">
        <f>+_xlfn.XLOOKUP(PROYECTOS2[[#This Row],[ID_NECESIDAD]],'1.RADICADOS'!G:G,'1.RADICADOS'!C:C,0,0,1)*1</f>
        <v>45577</v>
      </c>
      <c r="D130" s="46" t="s">
        <v>214</v>
      </c>
      <c r="E130" s="47" t="str">
        <f>+_xlfn.XLOOKUP(PROYECTOS2[[#This Row],[MUNICIPIO]],MUNICIPIOS!A:A,MUNICIPIOS!E:E,0,0,1)</f>
        <v>Occidente</v>
      </c>
      <c r="F130" s="44" t="e" cm="1">
        <f t="array" ref="F130">+_xlfn.XLOOKUP(PROYECTOS2[[#This Row],[MUNICIPIO]],Table1[Municipio],MUNICIPIOS!F:F,0,0,1)</f>
        <v>#VALUE!</v>
      </c>
      <c r="G130" s="44" t="str">
        <f>+LOOKUP(PROYECTOS2[[#This Row],[MUNICIPIO]],Table1[Municipio],Table1[Latitud])</f>
        <v>5,743808</v>
      </c>
      <c r="H130" s="44">
        <f>+LOOKUP(PROYECTOS2[[#This Row],[MUNICIPIO]],Table1[Municipio],Table1[PDET])</f>
        <v>0</v>
      </c>
      <c r="I130" s="44">
        <f>+LOOKUP(PROYECTOS2[[#This Row],[MUNICIPIO]],Table1[Municipio],Table1[ZOMAC])</f>
        <v>0</v>
      </c>
      <c r="J130" s="3" t="str" cm="1">
        <f t="array" ref="J130">_xlfn.TEXTJOIN(", ", TRUE, IF(radicados[ID PROYECTOS]=A130, radicados[RADICADO], ""))</f>
        <v>2024010596746, 2024010596745</v>
      </c>
      <c r="K130" s="45">
        <v>3</v>
      </c>
      <c r="L130" s="45"/>
      <c r="M130" s="43"/>
      <c r="N130" s="48"/>
      <c r="O130" s="48"/>
      <c r="P130" s="48"/>
      <c r="Q130" s="148" t="s">
        <v>1067</v>
      </c>
      <c r="R130" s="34" t="s">
        <v>288</v>
      </c>
      <c r="S130" s="34" t="s">
        <v>398</v>
      </c>
      <c r="T130" s="34" t="s">
        <v>25</v>
      </c>
      <c r="U130" s="37"/>
      <c r="V130" s="44">
        <f>+_xlfn.XLOOKUP(PROYECTOS2[[#This Row],[MUNICIPIO]],'4.CAP_ENDMNT'!B:B,'4.CAP_ENDMNT'!C:C,0,0,1)</f>
        <v>6</v>
      </c>
      <c r="W130" s="139">
        <f>+_xlfn.XLOOKUP(PROYECTOS2[[#This Row],[MUNICIPIO]],'4.CAP_ENDMNT'!B:B,'4.CAP_ENDMNT'!D:D,0,0,1)</f>
        <v>8030428413.9210014</v>
      </c>
      <c r="X130" s="140">
        <f>+_xlfn.XLOOKUP(PROYECTOS2[[#This Row],[MUNICIPIO]],'4.CAP_ENDMNT'!B:B,'4.CAP_ENDMNT'!E:E,0,0,1)</f>
        <v>3080588699.4500003</v>
      </c>
      <c r="Y130" s="140">
        <f>+_xlfn.XLOOKUP(PROYECTOS2[[#This Row],[MUNICIPIO]],'4.CAP_ENDMNT'!B:B,'4.CAP_ENDMNT'!F:F,0,0,1)</f>
        <v>4949839714.4710007</v>
      </c>
      <c r="Z130" s="140">
        <f>+_xlfn.XLOOKUP(PROYECTOS2[[#This Row],[MUNICIPIO]],'4.CAP_ENDMNT'!B:B,'4.CAP_ENDMNT'!G:G,0,0,1)</f>
        <v>1577607418.01</v>
      </c>
      <c r="AA130" s="140">
        <f>+_xlfn.XLOOKUP(PROYECTOS2[[#This Row],[MUNICIPIO]],'4.CAP_ENDMNT'!B:B,'4.CAP_ENDMNT'!H:H,0,0,1)</f>
        <v>1800000000</v>
      </c>
      <c r="AB130" s="140">
        <f>+_xlfn.XLOOKUP(PROYECTOS2[[#This Row],[MUNICIPIO]],'4.CAP_ENDMNT'!B:B,'4.CAP_ENDMNT'!I:I,0,0,1)</f>
        <v>3377607418.0100002</v>
      </c>
      <c r="AC130" s="134">
        <f>+_xlfn.XLOOKUP(PROYECTOS2[[#This Row],[MUNICIPIO]],'4.CAP_ENDMNT'!B:B,'4.CAP_ENDMNT'!J:J,0,0,1)</f>
        <v>0.42060114901900014</v>
      </c>
      <c r="AD130" s="140">
        <f>+_xlfn.XLOOKUP(PROYECTOS2[[#This Row],[MUNICIPIO]],'4.CAP_ENDMNT'!B:B,'4.CAP_ENDMNT'!K:K,0,0,1)</f>
        <v>4652820995.9110012</v>
      </c>
      <c r="AE130" s="140">
        <f>+_xlfn.XLOOKUP(PROYECTOS2[[#This Row],[MUNICIPIO]],'4.CAP_ENDMNT'!B:B,'4.CAP_ENDMNT'!L:L,0,0,1)</f>
        <v>3722256796.7288013</v>
      </c>
      <c r="AF130" s="140">
        <f>+_xlfn.XLOOKUP(PROYECTOS2[[#This Row],[MUNICIPIO]],'4.CAP_ENDMNT'!B:B,'4.CAP_ENDMNT'!M:M,0,0,1)</f>
        <v>2791692597.5466008</v>
      </c>
      <c r="AG130" s="134">
        <f>+_xlfn.XLOOKUP(PROYECTOS2[[#This Row],[MUNICIPIO]],'4.CAP_ENDMNT'!B:B,'4.CAP_ENDMNT'!N:N,0,0,1)</f>
        <v>0.46707838501239612</v>
      </c>
      <c r="AH130" s="134">
        <f>+_xlfn.XLOOKUP(PROYECTOS2[[#This Row],[MUNICIPIO]],'4.CAP_ENDMNT'!B:B,'4.CAP_ENDMNT'!O:O,0,0,1)</f>
        <v>0.73590701114566914</v>
      </c>
      <c r="AI130" s="134">
        <f>+_xlfn.XLOOKUP(PROYECTOS2[[#This Row],[MUNICIPIO]],'4.CAP_ENDMNT'!B:B,'4.CAP_ENDMNT'!P:P,0,0,1)</f>
        <v>0.8</v>
      </c>
      <c r="AJ130" s="44" t="str">
        <f>+_xlfn.XLOOKUP(PROYECTOS2[[#This Row],[MUNICIPIO]],'4.CAP_ENDMNT'!B:B,'4.CAP_ENDMNT'!Q:Q,0,0,1)</f>
        <v>Cumple</v>
      </c>
    </row>
    <row r="131" spans="1:36">
      <c r="A131" s="44">
        <v>144</v>
      </c>
      <c r="B131" s="37" t="s">
        <v>430</v>
      </c>
      <c r="C131" s="118">
        <f>+_xlfn.XLOOKUP(PROYECTOS2[[#This Row],[ID_NECESIDAD]],'1.RADICADOS'!G:G,'1.RADICADOS'!C:C,0,0,1)*1</f>
        <v>45644</v>
      </c>
      <c r="D131" s="46" t="s">
        <v>120</v>
      </c>
      <c r="E131" s="47" t="str">
        <f>+_xlfn.XLOOKUP(PROYECTOS2[[#This Row],[MUNICIPIO]],MUNICIPIOS!A:A,MUNICIPIOS!E:E,0,0,1)</f>
        <v>Norte</v>
      </c>
      <c r="F131" s="44" t="e" cm="1">
        <f t="array" ref="F131">+_xlfn.XLOOKUP(PROYECTOS2[[#This Row],[MUNICIPIO]],Table1[Municipio],MUNICIPIOS!F:F,0,0,1)</f>
        <v>#VALUE!</v>
      </c>
      <c r="G131" s="44" t="str">
        <f>+LOOKUP(PROYECTOS2[[#This Row],[MUNICIPIO]],Table1[Municipio],Table1[Latitud])</f>
        <v>6,149903</v>
      </c>
      <c r="H131" s="44">
        <f>+LOOKUP(PROYECTOS2[[#This Row],[MUNICIPIO]],Table1[Municipio],Table1[PDET])</f>
        <v>0</v>
      </c>
      <c r="I131" s="44">
        <f>+LOOKUP(PROYECTOS2[[#This Row],[MUNICIPIO]],Table1[Municipio],Table1[ZOMAC])</f>
        <v>0</v>
      </c>
      <c r="J131" s="3" t="str" cm="1">
        <f t="array" ref="J131">_xlfn.TEXTJOIN(", ", TRUE, IF(radicados[ID PROYECTOS]=A131, radicados[RADICADO], ""))</f>
        <v>2025010011836</v>
      </c>
      <c r="K131" s="45">
        <v>3</v>
      </c>
      <c r="L131" s="45"/>
      <c r="M131" s="43" t="s">
        <v>179</v>
      </c>
      <c r="N131" s="48">
        <v>5541310263</v>
      </c>
      <c r="O131" s="48"/>
      <c r="P131" s="48"/>
      <c r="Q131" s="148" t="s">
        <v>1067</v>
      </c>
      <c r="R131" s="34" t="s">
        <v>288</v>
      </c>
      <c r="S131" s="40" t="s">
        <v>398</v>
      </c>
      <c r="T131" s="40" t="s">
        <v>25</v>
      </c>
      <c r="U131" s="37"/>
      <c r="V131" s="44">
        <f>+_xlfn.XLOOKUP(PROYECTOS2[[#This Row],[MUNICIPIO]],'4.CAP_ENDMNT'!B:B,'4.CAP_ENDMNT'!C:C,0,0,1)</f>
        <v>5</v>
      </c>
      <c r="W131" s="139">
        <f>+_xlfn.XLOOKUP(PROYECTOS2[[#This Row],[MUNICIPIO]],'4.CAP_ENDMNT'!B:B,'4.CAP_ENDMNT'!D:D,0,0,1)</f>
        <v>36204719778.619003</v>
      </c>
      <c r="X131" s="140">
        <f>+_xlfn.XLOOKUP(PROYECTOS2[[#This Row],[MUNICIPIO]],'4.CAP_ENDMNT'!B:B,'4.CAP_ENDMNT'!E:E,0,0,1)</f>
        <v>11082623753.610001</v>
      </c>
      <c r="Y131" s="140">
        <f>+_xlfn.XLOOKUP(PROYECTOS2[[#This Row],[MUNICIPIO]],'4.CAP_ENDMNT'!B:B,'4.CAP_ENDMNT'!F:F,0,0,1)</f>
        <v>25122096025.009003</v>
      </c>
      <c r="Z131" s="140">
        <f>+_xlfn.XLOOKUP(PROYECTOS2[[#This Row],[MUNICIPIO]],'4.CAP_ENDMNT'!B:B,'4.CAP_ENDMNT'!G:G,0,0,1)</f>
        <v>1291156679</v>
      </c>
      <c r="AA131" s="140">
        <f>+_xlfn.XLOOKUP(PROYECTOS2[[#This Row],[MUNICIPIO]],'4.CAP_ENDMNT'!B:B,'4.CAP_ENDMNT'!H:H,0,0,1)</f>
        <v>12320355879.07</v>
      </c>
      <c r="AB131" s="140">
        <f>+_xlfn.XLOOKUP(PROYECTOS2[[#This Row],[MUNICIPIO]],'4.CAP_ENDMNT'!B:B,'4.CAP_ENDMNT'!I:I,0,0,1)</f>
        <v>13611512558.07</v>
      </c>
      <c r="AC131" s="134">
        <f>+_xlfn.XLOOKUP(PROYECTOS2[[#This Row],[MUNICIPIO]],'4.CAP_ENDMNT'!B:B,'4.CAP_ENDMNT'!J:J,0,0,1)</f>
        <v>0.37595961635113639</v>
      </c>
      <c r="AD131" s="140">
        <f>+_xlfn.XLOOKUP(PROYECTOS2[[#This Row],[MUNICIPIO]],'4.CAP_ENDMNT'!B:B,'4.CAP_ENDMNT'!K:K,0,0,1)</f>
        <v>22593207220.549004</v>
      </c>
      <c r="AE131" s="140">
        <f>+_xlfn.XLOOKUP(PROYECTOS2[[#This Row],[MUNICIPIO]],'4.CAP_ENDMNT'!B:B,'4.CAP_ENDMNT'!L:L,0,0,1)</f>
        <v>18074565776.439205</v>
      </c>
      <c r="AF131" s="140">
        <f>+_xlfn.XLOOKUP(PROYECTOS2[[#This Row],[MUNICIPIO]],'4.CAP_ENDMNT'!B:B,'4.CAP_ENDMNT'!M:M,0,0,1)</f>
        <v>13555924332.329401</v>
      </c>
      <c r="AG131" s="134">
        <f>+_xlfn.XLOOKUP(PROYECTOS2[[#This Row],[MUNICIPIO]],'4.CAP_ENDMNT'!B:B,'4.CAP_ENDMNT'!N:N,0,0,1)</f>
        <v>9.4857692963336279E-2</v>
      </c>
      <c r="AH131" s="134">
        <f>+_xlfn.XLOOKUP(PROYECTOS2[[#This Row],[MUNICIPIO]],'4.CAP_ENDMNT'!B:B,'4.CAP_ENDMNT'!O:O,0,0,1)</f>
        <v>0.39053077044629697</v>
      </c>
      <c r="AI131" s="134">
        <f>+_xlfn.XLOOKUP(PROYECTOS2[[#This Row],[MUNICIPIO]],'4.CAP_ENDMNT'!B:B,'4.CAP_ENDMNT'!P:P,0,0,1)</f>
        <v>0.8</v>
      </c>
      <c r="AJ131" s="44" t="str">
        <f>+_xlfn.XLOOKUP(PROYECTOS2[[#This Row],[MUNICIPIO]],'4.CAP_ENDMNT'!B:B,'4.CAP_ENDMNT'!Q:Q,0,0,1)</f>
        <v>Cumple</v>
      </c>
    </row>
    <row r="132" spans="1:36">
      <c r="A132" s="44">
        <v>145</v>
      </c>
      <c r="B132" s="37" t="s">
        <v>269</v>
      </c>
      <c r="C132" s="118">
        <f>+_xlfn.XLOOKUP(PROYECTOS2[[#This Row],[ID_NECESIDAD]],'1.RADICADOS'!G:G,'1.RADICADOS'!C:C,0,0,1)*1</f>
        <v>45599</v>
      </c>
      <c r="D132" s="46" t="s">
        <v>323</v>
      </c>
      <c r="E132" s="47" t="str">
        <f>+_xlfn.XLOOKUP(PROYECTOS2[[#This Row],[MUNICIPIO]],MUNICIPIOS!A:A,MUNICIPIOS!E:E,0,0,1)</f>
        <v>Oriente</v>
      </c>
      <c r="F132" s="44" t="e" cm="1">
        <f t="array" ref="F132">+_xlfn.XLOOKUP(PROYECTOS2[[#This Row],[MUNICIPIO]],Table1[Municipio],MUNICIPIOS!F:F,0,0,1)</f>
        <v>#VALUE!</v>
      </c>
      <c r="G132" s="44" t="str">
        <f>+LOOKUP(PROYECTOS2[[#This Row],[MUNICIPIO]],Table1[Municipio],Table1[Latitud])</f>
        <v>6,062454</v>
      </c>
      <c r="H132" s="44">
        <f>+LOOKUP(PROYECTOS2[[#This Row],[MUNICIPIO]],Table1[Municipio],Table1[PDET])</f>
        <v>0</v>
      </c>
      <c r="I132" s="44">
        <f>+LOOKUP(PROYECTOS2[[#This Row],[MUNICIPIO]],Table1[Municipio],Table1[ZOMAC])</f>
        <v>0</v>
      </c>
      <c r="J132" s="3" t="str" cm="1">
        <f t="array" ref="J132">_xlfn.TEXTJOIN(", ", TRUE, IF(radicados[ID PROYECTOS]=A132, radicados[RADICADO], ""))</f>
        <v>2024010110440, 2024010518216</v>
      </c>
      <c r="K132" s="45">
        <v>3</v>
      </c>
      <c r="L132" s="45"/>
      <c r="M132" s="43"/>
      <c r="N132" s="48">
        <v>21621443440</v>
      </c>
      <c r="O132" s="48"/>
      <c r="P132" s="48"/>
      <c r="Q132" s="148" t="s">
        <v>1067</v>
      </c>
      <c r="R132" s="34" t="s">
        <v>392</v>
      </c>
      <c r="S132" s="40"/>
      <c r="T132" s="40" t="s">
        <v>7</v>
      </c>
      <c r="U132" s="37"/>
      <c r="V132" s="44">
        <f>+_xlfn.XLOOKUP(PROYECTOS2[[#This Row],[MUNICIPIO]],'4.CAP_ENDMNT'!B:B,'4.CAP_ENDMNT'!C:C,0,0,1)</f>
        <v>3</v>
      </c>
      <c r="W132" s="139">
        <f>+_xlfn.XLOOKUP(PROYECTOS2[[#This Row],[MUNICIPIO]],'4.CAP_ENDMNT'!B:B,'4.CAP_ENDMNT'!D:D,0,0,1)</f>
        <v>69187005609.695007</v>
      </c>
      <c r="X132" s="140">
        <f>+_xlfn.XLOOKUP(PROYECTOS2[[#This Row],[MUNICIPIO]],'4.CAP_ENDMNT'!B:B,'4.CAP_ENDMNT'!E:E,0,0,1)</f>
        <v>24929217109.209999</v>
      </c>
      <c r="Y132" s="140">
        <f>+_xlfn.XLOOKUP(PROYECTOS2[[#This Row],[MUNICIPIO]],'4.CAP_ENDMNT'!B:B,'4.CAP_ENDMNT'!F:F,0,0,1)</f>
        <v>44257788500.485008</v>
      </c>
      <c r="Z132" s="140">
        <f>+_xlfn.XLOOKUP(PROYECTOS2[[#This Row],[MUNICIPIO]],'4.CAP_ENDMNT'!B:B,'4.CAP_ENDMNT'!G:G,0,0,1)</f>
        <v>0</v>
      </c>
      <c r="AA132" s="140">
        <f>+_xlfn.XLOOKUP(PROYECTOS2[[#This Row],[MUNICIPIO]],'4.CAP_ENDMNT'!B:B,'4.CAP_ENDMNT'!H:H,0,0,1)</f>
        <v>0</v>
      </c>
      <c r="AB132" s="140">
        <f>+_xlfn.XLOOKUP(PROYECTOS2[[#This Row],[MUNICIPIO]],'4.CAP_ENDMNT'!B:B,'4.CAP_ENDMNT'!I:I,0,0,1)</f>
        <v>0</v>
      </c>
      <c r="AC132" s="134">
        <f>+_xlfn.XLOOKUP(PROYECTOS2[[#This Row],[MUNICIPIO]],'4.CAP_ENDMNT'!B:B,'4.CAP_ENDMNT'!J:J,0,0,1)</f>
        <v>0</v>
      </c>
      <c r="AD132" s="140">
        <f>+_xlfn.XLOOKUP(PROYECTOS2[[#This Row],[MUNICIPIO]],'4.CAP_ENDMNT'!B:B,'4.CAP_ENDMNT'!K:K,0,0,1)</f>
        <v>69187005609.695007</v>
      </c>
      <c r="AE132" s="140">
        <f>+_xlfn.XLOOKUP(PROYECTOS2[[#This Row],[MUNICIPIO]],'4.CAP_ENDMNT'!B:B,'4.CAP_ENDMNT'!L:L,0,0,1)</f>
        <v>55349604487.756012</v>
      </c>
      <c r="AF132" s="140">
        <f>+_xlfn.XLOOKUP(PROYECTOS2[[#This Row],[MUNICIPIO]],'4.CAP_ENDMNT'!B:B,'4.CAP_ENDMNT'!M:M,0,0,1)</f>
        <v>41512203365.817001</v>
      </c>
      <c r="AG132" s="134">
        <f>+_xlfn.XLOOKUP(PROYECTOS2[[#This Row],[MUNICIPIO]],'4.CAP_ENDMNT'!B:B,'4.CAP_ENDMNT'!N:N,0,0,1)</f>
        <v>0</v>
      </c>
      <c r="AH132" s="134">
        <f>+_xlfn.XLOOKUP(PROYECTOS2[[#This Row],[MUNICIPIO]],'4.CAP_ENDMNT'!B:B,'4.CAP_ENDMNT'!O:O,0,0,1)</f>
        <v>0.36680132048521774</v>
      </c>
      <c r="AI132" s="134">
        <f>+_xlfn.XLOOKUP(PROYECTOS2[[#This Row],[MUNICIPIO]],'4.CAP_ENDMNT'!B:B,'4.CAP_ENDMNT'!P:P,0,0,1)</f>
        <v>0.7</v>
      </c>
      <c r="AJ132" s="44" t="str">
        <f>+_xlfn.XLOOKUP(PROYECTOS2[[#This Row],[MUNICIPIO]],'4.CAP_ENDMNT'!B:B,'4.CAP_ENDMNT'!Q:Q,0,0,1)</f>
        <v>Cumple</v>
      </c>
    </row>
    <row r="133" spans="1:36">
      <c r="A133" s="44">
        <v>146</v>
      </c>
      <c r="B133" s="37" t="s">
        <v>271</v>
      </c>
      <c r="C133" s="118">
        <f>+_xlfn.XLOOKUP(PROYECTOS2[[#This Row],[ID_NECESIDAD]],'1.RADICADOS'!G:G,'1.RADICADOS'!C:C,0,0,1)*1</f>
        <v>45394</v>
      </c>
      <c r="D133" s="46" t="s">
        <v>270</v>
      </c>
      <c r="E133" s="47" t="str">
        <f>+_xlfn.XLOOKUP(PROYECTOS2[[#This Row],[MUNICIPIO]],MUNICIPIOS!A:A,MUNICIPIOS!E:E,0,0,1)</f>
        <v>Oriente</v>
      </c>
      <c r="F133" s="44" t="e" cm="1">
        <f t="array" ref="F133">+_xlfn.XLOOKUP(PROYECTOS2[[#This Row],[MUNICIPIO]],Table1[Municipio],MUNICIPIOS!F:F,0,0,1)</f>
        <v>#VALUE!</v>
      </c>
      <c r="G133" s="44" t="str">
        <f>+LOOKUP(PROYECTOS2[[#This Row],[MUNICIPIO]],Table1[Municipio],Table1[Latitud])</f>
        <v>6,149903</v>
      </c>
      <c r="H133" s="44">
        <f>+LOOKUP(PROYECTOS2[[#This Row],[MUNICIPIO]],Table1[Municipio],Table1[PDET])</f>
        <v>0</v>
      </c>
      <c r="I133" s="44">
        <f>+LOOKUP(PROYECTOS2[[#This Row],[MUNICIPIO]],Table1[Municipio],Table1[ZOMAC])</f>
        <v>0</v>
      </c>
      <c r="J133" s="3" t="str" cm="1">
        <f t="array" ref="J133">_xlfn.TEXTJOIN(", ", TRUE, IF(radicados[ID PROYECTOS]=A133, radicados[RADICADO], ""))</f>
        <v>2025010002774</v>
      </c>
      <c r="K133" s="45">
        <v>3</v>
      </c>
      <c r="L133" s="45"/>
      <c r="M133" s="43"/>
      <c r="N133" s="48">
        <v>78158511470</v>
      </c>
      <c r="O133" s="48"/>
      <c r="P133" s="48"/>
      <c r="Q133" s="148" t="s">
        <v>1067</v>
      </c>
      <c r="R133" s="34" t="s">
        <v>396</v>
      </c>
      <c r="S133" s="40" t="s">
        <v>398</v>
      </c>
      <c r="T133" s="40" t="s">
        <v>25</v>
      </c>
      <c r="U133" s="37"/>
      <c r="V133" s="44">
        <f>+_xlfn.XLOOKUP(PROYECTOS2[[#This Row],[MUNICIPIO]],'4.CAP_ENDMNT'!B:B,'4.CAP_ENDMNT'!C:C,0,0,1)</f>
        <v>6</v>
      </c>
      <c r="W133" s="139">
        <f>+_xlfn.XLOOKUP(PROYECTOS2[[#This Row],[MUNICIPIO]],'4.CAP_ENDMNT'!B:B,'4.CAP_ENDMNT'!D:D,0,0,1)</f>
        <v>10860999220.161499</v>
      </c>
      <c r="X133" s="140">
        <f>+_xlfn.XLOOKUP(PROYECTOS2[[#This Row],[MUNICIPIO]],'4.CAP_ENDMNT'!B:B,'4.CAP_ENDMNT'!E:E,0,0,1)</f>
        <v>3903981787.4000001</v>
      </c>
      <c r="Y133" s="140">
        <f>+_xlfn.XLOOKUP(PROYECTOS2[[#This Row],[MUNICIPIO]],'4.CAP_ENDMNT'!B:B,'4.CAP_ENDMNT'!F:F,0,0,1)</f>
        <v>6957017432.7614994</v>
      </c>
      <c r="Z133" s="140">
        <f>+_xlfn.XLOOKUP(PROYECTOS2[[#This Row],[MUNICIPIO]],'4.CAP_ENDMNT'!B:B,'4.CAP_ENDMNT'!G:G,0,0,1)</f>
        <v>1425530293</v>
      </c>
      <c r="AA133" s="140">
        <f>+_xlfn.XLOOKUP(PROYECTOS2[[#This Row],[MUNICIPIO]],'4.CAP_ENDMNT'!B:B,'4.CAP_ENDMNT'!H:H,0,0,1)</f>
        <v>0</v>
      </c>
      <c r="AB133" s="140">
        <f>+_xlfn.XLOOKUP(PROYECTOS2[[#This Row],[MUNICIPIO]],'4.CAP_ENDMNT'!B:B,'4.CAP_ENDMNT'!I:I,0,0,1)</f>
        <v>1425530293</v>
      </c>
      <c r="AC133" s="134">
        <f>+_xlfn.XLOOKUP(PROYECTOS2[[#This Row],[MUNICIPIO]],'4.CAP_ENDMNT'!B:B,'4.CAP_ENDMNT'!J:J,0,0,1)</f>
        <v>0.13125222312453153</v>
      </c>
      <c r="AD133" s="140">
        <f>+_xlfn.XLOOKUP(PROYECTOS2[[#This Row],[MUNICIPIO]],'4.CAP_ENDMNT'!B:B,'4.CAP_ENDMNT'!K:K,0,0,1)</f>
        <v>9435468927.161499</v>
      </c>
      <c r="AE133" s="140">
        <f>+_xlfn.XLOOKUP(PROYECTOS2[[#This Row],[MUNICIPIO]],'4.CAP_ENDMNT'!B:B,'4.CAP_ENDMNT'!L:L,0,0,1)</f>
        <v>7548375141.7291994</v>
      </c>
      <c r="AF133" s="140">
        <f>+_xlfn.XLOOKUP(PROYECTOS2[[#This Row],[MUNICIPIO]],'4.CAP_ENDMNT'!B:B,'4.CAP_ENDMNT'!M:M,0,0,1)</f>
        <v>5661281356.2968988</v>
      </c>
      <c r="AG133" s="134">
        <f>+_xlfn.XLOOKUP(PROYECTOS2[[#This Row],[MUNICIPIO]],'4.CAP_ENDMNT'!B:B,'4.CAP_ENDMNT'!N:N,0,0,1)</f>
        <v>1</v>
      </c>
      <c r="AH133" s="134">
        <f>+_xlfn.XLOOKUP(PROYECTOS2[[#This Row],[MUNICIPIO]],'4.CAP_ENDMNT'!B:B,'4.CAP_ENDMNT'!O:O,0,0,1)</f>
        <v>0.63270124114427018</v>
      </c>
      <c r="AI133" s="134">
        <f>+_xlfn.XLOOKUP(PROYECTOS2[[#This Row],[MUNICIPIO]],'4.CAP_ENDMNT'!B:B,'4.CAP_ENDMNT'!P:P,0,0,1)</f>
        <v>0.8</v>
      </c>
      <c r="AJ133" s="44" t="str">
        <f>+_xlfn.XLOOKUP(PROYECTOS2[[#This Row],[MUNICIPIO]],'4.CAP_ENDMNT'!B:B,'4.CAP_ENDMNT'!Q:Q,0,0,1)</f>
        <v>Cumple</v>
      </c>
    </row>
    <row r="134" spans="1:36">
      <c r="A134" s="44">
        <v>147</v>
      </c>
      <c r="B134" s="37" t="s">
        <v>274</v>
      </c>
      <c r="C134" s="118">
        <f>+_xlfn.XLOOKUP(PROYECTOS2[[#This Row],[ID_NECESIDAD]],'1.RADICADOS'!G:G,'1.RADICADOS'!C:C,0,0,1)*1</f>
        <v>45609</v>
      </c>
      <c r="D134" s="46" t="s">
        <v>273</v>
      </c>
      <c r="E134" s="47" t="str">
        <f>+_xlfn.XLOOKUP(PROYECTOS2[[#This Row],[MUNICIPIO]],MUNICIPIOS!A:A,MUNICIPIOS!E:E,0,0,1)</f>
        <v>Occidente</v>
      </c>
      <c r="F134" s="44" t="e" cm="1">
        <f t="array" ref="F134">+_xlfn.XLOOKUP(PROYECTOS2[[#This Row],[MUNICIPIO]],Table1[Municipio],MUNICIPIOS!F:F,0,0,1)</f>
        <v>#VALUE!</v>
      </c>
      <c r="G134" s="44" t="str">
        <f>+LOOKUP(PROYECTOS2[[#This Row],[MUNICIPIO]],Table1[Municipio],Table1[Latitud])</f>
        <v>6,246631</v>
      </c>
      <c r="H134" s="44">
        <f>+LOOKUP(PROYECTOS2[[#This Row],[MUNICIPIO]],Table1[Municipio],Table1[PDET])</f>
        <v>0</v>
      </c>
      <c r="I134" s="44">
        <f>+LOOKUP(PROYECTOS2[[#This Row],[MUNICIPIO]],Table1[Municipio],Table1[ZOMAC])</f>
        <v>0</v>
      </c>
      <c r="J134" s="3" t="str" cm="1">
        <f t="array" ref="J134">_xlfn.TEXTJOIN(", ", TRUE, IF(radicados[ID PROYECTOS]=A134, radicados[RADICADO], ""))</f>
        <v>2025010013911</v>
      </c>
      <c r="K134" s="45">
        <v>3</v>
      </c>
      <c r="L134" s="45"/>
      <c r="M134" s="43"/>
      <c r="N134" s="48">
        <v>4297876107</v>
      </c>
      <c r="O134" s="48"/>
      <c r="P134" s="48"/>
      <c r="Q134" s="148" t="s">
        <v>1067</v>
      </c>
      <c r="R134" s="34" t="s">
        <v>396</v>
      </c>
      <c r="S134" s="34" t="s">
        <v>398</v>
      </c>
      <c r="T134" s="34" t="s">
        <v>25</v>
      </c>
      <c r="U134" s="37"/>
      <c r="V134" s="44">
        <f>+_xlfn.XLOOKUP(PROYECTOS2[[#This Row],[MUNICIPIO]],'4.CAP_ENDMNT'!B:B,'4.CAP_ENDMNT'!C:C,0,0,1)</f>
        <v>6</v>
      </c>
      <c r="W134" s="139">
        <f>+_xlfn.XLOOKUP(PROYECTOS2[[#This Row],[MUNICIPIO]],'4.CAP_ENDMNT'!B:B,'4.CAP_ENDMNT'!D:D,0,0,1)</f>
        <v>4127448900.7750001</v>
      </c>
      <c r="X134" s="140">
        <f>+_xlfn.XLOOKUP(PROYECTOS2[[#This Row],[MUNICIPIO]],'4.CAP_ENDMNT'!B:B,'4.CAP_ENDMNT'!E:E,0,0,1)</f>
        <v>1679484660.96</v>
      </c>
      <c r="Y134" s="140">
        <f>+_xlfn.XLOOKUP(PROYECTOS2[[#This Row],[MUNICIPIO]],'4.CAP_ENDMNT'!B:B,'4.CAP_ENDMNT'!F:F,0,0,1)</f>
        <v>2447964239.8150001</v>
      </c>
      <c r="Z134" s="140">
        <f>+_xlfn.XLOOKUP(PROYECTOS2[[#This Row],[MUNICIPIO]],'4.CAP_ENDMNT'!B:B,'4.CAP_ENDMNT'!G:G,0,0,1)</f>
        <v>2175868693</v>
      </c>
      <c r="AA134" s="140">
        <f>+_xlfn.XLOOKUP(PROYECTOS2[[#This Row],[MUNICIPIO]],'4.CAP_ENDMNT'!B:B,'4.CAP_ENDMNT'!H:H,0,0,1)</f>
        <v>0</v>
      </c>
      <c r="AB134" s="140">
        <f>+_xlfn.XLOOKUP(PROYECTOS2[[#This Row],[MUNICIPIO]],'4.CAP_ENDMNT'!B:B,'4.CAP_ENDMNT'!I:I,0,0,1)</f>
        <v>2175868693</v>
      </c>
      <c r="AC134" s="134">
        <f>+_xlfn.XLOOKUP(PROYECTOS2[[#This Row],[MUNICIPIO]],'4.CAP_ENDMNT'!B:B,'4.CAP_ENDMNT'!J:J,0,0,1)</f>
        <v>0.52717035275504998</v>
      </c>
      <c r="AD134" s="140">
        <f>+_xlfn.XLOOKUP(PROYECTOS2[[#This Row],[MUNICIPIO]],'4.CAP_ENDMNT'!B:B,'4.CAP_ENDMNT'!K:K,0,0,1)</f>
        <v>1951580207.7750001</v>
      </c>
      <c r="AE134" s="140">
        <f>+_xlfn.XLOOKUP(PROYECTOS2[[#This Row],[MUNICIPIO]],'4.CAP_ENDMNT'!B:B,'4.CAP_ENDMNT'!L:L,0,0,1)</f>
        <v>1561264166.2200003</v>
      </c>
      <c r="AF134" s="140">
        <f>+_xlfn.XLOOKUP(PROYECTOS2[[#This Row],[MUNICIPIO]],'4.CAP_ENDMNT'!B:B,'4.CAP_ENDMNT'!M:M,0,0,1)</f>
        <v>1170948124.665</v>
      </c>
      <c r="AG134" s="134">
        <f>+_xlfn.XLOOKUP(PROYECTOS2[[#This Row],[MUNICIPIO]],'4.CAP_ENDMNT'!B:B,'4.CAP_ENDMNT'!N:N,0,0,1)</f>
        <v>1</v>
      </c>
      <c r="AH134" s="134">
        <f>+_xlfn.XLOOKUP(PROYECTOS2[[#This Row],[MUNICIPIO]],'4.CAP_ENDMNT'!B:B,'4.CAP_ENDMNT'!O:O,0,0,1)</f>
        <v>0.89586302238809568</v>
      </c>
      <c r="AI134" s="134">
        <f>+_xlfn.XLOOKUP(PROYECTOS2[[#This Row],[MUNICIPIO]],'4.CAP_ENDMNT'!B:B,'4.CAP_ENDMNT'!P:P,0,0,1)</f>
        <v>0.8</v>
      </c>
      <c r="AJ134" s="44" t="str">
        <f>+_xlfn.XLOOKUP(PROYECTOS2[[#This Row],[MUNICIPIO]],'4.CAP_ENDMNT'!B:B,'4.CAP_ENDMNT'!Q:Q,0,0,1)</f>
        <v>Incumple</v>
      </c>
    </row>
    <row r="135" spans="1:36">
      <c r="A135" s="44">
        <v>148</v>
      </c>
      <c r="B135" s="37" t="s">
        <v>276</v>
      </c>
      <c r="C135" s="118">
        <f>+_xlfn.XLOOKUP(PROYECTOS2[[#This Row],[ID_NECESIDAD]],'1.RADICADOS'!G:G,'1.RADICADOS'!C:C,0,0,1)*1</f>
        <v>45671</v>
      </c>
      <c r="D135" s="46" t="s">
        <v>74</v>
      </c>
      <c r="E135" s="47" t="str">
        <f>+_xlfn.XLOOKUP(PROYECTOS2[[#This Row],[MUNICIPIO]],MUNICIPIOS!A:A,MUNICIPIOS!E:E,0,0,1)</f>
        <v>Urabá</v>
      </c>
      <c r="F135" s="44" t="e" cm="1">
        <f t="array" ref="F135">+_xlfn.XLOOKUP(PROYECTOS2[[#This Row],[MUNICIPIO]],Table1[Municipio],MUNICIPIOS!F:F,0,0,1)</f>
        <v>#VALUE!</v>
      </c>
      <c r="G135" s="44" t="str">
        <f>+LOOKUP(PROYECTOS2[[#This Row],[MUNICIPIO]],Table1[Municipio],Table1[Latitud])</f>
        <v>6,149903</v>
      </c>
      <c r="H135" s="44">
        <f>+LOOKUP(PROYECTOS2[[#This Row],[MUNICIPIO]],Table1[Municipio],Table1[PDET])</f>
        <v>0</v>
      </c>
      <c r="I135" s="44">
        <f>+LOOKUP(PROYECTOS2[[#This Row],[MUNICIPIO]],Table1[Municipio],Table1[ZOMAC])</f>
        <v>0</v>
      </c>
      <c r="J135" s="3" t="str" cm="1">
        <f t="array" ref="J135">_xlfn.TEXTJOIN(", ", TRUE, IF(radicados[ID PROYECTOS]=A135, radicados[RADICADO], ""))</f>
        <v>2025010030512, 2025010030805</v>
      </c>
      <c r="K135" s="45">
        <v>3</v>
      </c>
      <c r="L135" s="45"/>
      <c r="M135" s="43"/>
      <c r="N135" s="48">
        <v>40010655318</v>
      </c>
      <c r="O135" s="48"/>
      <c r="P135" s="48"/>
      <c r="Q135" s="148" t="s">
        <v>1067</v>
      </c>
      <c r="R135" s="34" t="s">
        <v>396</v>
      </c>
      <c r="S135" s="34" t="s">
        <v>398</v>
      </c>
      <c r="T135" s="34" t="s">
        <v>25</v>
      </c>
      <c r="U135" s="37"/>
      <c r="V135" s="44">
        <f>+_xlfn.XLOOKUP(PROYECTOS2[[#This Row],[MUNICIPIO]],'4.CAP_ENDMNT'!B:B,'4.CAP_ENDMNT'!C:C,0,0,1)</f>
        <v>5</v>
      </c>
      <c r="W135" s="139">
        <f>+_xlfn.XLOOKUP(PROYECTOS2[[#This Row],[MUNICIPIO]],'4.CAP_ENDMNT'!B:B,'4.CAP_ENDMNT'!D:D,0,0,1)</f>
        <v>57277943756.629501</v>
      </c>
      <c r="X135" s="140">
        <f>+_xlfn.XLOOKUP(PROYECTOS2[[#This Row],[MUNICIPIO]],'4.CAP_ENDMNT'!B:B,'4.CAP_ENDMNT'!E:E,0,0,1)</f>
        <v>34159399600.959999</v>
      </c>
      <c r="Y135" s="140">
        <f>+_xlfn.XLOOKUP(PROYECTOS2[[#This Row],[MUNICIPIO]],'4.CAP_ENDMNT'!B:B,'4.CAP_ENDMNT'!F:F,0,0,1)</f>
        <v>23118544155.669502</v>
      </c>
      <c r="Z135" s="140">
        <f>+_xlfn.XLOOKUP(PROYECTOS2[[#This Row],[MUNICIPIO]],'4.CAP_ENDMNT'!B:B,'4.CAP_ENDMNT'!G:G,0,0,1)</f>
        <v>3450000000</v>
      </c>
      <c r="AA135" s="140">
        <f>+_xlfn.XLOOKUP(PROYECTOS2[[#This Row],[MUNICIPIO]],'4.CAP_ENDMNT'!B:B,'4.CAP_ENDMNT'!H:H,0,0,1)</f>
        <v>21452083665</v>
      </c>
      <c r="AB135" s="140">
        <f>+_xlfn.XLOOKUP(PROYECTOS2[[#This Row],[MUNICIPIO]],'4.CAP_ENDMNT'!B:B,'4.CAP_ENDMNT'!I:I,0,0,1)</f>
        <v>24902083665</v>
      </c>
      <c r="AC135" s="134">
        <f>+_xlfn.XLOOKUP(PROYECTOS2[[#This Row],[MUNICIPIO]],'4.CAP_ENDMNT'!B:B,'4.CAP_ENDMNT'!J:J,0,0,1)</f>
        <v>0.43475868775610099</v>
      </c>
      <c r="AD135" s="140">
        <f>+_xlfn.XLOOKUP(PROYECTOS2[[#This Row],[MUNICIPIO]],'4.CAP_ENDMNT'!B:B,'4.CAP_ENDMNT'!K:K,0,0,1)</f>
        <v>32375860091.629501</v>
      </c>
      <c r="AE135" s="140">
        <f>+_xlfn.XLOOKUP(PROYECTOS2[[#This Row],[MUNICIPIO]],'4.CAP_ENDMNT'!B:B,'4.CAP_ENDMNT'!L:L,0,0,1)</f>
        <v>25900688073.303604</v>
      </c>
      <c r="AF135" s="140">
        <f>+_xlfn.XLOOKUP(PROYECTOS2[[#This Row],[MUNICIPIO]],'4.CAP_ENDMNT'!B:B,'4.CAP_ENDMNT'!M:M,0,0,1)</f>
        <v>19425516054.977699</v>
      </c>
      <c r="AG135" s="134">
        <f>+_xlfn.XLOOKUP(PROYECTOS2[[#This Row],[MUNICIPIO]],'4.CAP_ENDMNT'!B:B,'4.CAP_ENDMNT'!N:N,0,0,1)</f>
        <v>0.13854262343712995</v>
      </c>
      <c r="AH135" s="134">
        <f>+_xlfn.XLOOKUP(PROYECTOS2[[#This Row],[MUNICIPIO]],'4.CAP_ENDMNT'!B:B,'4.CAP_ENDMNT'!O:O,0,0,1)</f>
        <v>0.87015152665365447</v>
      </c>
      <c r="AI135" s="134">
        <f>+_xlfn.XLOOKUP(PROYECTOS2[[#This Row],[MUNICIPIO]],'4.CAP_ENDMNT'!B:B,'4.CAP_ENDMNT'!P:P,0,0,1)</f>
        <v>0.8</v>
      </c>
      <c r="AJ135" s="44" t="str">
        <f>+_xlfn.XLOOKUP(PROYECTOS2[[#This Row],[MUNICIPIO]],'4.CAP_ENDMNT'!B:B,'4.CAP_ENDMNT'!Q:Q,0,0,1)</f>
        <v>Incumple</v>
      </c>
    </row>
    <row r="136" spans="1:36">
      <c r="A136" s="44">
        <v>149</v>
      </c>
      <c r="B136" s="37" t="s">
        <v>277</v>
      </c>
      <c r="C136" s="118">
        <f>+_xlfn.XLOOKUP(PROYECTOS2[[#This Row],[ID_NECESIDAD]],'1.RADICADOS'!G:G,'1.RADICADOS'!C:C,0,0,1)*1</f>
        <v>45391</v>
      </c>
      <c r="D136" s="46" t="s">
        <v>32</v>
      </c>
      <c r="E136" s="47" t="str">
        <f>+_xlfn.XLOOKUP(PROYECTOS2[[#This Row],[MUNICIPIO]],MUNICIPIOS!A:A,MUNICIPIOS!E:E,0,0,1)</f>
        <v>Oriente</v>
      </c>
      <c r="F136" s="44" t="e" cm="1">
        <f t="array" ref="F136">+_xlfn.XLOOKUP(PROYECTOS2[[#This Row],[MUNICIPIO]],Table1[Municipio],MUNICIPIOS!F:F,0,0,1)</f>
        <v>#VALUE!</v>
      </c>
      <c r="G136" s="44" t="e">
        <f>+LOOKUP(PROYECTOS2[[#This Row],[MUNICIPIO]],Table1[Municipio],Table1[Latitud])</f>
        <v>#N/A</v>
      </c>
      <c r="H136" s="44" t="e">
        <f>+LOOKUP(PROYECTOS2[[#This Row],[MUNICIPIO]],Table1[Municipio],Table1[PDET])</f>
        <v>#N/A</v>
      </c>
      <c r="I136" s="44" t="e">
        <f>+LOOKUP(PROYECTOS2[[#This Row],[MUNICIPIO]],Table1[Municipio],Table1[ZOMAC])</f>
        <v>#N/A</v>
      </c>
      <c r="J136" s="3" t="str" cm="1">
        <f t="array" ref="J136">_xlfn.TEXTJOIN(", ", TRUE, IF(radicados[ID PROYECTOS]=A136, radicados[RADICADO], ""))</f>
        <v>2024010387444, 2025010035548</v>
      </c>
      <c r="K136" s="45">
        <v>3</v>
      </c>
      <c r="L136" s="45"/>
      <c r="M136" s="43" t="s">
        <v>179</v>
      </c>
      <c r="N136" s="48">
        <v>5202752628</v>
      </c>
      <c r="O136" s="48"/>
      <c r="P136" s="48"/>
      <c r="Q136" s="148" t="s">
        <v>1067</v>
      </c>
      <c r="R136" s="34" t="s">
        <v>288</v>
      </c>
      <c r="S136" s="40" t="s">
        <v>398</v>
      </c>
      <c r="T136" s="40" t="s">
        <v>25</v>
      </c>
      <c r="U136" s="37"/>
      <c r="V136" s="44">
        <f>+_xlfn.XLOOKUP(PROYECTOS2[[#This Row],[MUNICIPIO]],'4.CAP_ENDMNT'!B:B,'4.CAP_ENDMNT'!C:C,0,0,1)</f>
        <v>6</v>
      </c>
      <c r="W136" s="139">
        <f>+_xlfn.XLOOKUP(PROYECTOS2[[#This Row],[MUNICIPIO]],'4.CAP_ENDMNT'!B:B,'4.CAP_ENDMNT'!D:D,0,0,1)</f>
        <v>15030770872.282</v>
      </c>
      <c r="X136" s="140">
        <f>+_xlfn.XLOOKUP(PROYECTOS2[[#This Row],[MUNICIPIO]],'4.CAP_ENDMNT'!B:B,'4.CAP_ENDMNT'!E:E,0,0,1)</f>
        <v>4409672661.8199997</v>
      </c>
      <c r="Y136" s="140">
        <f>+_xlfn.XLOOKUP(PROYECTOS2[[#This Row],[MUNICIPIO]],'4.CAP_ENDMNT'!B:B,'4.CAP_ENDMNT'!F:F,0,0,1)</f>
        <v>10621098210.462</v>
      </c>
      <c r="Z136" s="140">
        <f>+_xlfn.XLOOKUP(PROYECTOS2[[#This Row],[MUNICIPIO]],'4.CAP_ENDMNT'!B:B,'4.CAP_ENDMNT'!G:G,0,0,1)</f>
        <v>1969764886</v>
      </c>
      <c r="AA136" s="140">
        <f>+_xlfn.XLOOKUP(PROYECTOS2[[#This Row],[MUNICIPIO]],'4.CAP_ENDMNT'!B:B,'4.CAP_ENDMNT'!H:H,0,0,1)</f>
        <v>0</v>
      </c>
      <c r="AB136" s="140">
        <f>+_xlfn.XLOOKUP(PROYECTOS2[[#This Row],[MUNICIPIO]],'4.CAP_ENDMNT'!B:B,'4.CAP_ENDMNT'!I:I,0,0,1)</f>
        <v>1969764886</v>
      </c>
      <c r="AC136" s="134">
        <f>+_xlfn.XLOOKUP(PROYECTOS2[[#This Row],[MUNICIPIO]],'4.CAP_ENDMNT'!B:B,'4.CAP_ENDMNT'!J:J,0,0,1)</f>
        <v>0.13104882661955891</v>
      </c>
      <c r="AD136" s="140">
        <f>+_xlfn.XLOOKUP(PROYECTOS2[[#This Row],[MUNICIPIO]],'4.CAP_ENDMNT'!B:B,'4.CAP_ENDMNT'!K:K,0,0,1)</f>
        <v>13061005986.282</v>
      </c>
      <c r="AE136" s="140">
        <f>+_xlfn.XLOOKUP(PROYECTOS2[[#This Row],[MUNICIPIO]],'4.CAP_ENDMNT'!B:B,'4.CAP_ENDMNT'!L:L,0,0,1)</f>
        <v>10448804789.0256</v>
      </c>
      <c r="AF136" s="140">
        <f>+_xlfn.XLOOKUP(PROYECTOS2[[#This Row],[MUNICIPIO]],'4.CAP_ENDMNT'!B:B,'4.CAP_ENDMNT'!M:M,0,0,1)</f>
        <v>7836603591.7691994</v>
      </c>
      <c r="AG136" s="134">
        <f>+_xlfn.XLOOKUP(PROYECTOS2[[#This Row],[MUNICIPIO]],'4.CAP_ENDMNT'!B:B,'4.CAP_ENDMNT'!N:N,0,0,1)</f>
        <v>1</v>
      </c>
      <c r="AH136" s="134">
        <f>+_xlfn.XLOOKUP(PROYECTOS2[[#This Row],[MUNICIPIO]],'4.CAP_ENDMNT'!B:B,'4.CAP_ENDMNT'!O:O,0,0,1)</f>
        <v>0.39507659260977307</v>
      </c>
      <c r="AI136" s="134">
        <f>+_xlfn.XLOOKUP(PROYECTOS2[[#This Row],[MUNICIPIO]],'4.CAP_ENDMNT'!B:B,'4.CAP_ENDMNT'!P:P,0,0,1)</f>
        <v>0.8</v>
      </c>
      <c r="AJ136" s="44" t="str">
        <f>+_xlfn.XLOOKUP(PROYECTOS2[[#This Row],[MUNICIPIO]],'4.CAP_ENDMNT'!B:B,'4.CAP_ENDMNT'!Q:Q,0,0,1)</f>
        <v>Cumple</v>
      </c>
    </row>
    <row r="137" spans="1:36">
      <c r="A137" s="44">
        <v>151</v>
      </c>
      <c r="B137" s="37" t="s">
        <v>279</v>
      </c>
      <c r="C137" s="118">
        <f>+_xlfn.XLOOKUP(PROYECTOS2[[#This Row],[ID_NECESIDAD]],'1.RADICADOS'!G:G,'1.RADICADOS'!C:C,0,0,1)*1</f>
        <v>45688</v>
      </c>
      <c r="D137" s="46" t="s">
        <v>208</v>
      </c>
      <c r="E137" s="47" t="str">
        <f>+_xlfn.XLOOKUP(PROYECTOS2[[#This Row],[MUNICIPIO]],MUNICIPIOS!A:A,MUNICIPIOS!E:E,0,0,1)</f>
        <v>Oriente</v>
      </c>
      <c r="F137" s="44" t="e" cm="1">
        <f t="array" ref="F137">+_xlfn.XLOOKUP(PROYECTOS2[[#This Row],[MUNICIPIO]],Table1[Municipio],MUNICIPIOS!F:F,0,0,1)</f>
        <v>#VALUE!</v>
      </c>
      <c r="G137" s="44" t="str">
        <f>+LOOKUP(PROYECTOS2[[#This Row],[MUNICIPIO]],Table1[Municipio],Table1[Latitud])</f>
        <v>6,136871</v>
      </c>
      <c r="H137" s="44">
        <f>+LOOKUP(PROYECTOS2[[#This Row],[MUNICIPIO]],Table1[Municipio],Table1[PDET])</f>
        <v>0</v>
      </c>
      <c r="I137" s="44">
        <f>+LOOKUP(PROYECTOS2[[#This Row],[MUNICIPIO]],Table1[Municipio],Table1[ZOMAC])</f>
        <v>0</v>
      </c>
      <c r="J137" s="3" t="str" cm="1">
        <f t="array" ref="J137">_xlfn.TEXTJOIN(", ", TRUE, IF(radicados[ID PROYECTOS]=A137, radicados[RADICADO], ""))</f>
        <v>2024010496207, 2025010004443</v>
      </c>
      <c r="K137" s="45">
        <v>3</v>
      </c>
      <c r="L137" s="45"/>
      <c r="M137" s="43"/>
      <c r="N137" s="48">
        <v>1824902596</v>
      </c>
      <c r="O137" s="48"/>
      <c r="P137" s="48"/>
      <c r="Q137" s="148" t="s">
        <v>1067</v>
      </c>
      <c r="R137" s="34" t="s">
        <v>429</v>
      </c>
      <c r="T137" s="34" t="s">
        <v>7</v>
      </c>
      <c r="U137" s="37"/>
      <c r="V137" s="44">
        <f>+_xlfn.XLOOKUP(PROYECTOS2[[#This Row],[MUNICIPIO]],'4.CAP_ENDMNT'!B:B,'4.CAP_ENDMNT'!C:C,0,0,1)</f>
        <v>6</v>
      </c>
      <c r="W137" s="139">
        <f>+_xlfn.XLOOKUP(PROYECTOS2[[#This Row],[MUNICIPIO]],'4.CAP_ENDMNT'!B:B,'4.CAP_ENDMNT'!D:D,0,0,1)</f>
        <v>28148489568.315498</v>
      </c>
      <c r="X137" s="140">
        <f>+_xlfn.XLOOKUP(PROYECTOS2[[#This Row],[MUNICIPIO]],'4.CAP_ENDMNT'!B:B,'4.CAP_ENDMNT'!E:E,0,0,1)</f>
        <v>9574117926.6900005</v>
      </c>
      <c r="Y137" s="140">
        <f>+_xlfn.XLOOKUP(PROYECTOS2[[#This Row],[MUNICIPIO]],'4.CAP_ENDMNT'!B:B,'4.CAP_ENDMNT'!F:F,0,0,1)</f>
        <v>18574371641.625496</v>
      </c>
      <c r="Z137" s="140">
        <f>+_xlfn.XLOOKUP(PROYECTOS2[[#This Row],[MUNICIPIO]],'4.CAP_ENDMNT'!B:B,'4.CAP_ENDMNT'!G:G,0,0,1)</f>
        <v>7165025466</v>
      </c>
      <c r="AA137" s="140">
        <f>+_xlfn.XLOOKUP(PROYECTOS2[[#This Row],[MUNICIPIO]],'4.CAP_ENDMNT'!B:B,'4.CAP_ENDMNT'!H:H,0,0,1)</f>
        <v>0</v>
      </c>
      <c r="AB137" s="140">
        <f>+_xlfn.XLOOKUP(PROYECTOS2[[#This Row],[MUNICIPIO]],'4.CAP_ENDMNT'!B:B,'4.CAP_ENDMNT'!I:I,0,0,1)</f>
        <v>7165025466</v>
      </c>
      <c r="AC137" s="134">
        <f>+_xlfn.XLOOKUP(PROYECTOS2[[#This Row],[MUNICIPIO]],'4.CAP_ENDMNT'!B:B,'4.CAP_ENDMNT'!J:J,0,0,1)</f>
        <v>0.25454386988014788</v>
      </c>
      <c r="AD137" s="140">
        <f>+_xlfn.XLOOKUP(PROYECTOS2[[#This Row],[MUNICIPIO]],'4.CAP_ENDMNT'!B:B,'4.CAP_ENDMNT'!K:K,0,0,1)</f>
        <v>20983464102.315498</v>
      </c>
      <c r="AE137" s="140">
        <f>+_xlfn.XLOOKUP(PROYECTOS2[[#This Row],[MUNICIPIO]],'4.CAP_ENDMNT'!B:B,'4.CAP_ENDMNT'!L:L,0,0,1)</f>
        <v>16786771281.8524</v>
      </c>
      <c r="AF137" s="140">
        <f>+_xlfn.XLOOKUP(PROYECTOS2[[#This Row],[MUNICIPIO]],'4.CAP_ENDMNT'!B:B,'4.CAP_ENDMNT'!M:M,0,0,1)</f>
        <v>12590078461.389299</v>
      </c>
      <c r="AG137" s="134">
        <f>+_xlfn.XLOOKUP(PROYECTOS2[[#This Row],[MUNICIPIO]],'4.CAP_ENDMNT'!B:B,'4.CAP_ENDMNT'!N:N,0,0,1)</f>
        <v>1</v>
      </c>
      <c r="AH137" s="134">
        <f>+_xlfn.XLOOKUP(PROYECTOS2[[#This Row],[MUNICIPIO]],'4.CAP_ENDMNT'!B:B,'4.CAP_ENDMNT'!O:O,0,0,1)</f>
        <v>0.38693852418292884</v>
      </c>
      <c r="AI137" s="134">
        <f>+_xlfn.XLOOKUP(PROYECTOS2[[#This Row],[MUNICIPIO]],'4.CAP_ENDMNT'!B:B,'4.CAP_ENDMNT'!P:P,0,0,1)</f>
        <v>0.8</v>
      </c>
      <c r="AJ137" s="44" t="str">
        <f>+_xlfn.XLOOKUP(PROYECTOS2[[#This Row],[MUNICIPIO]],'4.CAP_ENDMNT'!B:B,'4.CAP_ENDMNT'!Q:Q,0,0,1)</f>
        <v>Cumple</v>
      </c>
    </row>
    <row r="138" spans="1:36">
      <c r="A138" s="44">
        <v>152</v>
      </c>
      <c r="B138" s="37" t="s">
        <v>280</v>
      </c>
      <c r="C138" s="118">
        <f>+_xlfn.XLOOKUP(PROYECTOS2[[#This Row],[ID_NECESIDAD]],'1.RADICADOS'!G:G,'1.RADICADOS'!C:C,0,0,1)*1</f>
        <v>45596</v>
      </c>
      <c r="D138" s="46" t="s">
        <v>35</v>
      </c>
      <c r="E138" s="47" t="str">
        <f>+_xlfn.XLOOKUP(PROYECTOS2[[#This Row],[MUNICIPIO]],MUNICIPIOS!A:A,MUNICIPIOS!E:E,0,0,1)</f>
        <v>Norte</v>
      </c>
      <c r="F138" s="44" t="e" cm="1">
        <f t="array" ref="F138">+_xlfn.XLOOKUP(PROYECTOS2[[#This Row],[MUNICIPIO]],Table1[Municipio],MUNICIPIOS!F:F,0,0,1)</f>
        <v>#VALUE!</v>
      </c>
      <c r="G138" s="44" t="str">
        <f>+LOOKUP(PROYECTOS2[[#This Row],[MUNICIPIO]],Table1[Municipio],Table1[Latitud])</f>
        <v>6,394348</v>
      </c>
      <c r="H138" s="44">
        <f>+LOOKUP(PROYECTOS2[[#This Row],[MUNICIPIO]],Table1[Municipio],Table1[PDET])</f>
        <v>0</v>
      </c>
      <c r="I138" s="44">
        <f>+LOOKUP(PROYECTOS2[[#This Row],[MUNICIPIO]],Table1[Municipio],Table1[ZOMAC])</f>
        <v>1</v>
      </c>
      <c r="J138" s="3" t="str" cm="1">
        <f t="array" ref="J138">_xlfn.TEXTJOIN(", ", TRUE, IF(radicados[ID PROYECTOS]=A138, radicados[RADICADO], ""))</f>
        <v>2024010500586</v>
      </c>
      <c r="K138" s="45">
        <v>3</v>
      </c>
      <c r="L138" s="45"/>
      <c r="M138" s="43"/>
      <c r="N138" s="48">
        <v>3490850340</v>
      </c>
      <c r="O138" s="48"/>
      <c r="P138" s="48"/>
      <c r="Q138" s="148" t="s">
        <v>1067</v>
      </c>
      <c r="R138" s="34" t="s">
        <v>396</v>
      </c>
      <c r="S138" s="34" t="s">
        <v>398</v>
      </c>
      <c r="T138" s="34" t="s">
        <v>25</v>
      </c>
      <c r="U138" s="37"/>
      <c r="V138" s="44">
        <f>+_xlfn.XLOOKUP(PROYECTOS2[[#This Row],[MUNICIPIO]],'4.CAP_ENDMNT'!B:B,'4.CAP_ENDMNT'!C:C,0,0,1)</f>
        <v>6</v>
      </c>
      <c r="W138" s="139">
        <f>+_xlfn.XLOOKUP(PROYECTOS2[[#This Row],[MUNICIPIO]],'4.CAP_ENDMNT'!B:B,'4.CAP_ENDMNT'!D:D,0,0,1)</f>
        <v>24529039369.539501</v>
      </c>
      <c r="X138" s="140">
        <f>+_xlfn.XLOOKUP(PROYECTOS2[[#This Row],[MUNICIPIO]],'4.CAP_ENDMNT'!B:B,'4.CAP_ENDMNT'!E:E,0,0,1)</f>
        <v>8973012363.6700001</v>
      </c>
      <c r="Y138" s="140">
        <f>+_xlfn.XLOOKUP(PROYECTOS2[[#This Row],[MUNICIPIO]],'4.CAP_ENDMNT'!B:B,'4.CAP_ENDMNT'!F:F,0,0,1)</f>
        <v>15556027005.869501</v>
      </c>
      <c r="Z138" s="140">
        <f>+_xlfn.XLOOKUP(PROYECTOS2[[#This Row],[MUNICIPIO]],'4.CAP_ENDMNT'!B:B,'4.CAP_ENDMNT'!G:G,0,0,1)</f>
        <v>7973050390</v>
      </c>
      <c r="AA138" s="140">
        <f>+_xlfn.XLOOKUP(PROYECTOS2[[#This Row],[MUNICIPIO]],'4.CAP_ENDMNT'!B:B,'4.CAP_ENDMNT'!H:H,0,0,1)</f>
        <v>1625381984</v>
      </c>
      <c r="AB138" s="140">
        <f>+_xlfn.XLOOKUP(PROYECTOS2[[#This Row],[MUNICIPIO]],'4.CAP_ENDMNT'!B:B,'4.CAP_ENDMNT'!I:I,0,0,1)</f>
        <v>9598432374</v>
      </c>
      <c r="AC138" s="134">
        <f>+_xlfn.XLOOKUP(PROYECTOS2[[#This Row],[MUNICIPIO]],'4.CAP_ENDMNT'!B:B,'4.CAP_ENDMNT'!J:J,0,0,1)</f>
        <v>0.39130893914742809</v>
      </c>
      <c r="AD138" s="140">
        <f>+_xlfn.XLOOKUP(PROYECTOS2[[#This Row],[MUNICIPIO]],'4.CAP_ENDMNT'!B:B,'4.CAP_ENDMNT'!K:K,0,0,1)</f>
        <v>14930606995.539501</v>
      </c>
      <c r="AE138" s="140">
        <f>+_xlfn.XLOOKUP(PROYECTOS2[[#This Row],[MUNICIPIO]],'4.CAP_ENDMNT'!B:B,'4.CAP_ENDMNT'!L:L,0,0,1)</f>
        <v>11944485596.431602</v>
      </c>
      <c r="AF138" s="140">
        <f>+_xlfn.XLOOKUP(PROYECTOS2[[#This Row],[MUNICIPIO]],'4.CAP_ENDMNT'!B:B,'4.CAP_ENDMNT'!M:M,0,0,1)</f>
        <v>8958364197.3237</v>
      </c>
      <c r="AG138" s="134">
        <f>+_xlfn.XLOOKUP(PROYECTOS2[[#This Row],[MUNICIPIO]],'4.CAP_ENDMNT'!B:B,'4.CAP_ENDMNT'!N:N,0,0,1)</f>
        <v>0.83066172467883448</v>
      </c>
      <c r="AH138" s="134">
        <f>+_xlfn.XLOOKUP(PROYECTOS2[[#This Row],[MUNICIPIO]],'4.CAP_ENDMNT'!B:B,'4.CAP_ENDMNT'!O:O,0,0,1)</f>
        <v>0.53024343717246458</v>
      </c>
      <c r="AI138" s="134">
        <f>+_xlfn.XLOOKUP(PROYECTOS2[[#This Row],[MUNICIPIO]],'4.CAP_ENDMNT'!B:B,'4.CAP_ENDMNT'!P:P,0,0,1)</f>
        <v>0.8</v>
      </c>
      <c r="AJ138" s="44" t="str">
        <f>+_xlfn.XLOOKUP(PROYECTOS2[[#This Row],[MUNICIPIO]],'4.CAP_ENDMNT'!B:B,'4.CAP_ENDMNT'!Q:Q,0,0,1)</f>
        <v>Cumple</v>
      </c>
    </row>
    <row r="139" spans="1:36">
      <c r="A139" s="44">
        <v>153</v>
      </c>
      <c r="B139" s="37" t="s">
        <v>282</v>
      </c>
      <c r="C139" s="118">
        <f>+_xlfn.XLOOKUP(PROYECTOS2[[#This Row],[ID_NECESIDAD]],'1.RADICADOS'!G:G,'1.RADICADOS'!C:C,0,0,1)*1</f>
        <v>45302</v>
      </c>
      <c r="D139" s="46" t="s">
        <v>281</v>
      </c>
      <c r="E139" s="47" t="str">
        <f>+_xlfn.XLOOKUP(PROYECTOS2[[#This Row],[MUNICIPIO]],MUNICIPIOS!A:A,MUNICIPIOS!E:E,0,0,1)</f>
        <v>Suroeste</v>
      </c>
      <c r="F139" s="44" t="e" cm="1">
        <f t="array" ref="F139">+_xlfn.XLOOKUP(PROYECTOS2[[#This Row],[MUNICIPIO]],Table1[Municipio],MUNICIPIOS!F:F,0,0,1)</f>
        <v>#VALUE!</v>
      </c>
      <c r="G139" s="44" t="str">
        <f>+LOOKUP(PROYECTOS2[[#This Row],[MUNICIPIO]],Table1[Municipio],Table1[Latitud])</f>
        <v>6,149903</v>
      </c>
      <c r="H139" s="44">
        <f>+LOOKUP(PROYECTOS2[[#This Row],[MUNICIPIO]],Table1[Municipio],Table1[PDET])</f>
        <v>0</v>
      </c>
      <c r="I139" s="44">
        <f>+LOOKUP(PROYECTOS2[[#This Row],[MUNICIPIO]],Table1[Municipio],Table1[ZOMAC])</f>
        <v>0</v>
      </c>
      <c r="J139" s="3" t="str" cm="1">
        <f t="array" ref="J139">_xlfn.TEXTJOIN(", ", TRUE, IF(radicados[ID PROYECTOS]=A139, radicados[RADICADO], ""))</f>
        <v>2024010502152</v>
      </c>
      <c r="K139" s="45">
        <v>3</v>
      </c>
      <c r="L139" s="45"/>
      <c r="M139" s="43"/>
      <c r="N139" s="48">
        <v>3640744267.1999998</v>
      </c>
      <c r="O139" s="48"/>
      <c r="P139" s="48"/>
      <c r="Q139" s="148" t="s">
        <v>1067</v>
      </c>
      <c r="R139" s="34" t="s">
        <v>401</v>
      </c>
      <c r="S139" s="34" t="s">
        <v>394</v>
      </c>
      <c r="T139" s="34" t="s">
        <v>18</v>
      </c>
      <c r="U139" s="37"/>
      <c r="V139" s="44">
        <f>+_xlfn.XLOOKUP(PROYECTOS2[[#This Row],[MUNICIPIO]],'4.CAP_ENDMNT'!B:B,'4.CAP_ENDMNT'!C:C,0,0,1)</f>
        <v>6</v>
      </c>
      <c r="W139" s="139">
        <f>+_xlfn.XLOOKUP(PROYECTOS2[[#This Row],[MUNICIPIO]],'4.CAP_ENDMNT'!B:B,'4.CAP_ENDMNT'!D:D,0,0,1)</f>
        <v>12522207884.799</v>
      </c>
      <c r="X139" s="140">
        <f>+_xlfn.XLOOKUP(PROYECTOS2[[#This Row],[MUNICIPIO]],'4.CAP_ENDMNT'!B:B,'4.CAP_ENDMNT'!E:E,0,0,1)</f>
        <v>6810462569.46</v>
      </c>
      <c r="Y139" s="140">
        <f>+_xlfn.XLOOKUP(PROYECTOS2[[#This Row],[MUNICIPIO]],'4.CAP_ENDMNT'!B:B,'4.CAP_ENDMNT'!F:F,0,0,1)</f>
        <v>5711745315.3389997</v>
      </c>
      <c r="Z139" s="140">
        <f>+_xlfn.XLOOKUP(PROYECTOS2[[#This Row],[MUNICIPIO]],'4.CAP_ENDMNT'!B:B,'4.CAP_ENDMNT'!G:G,0,0,1)</f>
        <v>0</v>
      </c>
      <c r="AA139" s="140">
        <f>+_xlfn.XLOOKUP(PROYECTOS2[[#This Row],[MUNICIPIO]],'4.CAP_ENDMNT'!B:B,'4.CAP_ENDMNT'!H:H,0,0,1)</f>
        <v>0</v>
      </c>
      <c r="AB139" s="140">
        <f>+_xlfn.XLOOKUP(PROYECTOS2[[#This Row],[MUNICIPIO]],'4.CAP_ENDMNT'!B:B,'4.CAP_ENDMNT'!I:I,0,0,1)</f>
        <v>0</v>
      </c>
      <c r="AC139" s="134">
        <f>+_xlfn.XLOOKUP(PROYECTOS2[[#This Row],[MUNICIPIO]],'4.CAP_ENDMNT'!B:B,'4.CAP_ENDMNT'!J:J,0,0,1)</f>
        <v>0</v>
      </c>
      <c r="AD139" s="140">
        <f>+_xlfn.XLOOKUP(PROYECTOS2[[#This Row],[MUNICIPIO]],'4.CAP_ENDMNT'!B:B,'4.CAP_ENDMNT'!K:K,0,0,1)</f>
        <v>12522207884.799</v>
      </c>
      <c r="AE139" s="140">
        <f>+_xlfn.XLOOKUP(PROYECTOS2[[#This Row],[MUNICIPIO]],'4.CAP_ENDMNT'!B:B,'4.CAP_ENDMNT'!L:L,0,0,1)</f>
        <v>10017766307.839201</v>
      </c>
      <c r="AF139" s="140">
        <f>+_xlfn.XLOOKUP(PROYECTOS2[[#This Row],[MUNICIPIO]],'4.CAP_ENDMNT'!B:B,'4.CAP_ENDMNT'!M:M,0,0,1)</f>
        <v>7513324730.8793993</v>
      </c>
      <c r="AG139" s="134">
        <f>+_xlfn.XLOOKUP(PROYECTOS2[[#This Row],[MUNICIPIO]],'4.CAP_ENDMNT'!B:B,'4.CAP_ENDMNT'!N:N,0,0,1)</f>
        <v>0</v>
      </c>
      <c r="AH139" s="134">
        <f>+_xlfn.XLOOKUP(PROYECTOS2[[#This Row],[MUNICIPIO]],'4.CAP_ENDMNT'!B:B,'4.CAP_ENDMNT'!O:O,0,0,1)</f>
        <v>0.68767493145996073</v>
      </c>
      <c r="AI139" s="134">
        <f>+_xlfn.XLOOKUP(PROYECTOS2[[#This Row],[MUNICIPIO]],'4.CAP_ENDMNT'!B:B,'4.CAP_ENDMNT'!P:P,0,0,1)</f>
        <v>0.8</v>
      </c>
      <c r="AJ139" s="44" t="str">
        <f>+_xlfn.XLOOKUP(PROYECTOS2[[#This Row],[MUNICIPIO]],'4.CAP_ENDMNT'!B:B,'4.CAP_ENDMNT'!Q:Q,0,0,1)</f>
        <v>Cumple</v>
      </c>
    </row>
    <row r="140" spans="1:36">
      <c r="A140" s="44">
        <v>154</v>
      </c>
      <c r="B140" s="37" t="s">
        <v>283</v>
      </c>
      <c r="C140" s="118">
        <f>+_xlfn.XLOOKUP(PROYECTOS2[[#This Row],[ID_NECESIDAD]],'1.RADICADOS'!G:G,'1.RADICADOS'!C:C,0,0,1)*1</f>
        <v>45609</v>
      </c>
      <c r="D140" s="46" t="s">
        <v>101</v>
      </c>
      <c r="E140" s="47" t="str">
        <f>+_xlfn.XLOOKUP(PROYECTOS2[[#This Row],[MUNICIPIO]],MUNICIPIOS!A:A,MUNICIPIOS!E:E,0,0,1)</f>
        <v>Suroeste</v>
      </c>
      <c r="F140" s="44" t="e" cm="1">
        <f t="array" ref="F140">+_xlfn.XLOOKUP(PROYECTOS2[[#This Row],[MUNICIPIO]],Table1[Municipio],MUNICIPIOS!F:F,0,0,1)</f>
        <v>#VALUE!</v>
      </c>
      <c r="G140" s="44" t="str">
        <f>+LOOKUP(PROYECTOS2[[#This Row],[MUNICIPIO]],Table1[Municipio],Table1[Latitud])</f>
        <v>5,743808</v>
      </c>
      <c r="H140" s="44">
        <f>+LOOKUP(PROYECTOS2[[#This Row],[MUNICIPIO]],Table1[Municipio],Table1[PDET])</f>
        <v>0</v>
      </c>
      <c r="I140" s="44">
        <f>+LOOKUP(PROYECTOS2[[#This Row],[MUNICIPIO]],Table1[Municipio],Table1[ZOMAC])</f>
        <v>0</v>
      </c>
      <c r="J140" s="3" t="str" cm="1">
        <f t="array" ref="J140">_xlfn.TEXTJOIN(", ", TRUE, IF(radicados[ID PROYECTOS]=A140, radicados[RADICADO], ""))</f>
        <v>2024010528004, 2024010376421</v>
      </c>
      <c r="K140" s="45">
        <v>3</v>
      </c>
      <c r="L140" s="45"/>
      <c r="M140" s="43"/>
      <c r="N140" s="48">
        <v>1263024676</v>
      </c>
      <c r="O140" s="48"/>
      <c r="P140" s="48"/>
      <c r="Q140" s="148" t="s">
        <v>1067</v>
      </c>
      <c r="R140" s="34"/>
      <c r="S140" s="34" t="s">
        <v>394</v>
      </c>
      <c r="T140" s="34" t="s">
        <v>18</v>
      </c>
      <c r="U140" s="37"/>
      <c r="V140" s="44">
        <f>+_xlfn.XLOOKUP(PROYECTOS2[[#This Row],[MUNICIPIO]],'4.CAP_ENDMNT'!B:B,'4.CAP_ENDMNT'!C:C,0,0,1)</f>
        <v>6</v>
      </c>
      <c r="W140" s="139">
        <f>+_xlfn.XLOOKUP(PROYECTOS2[[#This Row],[MUNICIPIO]],'4.CAP_ENDMNT'!B:B,'4.CAP_ENDMNT'!D:D,0,0,1)</f>
        <v>10783113038.2925</v>
      </c>
      <c r="X140" s="140">
        <f>+_xlfn.XLOOKUP(PROYECTOS2[[#This Row],[MUNICIPIO]],'4.CAP_ENDMNT'!B:B,'4.CAP_ENDMNT'!E:E,0,0,1)</f>
        <v>5750561650.9200001</v>
      </c>
      <c r="Y140" s="140">
        <f>+_xlfn.XLOOKUP(PROYECTOS2[[#This Row],[MUNICIPIO]],'4.CAP_ENDMNT'!B:B,'4.CAP_ENDMNT'!F:F,0,0,1)</f>
        <v>5032551387.3724995</v>
      </c>
      <c r="Z140" s="140">
        <f>+_xlfn.XLOOKUP(PROYECTOS2[[#This Row],[MUNICIPIO]],'4.CAP_ENDMNT'!B:B,'4.CAP_ENDMNT'!G:G,0,0,1)</f>
        <v>4104930290</v>
      </c>
      <c r="AA140" s="140">
        <f>+_xlfn.XLOOKUP(PROYECTOS2[[#This Row],[MUNICIPIO]],'4.CAP_ENDMNT'!B:B,'4.CAP_ENDMNT'!H:H,0,0,1)</f>
        <v>0</v>
      </c>
      <c r="AB140" s="140">
        <f>+_xlfn.XLOOKUP(PROYECTOS2[[#This Row],[MUNICIPIO]],'4.CAP_ENDMNT'!B:B,'4.CAP_ENDMNT'!I:I,0,0,1)</f>
        <v>4104930290</v>
      </c>
      <c r="AC140" s="134">
        <f>+_xlfn.XLOOKUP(PROYECTOS2[[#This Row],[MUNICIPIO]],'4.CAP_ENDMNT'!B:B,'4.CAP_ENDMNT'!J:J,0,0,1)</f>
        <v>0.38068137423977277</v>
      </c>
      <c r="AD140" s="140">
        <f>+_xlfn.XLOOKUP(PROYECTOS2[[#This Row],[MUNICIPIO]],'4.CAP_ENDMNT'!B:B,'4.CAP_ENDMNT'!K:K,0,0,1)</f>
        <v>6678182748.2924995</v>
      </c>
      <c r="AE140" s="140">
        <f>+_xlfn.XLOOKUP(PROYECTOS2[[#This Row],[MUNICIPIO]],'4.CAP_ENDMNT'!B:B,'4.CAP_ENDMNT'!L:L,0,0,1)</f>
        <v>5342546198.6339998</v>
      </c>
      <c r="AF140" s="140">
        <f>+_xlfn.XLOOKUP(PROYECTOS2[[#This Row],[MUNICIPIO]],'4.CAP_ENDMNT'!B:B,'4.CAP_ENDMNT'!M:M,0,0,1)</f>
        <v>4006909648.9754996</v>
      </c>
      <c r="AG140" s="134">
        <f>+_xlfn.XLOOKUP(PROYECTOS2[[#This Row],[MUNICIPIO]],'4.CAP_ENDMNT'!B:B,'4.CAP_ENDMNT'!N:N,0,0,1)</f>
        <v>1</v>
      </c>
      <c r="AH140" s="134">
        <f>+_xlfn.XLOOKUP(PROYECTOS2[[#This Row],[MUNICIPIO]],'4.CAP_ENDMNT'!B:B,'4.CAP_ENDMNT'!O:O,0,0,1)</f>
        <v>0.6829525248720959</v>
      </c>
      <c r="AI140" s="134">
        <f>+_xlfn.XLOOKUP(PROYECTOS2[[#This Row],[MUNICIPIO]],'4.CAP_ENDMNT'!B:B,'4.CAP_ENDMNT'!P:P,0,0,1)</f>
        <v>0.8</v>
      </c>
      <c r="AJ140" s="44" t="str">
        <f>+_xlfn.XLOOKUP(PROYECTOS2[[#This Row],[MUNICIPIO]],'4.CAP_ENDMNT'!B:B,'4.CAP_ENDMNT'!Q:Q,0,0,1)</f>
        <v>Cumple</v>
      </c>
    </row>
    <row r="141" spans="1:36">
      <c r="A141" s="44">
        <v>155</v>
      </c>
      <c r="B141" s="37" t="s">
        <v>285</v>
      </c>
      <c r="C141" s="118">
        <f>+_xlfn.XLOOKUP(PROYECTOS2[[#This Row],[ID_NECESIDAD]],'1.RADICADOS'!G:G,'1.RADICADOS'!C:C,0,0,1)*1</f>
        <v>45616</v>
      </c>
      <c r="D141" s="46" t="s">
        <v>209</v>
      </c>
      <c r="E141" s="47" t="str">
        <f>+_xlfn.XLOOKUP(PROYECTOS2[[#This Row],[MUNICIPIO]],MUNICIPIOS!A:A,MUNICIPIOS!E:E,0,0,1)</f>
        <v>Norte</v>
      </c>
      <c r="F141" s="44" t="e" cm="1">
        <f t="array" ref="F141">+_xlfn.XLOOKUP(PROYECTOS2[[#This Row],[MUNICIPIO]],Table1[Municipio],MUNICIPIOS!F:F,0,0,1)</f>
        <v>#VALUE!</v>
      </c>
      <c r="G141" s="44" t="str">
        <f>+LOOKUP(PROYECTOS2[[#This Row],[MUNICIPIO]],Table1[Municipio],Table1[Latitud])</f>
        <v>6,149903</v>
      </c>
      <c r="H141" s="44">
        <f>+LOOKUP(PROYECTOS2[[#This Row],[MUNICIPIO]],Table1[Municipio],Table1[PDET])</f>
        <v>0</v>
      </c>
      <c r="I141" s="44">
        <f>+LOOKUP(PROYECTOS2[[#This Row],[MUNICIPIO]],Table1[Municipio],Table1[ZOMAC])</f>
        <v>0</v>
      </c>
      <c r="J141" s="3" t="str" cm="1">
        <f t="array" ref="J141">_xlfn.TEXTJOIN(", ", TRUE, IF(radicados[ID PROYECTOS]=A141, radicados[RADICADO], ""))</f>
        <v>2025010011461</v>
      </c>
      <c r="K141" s="45">
        <v>3</v>
      </c>
      <c r="L141" s="45"/>
      <c r="M141" s="43"/>
      <c r="N141" s="48">
        <v>1541708549</v>
      </c>
      <c r="O141" s="48"/>
      <c r="P141" s="48"/>
      <c r="Q141" s="148" t="s">
        <v>1067</v>
      </c>
      <c r="R141" s="34"/>
      <c r="S141" s="34" t="s">
        <v>398</v>
      </c>
      <c r="T141" s="34" t="s">
        <v>25</v>
      </c>
      <c r="U141" s="37"/>
      <c r="V141" s="44">
        <f>+_xlfn.XLOOKUP(PROYECTOS2[[#This Row],[MUNICIPIO]],'4.CAP_ENDMNT'!B:B,'4.CAP_ENDMNT'!C:C,0,0,1)</f>
        <v>6</v>
      </c>
      <c r="W141" s="139">
        <f>+_xlfn.XLOOKUP(PROYECTOS2[[#This Row],[MUNICIPIO]],'4.CAP_ENDMNT'!B:B,'4.CAP_ENDMNT'!D:D,0,0,1)</f>
        <v>13037566833.207003</v>
      </c>
      <c r="X141" s="140">
        <f>+_xlfn.XLOOKUP(PROYECTOS2[[#This Row],[MUNICIPIO]],'4.CAP_ENDMNT'!B:B,'4.CAP_ENDMNT'!E:E,0,0,1)</f>
        <v>3869989518.3099999</v>
      </c>
      <c r="Y141" s="140">
        <f>+_xlfn.XLOOKUP(PROYECTOS2[[#This Row],[MUNICIPIO]],'4.CAP_ENDMNT'!B:B,'4.CAP_ENDMNT'!F:F,0,0,1)</f>
        <v>9167577314.8970032</v>
      </c>
      <c r="Z141" s="140">
        <f>+_xlfn.XLOOKUP(PROYECTOS2[[#This Row],[MUNICIPIO]],'4.CAP_ENDMNT'!B:B,'4.CAP_ENDMNT'!G:G,0,0,1)</f>
        <v>3761583922</v>
      </c>
      <c r="AA141" s="140">
        <f>+_xlfn.XLOOKUP(PROYECTOS2[[#This Row],[MUNICIPIO]],'4.CAP_ENDMNT'!B:B,'4.CAP_ENDMNT'!H:H,0,0,1)</f>
        <v>0</v>
      </c>
      <c r="AB141" s="140">
        <f>+_xlfn.XLOOKUP(PROYECTOS2[[#This Row],[MUNICIPIO]],'4.CAP_ENDMNT'!B:B,'4.CAP_ENDMNT'!I:I,0,0,1)</f>
        <v>3761583922</v>
      </c>
      <c r="AC141" s="134">
        <f>+_xlfn.XLOOKUP(PROYECTOS2[[#This Row],[MUNICIPIO]],'4.CAP_ENDMNT'!B:B,'4.CAP_ENDMNT'!J:J,0,0,1)</f>
        <v>0.28851886016178674</v>
      </c>
      <c r="AD141" s="140">
        <f>+_xlfn.XLOOKUP(PROYECTOS2[[#This Row],[MUNICIPIO]],'4.CAP_ENDMNT'!B:B,'4.CAP_ENDMNT'!K:K,0,0,1)</f>
        <v>9275982911.2070026</v>
      </c>
      <c r="AE141" s="140">
        <f>+_xlfn.XLOOKUP(PROYECTOS2[[#This Row],[MUNICIPIO]],'4.CAP_ENDMNT'!B:B,'4.CAP_ENDMNT'!L:L,0,0,1)</f>
        <v>7420786328.9656029</v>
      </c>
      <c r="AF141" s="140">
        <f>+_xlfn.XLOOKUP(PROYECTOS2[[#This Row],[MUNICIPIO]],'4.CAP_ENDMNT'!B:B,'4.CAP_ENDMNT'!M:M,0,0,1)</f>
        <v>5565589746.7242012</v>
      </c>
      <c r="AG141" s="134">
        <f>+_xlfn.XLOOKUP(PROYECTOS2[[#This Row],[MUNICIPIO]],'4.CAP_ENDMNT'!B:B,'4.CAP_ENDMNT'!N:N,0,0,1)</f>
        <v>1</v>
      </c>
      <c r="AH141" s="134">
        <f>+_xlfn.XLOOKUP(PROYECTOS2[[#This Row],[MUNICIPIO]],'4.CAP_ENDMNT'!B:B,'4.CAP_ENDMNT'!O:O,0,0,1)</f>
        <v>0.55776534569064784</v>
      </c>
      <c r="AI141" s="134">
        <f>+_xlfn.XLOOKUP(PROYECTOS2[[#This Row],[MUNICIPIO]],'4.CAP_ENDMNT'!B:B,'4.CAP_ENDMNT'!P:P,0,0,1)</f>
        <v>0.8</v>
      </c>
      <c r="AJ141" s="44" t="str">
        <f>+_xlfn.XLOOKUP(PROYECTOS2[[#This Row],[MUNICIPIO]],'4.CAP_ENDMNT'!B:B,'4.CAP_ENDMNT'!Q:Q,0,0,1)</f>
        <v>Cumple</v>
      </c>
    </row>
    <row r="142" spans="1:36">
      <c r="A142" s="44">
        <v>156</v>
      </c>
      <c r="B142" s="37" t="s">
        <v>287</v>
      </c>
      <c r="C142" s="118">
        <f>+_xlfn.XLOOKUP(PROYECTOS2[[#This Row],[ID_NECESIDAD]],'1.RADICADOS'!G:G,'1.RADICADOS'!C:C,0,0,1)*1</f>
        <v>45684</v>
      </c>
      <c r="D142" s="46" t="s">
        <v>286</v>
      </c>
      <c r="E142" s="47" t="str">
        <f>+_xlfn.XLOOKUP(PROYECTOS2[[#This Row],[MUNICIPIO]],MUNICIPIOS!A:A,MUNICIPIOS!E:E,0,0,1)</f>
        <v>Norte</v>
      </c>
      <c r="F142" s="44" t="e" cm="1">
        <f t="array" ref="F142">+_xlfn.XLOOKUP(PROYECTOS2[[#This Row],[MUNICIPIO]],Table1[Municipio],MUNICIPIOS!F:F,0,0,1)</f>
        <v>#VALUE!</v>
      </c>
      <c r="G142" s="44" t="str">
        <f>+LOOKUP(PROYECTOS2[[#This Row],[MUNICIPIO]],Table1[Municipio],Table1[Latitud])</f>
        <v>7,074703</v>
      </c>
      <c r="H142" s="44">
        <f>+LOOKUP(PROYECTOS2[[#This Row],[MUNICIPIO]],Table1[Municipio],Table1[PDET])</f>
        <v>1</v>
      </c>
      <c r="I142" s="44">
        <f>+LOOKUP(PROYECTOS2[[#This Row],[MUNICIPIO]],Table1[Municipio],Table1[ZOMAC])</f>
        <v>1</v>
      </c>
      <c r="J142" s="3" t="str" cm="1">
        <f t="array" ref="J142">_xlfn.TEXTJOIN(", ", TRUE, IF(radicados[ID PROYECTOS]=A142, radicados[RADICADO], ""))</f>
        <v>2025010031841</v>
      </c>
      <c r="K142" s="45">
        <v>3</v>
      </c>
      <c r="L142" s="45"/>
      <c r="M142" s="43" t="s">
        <v>179</v>
      </c>
      <c r="N142" s="48">
        <v>6202802054</v>
      </c>
      <c r="O142" s="48"/>
      <c r="P142" s="48"/>
      <c r="Q142" s="148" t="s">
        <v>1067</v>
      </c>
      <c r="R142" s="34" t="s">
        <v>288</v>
      </c>
      <c r="S142" s="40" t="s">
        <v>398</v>
      </c>
      <c r="T142" s="40" t="s">
        <v>25</v>
      </c>
      <c r="U142" s="37"/>
      <c r="V142" s="44">
        <f>+_xlfn.XLOOKUP(PROYECTOS2[[#This Row],[MUNICIPIO]],'4.CAP_ENDMNT'!B:B,'4.CAP_ENDMNT'!C:C,0,0,1)</f>
        <v>6</v>
      </c>
      <c r="W142" s="139">
        <f>+_xlfn.XLOOKUP(PROYECTOS2[[#This Row],[MUNICIPIO]],'4.CAP_ENDMNT'!B:B,'4.CAP_ENDMNT'!D:D,0,0,1)</f>
        <v>8809287720.75</v>
      </c>
      <c r="X142" s="140">
        <f>+_xlfn.XLOOKUP(PROYECTOS2[[#This Row],[MUNICIPIO]],'4.CAP_ENDMNT'!B:B,'4.CAP_ENDMNT'!E:E,0,0,1)</f>
        <v>2669441983.3800001</v>
      </c>
      <c r="Y142" s="140">
        <f>+_xlfn.XLOOKUP(PROYECTOS2[[#This Row],[MUNICIPIO]],'4.CAP_ENDMNT'!B:B,'4.CAP_ENDMNT'!F:F,0,0,1)</f>
        <v>6139845737.3699999</v>
      </c>
      <c r="Z142" s="140">
        <f>+_xlfn.XLOOKUP(PROYECTOS2[[#This Row],[MUNICIPIO]],'4.CAP_ENDMNT'!B:B,'4.CAP_ENDMNT'!G:G,0,0,1)</f>
        <v>3083047525</v>
      </c>
      <c r="AA142" s="140">
        <f>+_xlfn.XLOOKUP(PROYECTOS2[[#This Row],[MUNICIPIO]],'4.CAP_ENDMNT'!B:B,'4.CAP_ENDMNT'!H:H,0,0,1)</f>
        <v>0</v>
      </c>
      <c r="AB142" s="140">
        <f>+_xlfn.XLOOKUP(PROYECTOS2[[#This Row],[MUNICIPIO]],'4.CAP_ENDMNT'!B:B,'4.CAP_ENDMNT'!I:I,0,0,1)</f>
        <v>3083047525</v>
      </c>
      <c r="AC142" s="134">
        <f>+_xlfn.XLOOKUP(PROYECTOS2[[#This Row],[MUNICIPIO]],'4.CAP_ENDMNT'!B:B,'4.CAP_ENDMNT'!J:J,0,0,1)</f>
        <v>0.34997693601696972</v>
      </c>
      <c r="AD142" s="140">
        <f>+_xlfn.XLOOKUP(PROYECTOS2[[#This Row],[MUNICIPIO]],'4.CAP_ENDMNT'!B:B,'4.CAP_ENDMNT'!K:K,0,0,1)</f>
        <v>5726240195.75</v>
      </c>
      <c r="AE142" s="140">
        <f>+_xlfn.XLOOKUP(PROYECTOS2[[#This Row],[MUNICIPIO]],'4.CAP_ENDMNT'!B:B,'4.CAP_ENDMNT'!L:L,0,0,1)</f>
        <v>4580992156.6000004</v>
      </c>
      <c r="AF142" s="140">
        <f>+_xlfn.XLOOKUP(PROYECTOS2[[#This Row],[MUNICIPIO]],'4.CAP_ENDMNT'!B:B,'4.CAP_ENDMNT'!M:M,0,0,1)</f>
        <v>3435744117.4499998</v>
      </c>
      <c r="AG142" s="134">
        <f>+_xlfn.XLOOKUP(PROYECTOS2[[#This Row],[MUNICIPIO]],'4.CAP_ENDMNT'!B:B,'4.CAP_ENDMNT'!N:N,0,0,1)</f>
        <v>1</v>
      </c>
      <c r="AH142" s="134">
        <f>+_xlfn.XLOOKUP(PROYECTOS2[[#This Row],[MUNICIPIO]],'4.CAP_ENDMNT'!B:B,'4.CAP_ENDMNT'!O:O,0,0,1)</f>
        <v>0.72230003829506451</v>
      </c>
      <c r="AI142" s="134">
        <f>+_xlfn.XLOOKUP(PROYECTOS2[[#This Row],[MUNICIPIO]],'4.CAP_ENDMNT'!B:B,'4.CAP_ENDMNT'!P:P,0,0,1)</f>
        <v>0.8</v>
      </c>
      <c r="AJ142" s="44" t="str">
        <f>+_xlfn.XLOOKUP(PROYECTOS2[[#This Row],[MUNICIPIO]],'4.CAP_ENDMNT'!B:B,'4.CAP_ENDMNT'!Q:Q,0,0,1)</f>
        <v>Cumple</v>
      </c>
    </row>
    <row r="143" spans="1:36">
      <c r="A143" s="44">
        <v>157</v>
      </c>
      <c r="B143" s="37" t="s">
        <v>431</v>
      </c>
      <c r="C143" s="118">
        <f>+_xlfn.XLOOKUP(PROYECTOS2[[#This Row],[ID_NECESIDAD]],'1.RADICADOS'!G:G,'1.RADICADOS'!C:C,0,0,1)*1</f>
        <v>45678</v>
      </c>
      <c r="D143" s="46" t="s">
        <v>4</v>
      </c>
      <c r="E143" s="47" t="str">
        <f>+_xlfn.XLOOKUP(PROYECTOS2[[#This Row],[MUNICIPIO]],MUNICIPIOS!A:A,MUNICIPIOS!E:E,0,0,1)</f>
        <v>Nordeste</v>
      </c>
      <c r="F143" s="44" t="e" cm="1">
        <f t="array" ref="F143">+_xlfn.XLOOKUP(PROYECTOS2[[#This Row],[MUNICIPIO]],Table1[Municipio],MUNICIPIOS!F:F,0,0,1)</f>
        <v>#VALUE!</v>
      </c>
      <c r="G143" s="44" t="str">
        <f>+LOOKUP(PROYECTOS2[[#This Row],[MUNICIPIO]],Table1[Municipio],Table1[Latitud])</f>
        <v>6,149903</v>
      </c>
      <c r="H143" s="44">
        <f>+LOOKUP(PROYECTOS2[[#This Row],[MUNICIPIO]],Table1[Municipio],Table1[PDET])</f>
        <v>0</v>
      </c>
      <c r="I143" s="44">
        <f>+LOOKUP(PROYECTOS2[[#This Row],[MUNICIPIO]],Table1[Municipio],Table1[ZOMAC])</f>
        <v>0</v>
      </c>
      <c r="J143" s="3" t="str" cm="1">
        <f t="array" ref="J143">_xlfn.TEXTJOIN(", ", TRUE, IF(radicados[ID PROYECTOS]=A143, radicados[RADICADO], ""))</f>
        <v>2025010028865, 2025010028861</v>
      </c>
      <c r="K143" s="45">
        <v>3</v>
      </c>
      <c r="L143" s="45"/>
      <c r="M143" s="43"/>
      <c r="N143" s="48">
        <v>7470010822</v>
      </c>
      <c r="O143" s="48"/>
      <c r="P143" s="48"/>
      <c r="Q143" s="148" t="s">
        <v>1067</v>
      </c>
      <c r="R143" s="34"/>
      <c r="S143" s="34" t="s">
        <v>394</v>
      </c>
      <c r="T143" s="34" t="s">
        <v>18</v>
      </c>
      <c r="U143" s="37"/>
      <c r="V143" s="44">
        <f>+_xlfn.XLOOKUP(PROYECTOS2[[#This Row],[MUNICIPIO]],'4.CAP_ENDMNT'!B:B,'4.CAP_ENDMNT'!C:C,0,0,1)</f>
        <v>6</v>
      </c>
      <c r="W143" s="139">
        <f>+_xlfn.XLOOKUP(PROYECTOS2[[#This Row],[MUNICIPIO]],'4.CAP_ENDMNT'!B:B,'4.CAP_ENDMNT'!D:D,0,0,1)</f>
        <v>14438255937.0725</v>
      </c>
      <c r="X143" s="140">
        <f>+_xlfn.XLOOKUP(PROYECTOS2[[#This Row],[MUNICIPIO]],'4.CAP_ENDMNT'!B:B,'4.CAP_ENDMNT'!E:E,0,0,1)</f>
        <v>4668200945.8400002</v>
      </c>
      <c r="Y143" s="140">
        <f>+_xlfn.XLOOKUP(PROYECTOS2[[#This Row],[MUNICIPIO]],'4.CAP_ENDMNT'!B:B,'4.CAP_ENDMNT'!F:F,0,0,1)</f>
        <v>9770054991.2325001</v>
      </c>
      <c r="Z143" s="140">
        <f>+_xlfn.XLOOKUP(PROYECTOS2[[#This Row],[MUNICIPIO]],'4.CAP_ENDMNT'!B:B,'4.CAP_ENDMNT'!G:G,0,0,1)</f>
        <v>2534414723</v>
      </c>
      <c r="AA143" s="140">
        <f>+_xlfn.XLOOKUP(PROYECTOS2[[#This Row],[MUNICIPIO]],'4.CAP_ENDMNT'!B:B,'4.CAP_ENDMNT'!H:H,0,0,1)</f>
        <v>0</v>
      </c>
      <c r="AB143" s="140">
        <f>+_xlfn.XLOOKUP(PROYECTOS2[[#This Row],[MUNICIPIO]],'4.CAP_ENDMNT'!B:B,'4.CAP_ENDMNT'!I:I,0,0,1)</f>
        <v>2534414723</v>
      </c>
      <c r="AC143" s="134">
        <f>+_xlfn.XLOOKUP(PROYECTOS2[[#This Row],[MUNICIPIO]],'4.CAP_ENDMNT'!B:B,'4.CAP_ENDMNT'!J:J,0,0,1)</f>
        <v>0.17553468604836753</v>
      </c>
      <c r="AD143" s="140">
        <f>+_xlfn.XLOOKUP(PROYECTOS2[[#This Row],[MUNICIPIO]],'4.CAP_ENDMNT'!B:B,'4.CAP_ENDMNT'!K:K,0,0,1)</f>
        <v>11903841214.0725</v>
      </c>
      <c r="AE143" s="140">
        <f>+_xlfn.XLOOKUP(PROYECTOS2[[#This Row],[MUNICIPIO]],'4.CAP_ENDMNT'!B:B,'4.CAP_ENDMNT'!L:L,0,0,1)</f>
        <v>9523072971.2580013</v>
      </c>
      <c r="AF143" s="140">
        <f>+_xlfn.XLOOKUP(PROYECTOS2[[#This Row],[MUNICIPIO]],'4.CAP_ENDMNT'!B:B,'4.CAP_ENDMNT'!M:M,0,0,1)</f>
        <v>7142304728.4434996</v>
      </c>
      <c r="AG143" s="134">
        <f>+_xlfn.XLOOKUP(PROYECTOS2[[#This Row],[MUNICIPIO]],'4.CAP_ENDMNT'!B:B,'4.CAP_ENDMNT'!N:N,0,0,1)</f>
        <v>1</v>
      </c>
      <c r="AH143" s="134">
        <f>+_xlfn.XLOOKUP(PROYECTOS2[[#This Row],[MUNICIPIO]],'4.CAP_ENDMNT'!B:B,'4.CAP_ENDMNT'!O:O,0,0,1)</f>
        <v>0.5148707777903756</v>
      </c>
      <c r="AI143" s="134">
        <f>+_xlfn.XLOOKUP(PROYECTOS2[[#This Row],[MUNICIPIO]],'4.CAP_ENDMNT'!B:B,'4.CAP_ENDMNT'!P:P,0,0,1)</f>
        <v>0.8</v>
      </c>
      <c r="AJ143" s="44" t="str">
        <f>+_xlfn.XLOOKUP(PROYECTOS2[[#This Row],[MUNICIPIO]],'4.CAP_ENDMNT'!B:B,'4.CAP_ENDMNT'!Q:Q,0,0,1)</f>
        <v>Cumple</v>
      </c>
    </row>
    <row r="144" spans="1:36">
      <c r="A144" s="44">
        <v>158</v>
      </c>
      <c r="B144" s="37" t="s">
        <v>290</v>
      </c>
      <c r="C144" s="118">
        <f>+_xlfn.XLOOKUP(PROYECTOS2[[#This Row],[ID_NECESIDAD]],'1.RADICADOS'!G:G,'1.RADICADOS'!C:C,0,0,1)*1</f>
        <v>45680</v>
      </c>
      <c r="D144" s="46" t="s">
        <v>70</v>
      </c>
      <c r="E144" s="47" t="str">
        <f>+_xlfn.XLOOKUP(PROYECTOS2[[#This Row],[MUNICIPIO]],MUNICIPIOS!A:A,MUNICIPIOS!E:E,0,0,1)</f>
        <v>Oriente</v>
      </c>
      <c r="F144" s="44" t="e" cm="1">
        <f t="array" ref="F144">+_xlfn.XLOOKUP(PROYECTOS2[[#This Row],[MUNICIPIO]],Table1[Municipio],MUNICIPIOS!F:F,0,0,1)</f>
        <v>#VALUE!</v>
      </c>
      <c r="G144" s="44" t="e">
        <f>+LOOKUP(PROYECTOS2[[#This Row],[MUNICIPIO]],Table1[Municipio],Table1[Latitud])</f>
        <v>#N/A</v>
      </c>
      <c r="H144" s="44" t="e">
        <f>+LOOKUP(PROYECTOS2[[#This Row],[MUNICIPIO]],Table1[Municipio],Table1[PDET])</f>
        <v>#N/A</v>
      </c>
      <c r="I144" s="44" t="e">
        <f>+LOOKUP(PROYECTOS2[[#This Row],[MUNICIPIO]],Table1[Municipio],Table1[ZOMAC])</f>
        <v>#N/A</v>
      </c>
      <c r="J144" s="3" t="str" cm="1">
        <f t="array" ref="J144">_xlfn.TEXTJOIN(", ", TRUE, IF(radicados[ID PROYECTOS]=A144, radicados[RADICADO], ""))</f>
        <v>2025010056787</v>
      </c>
      <c r="K144" s="45">
        <v>3</v>
      </c>
      <c r="L144" s="45"/>
      <c r="M144" s="43" t="s">
        <v>179</v>
      </c>
      <c r="N144" s="48">
        <v>1406675371</v>
      </c>
      <c r="O144" s="48"/>
      <c r="P144" s="48"/>
      <c r="Q144" s="148" t="s">
        <v>1067</v>
      </c>
      <c r="R144" s="34" t="s">
        <v>288</v>
      </c>
      <c r="S144" s="40" t="s">
        <v>398</v>
      </c>
      <c r="T144" s="40" t="s">
        <v>25</v>
      </c>
      <c r="U144" s="37" t="s">
        <v>965</v>
      </c>
      <c r="V144" s="44">
        <f>+_xlfn.XLOOKUP(PROYECTOS2[[#This Row],[MUNICIPIO]],'4.CAP_ENDMNT'!B:B,'4.CAP_ENDMNT'!C:C,0,0,1)</f>
        <v>6</v>
      </c>
      <c r="W144" s="139">
        <f>+_xlfn.XLOOKUP(PROYECTOS2[[#This Row],[MUNICIPIO]],'4.CAP_ENDMNT'!B:B,'4.CAP_ENDMNT'!D:D,0,0,1)</f>
        <v>8362831920.7600002</v>
      </c>
      <c r="X144" s="140">
        <f>+_xlfn.XLOOKUP(PROYECTOS2[[#This Row],[MUNICIPIO]],'4.CAP_ENDMNT'!B:B,'4.CAP_ENDMNT'!E:E,0,0,1)</f>
        <v>2199279418.0799999</v>
      </c>
      <c r="Y144" s="140">
        <f>+_xlfn.XLOOKUP(PROYECTOS2[[#This Row],[MUNICIPIO]],'4.CAP_ENDMNT'!B:B,'4.CAP_ENDMNT'!F:F,0,0,1)</f>
        <v>6163552502.6800003</v>
      </c>
      <c r="Z144" s="140">
        <f>+_xlfn.XLOOKUP(PROYECTOS2[[#This Row],[MUNICIPIO]],'4.CAP_ENDMNT'!B:B,'4.CAP_ENDMNT'!G:G,0,0,1)</f>
        <v>284104325</v>
      </c>
      <c r="AA144" s="140">
        <f>+_xlfn.XLOOKUP(PROYECTOS2[[#This Row],[MUNICIPIO]],'4.CAP_ENDMNT'!B:B,'4.CAP_ENDMNT'!H:H,0,0,1)</f>
        <v>209000000</v>
      </c>
      <c r="AB144" s="140">
        <f>+_xlfn.XLOOKUP(PROYECTOS2[[#This Row],[MUNICIPIO]],'4.CAP_ENDMNT'!B:B,'4.CAP_ENDMNT'!I:I,0,0,1)</f>
        <v>493104325</v>
      </c>
      <c r="AC144" s="134">
        <f>+_xlfn.XLOOKUP(PROYECTOS2[[#This Row],[MUNICIPIO]],'4.CAP_ENDMNT'!B:B,'4.CAP_ENDMNT'!J:J,0,0,1)</f>
        <v>5.8963797152961017E-2</v>
      </c>
      <c r="AD144" s="140">
        <f>+_xlfn.XLOOKUP(PROYECTOS2[[#This Row],[MUNICIPIO]],'4.CAP_ENDMNT'!B:B,'4.CAP_ENDMNT'!K:K,0,0,1)</f>
        <v>7869727595.7600002</v>
      </c>
      <c r="AE144" s="140">
        <f>+_xlfn.XLOOKUP(PROYECTOS2[[#This Row],[MUNICIPIO]],'4.CAP_ENDMNT'!B:B,'4.CAP_ENDMNT'!L:L,0,0,1)</f>
        <v>6295782076.6080008</v>
      </c>
      <c r="AF144" s="140">
        <f>+_xlfn.XLOOKUP(PROYECTOS2[[#This Row],[MUNICIPIO]],'4.CAP_ENDMNT'!B:B,'4.CAP_ENDMNT'!M:M,0,0,1)</f>
        <v>4721836557.4560003</v>
      </c>
      <c r="AG144" s="134">
        <f>+_xlfn.XLOOKUP(PROYECTOS2[[#This Row],[MUNICIPIO]],'4.CAP_ENDMNT'!B:B,'4.CAP_ENDMNT'!N:N,0,0,1)</f>
        <v>0.57615459973911198</v>
      </c>
      <c r="AH144" s="134">
        <f>+_xlfn.XLOOKUP(PROYECTOS2[[#This Row],[MUNICIPIO]],'4.CAP_ENDMNT'!B:B,'4.CAP_ENDMNT'!O:O,0,0,1)</f>
        <v>0.61308928502962989</v>
      </c>
      <c r="AI144" s="134">
        <f>+_xlfn.XLOOKUP(PROYECTOS2[[#This Row],[MUNICIPIO]],'4.CAP_ENDMNT'!B:B,'4.CAP_ENDMNT'!P:P,0,0,1)</f>
        <v>0.8</v>
      </c>
      <c r="AJ144" s="44" t="str">
        <f>+_xlfn.XLOOKUP(PROYECTOS2[[#This Row],[MUNICIPIO]],'4.CAP_ENDMNT'!B:B,'4.CAP_ENDMNT'!Q:Q,0,0,1)</f>
        <v>Cumple</v>
      </c>
    </row>
    <row r="145" spans="1:36">
      <c r="A145" s="44">
        <v>159</v>
      </c>
      <c r="B145" s="37" t="s">
        <v>291</v>
      </c>
      <c r="C145" s="118">
        <f>+_xlfn.XLOOKUP(PROYECTOS2[[#This Row],[ID_NECESIDAD]],'1.RADICADOS'!G:G,'1.RADICADOS'!C:C,0,0,1)*1</f>
        <v>45363</v>
      </c>
      <c r="D145" s="46" t="s">
        <v>127</v>
      </c>
      <c r="E145" s="47" t="str">
        <f>+_xlfn.XLOOKUP(PROYECTOS2[[#This Row],[MUNICIPIO]],MUNICIPIOS!A:A,MUNICIPIOS!E:E,0,0,1)</f>
        <v>Suroeste</v>
      </c>
      <c r="F145" s="44" t="e" cm="1">
        <f t="array" ref="F145">+_xlfn.XLOOKUP(PROYECTOS2[[#This Row],[MUNICIPIO]],Table1[Municipio],MUNICIPIOS!F:F,0,0,1)</f>
        <v>#VALUE!</v>
      </c>
      <c r="G145" s="44" t="str">
        <f>+LOOKUP(PROYECTOS2[[#This Row],[MUNICIPIO]],Table1[Municipio],Table1[Latitud])</f>
        <v>7,074703</v>
      </c>
      <c r="H145" s="44">
        <f>+LOOKUP(PROYECTOS2[[#This Row],[MUNICIPIO]],Table1[Municipio],Table1[PDET])</f>
        <v>1</v>
      </c>
      <c r="I145" s="44">
        <f>+LOOKUP(PROYECTOS2[[#This Row],[MUNICIPIO]],Table1[Municipio],Table1[ZOMAC])</f>
        <v>1</v>
      </c>
      <c r="J145" s="3" t="str" cm="1">
        <f t="array" ref="J145">_xlfn.TEXTJOIN(", ", TRUE, IF(radicados[ID PROYECTOS]=A145, radicados[RADICADO], ""))</f>
        <v>2024010556193, 2025010057498, 2025010057500</v>
      </c>
      <c r="K145" s="45">
        <v>3</v>
      </c>
      <c r="L145" s="45"/>
      <c r="M145" s="43" t="s">
        <v>179</v>
      </c>
      <c r="N145" s="48">
        <v>2457394197</v>
      </c>
      <c r="O145" s="48"/>
      <c r="P145" s="48"/>
      <c r="Q145" s="148" t="s">
        <v>1067</v>
      </c>
      <c r="R145" s="34" t="s">
        <v>288</v>
      </c>
      <c r="S145" s="40" t="s">
        <v>398</v>
      </c>
      <c r="T145" s="40" t="s">
        <v>25</v>
      </c>
      <c r="U145" s="37"/>
      <c r="V145" s="44">
        <f>+_xlfn.XLOOKUP(PROYECTOS2[[#This Row],[MUNICIPIO]],'4.CAP_ENDMNT'!B:B,'4.CAP_ENDMNT'!C:C,0,0,1)</f>
        <v>6</v>
      </c>
      <c r="W145" s="139">
        <f>+_xlfn.XLOOKUP(PROYECTOS2[[#This Row],[MUNICIPIO]],'4.CAP_ENDMNT'!B:B,'4.CAP_ENDMNT'!D:D,0,0,1)</f>
        <v>9197355968.8835011</v>
      </c>
      <c r="X145" s="140">
        <f>+_xlfn.XLOOKUP(PROYECTOS2[[#This Row],[MUNICIPIO]],'4.CAP_ENDMNT'!B:B,'4.CAP_ENDMNT'!E:E,0,0,1)</f>
        <v>3350398615.7000003</v>
      </c>
      <c r="Y145" s="140">
        <f>+_xlfn.XLOOKUP(PROYECTOS2[[#This Row],[MUNICIPIO]],'4.CAP_ENDMNT'!B:B,'4.CAP_ENDMNT'!F:F,0,0,1)</f>
        <v>5846957353.1835003</v>
      </c>
      <c r="Z145" s="140">
        <f>+_xlfn.XLOOKUP(PROYECTOS2[[#This Row],[MUNICIPIO]],'4.CAP_ENDMNT'!B:B,'4.CAP_ENDMNT'!G:G,0,0,1)</f>
        <v>958841544</v>
      </c>
      <c r="AA145" s="140">
        <f>+_xlfn.XLOOKUP(PROYECTOS2[[#This Row],[MUNICIPIO]],'4.CAP_ENDMNT'!B:B,'4.CAP_ENDMNT'!H:H,0,0,1)</f>
        <v>680000000</v>
      </c>
      <c r="AB145" s="140">
        <f>+_xlfn.XLOOKUP(PROYECTOS2[[#This Row],[MUNICIPIO]],'4.CAP_ENDMNT'!B:B,'4.CAP_ENDMNT'!I:I,0,0,1)</f>
        <v>1638841544</v>
      </c>
      <c r="AC145" s="134">
        <f>+_xlfn.XLOOKUP(PROYECTOS2[[#This Row],[MUNICIPIO]],'4.CAP_ENDMNT'!B:B,'4.CAP_ENDMNT'!J:J,0,0,1)</f>
        <v>0.17818616019044273</v>
      </c>
      <c r="AD145" s="140">
        <f>+_xlfn.XLOOKUP(PROYECTOS2[[#This Row],[MUNICIPIO]],'4.CAP_ENDMNT'!B:B,'4.CAP_ENDMNT'!K:K,0,0,1)</f>
        <v>7558514424.8835011</v>
      </c>
      <c r="AE145" s="140">
        <f>+_xlfn.XLOOKUP(PROYECTOS2[[#This Row],[MUNICIPIO]],'4.CAP_ENDMNT'!B:B,'4.CAP_ENDMNT'!L:L,0,0,1)</f>
        <v>6046811539.9068012</v>
      </c>
      <c r="AF145" s="140">
        <f>+_xlfn.XLOOKUP(PROYECTOS2[[#This Row],[MUNICIPIO]],'4.CAP_ENDMNT'!B:B,'4.CAP_ENDMNT'!M:M,0,0,1)</f>
        <v>4535108654.9301004</v>
      </c>
      <c r="AG145" s="134">
        <f>+_xlfn.XLOOKUP(PROYECTOS2[[#This Row],[MUNICIPIO]],'4.CAP_ENDMNT'!B:B,'4.CAP_ENDMNT'!N:N,0,0,1)</f>
        <v>0.58507275917579493</v>
      </c>
      <c r="AH145" s="134">
        <f>+_xlfn.XLOOKUP(PROYECTOS2[[#This Row],[MUNICIPIO]],'4.CAP_ENDMNT'!B:B,'4.CAP_ENDMNT'!O:O,0,0,1)</f>
        <v>0.53687312631507866</v>
      </c>
      <c r="AI145" s="134">
        <f>+_xlfn.XLOOKUP(PROYECTOS2[[#This Row],[MUNICIPIO]],'4.CAP_ENDMNT'!B:B,'4.CAP_ENDMNT'!P:P,0,0,1)</f>
        <v>0.8</v>
      </c>
      <c r="AJ145" s="44" t="str">
        <f>+_xlfn.XLOOKUP(PROYECTOS2[[#This Row],[MUNICIPIO]],'4.CAP_ENDMNT'!B:B,'4.CAP_ENDMNT'!Q:Q,0,0,1)</f>
        <v>Cumple</v>
      </c>
    </row>
    <row r="146" spans="1:36">
      <c r="A146" s="44">
        <v>160</v>
      </c>
      <c r="B146" s="37" t="s">
        <v>432</v>
      </c>
      <c r="C146" s="118">
        <f>+_xlfn.XLOOKUP(PROYECTOS2[[#This Row],[ID_NECESIDAD]],'1.RADICADOS'!G:G,'1.RADICADOS'!C:C,0,0,1)*1</f>
        <v>45700</v>
      </c>
      <c r="D146" s="46" t="s">
        <v>74</v>
      </c>
      <c r="E146" s="47" t="str">
        <f>+_xlfn.XLOOKUP(PROYECTOS2[[#This Row],[MUNICIPIO]],MUNICIPIOS!A:A,MUNICIPIOS!E:E,0,0,1)</f>
        <v>Urabá</v>
      </c>
      <c r="F146" s="44" t="e" cm="1">
        <f t="array" ref="F146">+_xlfn.XLOOKUP(PROYECTOS2[[#This Row],[MUNICIPIO]],Table1[Municipio],MUNICIPIOS!F:F,0,0,1)</f>
        <v>#VALUE!</v>
      </c>
      <c r="G146" s="44" t="str">
        <f>+LOOKUP(PROYECTOS2[[#This Row],[MUNICIPIO]],Table1[Municipio],Table1[Latitud])</f>
        <v>6,149903</v>
      </c>
      <c r="H146" s="44">
        <f>+LOOKUP(PROYECTOS2[[#This Row],[MUNICIPIO]],Table1[Municipio],Table1[PDET])</f>
        <v>0</v>
      </c>
      <c r="I146" s="44">
        <f>+LOOKUP(PROYECTOS2[[#This Row],[MUNICIPIO]],Table1[Municipio],Table1[ZOMAC])</f>
        <v>0</v>
      </c>
      <c r="J146" s="3" t="str" cm="1">
        <f t="array" ref="J146">_xlfn.TEXTJOIN(", ", TRUE, IF(radicados[ID PROYECTOS]=A146, radicados[RADICADO], ""))</f>
        <v>2025010065132, 2025010189622</v>
      </c>
      <c r="K146" s="45">
        <v>3</v>
      </c>
      <c r="L146" s="45"/>
      <c r="M146" s="43" t="s">
        <v>179</v>
      </c>
      <c r="N146" s="48">
        <v>2467375711</v>
      </c>
      <c r="O146" s="48"/>
      <c r="P146" s="48"/>
      <c r="Q146" s="148" t="s">
        <v>1067</v>
      </c>
      <c r="R146" s="34" t="s">
        <v>288</v>
      </c>
      <c r="S146" s="40" t="s">
        <v>398</v>
      </c>
      <c r="T146" s="40" t="s">
        <v>25</v>
      </c>
      <c r="U146" s="37"/>
      <c r="V146" s="44">
        <f>+_xlfn.XLOOKUP(PROYECTOS2[[#This Row],[MUNICIPIO]],'4.CAP_ENDMNT'!B:B,'4.CAP_ENDMNT'!C:C,0,0,1)</f>
        <v>5</v>
      </c>
      <c r="W146" s="139">
        <f>+_xlfn.XLOOKUP(PROYECTOS2[[#This Row],[MUNICIPIO]],'4.CAP_ENDMNT'!B:B,'4.CAP_ENDMNT'!D:D,0,0,1)</f>
        <v>57277943756.629501</v>
      </c>
      <c r="X146" s="140">
        <f>+_xlfn.XLOOKUP(PROYECTOS2[[#This Row],[MUNICIPIO]],'4.CAP_ENDMNT'!B:B,'4.CAP_ENDMNT'!E:E,0,0,1)</f>
        <v>34159399600.959999</v>
      </c>
      <c r="Y146" s="140">
        <f>+_xlfn.XLOOKUP(PROYECTOS2[[#This Row],[MUNICIPIO]],'4.CAP_ENDMNT'!B:B,'4.CAP_ENDMNT'!F:F,0,0,1)</f>
        <v>23118544155.669502</v>
      </c>
      <c r="Z146" s="140">
        <f>+_xlfn.XLOOKUP(PROYECTOS2[[#This Row],[MUNICIPIO]],'4.CAP_ENDMNT'!B:B,'4.CAP_ENDMNT'!G:G,0,0,1)</f>
        <v>3450000000</v>
      </c>
      <c r="AA146" s="140">
        <f>+_xlfn.XLOOKUP(PROYECTOS2[[#This Row],[MUNICIPIO]],'4.CAP_ENDMNT'!B:B,'4.CAP_ENDMNT'!H:H,0,0,1)</f>
        <v>21452083665</v>
      </c>
      <c r="AB146" s="140">
        <f>+_xlfn.XLOOKUP(PROYECTOS2[[#This Row],[MUNICIPIO]],'4.CAP_ENDMNT'!B:B,'4.CAP_ENDMNT'!I:I,0,0,1)</f>
        <v>24902083665</v>
      </c>
      <c r="AC146" s="134">
        <f>+_xlfn.XLOOKUP(PROYECTOS2[[#This Row],[MUNICIPIO]],'4.CAP_ENDMNT'!B:B,'4.CAP_ENDMNT'!J:J,0,0,1)</f>
        <v>0.43475868775610099</v>
      </c>
      <c r="AD146" s="140">
        <f>+_xlfn.XLOOKUP(PROYECTOS2[[#This Row],[MUNICIPIO]],'4.CAP_ENDMNT'!B:B,'4.CAP_ENDMNT'!K:K,0,0,1)</f>
        <v>32375860091.629501</v>
      </c>
      <c r="AE146" s="140">
        <f>+_xlfn.XLOOKUP(PROYECTOS2[[#This Row],[MUNICIPIO]],'4.CAP_ENDMNT'!B:B,'4.CAP_ENDMNT'!L:L,0,0,1)</f>
        <v>25900688073.303604</v>
      </c>
      <c r="AF146" s="140">
        <f>+_xlfn.XLOOKUP(PROYECTOS2[[#This Row],[MUNICIPIO]],'4.CAP_ENDMNT'!B:B,'4.CAP_ENDMNT'!M:M,0,0,1)</f>
        <v>19425516054.977699</v>
      </c>
      <c r="AG146" s="134">
        <f>+_xlfn.XLOOKUP(PROYECTOS2[[#This Row],[MUNICIPIO]],'4.CAP_ENDMNT'!B:B,'4.CAP_ENDMNT'!N:N,0,0,1)</f>
        <v>0.13854262343712995</v>
      </c>
      <c r="AH146" s="134">
        <f>+_xlfn.XLOOKUP(PROYECTOS2[[#This Row],[MUNICIPIO]],'4.CAP_ENDMNT'!B:B,'4.CAP_ENDMNT'!O:O,0,0,1)</f>
        <v>0.87015152665365447</v>
      </c>
      <c r="AI146" s="134">
        <f>+_xlfn.XLOOKUP(PROYECTOS2[[#This Row],[MUNICIPIO]],'4.CAP_ENDMNT'!B:B,'4.CAP_ENDMNT'!P:P,0,0,1)</f>
        <v>0.8</v>
      </c>
      <c r="AJ146" s="44" t="str">
        <f>+_xlfn.XLOOKUP(PROYECTOS2[[#This Row],[MUNICIPIO]],'4.CAP_ENDMNT'!B:B,'4.CAP_ENDMNT'!Q:Q,0,0,1)</f>
        <v>Incumple</v>
      </c>
    </row>
    <row r="147" spans="1:36">
      <c r="A147" s="44">
        <v>161</v>
      </c>
      <c r="B147" s="37" t="s">
        <v>294</v>
      </c>
      <c r="C147" s="118">
        <f>+_xlfn.XLOOKUP(PROYECTOS2[[#This Row],[ID_NECESIDAD]],'1.RADICADOS'!G:G,'1.RADICADOS'!C:C,0,0,1)*1</f>
        <v>45391</v>
      </c>
      <c r="D147" s="46" t="s">
        <v>327</v>
      </c>
      <c r="E147" s="47" t="str">
        <f>+_xlfn.XLOOKUP(PROYECTOS2[[#This Row],[MUNICIPIO]],MUNICIPIOS!A:A,MUNICIPIOS!E:E,0,0,1)</f>
        <v>Nordeste</v>
      </c>
      <c r="F147" s="44" t="e" cm="1">
        <f t="array" ref="F147">+_xlfn.XLOOKUP(PROYECTOS2[[#This Row],[MUNICIPIO]],Table1[Municipio],MUNICIPIOS!F:F,0,0,1)</f>
        <v>#VALUE!</v>
      </c>
      <c r="G147" s="44" t="str">
        <f>+LOOKUP(PROYECTOS2[[#This Row],[MUNICIPIO]],Table1[Municipio],Table1[Latitud])</f>
        <v>6,149903</v>
      </c>
      <c r="H147" s="44">
        <f>+LOOKUP(PROYECTOS2[[#This Row],[MUNICIPIO]],Table1[Municipio],Table1[PDET])</f>
        <v>0</v>
      </c>
      <c r="I147" s="44">
        <f>+LOOKUP(PROYECTOS2[[#This Row],[MUNICIPIO]],Table1[Municipio],Table1[ZOMAC])</f>
        <v>0</v>
      </c>
      <c r="J147" s="3" t="str" cm="1">
        <f t="array" ref="J147">_xlfn.TEXTJOIN(", ", TRUE, IF(radicados[ID PROYECTOS]=A147, radicados[RADICADO], ""))</f>
        <v>2024010404411, 2025010033564</v>
      </c>
      <c r="K147" s="45">
        <v>1</v>
      </c>
      <c r="L147" s="45"/>
      <c r="M147" s="43"/>
      <c r="N147" s="48">
        <v>906805002</v>
      </c>
      <c r="O147" s="48"/>
      <c r="P147" s="48"/>
      <c r="Q147" s="148" t="s">
        <v>1067</v>
      </c>
      <c r="R147" s="34" t="s">
        <v>288</v>
      </c>
      <c r="S147" s="34" t="s">
        <v>398</v>
      </c>
      <c r="T147" s="34" t="s">
        <v>25</v>
      </c>
      <c r="U147" s="37"/>
      <c r="V147" s="44">
        <f>+_xlfn.XLOOKUP(PROYECTOS2[[#This Row],[MUNICIPIO]],'4.CAP_ENDMNT'!B:B,'4.CAP_ENDMNT'!C:C,0,0,1)</f>
        <v>6</v>
      </c>
      <c r="W147" s="139">
        <f>+_xlfn.XLOOKUP(PROYECTOS2[[#This Row],[MUNICIPIO]],'4.CAP_ENDMNT'!B:B,'4.CAP_ENDMNT'!D:D,0,0,1)</f>
        <v>13645854382.4415</v>
      </c>
      <c r="X147" s="140">
        <f>+_xlfn.XLOOKUP(PROYECTOS2[[#This Row],[MUNICIPIO]],'4.CAP_ENDMNT'!B:B,'4.CAP_ENDMNT'!E:E,0,0,1)</f>
        <v>5036095672.2200003</v>
      </c>
      <c r="Y147" s="140">
        <f>+_xlfn.XLOOKUP(PROYECTOS2[[#This Row],[MUNICIPIO]],'4.CAP_ENDMNT'!B:B,'4.CAP_ENDMNT'!F:F,0,0,1)</f>
        <v>8609758710.2215004</v>
      </c>
      <c r="Z147" s="140">
        <f>+_xlfn.XLOOKUP(PROYECTOS2[[#This Row],[MUNICIPIO]],'4.CAP_ENDMNT'!B:B,'4.CAP_ENDMNT'!G:G,0,0,1)</f>
        <v>2357809963</v>
      </c>
      <c r="AA147" s="140">
        <f>+_xlfn.XLOOKUP(PROYECTOS2[[#This Row],[MUNICIPIO]],'4.CAP_ENDMNT'!B:B,'4.CAP_ENDMNT'!H:H,0,0,1)</f>
        <v>1093248488</v>
      </c>
      <c r="AB147" s="140">
        <f>+_xlfn.XLOOKUP(PROYECTOS2[[#This Row],[MUNICIPIO]],'4.CAP_ENDMNT'!B:B,'4.CAP_ENDMNT'!I:I,0,0,1)</f>
        <v>3451058451</v>
      </c>
      <c r="AC147" s="134">
        <f>+_xlfn.XLOOKUP(PROYECTOS2[[#This Row],[MUNICIPIO]],'4.CAP_ENDMNT'!B:B,'4.CAP_ENDMNT'!J:J,0,0,1)</f>
        <v>0.25290160324739891</v>
      </c>
      <c r="AD147" s="140">
        <f>+_xlfn.XLOOKUP(PROYECTOS2[[#This Row],[MUNICIPIO]],'4.CAP_ENDMNT'!B:B,'4.CAP_ENDMNT'!K:K,0,0,1)</f>
        <v>10194795931.4415</v>
      </c>
      <c r="AE147" s="140">
        <f>+_xlfn.XLOOKUP(PROYECTOS2[[#This Row],[MUNICIPIO]],'4.CAP_ENDMNT'!B:B,'4.CAP_ENDMNT'!L:L,0,0,1)</f>
        <v>8155836745.1532001</v>
      </c>
      <c r="AF147" s="140">
        <f>+_xlfn.XLOOKUP(PROYECTOS2[[#This Row],[MUNICIPIO]],'4.CAP_ENDMNT'!B:B,'4.CAP_ENDMNT'!M:M,0,0,1)</f>
        <v>6116877558.8648996</v>
      </c>
      <c r="AG147" s="134">
        <f>+_xlfn.XLOOKUP(PROYECTOS2[[#This Row],[MUNICIPIO]],'4.CAP_ENDMNT'!B:B,'4.CAP_ENDMNT'!N:N,0,0,1)</f>
        <v>0.68321356954032075</v>
      </c>
      <c r="AH147" s="134">
        <f>+_xlfn.XLOOKUP(PROYECTOS2[[#This Row],[MUNICIPIO]],'4.CAP_ENDMNT'!B:B,'4.CAP_ENDMNT'!O:O,0,0,1)</f>
        <v>0.58815143933117542</v>
      </c>
      <c r="AI147" s="134">
        <f>+_xlfn.XLOOKUP(PROYECTOS2[[#This Row],[MUNICIPIO]],'4.CAP_ENDMNT'!B:B,'4.CAP_ENDMNT'!P:P,0,0,1)</f>
        <v>0.8</v>
      </c>
      <c r="AJ147" s="44" t="str">
        <f>+_xlfn.XLOOKUP(PROYECTOS2[[#This Row],[MUNICIPIO]],'4.CAP_ENDMNT'!B:B,'4.CAP_ENDMNT'!Q:Q,0,0,1)</f>
        <v>Cumple</v>
      </c>
    </row>
    <row r="148" spans="1:36">
      <c r="A148" s="44">
        <v>162</v>
      </c>
      <c r="B148" s="37" t="s">
        <v>433</v>
      </c>
      <c r="C148" s="118">
        <f>+_xlfn.XLOOKUP(PROYECTOS2[[#This Row],[ID_NECESIDAD]],'1.RADICADOS'!G:G,'1.RADICADOS'!C:C,0,0,1)*1</f>
        <v>45701</v>
      </c>
      <c r="D148" s="46" t="s">
        <v>334</v>
      </c>
      <c r="E148" s="47" t="str">
        <f>+_xlfn.XLOOKUP(PROYECTOS2[[#This Row],[MUNICIPIO]],MUNICIPIOS!A:A,MUNICIPIOS!E:E,0,0,1)</f>
        <v>Occidente</v>
      </c>
      <c r="F148" s="44" t="e" cm="1">
        <f t="array" ref="F148">+_xlfn.XLOOKUP(PROYECTOS2[[#This Row],[MUNICIPIO]],Table1[Municipio],MUNICIPIOS!F:F,0,0,1)</f>
        <v>#VALUE!</v>
      </c>
      <c r="G148" s="44" t="str">
        <f>+LOOKUP(PROYECTOS2[[#This Row],[MUNICIPIO]],Table1[Municipio],Table1[Latitud])</f>
        <v>6,149903</v>
      </c>
      <c r="H148" s="44">
        <f>+LOOKUP(PROYECTOS2[[#This Row],[MUNICIPIO]],Table1[Municipio],Table1[PDET])</f>
        <v>0</v>
      </c>
      <c r="I148" s="44">
        <f>+LOOKUP(PROYECTOS2[[#This Row],[MUNICIPIO]],Table1[Municipio],Table1[ZOMAC])</f>
        <v>0</v>
      </c>
      <c r="J148" s="3" t="str" cm="1">
        <f t="array" ref="J148">_xlfn.TEXTJOIN(", ", TRUE, IF(radicados[ID PROYECTOS]=A148, radicados[RADICADO], ""))</f>
        <v>2025010067582</v>
      </c>
      <c r="K148" s="45">
        <v>3</v>
      </c>
      <c r="L148" s="45"/>
      <c r="M148" s="43" t="s">
        <v>179</v>
      </c>
      <c r="N148" s="48"/>
      <c r="O148" s="48"/>
      <c r="P148" s="48"/>
      <c r="Q148" s="148" t="s">
        <v>1067</v>
      </c>
      <c r="R148" s="34" t="s">
        <v>288</v>
      </c>
      <c r="S148" s="40" t="s">
        <v>398</v>
      </c>
      <c r="T148" s="40" t="s">
        <v>25</v>
      </c>
      <c r="U148" s="37" t="s">
        <v>958</v>
      </c>
      <c r="V148" s="44">
        <f>+_xlfn.XLOOKUP(PROYECTOS2[[#This Row],[MUNICIPIO]],'4.CAP_ENDMNT'!B:B,'4.CAP_ENDMNT'!C:C,0,0,1)</f>
        <v>6</v>
      </c>
      <c r="W148" s="139">
        <f>+_xlfn.XLOOKUP(PROYECTOS2[[#This Row],[MUNICIPIO]],'4.CAP_ENDMNT'!B:B,'4.CAP_ENDMNT'!D:D,0,0,1)</f>
        <v>21865753958.964001</v>
      </c>
      <c r="X148" s="140">
        <f>+_xlfn.XLOOKUP(PROYECTOS2[[#This Row],[MUNICIPIO]],'4.CAP_ENDMNT'!B:B,'4.CAP_ENDMNT'!E:E,0,0,1)</f>
        <v>8371779870.6599998</v>
      </c>
      <c r="Y148" s="140">
        <f>+_xlfn.XLOOKUP(PROYECTOS2[[#This Row],[MUNICIPIO]],'4.CAP_ENDMNT'!B:B,'4.CAP_ENDMNT'!F:F,0,0,1)</f>
        <v>13493974088.304001</v>
      </c>
      <c r="Z148" s="140">
        <f>+_xlfn.XLOOKUP(PROYECTOS2[[#This Row],[MUNICIPIO]],'4.CAP_ENDMNT'!B:B,'4.CAP_ENDMNT'!G:G,0,0,1)</f>
        <v>851002641</v>
      </c>
      <c r="AA148" s="140">
        <f>+_xlfn.XLOOKUP(PROYECTOS2[[#This Row],[MUNICIPIO]],'4.CAP_ENDMNT'!B:B,'4.CAP_ENDMNT'!H:H,0,0,1)</f>
        <v>4636492005</v>
      </c>
      <c r="AB148" s="140">
        <f>+_xlfn.XLOOKUP(PROYECTOS2[[#This Row],[MUNICIPIO]],'4.CAP_ENDMNT'!B:B,'4.CAP_ENDMNT'!I:I,0,0,1)</f>
        <v>5487494646</v>
      </c>
      <c r="AC148" s="134">
        <f>+_xlfn.XLOOKUP(PROYECTOS2[[#This Row],[MUNICIPIO]],'4.CAP_ENDMNT'!B:B,'4.CAP_ENDMNT'!J:J,0,0,1)</f>
        <v>0.25096297416949431</v>
      </c>
      <c r="AD148" s="140">
        <f>+_xlfn.XLOOKUP(PROYECTOS2[[#This Row],[MUNICIPIO]],'4.CAP_ENDMNT'!B:B,'4.CAP_ENDMNT'!K:K,0,0,1)</f>
        <v>16378259312.964001</v>
      </c>
      <c r="AE148" s="140">
        <f>+_xlfn.XLOOKUP(PROYECTOS2[[#This Row],[MUNICIPIO]],'4.CAP_ENDMNT'!B:B,'4.CAP_ENDMNT'!L:L,0,0,1)</f>
        <v>13102607450.371201</v>
      </c>
      <c r="AF148" s="140">
        <f>+_xlfn.XLOOKUP(PROYECTOS2[[#This Row],[MUNICIPIO]],'4.CAP_ENDMNT'!B:B,'4.CAP_ENDMNT'!M:M,0,0,1)</f>
        <v>9826955587.7784004</v>
      </c>
      <c r="AG148" s="134">
        <f>+_xlfn.XLOOKUP(PROYECTOS2[[#This Row],[MUNICIPIO]],'4.CAP_ENDMNT'!B:B,'4.CAP_ENDMNT'!N:N,0,0,1)</f>
        <v>0.15508035923466848</v>
      </c>
      <c r="AH148" s="134">
        <f>+_xlfn.XLOOKUP(PROYECTOS2[[#This Row],[MUNICIPIO]],'4.CAP_ENDMNT'!B:B,'4.CAP_ENDMNT'!O:O,0,0,1)</f>
        <v>0.43479333121090752</v>
      </c>
      <c r="AI148" s="134">
        <f>+_xlfn.XLOOKUP(PROYECTOS2[[#This Row],[MUNICIPIO]],'4.CAP_ENDMNT'!B:B,'4.CAP_ENDMNT'!P:P,0,0,1)</f>
        <v>0.8</v>
      </c>
      <c r="AJ148" s="44" t="str">
        <f>+_xlfn.XLOOKUP(PROYECTOS2[[#This Row],[MUNICIPIO]],'4.CAP_ENDMNT'!B:B,'4.CAP_ENDMNT'!Q:Q,0,0,1)</f>
        <v>Cumple</v>
      </c>
    </row>
    <row r="149" spans="1:36">
      <c r="A149" s="44">
        <v>163</v>
      </c>
      <c r="B149" s="37" t="s">
        <v>434</v>
      </c>
      <c r="C149" s="118">
        <f>+_xlfn.XLOOKUP(PROYECTOS2[[#This Row],[ID_NECESIDAD]],'1.RADICADOS'!G:G,'1.RADICADOS'!C:C,0,0,1)*1</f>
        <v>45315</v>
      </c>
      <c r="D149" s="46" t="s">
        <v>136</v>
      </c>
      <c r="E149" s="47" t="str">
        <f>+_xlfn.XLOOKUP(PROYECTOS2[[#This Row],[MUNICIPIO]],MUNICIPIOS!A:A,MUNICIPIOS!E:E,0,0,1)</f>
        <v>Norte</v>
      </c>
      <c r="F149" s="44" t="e" cm="1">
        <f t="array" ref="F149">+_xlfn.XLOOKUP(PROYECTOS2[[#This Row],[MUNICIPIO]],Table1[Municipio],MUNICIPIOS!F:F,0,0,1)</f>
        <v>#VALUE!</v>
      </c>
      <c r="G149" s="44" t="str">
        <f>+LOOKUP(PROYECTOS2[[#This Row],[MUNICIPIO]],Table1[Municipio],Table1[Latitud])</f>
        <v>7,074703</v>
      </c>
      <c r="H149" s="44">
        <f>+LOOKUP(PROYECTOS2[[#This Row],[MUNICIPIO]],Table1[Municipio],Table1[PDET])</f>
        <v>1</v>
      </c>
      <c r="I149" s="44">
        <f>+LOOKUP(PROYECTOS2[[#This Row],[MUNICIPIO]],Table1[Municipio],Table1[ZOMAC])</f>
        <v>1</v>
      </c>
      <c r="J149" s="3" t="str" cm="1">
        <f t="array" ref="J149">_xlfn.TEXTJOIN(", ", TRUE, IF(radicados[ID PROYECTOS]=A149, radicados[RADICADO], ""))</f>
        <v>2025010055918</v>
      </c>
      <c r="K149" s="128">
        <v>2</v>
      </c>
      <c r="L149" s="45"/>
      <c r="M149" s="43"/>
      <c r="N149" s="48">
        <v>925728457</v>
      </c>
      <c r="O149" s="48"/>
      <c r="P149" s="48"/>
      <c r="Q149" s="148" t="s">
        <v>1067</v>
      </c>
      <c r="R149" s="34" t="s">
        <v>435</v>
      </c>
      <c r="S149" s="34" t="s">
        <v>398</v>
      </c>
      <c r="T149" s="34" t="s">
        <v>25</v>
      </c>
      <c r="U149" s="37"/>
      <c r="V149" s="44">
        <f>+_xlfn.XLOOKUP(PROYECTOS2[[#This Row],[MUNICIPIO]],'4.CAP_ENDMNT'!B:B,'4.CAP_ENDMNT'!C:C,0,0,1)</f>
        <v>6</v>
      </c>
      <c r="W149" s="139">
        <f>+_xlfn.XLOOKUP(PROYECTOS2[[#This Row],[MUNICIPIO]],'4.CAP_ENDMNT'!B:B,'4.CAP_ENDMNT'!D:D,0,0,1)</f>
        <v>15936675551.976999</v>
      </c>
      <c r="X149" s="140">
        <f>+_xlfn.XLOOKUP(PROYECTOS2[[#This Row],[MUNICIPIO]],'4.CAP_ENDMNT'!B:B,'4.CAP_ENDMNT'!E:E,0,0,1)</f>
        <v>6355203503.6700001</v>
      </c>
      <c r="Y149" s="140">
        <f>+_xlfn.XLOOKUP(PROYECTOS2[[#This Row],[MUNICIPIO]],'4.CAP_ENDMNT'!B:B,'4.CAP_ENDMNT'!F:F,0,0,1)</f>
        <v>9581472048.3069992</v>
      </c>
      <c r="Z149" s="140">
        <f>+_xlfn.XLOOKUP(PROYECTOS2[[#This Row],[MUNICIPIO]],'4.CAP_ENDMNT'!B:B,'4.CAP_ENDMNT'!G:G,0,0,1)</f>
        <v>166905356.59</v>
      </c>
      <c r="AA149" s="140">
        <f>+_xlfn.XLOOKUP(PROYECTOS2[[#This Row],[MUNICIPIO]],'4.CAP_ENDMNT'!B:B,'4.CAP_ENDMNT'!H:H,0,0,1)</f>
        <v>5064590198</v>
      </c>
      <c r="AB149" s="140">
        <f>+_xlfn.XLOOKUP(PROYECTOS2[[#This Row],[MUNICIPIO]],'4.CAP_ENDMNT'!B:B,'4.CAP_ENDMNT'!I:I,0,0,1)</f>
        <v>5231495554.5900002</v>
      </c>
      <c r="AC149" s="134">
        <f>+_xlfn.XLOOKUP(PROYECTOS2[[#This Row],[MUNICIPIO]],'4.CAP_ENDMNT'!B:B,'4.CAP_ENDMNT'!J:J,0,0,1)</f>
        <v>0.32826768277534613</v>
      </c>
      <c r="AD149" s="140">
        <f>+_xlfn.XLOOKUP(PROYECTOS2[[#This Row],[MUNICIPIO]],'4.CAP_ENDMNT'!B:B,'4.CAP_ENDMNT'!K:K,0,0,1)</f>
        <v>10705179997.386999</v>
      </c>
      <c r="AE149" s="140">
        <f>+_xlfn.XLOOKUP(PROYECTOS2[[#This Row],[MUNICIPIO]],'4.CAP_ENDMNT'!B:B,'4.CAP_ENDMNT'!L:L,0,0,1)</f>
        <v>8564143997.9095993</v>
      </c>
      <c r="AF149" s="140">
        <f>+_xlfn.XLOOKUP(PROYECTOS2[[#This Row],[MUNICIPIO]],'4.CAP_ENDMNT'!B:B,'4.CAP_ENDMNT'!M:M,0,0,1)</f>
        <v>6423107998.4321995</v>
      </c>
      <c r="AG149" s="134">
        <f>+_xlfn.XLOOKUP(PROYECTOS2[[#This Row],[MUNICIPIO]],'4.CAP_ENDMNT'!B:B,'4.CAP_ENDMNT'!N:N,0,0,1)</f>
        <v>3.1903946939907245E-2</v>
      </c>
      <c r="AH149" s="134">
        <f>+_xlfn.XLOOKUP(PROYECTOS2[[#This Row],[MUNICIPIO]],'4.CAP_ENDMNT'!B:B,'4.CAP_ENDMNT'!O:O,0,0,1)</f>
        <v>0.65192157878949775</v>
      </c>
      <c r="AI149" s="134">
        <f>+_xlfn.XLOOKUP(PROYECTOS2[[#This Row],[MUNICIPIO]],'4.CAP_ENDMNT'!B:B,'4.CAP_ENDMNT'!P:P,0,0,1)</f>
        <v>0.8</v>
      </c>
      <c r="AJ149" s="44" t="str">
        <f>+_xlfn.XLOOKUP(PROYECTOS2[[#This Row],[MUNICIPIO]],'4.CAP_ENDMNT'!B:B,'4.CAP_ENDMNT'!Q:Q,0,0,1)</f>
        <v>Cumple</v>
      </c>
    </row>
    <row r="150" spans="1:36">
      <c r="A150" s="44">
        <v>164</v>
      </c>
      <c r="B150" s="37" t="s">
        <v>436</v>
      </c>
      <c r="C150" s="118">
        <f>+_xlfn.XLOOKUP(PROYECTOS2[[#This Row],[ID_NECESIDAD]],'1.RADICADOS'!G:G,'1.RADICADOS'!C:C,0,0,1)*1</f>
        <v>45335</v>
      </c>
      <c r="D150" s="46" t="s">
        <v>334</v>
      </c>
      <c r="E150" s="47" t="str">
        <f>+_xlfn.XLOOKUP(PROYECTOS2[[#This Row],[MUNICIPIO]],MUNICIPIOS!A:A,MUNICIPIOS!E:E,0,0,1)</f>
        <v>Occidente</v>
      </c>
      <c r="F150" s="44" t="e" cm="1">
        <f t="array" ref="F150">+_xlfn.XLOOKUP(PROYECTOS2[[#This Row],[MUNICIPIO]],Table1[Municipio],MUNICIPIOS!F:F,0,0,1)</f>
        <v>#VALUE!</v>
      </c>
      <c r="G150" s="44" t="str">
        <f>+LOOKUP(PROYECTOS2[[#This Row],[MUNICIPIO]],Table1[Municipio],Table1[Latitud])</f>
        <v>6,149903</v>
      </c>
      <c r="H150" s="44">
        <f>+LOOKUP(PROYECTOS2[[#This Row],[MUNICIPIO]],Table1[Municipio],Table1[PDET])</f>
        <v>0</v>
      </c>
      <c r="I150" s="44">
        <f>+LOOKUP(PROYECTOS2[[#This Row],[MUNICIPIO]],Table1[Municipio],Table1[ZOMAC])</f>
        <v>0</v>
      </c>
      <c r="J150" s="3" t="str" cm="1">
        <f t="array" ref="J150">_xlfn.TEXTJOIN(", ", TRUE, IF(radicados[ID PROYECTOS]=A150, radicados[RADICADO], ""))</f>
        <v>2025010067584</v>
      </c>
      <c r="K150" s="45">
        <v>3</v>
      </c>
      <c r="L150" s="45"/>
      <c r="M150" s="43"/>
      <c r="N150" s="48"/>
      <c r="O150" s="48"/>
      <c r="P150" s="48"/>
      <c r="Q150" s="148" t="s">
        <v>1067</v>
      </c>
      <c r="R150" s="34" t="s">
        <v>401</v>
      </c>
      <c r="S150" s="40" t="s">
        <v>394</v>
      </c>
      <c r="T150" s="40" t="s">
        <v>18</v>
      </c>
      <c r="U150" s="37" t="s">
        <v>958</v>
      </c>
      <c r="V150" s="44">
        <f>+_xlfn.XLOOKUP(PROYECTOS2[[#This Row],[MUNICIPIO]],'4.CAP_ENDMNT'!B:B,'4.CAP_ENDMNT'!C:C,0,0,1)</f>
        <v>6</v>
      </c>
      <c r="W150" s="139">
        <f>+_xlfn.XLOOKUP(PROYECTOS2[[#This Row],[MUNICIPIO]],'4.CAP_ENDMNT'!B:B,'4.CAP_ENDMNT'!D:D,0,0,1)</f>
        <v>21865753958.964001</v>
      </c>
      <c r="X150" s="140">
        <f>+_xlfn.XLOOKUP(PROYECTOS2[[#This Row],[MUNICIPIO]],'4.CAP_ENDMNT'!B:B,'4.CAP_ENDMNT'!E:E,0,0,1)</f>
        <v>8371779870.6599998</v>
      </c>
      <c r="Y150" s="140">
        <f>+_xlfn.XLOOKUP(PROYECTOS2[[#This Row],[MUNICIPIO]],'4.CAP_ENDMNT'!B:B,'4.CAP_ENDMNT'!F:F,0,0,1)</f>
        <v>13493974088.304001</v>
      </c>
      <c r="Z150" s="140">
        <f>+_xlfn.XLOOKUP(PROYECTOS2[[#This Row],[MUNICIPIO]],'4.CAP_ENDMNT'!B:B,'4.CAP_ENDMNT'!G:G,0,0,1)</f>
        <v>851002641</v>
      </c>
      <c r="AA150" s="140">
        <f>+_xlfn.XLOOKUP(PROYECTOS2[[#This Row],[MUNICIPIO]],'4.CAP_ENDMNT'!B:B,'4.CAP_ENDMNT'!H:H,0,0,1)</f>
        <v>4636492005</v>
      </c>
      <c r="AB150" s="140">
        <f>+_xlfn.XLOOKUP(PROYECTOS2[[#This Row],[MUNICIPIO]],'4.CAP_ENDMNT'!B:B,'4.CAP_ENDMNT'!I:I,0,0,1)</f>
        <v>5487494646</v>
      </c>
      <c r="AC150" s="134">
        <f>+_xlfn.XLOOKUP(PROYECTOS2[[#This Row],[MUNICIPIO]],'4.CAP_ENDMNT'!B:B,'4.CAP_ENDMNT'!J:J,0,0,1)</f>
        <v>0.25096297416949431</v>
      </c>
      <c r="AD150" s="140">
        <f>+_xlfn.XLOOKUP(PROYECTOS2[[#This Row],[MUNICIPIO]],'4.CAP_ENDMNT'!B:B,'4.CAP_ENDMNT'!K:K,0,0,1)</f>
        <v>16378259312.964001</v>
      </c>
      <c r="AE150" s="140">
        <f>+_xlfn.XLOOKUP(PROYECTOS2[[#This Row],[MUNICIPIO]],'4.CAP_ENDMNT'!B:B,'4.CAP_ENDMNT'!L:L,0,0,1)</f>
        <v>13102607450.371201</v>
      </c>
      <c r="AF150" s="140">
        <f>+_xlfn.XLOOKUP(PROYECTOS2[[#This Row],[MUNICIPIO]],'4.CAP_ENDMNT'!B:B,'4.CAP_ENDMNT'!M:M,0,0,1)</f>
        <v>9826955587.7784004</v>
      </c>
      <c r="AG150" s="134">
        <f>+_xlfn.XLOOKUP(PROYECTOS2[[#This Row],[MUNICIPIO]],'4.CAP_ENDMNT'!B:B,'4.CAP_ENDMNT'!N:N,0,0,1)</f>
        <v>0.15508035923466848</v>
      </c>
      <c r="AH150" s="134">
        <f>+_xlfn.XLOOKUP(PROYECTOS2[[#This Row],[MUNICIPIO]],'4.CAP_ENDMNT'!B:B,'4.CAP_ENDMNT'!O:O,0,0,1)</f>
        <v>0.43479333121090752</v>
      </c>
      <c r="AI150" s="134">
        <f>+_xlfn.XLOOKUP(PROYECTOS2[[#This Row],[MUNICIPIO]],'4.CAP_ENDMNT'!B:B,'4.CAP_ENDMNT'!P:P,0,0,1)</f>
        <v>0.8</v>
      </c>
      <c r="AJ150" s="44" t="str">
        <f>+_xlfn.XLOOKUP(PROYECTOS2[[#This Row],[MUNICIPIO]],'4.CAP_ENDMNT'!B:B,'4.CAP_ENDMNT'!Q:Q,0,0,1)</f>
        <v>Cumple</v>
      </c>
    </row>
    <row r="151" spans="1:36">
      <c r="A151" s="44">
        <v>165</v>
      </c>
      <c r="B151" s="37" t="s">
        <v>437</v>
      </c>
      <c r="C151" s="118">
        <f>+_xlfn.XLOOKUP(PROYECTOS2[[#This Row],[ID_NECESIDAD]],'1.RADICADOS'!G:G,'1.RADICADOS'!C:C,0,0,1)*1</f>
        <v>45445</v>
      </c>
      <c r="D151" s="46" t="s">
        <v>120</v>
      </c>
      <c r="E151" s="47" t="str">
        <f>+_xlfn.XLOOKUP(PROYECTOS2[[#This Row],[MUNICIPIO]],MUNICIPIOS!A:A,MUNICIPIOS!E:E,0,0,1)</f>
        <v>Norte</v>
      </c>
      <c r="F151" s="44" t="e" cm="1">
        <f t="array" ref="F151">+_xlfn.XLOOKUP(PROYECTOS2[[#This Row],[MUNICIPIO]],Table1[Municipio],MUNICIPIOS!F:F,0,0,1)</f>
        <v>#VALUE!</v>
      </c>
      <c r="G151" s="44" t="str">
        <f>+LOOKUP(PROYECTOS2[[#This Row],[MUNICIPIO]],Table1[Municipio],Table1[Latitud])</f>
        <v>6,149903</v>
      </c>
      <c r="H151" s="44">
        <f>+LOOKUP(PROYECTOS2[[#This Row],[MUNICIPIO]],Table1[Municipio],Table1[PDET])</f>
        <v>0</v>
      </c>
      <c r="I151" s="44">
        <f>+LOOKUP(PROYECTOS2[[#This Row],[MUNICIPIO]],Table1[Municipio],Table1[ZOMAC])</f>
        <v>0</v>
      </c>
      <c r="J151" s="3" t="str" cm="1">
        <f t="array" ref="J151">_xlfn.TEXTJOIN(", ", TRUE, IF(radicados[ID PROYECTOS]=A151, radicados[RADICADO], ""))</f>
        <v>2025010063968</v>
      </c>
      <c r="K151" s="128">
        <v>2</v>
      </c>
      <c r="L151" s="45"/>
      <c r="M151" s="43"/>
      <c r="N151" s="48">
        <v>511922487</v>
      </c>
      <c r="O151" s="48"/>
      <c r="P151" s="48"/>
      <c r="Q151" s="148" t="s">
        <v>1067</v>
      </c>
      <c r="R151" s="34" t="s">
        <v>407</v>
      </c>
      <c r="S151" s="34" t="s">
        <v>398</v>
      </c>
      <c r="T151" s="34" t="s">
        <v>25</v>
      </c>
      <c r="U151" s="37"/>
      <c r="V151" s="44">
        <f>+_xlfn.XLOOKUP(PROYECTOS2[[#This Row],[MUNICIPIO]],'4.CAP_ENDMNT'!B:B,'4.CAP_ENDMNT'!C:C,0,0,1)</f>
        <v>5</v>
      </c>
      <c r="W151" s="139">
        <f>+_xlfn.XLOOKUP(PROYECTOS2[[#This Row],[MUNICIPIO]],'4.CAP_ENDMNT'!B:B,'4.CAP_ENDMNT'!D:D,0,0,1)</f>
        <v>36204719778.619003</v>
      </c>
      <c r="X151" s="140">
        <f>+_xlfn.XLOOKUP(PROYECTOS2[[#This Row],[MUNICIPIO]],'4.CAP_ENDMNT'!B:B,'4.CAP_ENDMNT'!E:E,0,0,1)</f>
        <v>11082623753.610001</v>
      </c>
      <c r="Y151" s="140">
        <f>+_xlfn.XLOOKUP(PROYECTOS2[[#This Row],[MUNICIPIO]],'4.CAP_ENDMNT'!B:B,'4.CAP_ENDMNT'!F:F,0,0,1)</f>
        <v>25122096025.009003</v>
      </c>
      <c r="Z151" s="140">
        <f>+_xlfn.XLOOKUP(PROYECTOS2[[#This Row],[MUNICIPIO]],'4.CAP_ENDMNT'!B:B,'4.CAP_ENDMNT'!G:G,0,0,1)</f>
        <v>1291156679</v>
      </c>
      <c r="AA151" s="140">
        <f>+_xlfn.XLOOKUP(PROYECTOS2[[#This Row],[MUNICIPIO]],'4.CAP_ENDMNT'!B:B,'4.CAP_ENDMNT'!H:H,0,0,1)</f>
        <v>12320355879.07</v>
      </c>
      <c r="AB151" s="140">
        <f>+_xlfn.XLOOKUP(PROYECTOS2[[#This Row],[MUNICIPIO]],'4.CAP_ENDMNT'!B:B,'4.CAP_ENDMNT'!I:I,0,0,1)</f>
        <v>13611512558.07</v>
      </c>
      <c r="AC151" s="134">
        <f>+_xlfn.XLOOKUP(PROYECTOS2[[#This Row],[MUNICIPIO]],'4.CAP_ENDMNT'!B:B,'4.CAP_ENDMNT'!J:J,0,0,1)</f>
        <v>0.37595961635113639</v>
      </c>
      <c r="AD151" s="140">
        <f>+_xlfn.XLOOKUP(PROYECTOS2[[#This Row],[MUNICIPIO]],'4.CAP_ENDMNT'!B:B,'4.CAP_ENDMNT'!K:K,0,0,1)</f>
        <v>22593207220.549004</v>
      </c>
      <c r="AE151" s="140">
        <f>+_xlfn.XLOOKUP(PROYECTOS2[[#This Row],[MUNICIPIO]],'4.CAP_ENDMNT'!B:B,'4.CAP_ENDMNT'!L:L,0,0,1)</f>
        <v>18074565776.439205</v>
      </c>
      <c r="AF151" s="140">
        <f>+_xlfn.XLOOKUP(PROYECTOS2[[#This Row],[MUNICIPIO]],'4.CAP_ENDMNT'!B:B,'4.CAP_ENDMNT'!M:M,0,0,1)</f>
        <v>13555924332.329401</v>
      </c>
      <c r="AG151" s="134">
        <f>+_xlfn.XLOOKUP(PROYECTOS2[[#This Row],[MUNICIPIO]],'4.CAP_ENDMNT'!B:B,'4.CAP_ENDMNT'!N:N,0,0,1)</f>
        <v>9.4857692963336279E-2</v>
      </c>
      <c r="AH151" s="134">
        <f>+_xlfn.XLOOKUP(PROYECTOS2[[#This Row],[MUNICIPIO]],'4.CAP_ENDMNT'!B:B,'4.CAP_ENDMNT'!O:O,0,0,1)</f>
        <v>0.39053077044629697</v>
      </c>
      <c r="AI151" s="134">
        <f>+_xlfn.XLOOKUP(PROYECTOS2[[#This Row],[MUNICIPIO]],'4.CAP_ENDMNT'!B:B,'4.CAP_ENDMNT'!P:P,0,0,1)</f>
        <v>0.8</v>
      </c>
      <c r="AJ151" s="44" t="str">
        <f>+_xlfn.XLOOKUP(PROYECTOS2[[#This Row],[MUNICIPIO]],'4.CAP_ENDMNT'!B:B,'4.CAP_ENDMNT'!Q:Q,0,0,1)</f>
        <v>Cumple</v>
      </c>
    </row>
    <row r="152" spans="1:36">
      <c r="A152" s="44">
        <v>167</v>
      </c>
      <c r="B152" s="37" t="s">
        <v>301</v>
      </c>
      <c r="C152" s="118">
        <f>+_xlfn.XLOOKUP(PROYECTOS2[[#This Row],[ID_NECESIDAD]],'1.RADICADOS'!G:G,'1.RADICADOS'!C:C,0,0,1)*1</f>
        <v>45598</v>
      </c>
      <c r="D152" s="46" t="s">
        <v>227</v>
      </c>
      <c r="E152" s="47" t="str">
        <f>+_xlfn.XLOOKUP(PROYECTOS2[[#This Row],[MUNICIPIO]],MUNICIPIOS!A:A,MUNICIPIOS!E:E,0,0,1)</f>
        <v>Oriente</v>
      </c>
      <c r="F152" s="44" t="e" cm="1">
        <f t="array" ref="F152">+_xlfn.XLOOKUP(PROYECTOS2[[#This Row],[MUNICIPIO]],Table1[Municipio],MUNICIPIOS!F:F,0,0,1)</f>
        <v>#VALUE!</v>
      </c>
      <c r="G152" s="44" t="str">
        <f>+LOOKUP(PROYECTOS2[[#This Row],[MUNICIPIO]],Table1[Municipio],Table1[Latitud])</f>
        <v>6,142892</v>
      </c>
      <c r="H152" s="44">
        <f>+LOOKUP(PROYECTOS2[[#This Row],[MUNICIPIO]],Table1[Municipio],Table1[PDET])</f>
        <v>0</v>
      </c>
      <c r="I152" s="44">
        <f>+LOOKUP(PROYECTOS2[[#This Row],[MUNICIPIO]],Table1[Municipio],Table1[ZOMAC])</f>
        <v>1</v>
      </c>
      <c r="J152" s="3" t="str" cm="1">
        <f t="array" ref="J152">_xlfn.TEXTJOIN(", ", TRUE, IF(radicados[ID PROYECTOS]=A152, radicados[RADICADO], ""))</f>
        <v>2025010053678</v>
      </c>
      <c r="K152" s="45">
        <v>1</v>
      </c>
      <c r="L152" s="45"/>
      <c r="M152" s="43" t="s">
        <v>179</v>
      </c>
      <c r="N152" s="48"/>
      <c r="O152" s="48"/>
      <c r="P152" s="48"/>
      <c r="Q152" s="148" t="s">
        <v>1067</v>
      </c>
      <c r="R152" s="34" t="s">
        <v>288</v>
      </c>
      <c r="S152" s="34" t="s">
        <v>398</v>
      </c>
      <c r="T152" s="34" t="s">
        <v>25</v>
      </c>
      <c r="U152" s="37" t="s">
        <v>971</v>
      </c>
      <c r="V152" s="44">
        <f>+_xlfn.XLOOKUP(PROYECTOS2[[#This Row],[MUNICIPIO]],'4.CAP_ENDMNT'!B:B,'4.CAP_ENDMNT'!C:C,0,0,1)</f>
        <v>6</v>
      </c>
      <c r="W152" s="139">
        <f>+_xlfn.XLOOKUP(PROYECTOS2[[#This Row],[MUNICIPIO]],'4.CAP_ENDMNT'!B:B,'4.CAP_ENDMNT'!D:D,0,0,1)</f>
        <v>9100976268.0305004</v>
      </c>
      <c r="X152" s="140">
        <f>+_xlfn.XLOOKUP(PROYECTOS2[[#This Row],[MUNICIPIO]],'4.CAP_ENDMNT'!B:B,'4.CAP_ENDMNT'!E:E,0,0,1)</f>
        <v>3221460794.1700001</v>
      </c>
      <c r="Y152" s="140">
        <f>+_xlfn.XLOOKUP(PROYECTOS2[[#This Row],[MUNICIPIO]],'4.CAP_ENDMNT'!B:B,'4.CAP_ENDMNT'!F:F,0,0,1)</f>
        <v>5879515473.8605003</v>
      </c>
      <c r="Z152" s="140">
        <f>+_xlfn.XLOOKUP(PROYECTOS2[[#This Row],[MUNICIPIO]],'4.CAP_ENDMNT'!B:B,'4.CAP_ENDMNT'!G:G,0,0,1)</f>
        <v>1026722956</v>
      </c>
      <c r="AA152" s="140">
        <f>+_xlfn.XLOOKUP(PROYECTOS2[[#This Row],[MUNICIPIO]],'4.CAP_ENDMNT'!B:B,'4.CAP_ENDMNT'!H:H,0,0,1)</f>
        <v>190000000</v>
      </c>
      <c r="AB152" s="140">
        <f>+_xlfn.XLOOKUP(PROYECTOS2[[#This Row],[MUNICIPIO]],'4.CAP_ENDMNT'!B:B,'4.CAP_ENDMNT'!I:I,0,0,1)</f>
        <v>1216722956</v>
      </c>
      <c r="AC152" s="134">
        <f>+_xlfn.XLOOKUP(PROYECTOS2[[#This Row],[MUNICIPIO]],'4.CAP_ENDMNT'!B:B,'4.CAP_ENDMNT'!J:J,0,0,1)</f>
        <v>0.13369147662477152</v>
      </c>
      <c r="AD152" s="140">
        <f>+_xlfn.XLOOKUP(PROYECTOS2[[#This Row],[MUNICIPIO]],'4.CAP_ENDMNT'!B:B,'4.CAP_ENDMNT'!K:K,0,0,1)</f>
        <v>7884253312.0305004</v>
      </c>
      <c r="AE152" s="140">
        <f>+_xlfn.XLOOKUP(PROYECTOS2[[#This Row],[MUNICIPIO]],'4.CAP_ENDMNT'!B:B,'4.CAP_ENDMNT'!L:L,0,0,1)</f>
        <v>6307402649.6244011</v>
      </c>
      <c r="AF152" s="140">
        <f>+_xlfn.XLOOKUP(PROYECTOS2[[#This Row],[MUNICIPIO]],'4.CAP_ENDMNT'!B:B,'4.CAP_ENDMNT'!M:M,0,0,1)</f>
        <v>4730551987.2182999</v>
      </c>
      <c r="AG152" s="134">
        <f>+_xlfn.XLOOKUP(PROYECTOS2[[#This Row],[MUNICIPIO]],'4.CAP_ENDMNT'!B:B,'4.CAP_ENDMNT'!N:N,0,0,1)</f>
        <v>0.84384284108140062</v>
      </c>
      <c r="AH152" s="134">
        <f>+_xlfn.XLOOKUP(PROYECTOS2[[#This Row],[MUNICIPIO]],'4.CAP_ENDMNT'!B:B,'4.CAP_ENDMNT'!O:O,0,0,1)</f>
        <v>0.65864601932480682</v>
      </c>
      <c r="AI152" s="134">
        <f>+_xlfn.XLOOKUP(PROYECTOS2[[#This Row],[MUNICIPIO]],'4.CAP_ENDMNT'!B:B,'4.CAP_ENDMNT'!P:P,0,0,1)</f>
        <v>0.8</v>
      </c>
      <c r="AJ152" s="44" t="str">
        <f>+_xlfn.XLOOKUP(PROYECTOS2[[#This Row],[MUNICIPIO]],'4.CAP_ENDMNT'!B:B,'4.CAP_ENDMNT'!Q:Q,0,0,1)</f>
        <v>Cumple</v>
      </c>
    </row>
    <row r="153" spans="1:36">
      <c r="A153" s="44">
        <v>168</v>
      </c>
      <c r="B153" s="37" t="s">
        <v>302</v>
      </c>
      <c r="C153" s="118">
        <f>+_xlfn.XLOOKUP(PROYECTOS2[[#This Row],[ID_NECESIDAD]],'1.RADICADOS'!G:G,'1.RADICADOS'!C:C,0,0,1)*1</f>
        <v>45679</v>
      </c>
      <c r="D153" s="46" t="s">
        <v>227</v>
      </c>
      <c r="E153" s="47" t="str">
        <f>+_xlfn.XLOOKUP(PROYECTOS2[[#This Row],[MUNICIPIO]],MUNICIPIOS!A:A,MUNICIPIOS!E:E,0,0,1)</f>
        <v>Oriente</v>
      </c>
      <c r="F153" s="44" t="e" cm="1">
        <f t="array" ref="F153">+_xlfn.XLOOKUP(PROYECTOS2[[#This Row],[MUNICIPIO]],Table1[Municipio],MUNICIPIOS!F:F,0,0,1)</f>
        <v>#VALUE!</v>
      </c>
      <c r="G153" s="44" t="str">
        <f>+LOOKUP(PROYECTOS2[[#This Row],[MUNICIPIO]],Table1[Municipio],Table1[Latitud])</f>
        <v>6,142892</v>
      </c>
      <c r="H153" s="44">
        <f>+LOOKUP(PROYECTOS2[[#This Row],[MUNICIPIO]],Table1[Municipio],Table1[PDET])</f>
        <v>0</v>
      </c>
      <c r="I153" s="44">
        <f>+LOOKUP(PROYECTOS2[[#This Row],[MUNICIPIO]],Table1[Municipio],Table1[ZOMAC])</f>
        <v>1</v>
      </c>
      <c r="J153" s="3" t="str" cm="1">
        <f t="array" ref="J153">_xlfn.TEXTJOIN(", ", TRUE, IF(radicados[ID PROYECTOS]=A153, radicados[RADICADO], ""))</f>
        <v>2025010053674</v>
      </c>
      <c r="K153" s="45">
        <v>1</v>
      </c>
      <c r="L153" s="45"/>
      <c r="M153" s="43" t="s">
        <v>179</v>
      </c>
      <c r="N153" s="48"/>
      <c r="O153" s="48"/>
      <c r="P153" s="48"/>
      <c r="Q153" s="148" t="s">
        <v>1067</v>
      </c>
      <c r="R153" s="34" t="s">
        <v>288</v>
      </c>
      <c r="S153" s="34" t="s">
        <v>398</v>
      </c>
      <c r="T153" s="34" t="s">
        <v>25</v>
      </c>
      <c r="U153" s="37" t="s">
        <v>971</v>
      </c>
      <c r="V153" s="44">
        <f>+_xlfn.XLOOKUP(PROYECTOS2[[#This Row],[MUNICIPIO]],'4.CAP_ENDMNT'!B:B,'4.CAP_ENDMNT'!C:C,0,0,1)</f>
        <v>6</v>
      </c>
      <c r="W153" s="139">
        <f>+_xlfn.XLOOKUP(PROYECTOS2[[#This Row],[MUNICIPIO]],'4.CAP_ENDMNT'!B:B,'4.CAP_ENDMNT'!D:D,0,0,1)</f>
        <v>9100976268.0305004</v>
      </c>
      <c r="X153" s="140">
        <f>+_xlfn.XLOOKUP(PROYECTOS2[[#This Row],[MUNICIPIO]],'4.CAP_ENDMNT'!B:B,'4.CAP_ENDMNT'!E:E,0,0,1)</f>
        <v>3221460794.1700001</v>
      </c>
      <c r="Y153" s="140">
        <f>+_xlfn.XLOOKUP(PROYECTOS2[[#This Row],[MUNICIPIO]],'4.CAP_ENDMNT'!B:B,'4.CAP_ENDMNT'!F:F,0,0,1)</f>
        <v>5879515473.8605003</v>
      </c>
      <c r="Z153" s="140">
        <f>+_xlfn.XLOOKUP(PROYECTOS2[[#This Row],[MUNICIPIO]],'4.CAP_ENDMNT'!B:B,'4.CAP_ENDMNT'!G:G,0,0,1)</f>
        <v>1026722956</v>
      </c>
      <c r="AA153" s="140">
        <f>+_xlfn.XLOOKUP(PROYECTOS2[[#This Row],[MUNICIPIO]],'4.CAP_ENDMNT'!B:B,'4.CAP_ENDMNT'!H:H,0,0,1)</f>
        <v>190000000</v>
      </c>
      <c r="AB153" s="140">
        <f>+_xlfn.XLOOKUP(PROYECTOS2[[#This Row],[MUNICIPIO]],'4.CAP_ENDMNT'!B:B,'4.CAP_ENDMNT'!I:I,0,0,1)</f>
        <v>1216722956</v>
      </c>
      <c r="AC153" s="134">
        <f>+_xlfn.XLOOKUP(PROYECTOS2[[#This Row],[MUNICIPIO]],'4.CAP_ENDMNT'!B:B,'4.CAP_ENDMNT'!J:J,0,0,1)</f>
        <v>0.13369147662477152</v>
      </c>
      <c r="AD153" s="140">
        <f>+_xlfn.XLOOKUP(PROYECTOS2[[#This Row],[MUNICIPIO]],'4.CAP_ENDMNT'!B:B,'4.CAP_ENDMNT'!K:K,0,0,1)</f>
        <v>7884253312.0305004</v>
      </c>
      <c r="AE153" s="140">
        <f>+_xlfn.XLOOKUP(PROYECTOS2[[#This Row],[MUNICIPIO]],'4.CAP_ENDMNT'!B:B,'4.CAP_ENDMNT'!L:L,0,0,1)</f>
        <v>6307402649.6244011</v>
      </c>
      <c r="AF153" s="140">
        <f>+_xlfn.XLOOKUP(PROYECTOS2[[#This Row],[MUNICIPIO]],'4.CAP_ENDMNT'!B:B,'4.CAP_ENDMNT'!M:M,0,0,1)</f>
        <v>4730551987.2182999</v>
      </c>
      <c r="AG153" s="134">
        <f>+_xlfn.XLOOKUP(PROYECTOS2[[#This Row],[MUNICIPIO]],'4.CAP_ENDMNT'!B:B,'4.CAP_ENDMNT'!N:N,0,0,1)</f>
        <v>0.84384284108140062</v>
      </c>
      <c r="AH153" s="134">
        <f>+_xlfn.XLOOKUP(PROYECTOS2[[#This Row],[MUNICIPIO]],'4.CAP_ENDMNT'!B:B,'4.CAP_ENDMNT'!O:O,0,0,1)</f>
        <v>0.65864601932480682</v>
      </c>
      <c r="AI153" s="134">
        <f>+_xlfn.XLOOKUP(PROYECTOS2[[#This Row],[MUNICIPIO]],'4.CAP_ENDMNT'!B:B,'4.CAP_ENDMNT'!P:P,0,0,1)</f>
        <v>0.8</v>
      </c>
      <c r="AJ153" s="44" t="str">
        <f>+_xlfn.XLOOKUP(PROYECTOS2[[#This Row],[MUNICIPIO]],'4.CAP_ENDMNT'!B:B,'4.CAP_ENDMNT'!Q:Q,0,0,1)</f>
        <v>Cumple</v>
      </c>
    </row>
    <row r="154" spans="1:36">
      <c r="A154" s="44">
        <v>169</v>
      </c>
      <c r="B154" s="37" t="s">
        <v>303</v>
      </c>
      <c r="C154" s="118">
        <f>+_xlfn.XLOOKUP(PROYECTOS2[[#This Row],[ID_NECESIDAD]],'1.RADICADOS'!G:G,'1.RADICADOS'!C:C,0,0,1)*1</f>
        <v>45693</v>
      </c>
      <c r="D154" s="46" t="s">
        <v>227</v>
      </c>
      <c r="E154" s="47" t="str">
        <f>+_xlfn.XLOOKUP(PROYECTOS2[[#This Row],[MUNICIPIO]],MUNICIPIOS!A:A,MUNICIPIOS!E:E,0,0,1)</f>
        <v>Oriente</v>
      </c>
      <c r="F154" s="44" t="e" cm="1">
        <f t="array" ref="F154">+_xlfn.XLOOKUP(PROYECTOS2[[#This Row],[MUNICIPIO]],Table1[Municipio],MUNICIPIOS!F:F,0,0,1)</f>
        <v>#VALUE!</v>
      </c>
      <c r="G154" s="44" t="str">
        <f>+LOOKUP(PROYECTOS2[[#This Row],[MUNICIPIO]],Table1[Municipio],Table1[Latitud])</f>
        <v>6,142892</v>
      </c>
      <c r="H154" s="44">
        <f>+LOOKUP(PROYECTOS2[[#This Row],[MUNICIPIO]],Table1[Municipio],Table1[PDET])</f>
        <v>0</v>
      </c>
      <c r="I154" s="44">
        <f>+LOOKUP(PROYECTOS2[[#This Row],[MUNICIPIO]],Table1[Municipio],Table1[ZOMAC])</f>
        <v>1</v>
      </c>
      <c r="J154" s="3" t="str" cm="1">
        <f t="array" ref="J154">_xlfn.TEXTJOIN(", ", TRUE, IF(radicados[ID PROYECTOS]=A154, radicados[RADICADO], ""))</f>
        <v>2025010053667</v>
      </c>
      <c r="K154" s="45">
        <v>1</v>
      </c>
      <c r="L154" s="45"/>
      <c r="M154" s="43" t="s">
        <v>179</v>
      </c>
      <c r="N154" s="48"/>
      <c r="O154" s="48"/>
      <c r="P154" s="48"/>
      <c r="Q154" s="148" t="s">
        <v>1067</v>
      </c>
      <c r="R154" s="34" t="s">
        <v>288</v>
      </c>
      <c r="S154" s="34" t="s">
        <v>398</v>
      </c>
      <c r="T154" s="34" t="s">
        <v>25</v>
      </c>
      <c r="U154" s="37" t="s">
        <v>971</v>
      </c>
      <c r="V154" s="44">
        <f>+_xlfn.XLOOKUP(PROYECTOS2[[#This Row],[MUNICIPIO]],'4.CAP_ENDMNT'!B:B,'4.CAP_ENDMNT'!C:C,0,0,1)</f>
        <v>6</v>
      </c>
      <c r="W154" s="139">
        <f>+_xlfn.XLOOKUP(PROYECTOS2[[#This Row],[MUNICIPIO]],'4.CAP_ENDMNT'!B:B,'4.CAP_ENDMNT'!D:D,0,0,1)</f>
        <v>9100976268.0305004</v>
      </c>
      <c r="X154" s="140">
        <f>+_xlfn.XLOOKUP(PROYECTOS2[[#This Row],[MUNICIPIO]],'4.CAP_ENDMNT'!B:B,'4.CAP_ENDMNT'!E:E,0,0,1)</f>
        <v>3221460794.1700001</v>
      </c>
      <c r="Y154" s="140">
        <f>+_xlfn.XLOOKUP(PROYECTOS2[[#This Row],[MUNICIPIO]],'4.CAP_ENDMNT'!B:B,'4.CAP_ENDMNT'!F:F,0,0,1)</f>
        <v>5879515473.8605003</v>
      </c>
      <c r="Z154" s="140">
        <f>+_xlfn.XLOOKUP(PROYECTOS2[[#This Row],[MUNICIPIO]],'4.CAP_ENDMNT'!B:B,'4.CAP_ENDMNT'!G:G,0,0,1)</f>
        <v>1026722956</v>
      </c>
      <c r="AA154" s="140">
        <f>+_xlfn.XLOOKUP(PROYECTOS2[[#This Row],[MUNICIPIO]],'4.CAP_ENDMNT'!B:B,'4.CAP_ENDMNT'!H:H,0,0,1)</f>
        <v>190000000</v>
      </c>
      <c r="AB154" s="140">
        <f>+_xlfn.XLOOKUP(PROYECTOS2[[#This Row],[MUNICIPIO]],'4.CAP_ENDMNT'!B:B,'4.CAP_ENDMNT'!I:I,0,0,1)</f>
        <v>1216722956</v>
      </c>
      <c r="AC154" s="134">
        <f>+_xlfn.XLOOKUP(PROYECTOS2[[#This Row],[MUNICIPIO]],'4.CAP_ENDMNT'!B:B,'4.CAP_ENDMNT'!J:J,0,0,1)</f>
        <v>0.13369147662477152</v>
      </c>
      <c r="AD154" s="140">
        <f>+_xlfn.XLOOKUP(PROYECTOS2[[#This Row],[MUNICIPIO]],'4.CAP_ENDMNT'!B:B,'4.CAP_ENDMNT'!K:K,0,0,1)</f>
        <v>7884253312.0305004</v>
      </c>
      <c r="AE154" s="140">
        <f>+_xlfn.XLOOKUP(PROYECTOS2[[#This Row],[MUNICIPIO]],'4.CAP_ENDMNT'!B:B,'4.CAP_ENDMNT'!L:L,0,0,1)</f>
        <v>6307402649.6244011</v>
      </c>
      <c r="AF154" s="140">
        <f>+_xlfn.XLOOKUP(PROYECTOS2[[#This Row],[MUNICIPIO]],'4.CAP_ENDMNT'!B:B,'4.CAP_ENDMNT'!M:M,0,0,1)</f>
        <v>4730551987.2182999</v>
      </c>
      <c r="AG154" s="134">
        <f>+_xlfn.XLOOKUP(PROYECTOS2[[#This Row],[MUNICIPIO]],'4.CAP_ENDMNT'!B:B,'4.CAP_ENDMNT'!N:N,0,0,1)</f>
        <v>0.84384284108140062</v>
      </c>
      <c r="AH154" s="134">
        <f>+_xlfn.XLOOKUP(PROYECTOS2[[#This Row],[MUNICIPIO]],'4.CAP_ENDMNT'!B:B,'4.CAP_ENDMNT'!O:O,0,0,1)</f>
        <v>0.65864601932480682</v>
      </c>
      <c r="AI154" s="134">
        <f>+_xlfn.XLOOKUP(PROYECTOS2[[#This Row],[MUNICIPIO]],'4.CAP_ENDMNT'!B:B,'4.CAP_ENDMNT'!P:P,0,0,1)</f>
        <v>0.8</v>
      </c>
      <c r="AJ154" s="44" t="str">
        <f>+_xlfn.XLOOKUP(PROYECTOS2[[#This Row],[MUNICIPIO]],'4.CAP_ENDMNT'!B:B,'4.CAP_ENDMNT'!Q:Q,0,0,1)</f>
        <v>Cumple</v>
      </c>
    </row>
    <row r="155" spans="1:36">
      <c r="A155" s="44">
        <v>170</v>
      </c>
      <c r="B155" s="37" t="s">
        <v>304</v>
      </c>
      <c r="C155" s="118">
        <f>+_xlfn.XLOOKUP(PROYECTOS2[[#This Row],[ID_NECESIDAD]],'1.RADICADOS'!G:G,'1.RADICADOS'!C:C,0,0,1)*1</f>
        <v>45693</v>
      </c>
      <c r="D155" s="46" t="s">
        <v>227</v>
      </c>
      <c r="E155" s="47" t="str">
        <f>+_xlfn.XLOOKUP(PROYECTOS2[[#This Row],[MUNICIPIO]],MUNICIPIOS!A:A,MUNICIPIOS!E:E,0,0,1)</f>
        <v>Oriente</v>
      </c>
      <c r="F155" s="44" t="e" cm="1">
        <f t="array" ref="F155">+_xlfn.XLOOKUP(PROYECTOS2[[#This Row],[MUNICIPIO]],Table1[Municipio],MUNICIPIOS!F:F,0,0,1)</f>
        <v>#VALUE!</v>
      </c>
      <c r="G155" s="44" t="str">
        <f>+LOOKUP(PROYECTOS2[[#This Row],[MUNICIPIO]],Table1[Municipio],Table1[Latitud])</f>
        <v>6,142892</v>
      </c>
      <c r="H155" s="44">
        <f>+LOOKUP(PROYECTOS2[[#This Row],[MUNICIPIO]],Table1[Municipio],Table1[PDET])</f>
        <v>0</v>
      </c>
      <c r="I155" s="44">
        <f>+LOOKUP(PROYECTOS2[[#This Row],[MUNICIPIO]],Table1[Municipio],Table1[ZOMAC])</f>
        <v>1</v>
      </c>
      <c r="J155" s="3" t="str" cm="1">
        <f t="array" ref="J155">_xlfn.TEXTJOIN(", ", TRUE, IF(radicados[ID PROYECTOS]=A155, radicados[RADICADO], ""))</f>
        <v>2025010053660</v>
      </c>
      <c r="K155" s="45">
        <v>1</v>
      </c>
      <c r="L155" s="45"/>
      <c r="M155" s="43" t="s">
        <v>179</v>
      </c>
      <c r="N155" s="48"/>
      <c r="O155" s="48"/>
      <c r="P155" s="48"/>
      <c r="Q155" s="148" t="s">
        <v>1067</v>
      </c>
      <c r="R155" s="34" t="s">
        <v>288</v>
      </c>
      <c r="S155" s="34" t="s">
        <v>398</v>
      </c>
      <c r="T155" s="34" t="s">
        <v>25</v>
      </c>
      <c r="U155" s="37" t="s">
        <v>971</v>
      </c>
      <c r="V155" s="44">
        <f>+_xlfn.XLOOKUP(PROYECTOS2[[#This Row],[MUNICIPIO]],'4.CAP_ENDMNT'!B:B,'4.CAP_ENDMNT'!C:C,0,0,1)</f>
        <v>6</v>
      </c>
      <c r="W155" s="139">
        <f>+_xlfn.XLOOKUP(PROYECTOS2[[#This Row],[MUNICIPIO]],'4.CAP_ENDMNT'!B:B,'4.CAP_ENDMNT'!D:D,0,0,1)</f>
        <v>9100976268.0305004</v>
      </c>
      <c r="X155" s="140">
        <f>+_xlfn.XLOOKUP(PROYECTOS2[[#This Row],[MUNICIPIO]],'4.CAP_ENDMNT'!B:B,'4.CAP_ENDMNT'!E:E,0,0,1)</f>
        <v>3221460794.1700001</v>
      </c>
      <c r="Y155" s="140">
        <f>+_xlfn.XLOOKUP(PROYECTOS2[[#This Row],[MUNICIPIO]],'4.CAP_ENDMNT'!B:B,'4.CAP_ENDMNT'!F:F,0,0,1)</f>
        <v>5879515473.8605003</v>
      </c>
      <c r="Z155" s="140">
        <f>+_xlfn.XLOOKUP(PROYECTOS2[[#This Row],[MUNICIPIO]],'4.CAP_ENDMNT'!B:B,'4.CAP_ENDMNT'!G:G,0,0,1)</f>
        <v>1026722956</v>
      </c>
      <c r="AA155" s="140">
        <f>+_xlfn.XLOOKUP(PROYECTOS2[[#This Row],[MUNICIPIO]],'4.CAP_ENDMNT'!B:B,'4.CAP_ENDMNT'!H:H,0,0,1)</f>
        <v>190000000</v>
      </c>
      <c r="AB155" s="140">
        <f>+_xlfn.XLOOKUP(PROYECTOS2[[#This Row],[MUNICIPIO]],'4.CAP_ENDMNT'!B:B,'4.CAP_ENDMNT'!I:I,0,0,1)</f>
        <v>1216722956</v>
      </c>
      <c r="AC155" s="134">
        <f>+_xlfn.XLOOKUP(PROYECTOS2[[#This Row],[MUNICIPIO]],'4.CAP_ENDMNT'!B:B,'4.CAP_ENDMNT'!J:J,0,0,1)</f>
        <v>0.13369147662477152</v>
      </c>
      <c r="AD155" s="140">
        <f>+_xlfn.XLOOKUP(PROYECTOS2[[#This Row],[MUNICIPIO]],'4.CAP_ENDMNT'!B:B,'4.CAP_ENDMNT'!K:K,0,0,1)</f>
        <v>7884253312.0305004</v>
      </c>
      <c r="AE155" s="140">
        <f>+_xlfn.XLOOKUP(PROYECTOS2[[#This Row],[MUNICIPIO]],'4.CAP_ENDMNT'!B:B,'4.CAP_ENDMNT'!L:L,0,0,1)</f>
        <v>6307402649.6244011</v>
      </c>
      <c r="AF155" s="140">
        <f>+_xlfn.XLOOKUP(PROYECTOS2[[#This Row],[MUNICIPIO]],'4.CAP_ENDMNT'!B:B,'4.CAP_ENDMNT'!M:M,0,0,1)</f>
        <v>4730551987.2182999</v>
      </c>
      <c r="AG155" s="134">
        <f>+_xlfn.XLOOKUP(PROYECTOS2[[#This Row],[MUNICIPIO]],'4.CAP_ENDMNT'!B:B,'4.CAP_ENDMNT'!N:N,0,0,1)</f>
        <v>0.84384284108140062</v>
      </c>
      <c r="AH155" s="134">
        <f>+_xlfn.XLOOKUP(PROYECTOS2[[#This Row],[MUNICIPIO]],'4.CAP_ENDMNT'!B:B,'4.CAP_ENDMNT'!O:O,0,0,1)</f>
        <v>0.65864601932480682</v>
      </c>
      <c r="AI155" s="134">
        <f>+_xlfn.XLOOKUP(PROYECTOS2[[#This Row],[MUNICIPIO]],'4.CAP_ENDMNT'!B:B,'4.CAP_ENDMNT'!P:P,0,0,1)</f>
        <v>0.8</v>
      </c>
      <c r="AJ155" s="44" t="str">
        <f>+_xlfn.XLOOKUP(PROYECTOS2[[#This Row],[MUNICIPIO]],'4.CAP_ENDMNT'!B:B,'4.CAP_ENDMNT'!Q:Q,0,0,1)</f>
        <v>Cumple</v>
      </c>
    </row>
    <row r="156" spans="1:36">
      <c r="A156" s="44">
        <v>171</v>
      </c>
      <c r="B156" s="37" t="s">
        <v>305</v>
      </c>
      <c r="C156" s="118">
        <f>+_xlfn.XLOOKUP(PROYECTOS2[[#This Row],[ID_NECESIDAD]],'1.RADICADOS'!G:G,'1.RADICADOS'!C:C,0,0,1)*1</f>
        <v>45692</v>
      </c>
      <c r="D156" s="46" t="s">
        <v>61</v>
      </c>
      <c r="E156" s="47" t="str">
        <f>+_xlfn.XLOOKUP(PROYECTOS2[[#This Row],[MUNICIPIO]],MUNICIPIOS!A:A,MUNICIPIOS!E:E,0,0,1)</f>
        <v>Suroeste</v>
      </c>
      <c r="F156" s="44" t="e" cm="1">
        <f t="array" ref="F156">+_xlfn.XLOOKUP(PROYECTOS2[[#This Row],[MUNICIPIO]],Table1[Municipio],MUNICIPIOS!F:F,0,0,1)</f>
        <v>#VALUE!</v>
      </c>
      <c r="G156" s="44" t="str">
        <f>+LOOKUP(PROYECTOS2[[#This Row],[MUNICIPIO]],Table1[Municipio],Table1[Latitud])</f>
        <v>6,136871</v>
      </c>
      <c r="H156" s="44">
        <f>+LOOKUP(PROYECTOS2[[#This Row],[MUNICIPIO]],Table1[Municipio],Table1[PDET])</f>
        <v>0</v>
      </c>
      <c r="I156" s="44">
        <f>+LOOKUP(PROYECTOS2[[#This Row],[MUNICIPIO]],Table1[Municipio],Table1[ZOMAC])</f>
        <v>0</v>
      </c>
      <c r="J156" s="3" t="str" cm="1">
        <f t="array" ref="J156">_xlfn.TEXTJOIN(", ", TRUE, IF(radicados[ID PROYECTOS]=A156, radicados[RADICADO], ""))</f>
        <v>2025010050686, 2025050284676, 2025050284677</v>
      </c>
      <c r="K156" s="45"/>
      <c r="L156" s="45"/>
      <c r="M156" s="43"/>
      <c r="N156" s="48"/>
      <c r="O156" s="48"/>
      <c r="P156" s="48"/>
      <c r="Q156" s="148" t="s">
        <v>1067</v>
      </c>
      <c r="R156" s="34" t="s">
        <v>407</v>
      </c>
      <c r="S156" s="40" t="s">
        <v>397</v>
      </c>
      <c r="T156" s="40" t="s">
        <v>56</v>
      </c>
      <c r="U156" s="37"/>
      <c r="V156" s="44">
        <f>+_xlfn.XLOOKUP(PROYECTOS2[[#This Row],[MUNICIPIO]],'4.CAP_ENDMNT'!B:B,'4.CAP_ENDMNT'!C:C,0,0,1)</f>
        <v>6</v>
      </c>
      <c r="W156" s="139">
        <f>+_xlfn.XLOOKUP(PROYECTOS2[[#This Row],[MUNICIPIO]],'4.CAP_ENDMNT'!B:B,'4.CAP_ENDMNT'!D:D,0,0,1)</f>
        <v>17515986067.273998</v>
      </c>
      <c r="X156" s="140">
        <f>+_xlfn.XLOOKUP(PROYECTOS2[[#This Row],[MUNICIPIO]],'4.CAP_ENDMNT'!B:B,'4.CAP_ENDMNT'!E:E,0,0,1)</f>
        <v>8346764868.3600006</v>
      </c>
      <c r="Y156" s="140">
        <f>+_xlfn.XLOOKUP(PROYECTOS2[[#This Row],[MUNICIPIO]],'4.CAP_ENDMNT'!B:B,'4.CAP_ENDMNT'!F:F,0,0,1)</f>
        <v>9169221198.9139977</v>
      </c>
      <c r="Z156" s="140">
        <f>+_xlfn.XLOOKUP(PROYECTOS2[[#This Row],[MUNICIPIO]],'4.CAP_ENDMNT'!B:B,'4.CAP_ENDMNT'!G:G,0,0,1)</f>
        <v>0</v>
      </c>
      <c r="AA156" s="140">
        <f>+_xlfn.XLOOKUP(PROYECTOS2[[#This Row],[MUNICIPIO]],'4.CAP_ENDMNT'!B:B,'4.CAP_ENDMNT'!H:H,0,0,1)</f>
        <v>6328650461</v>
      </c>
      <c r="AB156" s="140">
        <f>+_xlfn.XLOOKUP(PROYECTOS2[[#This Row],[MUNICIPIO]],'4.CAP_ENDMNT'!B:B,'4.CAP_ENDMNT'!I:I,0,0,1)</f>
        <v>6328650461</v>
      </c>
      <c r="AC156" s="134">
        <f>+_xlfn.XLOOKUP(PROYECTOS2[[#This Row],[MUNICIPIO]],'4.CAP_ENDMNT'!B:B,'4.CAP_ENDMNT'!J:J,0,0,1)</f>
        <v>0.36130711891945022</v>
      </c>
      <c r="AD156" s="140">
        <f>+_xlfn.XLOOKUP(PROYECTOS2[[#This Row],[MUNICIPIO]],'4.CAP_ENDMNT'!B:B,'4.CAP_ENDMNT'!K:K,0,0,1)</f>
        <v>11187335606.273998</v>
      </c>
      <c r="AE156" s="140">
        <f>+_xlfn.XLOOKUP(PROYECTOS2[[#This Row],[MUNICIPIO]],'4.CAP_ENDMNT'!B:B,'4.CAP_ENDMNT'!L:L,0,0,1)</f>
        <v>8949868485.0191994</v>
      </c>
      <c r="AF156" s="140">
        <f>+_xlfn.XLOOKUP(PROYECTOS2[[#This Row],[MUNICIPIO]],'4.CAP_ENDMNT'!B:B,'4.CAP_ENDMNT'!M:M,0,0,1)</f>
        <v>6712401363.7643986</v>
      </c>
      <c r="AG156" s="134">
        <f>+_xlfn.XLOOKUP(PROYECTOS2[[#This Row],[MUNICIPIO]],'4.CAP_ENDMNT'!B:B,'4.CAP_ENDMNT'!N:N,0,0,1)</f>
        <v>0</v>
      </c>
      <c r="AH156" s="134">
        <f>+_xlfn.XLOOKUP(PROYECTOS2[[#This Row],[MUNICIPIO]],'4.CAP_ENDMNT'!B:B,'4.CAP_ENDMNT'!O:O,0,0,1)</f>
        <v>0.67376313277740918</v>
      </c>
      <c r="AI156" s="134">
        <f>+_xlfn.XLOOKUP(PROYECTOS2[[#This Row],[MUNICIPIO]],'4.CAP_ENDMNT'!B:B,'4.CAP_ENDMNT'!P:P,0,0,1)</f>
        <v>0.8</v>
      </c>
      <c r="AJ156" s="44" t="str">
        <f>+_xlfn.XLOOKUP(PROYECTOS2[[#This Row],[MUNICIPIO]],'4.CAP_ENDMNT'!B:B,'4.CAP_ENDMNT'!Q:Q,0,0,1)</f>
        <v>Cumple</v>
      </c>
    </row>
    <row r="157" spans="1:36">
      <c r="A157" s="44">
        <v>172</v>
      </c>
      <c r="B157" s="37" t="s">
        <v>306</v>
      </c>
      <c r="C157" s="118">
        <f>+_xlfn.XLOOKUP(PROYECTOS2[[#This Row],[ID_NECESIDAD]],'1.RADICADOS'!G:G,'1.RADICADOS'!C:C,0,0,1)*1</f>
        <v>45610</v>
      </c>
      <c r="D157" s="46" t="s">
        <v>227</v>
      </c>
      <c r="E157" s="47" t="str">
        <f>+_xlfn.XLOOKUP(PROYECTOS2[[#This Row],[MUNICIPIO]],MUNICIPIOS!A:A,MUNICIPIOS!E:E,0,0,1)</f>
        <v>Oriente</v>
      </c>
      <c r="F157" s="44" t="e" cm="1">
        <f t="array" ref="F157">+_xlfn.XLOOKUP(PROYECTOS2[[#This Row],[MUNICIPIO]],Table1[Municipio],MUNICIPIOS!F:F,0,0,1)</f>
        <v>#VALUE!</v>
      </c>
      <c r="G157" s="44" t="str">
        <f>+LOOKUP(PROYECTOS2[[#This Row],[MUNICIPIO]],Table1[Municipio],Table1[Latitud])</f>
        <v>6,142892</v>
      </c>
      <c r="H157" s="44">
        <f>+LOOKUP(PROYECTOS2[[#This Row],[MUNICIPIO]],Table1[Municipio],Table1[PDET])</f>
        <v>0</v>
      </c>
      <c r="I157" s="44">
        <f>+LOOKUP(PROYECTOS2[[#This Row],[MUNICIPIO]],Table1[Municipio],Table1[ZOMAC])</f>
        <v>1</v>
      </c>
      <c r="J157" s="3" t="str" cm="1">
        <f t="array" ref="J157">_xlfn.TEXTJOIN(", ", TRUE, IF(radicados[ID PROYECTOS]=A157, radicados[RADICADO], ""))</f>
        <v>2024010520939, 2025050103225</v>
      </c>
      <c r="K157" s="45">
        <v>3</v>
      </c>
      <c r="L157" s="45"/>
      <c r="M157" s="43" t="s">
        <v>179</v>
      </c>
      <c r="N157" s="48">
        <v>13671056484</v>
      </c>
      <c r="O157" s="48"/>
      <c r="P157" s="48"/>
      <c r="Q157" s="148" t="s">
        <v>1067</v>
      </c>
      <c r="R157" s="34" t="s">
        <v>288</v>
      </c>
      <c r="S157" s="40" t="s">
        <v>398</v>
      </c>
      <c r="T157" s="40" t="s">
        <v>25</v>
      </c>
      <c r="U157" s="37" t="s">
        <v>972</v>
      </c>
      <c r="V157" s="44">
        <f>+_xlfn.XLOOKUP(PROYECTOS2[[#This Row],[MUNICIPIO]],'4.CAP_ENDMNT'!B:B,'4.CAP_ENDMNT'!C:C,0,0,1)</f>
        <v>6</v>
      </c>
      <c r="W157" s="139">
        <f>+_xlfn.XLOOKUP(PROYECTOS2[[#This Row],[MUNICIPIO]],'4.CAP_ENDMNT'!B:B,'4.CAP_ENDMNT'!D:D,0,0,1)</f>
        <v>9100976268.0305004</v>
      </c>
      <c r="X157" s="140">
        <f>+_xlfn.XLOOKUP(PROYECTOS2[[#This Row],[MUNICIPIO]],'4.CAP_ENDMNT'!B:B,'4.CAP_ENDMNT'!E:E,0,0,1)</f>
        <v>3221460794.1700001</v>
      </c>
      <c r="Y157" s="140">
        <f>+_xlfn.XLOOKUP(PROYECTOS2[[#This Row],[MUNICIPIO]],'4.CAP_ENDMNT'!B:B,'4.CAP_ENDMNT'!F:F,0,0,1)</f>
        <v>5879515473.8605003</v>
      </c>
      <c r="Z157" s="140">
        <f>+_xlfn.XLOOKUP(PROYECTOS2[[#This Row],[MUNICIPIO]],'4.CAP_ENDMNT'!B:B,'4.CAP_ENDMNT'!G:G,0,0,1)</f>
        <v>1026722956</v>
      </c>
      <c r="AA157" s="140">
        <f>+_xlfn.XLOOKUP(PROYECTOS2[[#This Row],[MUNICIPIO]],'4.CAP_ENDMNT'!B:B,'4.CAP_ENDMNT'!H:H,0,0,1)</f>
        <v>190000000</v>
      </c>
      <c r="AB157" s="140">
        <f>+_xlfn.XLOOKUP(PROYECTOS2[[#This Row],[MUNICIPIO]],'4.CAP_ENDMNT'!B:B,'4.CAP_ENDMNT'!I:I,0,0,1)</f>
        <v>1216722956</v>
      </c>
      <c r="AC157" s="134">
        <f>+_xlfn.XLOOKUP(PROYECTOS2[[#This Row],[MUNICIPIO]],'4.CAP_ENDMNT'!B:B,'4.CAP_ENDMNT'!J:J,0,0,1)</f>
        <v>0.13369147662477152</v>
      </c>
      <c r="AD157" s="140">
        <f>+_xlfn.XLOOKUP(PROYECTOS2[[#This Row],[MUNICIPIO]],'4.CAP_ENDMNT'!B:B,'4.CAP_ENDMNT'!K:K,0,0,1)</f>
        <v>7884253312.0305004</v>
      </c>
      <c r="AE157" s="140">
        <f>+_xlfn.XLOOKUP(PROYECTOS2[[#This Row],[MUNICIPIO]],'4.CAP_ENDMNT'!B:B,'4.CAP_ENDMNT'!L:L,0,0,1)</f>
        <v>6307402649.6244011</v>
      </c>
      <c r="AF157" s="140">
        <f>+_xlfn.XLOOKUP(PROYECTOS2[[#This Row],[MUNICIPIO]],'4.CAP_ENDMNT'!B:B,'4.CAP_ENDMNT'!M:M,0,0,1)</f>
        <v>4730551987.2182999</v>
      </c>
      <c r="AG157" s="134">
        <f>+_xlfn.XLOOKUP(PROYECTOS2[[#This Row],[MUNICIPIO]],'4.CAP_ENDMNT'!B:B,'4.CAP_ENDMNT'!N:N,0,0,1)</f>
        <v>0.84384284108140062</v>
      </c>
      <c r="AH157" s="134">
        <f>+_xlfn.XLOOKUP(PROYECTOS2[[#This Row],[MUNICIPIO]],'4.CAP_ENDMNT'!B:B,'4.CAP_ENDMNT'!O:O,0,0,1)</f>
        <v>0.65864601932480682</v>
      </c>
      <c r="AI157" s="134">
        <f>+_xlfn.XLOOKUP(PROYECTOS2[[#This Row],[MUNICIPIO]],'4.CAP_ENDMNT'!B:B,'4.CAP_ENDMNT'!P:P,0,0,1)</f>
        <v>0.8</v>
      </c>
      <c r="AJ157" s="44" t="str">
        <f>+_xlfn.XLOOKUP(PROYECTOS2[[#This Row],[MUNICIPIO]],'4.CAP_ENDMNT'!B:B,'4.CAP_ENDMNT'!Q:Q,0,0,1)</f>
        <v>Cumple</v>
      </c>
    </row>
    <row r="158" spans="1:36">
      <c r="A158" s="44">
        <v>173</v>
      </c>
      <c r="B158" s="37" t="s">
        <v>438</v>
      </c>
      <c r="C158" s="118">
        <f>+_xlfn.XLOOKUP(PROYECTOS2[[#This Row],[ID_NECESIDAD]],'1.RADICADOS'!G:G,'1.RADICADOS'!C:C,0,0,1)*1</f>
        <v>45656</v>
      </c>
      <c r="D158" s="34" t="s">
        <v>127</v>
      </c>
      <c r="E158" s="47" t="str">
        <f>+_xlfn.XLOOKUP(PROYECTOS2[[#This Row],[MUNICIPIO]],MUNICIPIOS!A:A,MUNICIPIOS!E:E,0,0,1)</f>
        <v>Suroeste</v>
      </c>
      <c r="F158" s="44" t="e" cm="1">
        <f t="array" ref="F158">+_xlfn.XLOOKUP(PROYECTOS2[[#This Row],[MUNICIPIO]],Table1[Municipio],MUNICIPIOS!F:F,0,0,1)</f>
        <v>#VALUE!</v>
      </c>
      <c r="G158" s="44" t="str">
        <f>+LOOKUP(PROYECTOS2[[#This Row],[MUNICIPIO]],Table1[Municipio],Table1[Latitud])</f>
        <v>7,074703</v>
      </c>
      <c r="H158" s="44">
        <f>+LOOKUP(PROYECTOS2[[#This Row],[MUNICIPIO]],Table1[Municipio],Table1[PDET])</f>
        <v>1</v>
      </c>
      <c r="I158" s="44">
        <f>+LOOKUP(PROYECTOS2[[#This Row],[MUNICIPIO]],Table1[Municipio],Table1[ZOMAC])</f>
        <v>1</v>
      </c>
      <c r="J158" s="3" t="str" cm="1">
        <f t="array" ref="J158">_xlfn.TEXTJOIN(", ", TRUE, IF(radicados[ID PROYECTOS]=A158, radicados[RADICADO], ""))</f>
        <v>2024010584314, 2025010068041</v>
      </c>
      <c r="K158" s="45">
        <v>3</v>
      </c>
      <c r="L158" s="45"/>
      <c r="M158" s="43"/>
      <c r="N158" s="48">
        <v>1232731292</v>
      </c>
      <c r="O158" s="48"/>
      <c r="P158" s="48"/>
      <c r="Q158" s="148" t="s">
        <v>1067</v>
      </c>
      <c r="R158" s="34" t="s">
        <v>435</v>
      </c>
      <c r="S158" s="40" t="s">
        <v>398</v>
      </c>
      <c r="T158" s="40" t="s">
        <v>25</v>
      </c>
      <c r="U158" s="37" t="s">
        <v>440</v>
      </c>
      <c r="V158" s="44">
        <f>+_xlfn.XLOOKUP(PROYECTOS2[[#This Row],[MUNICIPIO]],'4.CAP_ENDMNT'!B:B,'4.CAP_ENDMNT'!C:C,0,0,1)</f>
        <v>6</v>
      </c>
      <c r="W158" s="139">
        <f>+_xlfn.XLOOKUP(PROYECTOS2[[#This Row],[MUNICIPIO]],'4.CAP_ENDMNT'!B:B,'4.CAP_ENDMNT'!D:D,0,0,1)</f>
        <v>9197355968.8835011</v>
      </c>
      <c r="X158" s="140">
        <f>+_xlfn.XLOOKUP(PROYECTOS2[[#This Row],[MUNICIPIO]],'4.CAP_ENDMNT'!B:B,'4.CAP_ENDMNT'!E:E,0,0,1)</f>
        <v>3350398615.7000003</v>
      </c>
      <c r="Y158" s="140">
        <f>+_xlfn.XLOOKUP(PROYECTOS2[[#This Row],[MUNICIPIO]],'4.CAP_ENDMNT'!B:B,'4.CAP_ENDMNT'!F:F,0,0,1)</f>
        <v>5846957353.1835003</v>
      </c>
      <c r="Z158" s="140">
        <f>+_xlfn.XLOOKUP(PROYECTOS2[[#This Row],[MUNICIPIO]],'4.CAP_ENDMNT'!B:B,'4.CAP_ENDMNT'!G:G,0,0,1)</f>
        <v>958841544</v>
      </c>
      <c r="AA158" s="140">
        <f>+_xlfn.XLOOKUP(PROYECTOS2[[#This Row],[MUNICIPIO]],'4.CAP_ENDMNT'!B:B,'4.CAP_ENDMNT'!H:H,0,0,1)</f>
        <v>680000000</v>
      </c>
      <c r="AB158" s="140">
        <f>+_xlfn.XLOOKUP(PROYECTOS2[[#This Row],[MUNICIPIO]],'4.CAP_ENDMNT'!B:B,'4.CAP_ENDMNT'!I:I,0,0,1)</f>
        <v>1638841544</v>
      </c>
      <c r="AC158" s="134">
        <f>+_xlfn.XLOOKUP(PROYECTOS2[[#This Row],[MUNICIPIO]],'4.CAP_ENDMNT'!B:B,'4.CAP_ENDMNT'!J:J,0,0,1)</f>
        <v>0.17818616019044273</v>
      </c>
      <c r="AD158" s="140">
        <f>+_xlfn.XLOOKUP(PROYECTOS2[[#This Row],[MUNICIPIO]],'4.CAP_ENDMNT'!B:B,'4.CAP_ENDMNT'!K:K,0,0,1)</f>
        <v>7558514424.8835011</v>
      </c>
      <c r="AE158" s="140">
        <f>+_xlfn.XLOOKUP(PROYECTOS2[[#This Row],[MUNICIPIO]],'4.CAP_ENDMNT'!B:B,'4.CAP_ENDMNT'!L:L,0,0,1)</f>
        <v>6046811539.9068012</v>
      </c>
      <c r="AF158" s="140">
        <f>+_xlfn.XLOOKUP(PROYECTOS2[[#This Row],[MUNICIPIO]],'4.CAP_ENDMNT'!B:B,'4.CAP_ENDMNT'!M:M,0,0,1)</f>
        <v>4535108654.9301004</v>
      </c>
      <c r="AG158" s="134">
        <f>+_xlfn.XLOOKUP(PROYECTOS2[[#This Row],[MUNICIPIO]],'4.CAP_ENDMNT'!B:B,'4.CAP_ENDMNT'!N:N,0,0,1)</f>
        <v>0.58507275917579493</v>
      </c>
      <c r="AH158" s="134">
        <f>+_xlfn.XLOOKUP(PROYECTOS2[[#This Row],[MUNICIPIO]],'4.CAP_ENDMNT'!B:B,'4.CAP_ENDMNT'!O:O,0,0,1)</f>
        <v>0.53687312631507866</v>
      </c>
      <c r="AI158" s="134">
        <f>+_xlfn.XLOOKUP(PROYECTOS2[[#This Row],[MUNICIPIO]],'4.CAP_ENDMNT'!B:B,'4.CAP_ENDMNT'!P:P,0,0,1)</f>
        <v>0.8</v>
      </c>
      <c r="AJ158" s="44" t="str">
        <f>+_xlfn.XLOOKUP(PROYECTOS2[[#This Row],[MUNICIPIO]],'4.CAP_ENDMNT'!B:B,'4.CAP_ENDMNT'!Q:Q,0,0,1)</f>
        <v>Cumple</v>
      </c>
    </row>
    <row r="159" spans="1:36">
      <c r="A159" s="44">
        <v>174</v>
      </c>
      <c r="B159" s="37" t="s">
        <v>309</v>
      </c>
      <c r="C159" s="118">
        <f>+_xlfn.XLOOKUP(PROYECTOS2[[#This Row],[ID_NECESIDAD]],'1.RADICADOS'!G:G,'1.RADICADOS'!C:C,0,0,1)*1</f>
        <v>45681</v>
      </c>
      <c r="D159" s="46" t="s">
        <v>113</v>
      </c>
      <c r="E159" s="47" t="str">
        <f>+_xlfn.XLOOKUP(PROYECTOS2[[#This Row],[MUNICIPIO]],MUNICIPIOS!A:A,MUNICIPIOS!E:E,0,0,1)</f>
        <v>Oriente</v>
      </c>
      <c r="F159" s="44" t="e" cm="1">
        <f t="array" ref="F159">+_xlfn.XLOOKUP(PROYECTOS2[[#This Row],[MUNICIPIO]],Table1[Municipio],MUNICIPIOS!F:F,0,0,1)</f>
        <v>#VALUE!</v>
      </c>
      <c r="G159" s="44" t="str">
        <f>+LOOKUP(PROYECTOS2[[#This Row],[MUNICIPIO]],Table1[Municipio],Table1[Latitud])</f>
        <v>6,149903</v>
      </c>
      <c r="H159" s="44">
        <f>+LOOKUP(PROYECTOS2[[#This Row],[MUNICIPIO]],Table1[Municipio],Table1[PDET])</f>
        <v>0</v>
      </c>
      <c r="I159" s="44">
        <f>+LOOKUP(PROYECTOS2[[#This Row],[MUNICIPIO]],Table1[Municipio],Table1[ZOMAC])</f>
        <v>0</v>
      </c>
      <c r="J159" s="3" t="str" cm="1">
        <f t="array" ref="J159">_xlfn.TEXTJOIN(", ", TRUE, IF(radicados[ID PROYECTOS]=A159, radicados[RADICADO], ""))</f>
        <v>2025010069361</v>
      </c>
      <c r="K159" s="45">
        <v>3</v>
      </c>
      <c r="L159" s="45"/>
      <c r="M159" s="43"/>
      <c r="N159" s="48">
        <v>663195355</v>
      </c>
      <c r="O159" s="48"/>
      <c r="P159" s="48"/>
      <c r="Q159" s="148" t="s">
        <v>1067</v>
      </c>
      <c r="R159" s="34" t="s">
        <v>441</v>
      </c>
      <c r="S159" s="40" t="s">
        <v>398</v>
      </c>
      <c r="T159" s="40" t="s">
        <v>25</v>
      </c>
      <c r="U159" s="37"/>
      <c r="V159" s="44">
        <f>+_xlfn.XLOOKUP(PROYECTOS2[[#This Row],[MUNICIPIO]],'4.CAP_ENDMNT'!B:B,'4.CAP_ENDMNT'!C:C,0,0,1)</f>
        <v>6</v>
      </c>
      <c r="W159" s="139">
        <f>+_xlfn.XLOOKUP(PROYECTOS2[[#This Row],[MUNICIPIO]],'4.CAP_ENDMNT'!B:B,'4.CAP_ENDMNT'!D:D,0,0,1)</f>
        <v>7763487077.335</v>
      </c>
      <c r="X159" s="140">
        <f>+_xlfn.XLOOKUP(PROYECTOS2[[#This Row],[MUNICIPIO]],'4.CAP_ENDMNT'!B:B,'4.CAP_ENDMNT'!E:E,0,0,1)</f>
        <v>2329929022.3600001</v>
      </c>
      <c r="Y159" s="140">
        <f>+_xlfn.XLOOKUP(PROYECTOS2[[#This Row],[MUNICIPIO]],'4.CAP_ENDMNT'!B:B,'4.CAP_ENDMNT'!F:F,0,0,1)</f>
        <v>5433558054.9750004</v>
      </c>
      <c r="Z159" s="140">
        <f>+_xlfn.XLOOKUP(PROYECTOS2[[#This Row],[MUNICIPIO]],'4.CAP_ENDMNT'!B:B,'4.CAP_ENDMNT'!G:G,0,0,1)</f>
        <v>1217107364.4400001</v>
      </c>
      <c r="AA159" s="140">
        <f>+_xlfn.XLOOKUP(PROYECTOS2[[#This Row],[MUNICIPIO]],'4.CAP_ENDMNT'!B:B,'4.CAP_ENDMNT'!H:H,0,0,1)</f>
        <v>0</v>
      </c>
      <c r="AB159" s="140">
        <f>+_xlfn.XLOOKUP(PROYECTOS2[[#This Row],[MUNICIPIO]],'4.CAP_ENDMNT'!B:B,'4.CAP_ENDMNT'!I:I,0,0,1)</f>
        <v>1217107364.4400001</v>
      </c>
      <c r="AC159" s="134">
        <f>+_xlfn.XLOOKUP(PROYECTOS2[[#This Row],[MUNICIPIO]],'4.CAP_ENDMNT'!B:B,'4.CAP_ENDMNT'!J:J,0,0,1)</f>
        <v>0.15677328400446064</v>
      </c>
      <c r="AD159" s="140">
        <f>+_xlfn.XLOOKUP(PROYECTOS2[[#This Row],[MUNICIPIO]],'4.CAP_ENDMNT'!B:B,'4.CAP_ENDMNT'!K:K,0,0,1)</f>
        <v>6546379712.8950005</v>
      </c>
      <c r="AE159" s="140">
        <f>+_xlfn.XLOOKUP(PROYECTOS2[[#This Row],[MUNICIPIO]],'4.CAP_ENDMNT'!B:B,'4.CAP_ENDMNT'!L:L,0,0,1)</f>
        <v>5237103770.3160009</v>
      </c>
      <c r="AF159" s="140">
        <f>+_xlfn.XLOOKUP(PROYECTOS2[[#This Row],[MUNICIPIO]],'4.CAP_ENDMNT'!B:B,'4.CAP_ENDMNT'!M:M,0,0,1)</f>
        <v>3927827827.737</v>
      </c>
      <c r="AG159" s="134">
        <f>+_xlfn.XLOOKUP(PROYECTOS2[[#This Row],[MUNICIPIO]],'4.CAP_ENDMNT'!B:B,'4.CAP_ENDMNT'!N:N,0,0,1)</f>
        <v>1</v>
      </c>
      <c r="AH159" s="134">
        <f>+_xlfn.XLOOKUP(PROYECTOS2[[#This Row],[MUNICIPIO]],'4.CAP_ENDMNT'!B:B,'4.CAP_ENDMNT'!O:O,0,0,1)</f>
        <v>0.68141761997590633</v>
      </c>
      <c r="AI159" s="134">
        <f>+_xlfn.XLOOKUP(PROYECTOS2[[#This Row],[MUNICIPIO]],'4.CAP_ENDMNT'!B:B,'4.CAP_ENDMNT'!P:P,0,0,1)</f>
        <v>0.8</v>
      </c>
      <c r="AJ159" s="44" t="str">
        <f>+_xlfn.XLOOKUP(PROYECTOS2[[#This Row],[MUNICIPIO]],'4.CAP_ENDMNT'!B:B,'4.CAP_ENDMNT'!Q:Q,0,0,1)</f>
        <v>Cumple</v>
      </c>
    </row>
    <row r="160" spans="1:36">
      <c r="A160" s="44">
        <v>175</v>
      </c>
      <c r="B160" s="37" t="s">
        <v>442</v>
      </c>
      <c r="C160" s="118">
        <f>+_xlfn.XLOOKUP(PROYECTOS2[[#This Row],[ID_NECESIDAD]],'1.RADICADOS'!G:G,'1.RADICADOS'!C:C,0,0,1)*1</f>
        <v>45680</v>
      </c>
      <c r="D160" s="46" t="s">
        <v>258</v>
      </c>
      <c r="E160" s="47" t="str">
        <f>+_xlfn.XLOOKUP(PROYECTOS2[[#This Row],[MUNICIPIO]],MUNICIPIOS!A:A,MUNICIPIOS!E:E,0,0,1)</f>
        <v>Urabá</v>
      </c>
      <c r="F160" s="44" t="e" cm="1">
        <f t="array" ref="F160">+_xlfn.XLOOKUP(PROYECTOS2[[#This Row],[MUNICIPIO]],Table1[Municipio],MUNICIPIOS!F:F,0,0,1)</f>
        <v>#VALUE!</v>
      </c>
      <c r="G160" s="44" t="str">
        <f>+LOOKUP(PROYECTOS2[[#This Row],[MUNICIPIO]],Table1[Municipio],Table1[Latitud])</f>
        <v>5,946313</v>
      </c>
      <c r="H160" s="44">
        <f>+LOOKUP(PROYECTOS2[[#This Row],[MUNICIPIO]],Table1[Municipio],Table1[PDET])</f>
        <v>0</v>
      </c>
      <c r="I160" s="44">
        <f>+LOOKUP(PROYECTOS2[[#This Row],[MUNICIPIO]],Table1[Municipio],Table1[ZOMAC])</f>
        <v>1</v>
      </c>
      <c r="J160" s="3" t="str" cm="1">
        <f t="array" ref="J160">_xlfn.TEXTJOIN(", ", TRUE, IF(radicados[ID PROYECTOS]=A160, radicados[RADICADO], ""))</f>
        <v>2025010030301</v>
      </c>
      <c r="K160" s="45">
        <v>3</v>
      </c>
      <c r="L160" s="45"/>
      <c r="M160" s="43"/>
      <c r="N160" s="48">
        <v>10307716743</v>
      </c>
      <c r="O160" s="48"/>
      <c r="P160" s="48"/>
      <c r="Q160" s="148" t="s">
        <v>1067</v>
      </c>
      <c r="R160" s="34" t="s">
        <v>401</v>
      </c>
      <c r="S160" s="34" t="s">
        <v>394</v>
      </c>
      <c r="T160" s="34" t="s">
        <v>18</v>
      </c>
      <c r="U160" s="37"/>
      <c r="V160" s="44">
        <f>+_xlfn.XLOOKUP(PROYECTOS2[[#This Row],[MUNICIPIO]],'4.CAP_ENDMNT'!B:B,'4.CAP_ENDMNT'!C:C,0,0,1)</f>
        <v>6</v>
      </c>
      <c r="W160" s="139">
        <f>+_xlfn.XLOOKUP(PROYECTOS2[[#This Row],[MUNICIPIO]],'4.CAP_ENDMNT'!B:B,'4.CAP_ENDMNT'!D:D,0,0,1)</f>
        <v>17114409570.042</v>
      </c>
      <c r="X160" s="140">
        <f>+_xlfn.XLOOKUP(PROYECTOS2[[#This Row],[MUNICIPIO]],'4.CAP_ENDMNT'!B:B,'4.CAP_ENDMNT'!E:E,0,0,1)</f>
        <v>5233556503.5699997</v>
      </c>
      <c r="Y160" s="140">
        <f>+_xlfn.XLOOKUP(PROYECTOS2[[#This Row],[MUNICIPIO]],'4.CAP_ENDMNT'!B:B,'4.CAP_ENDMNT'!F:F,0,0,1)</f>
        <v>11880853066.472</v>
      </c>
      <c r="Z160" s="140">
        <f>+_xlfn.XLOOKUP(PROYECTOS2[[#This Row],[MUNICIPIO]],'4.CAP_ENDMNT'!B:B,'4.CAP_ENDMNT'!G:G,0,0,1)</f>
        <v>690572471</v>
      </c>
      <c r="AA160" s="140">
        <f>+_xlfn.XLOOKUP(PROYECTOS2[[#This Row],[MUNICIPIO]],'4.CAP_ENDMNT'!B:B,'4.CAP_ENDMNT'!H:H,0,0,1)</f>
        <v>0</v>
      </c>
      <c r="AB160" s="140">
        <f>+_xlfn.XLOOKUP(PROYECTOS2[[#This Row],[MUNICIPIO]],'4.CAP_ENDMNT'!B:B,'4.CAP_ENDMNT'!I:I,0,0,1)</f>
        <v>690572471</v>
      </c>
      <c r="AC160" s="134">
        <f>+_xlfn.XLOOKUP(PROYECTOS2[[#This Row],[MUNICIPIO]],'4.CAP_ENDMNT'!B:B,'4.CAP_ENDMNT'!J:J,0,0,1)</f>
        <v>4.0350353202298947E-2</v>
      </c>
      <c r="AD160" s="140">
        <f>+_xlfn.XLOOKUP(PROYECTOS2[[#This Row],[MUNICIPIO]],'4.CAP_ENDMNT'!B:B,'4.CAP_ENDMNT'!K:K,0,0,1)</f>
        <v>16423837099.042</v>
      </c>
      <c r="AE160" s="140">
        <f>+_xlfn.XLOOKUP(PROYECTOS2[[#This Row],[MUNICIPIO]],'4.CAP_ENDMNT'!B:B,'4.CAP_ENDMNT'!L:L,0,0,1)</f>
        <v>13139069679.233601</v>
      </c>
      <c r="AF160" s="140">
        <f>+_xlfn.XLOOKUP(PROYECTOS2[[#This Row],[MUNICIPIO]],'4.CAP_ENDMNT'!B:B,'4.CAP_ENDMNT'!M:M,0,0,1)</f>
        <v>9854302259.4251995</v>
      </c>
      <c r="AG160" s="134">
        <f>+_xlfn.XLOOKUP(PROYECTOS2[[#This Row],[MUNICIPIO]],'4.CAP_ENDMNT'!B:B,'4.CAP_ENDMNT'!N:N,0,0,1)</f>
        <v>1</v>
      </c>
      <c r="AH160" s="134">
        <f>+_xlfn.XLOOKUP(PROYECTOS2[[#This Row],[MUNICIPIO]],'4.CAP_ENDMNT'!B:B,'4.CAP_ENDMNT'!O:O,0,0,1)</f>
        <v>0.61563469645402102</v>
      </c>
      <c r="AI160" s="134">
        <f>+_xlfn.XLOOKUP(PROYECTOS2[[#This Row],[MUNICIPIO]],'4.CAP_ENDMNT'!B:B,'4.CAP_ENDMNT'!P:P,0,0,1)</f>
        <v>0.8</v>
      </c>
      <c r="AJ160" s="44" t="str">
        <f>+_xlfn.XLOOKUP(PROYECTOS2[[#This Row],[MUNICIPIO]],'4.CAP_ENDMNT'!B:B,'4.CAP_ENDMNT'!Q:Q,0,0,1)</f>
        <v>Cumple</v>
      </c>
    </row>
    <row r="161" spans="1:36">
      <c r="A161" s="44">
        <v>176</v>
      </c>
      <c r="B161" s="37" t="s">
        <v>312</v>
      </c>
      <c r="C161" s="118">
        <f>+_xlfn.XLOOKUP(PROYECTOS2[[#This Row],[ID_NECESIDAD]],'1.RADICADOS'!G:G,'1.RADICADOS'!C:C,0,0,1)*1</f>
        <v>45705</v>
      </c>
      <c r="D161" s="46" t="s">
        <v>311</v>
      </c>
      <c r="E161" s="47" t="str">
        <f>+_xlfn.XLOOKUP(PROYECTOS2[[#This Row],[MUNICIPIO]],MUNICIPIOS!A:A,MUNICIPIOS!E:E,0,0,1)</f>
        <v>Magdalena Medio</v>
      </c>
      <c r="F161" s="44" t="e" cm="1">
        <f t="array" ref="F161">+_xlfn.XLOOKUP(PROYECTOS2[[#This Row],[MUNICIPIO]],Table1[Municipio],MUNICIPIOS!F:F,0,0,1)</f>
        <v>#VALUE!</v>
      </c>
      <c r="G161" s="44" t="str">
        <f>+LOOKUP(PROYECTOS2[[#This Row],[MUNICIPIO]],Table1[Municipio],Table1[Latitud])</f>
        <v>5,743808</v>
      </c>
      <c r="H161" s="44">
        <f>+LOOKUP(PROYECTOS2[[#This Row],[MUNICIPIO]],Table1[Municipio],Table1[PDET])</f>
        <v>0</v>
      </c>
      <c r="I161" s="44">
        <f>+LOOKUP(PROYECTOS2[[#This Row],[MUNICIPIO]],Table1[Municipio],Table1[ZOMAC])</f>
        <v>0</v>
      </c>
      <c r="J161" s="3" t="str" cm="1">
        <f t="array" ref="J161">_xlfn.TEXTJOIN(", ", TRUE, IF(radicados[ID PROYECTOS]=A161, radicados[RADICADO], ""))</f>
        <v>2025010073393</v>
      </c>
      <c r="K161" s="45">
        <v>3</v>
      </c>
      <c r="L161" s="45"/>
      <c r="M161" s="43"/>
      <c r="N161" s="48">
        <v>13427488873</v>
      </c>
      <c r="O161" s="48"/>
      <c r="P161" s="48"/>
      <c r="Q161" s="148" t="s">
        <v>1067</v>
      </c>
      <c r="R161" s="34" t="s">
        <v>288</v>
      </c>
      <c r="S161" s="34" t="s">
        <v>398</v>
      </c>
      <c r="T161" s="34" t="s">
        <v>25</v>
      </c>
      <c r="U161" s="37"/>
      <c r="V161" s="44">
        <f>+_xlfn.XLOOKUP(PROYECTOS2[[#This Row],[MUNICIPIO]],'4.CAP_ENDMNT'!B:B,'4.CAP_ENDMNT'!C:C,0,0,1)</f>
        <v>6</v>
      </c>
      <c r="W161" s="139">
        <f>+_xlfn.XLOOKUP(PROYECTOS2[[#This Row],[MUNICIPIO]],'4.CAP_ENDMNT'!B:B,'4.CAP_ENDMNT'!D:D,0,0,1)</f>
        <v>12443958135.744499</v>
      </c>
      <c r="X161" s="140">
        <f>+_xlfn.XLOOKUP(PROYECTOS2[[#This Row],[MUNICIPIO]],'4.CAP_ENDMNT'!B:B,'4.CAP_ENDMNT'!E:E,0,0,1)</f>
        <v>4756407219.6099997</v>
      </c>
      <c r="Y161" s="140">
        <f>+_xlfn.XLOOKUP(PROYECTOS2[[#This Row],[MUNICIPIO]],'4.CAP_ENDMNT'!B:B,'4.CAP_ENDMNT'!F:F,0,0,1)</f>
        <v>7687550916.1344995</v>
      </c>
      <c r="Z161" s="140">
        <f>+_xlfn.XLOOKUP(PROYECTOS2[[#This Row],[MUNICIPIO]],'4.CAP_ENDMNT'!B:B,'4.CAP_ENDMNT'!G:G,0,0,1)</f>
        <v>8000000000</v>
      </c>
      <c r="AA161" s="140">
        <f>+_xlfn.XLOOKUP(PROYECTOS2[[#This Row],[MUNICIPIO]],'4.CAP_ENDMNT'!B:B,'4.CAP_ENDMNT'!H:H,0,0,1)</f>
        <v>0</v>
      </c>
      <c r="AB161" s="140">
        <f>+_xlfn.XLOOKUP(PROYECTOS2[[#This Row],[MUNICIPIO]],'4.CAP_ENDMNT'!B:B,'4.CAP_ENDMNT'!I:I,0,0,1)</f>
        <v>8000000000</v>
      </c>
      <c r="AC161" s="134">
        <f>+_xlfn.XLOOKUP(PROYECTOS2[[#This Row],[MUNICIPIO]],'4.CAP_ENDMNT'!B:B,'4.CAP_ENDMNT'!J:J,0,0,1)</f>
        <v>0.64288226565312012</v>
      </c>
      <c r="AD161" s="140">
        <f>+_xlfn.XLOOKUP(PROYECTOS2[[#This Row],[MUNICIPIO]],'4.CAP_ENDMNT'!B:B,'4.CAP_ENDMNT'!K:K,0,0,1)</f>
        <v>4443958135.7444992</v>
      </c>
      <c r="AE161" s="140">
        <f>+_xlfn.XLOOKUP(PROYECTOS2[[#This Row],[MUNICIPIO]],'4.CAP_ENDMNT'!B:B,'4.CAP_ENDMNT'!L:L,0,0,1)</f>
        <v>3555166508.5955997</v>
      </c>
      <c r="AF161" s="140">
        <f>+_xlfn.XLOOKUP(PROYECTOS2[[#This Row],[MUNICIPIO]],'4.CAP_ENDMNT'!B:B,'4.CAP_ENDMNT'!M:M,0,0,1)</f>
        <v>2666374881.4466996</v>
      </c>
      <c r="AG161" s="134">
        <f>+_xlfn.XLOOKUP(PROYECTOS2[[#This Row],[MUNICIPIO]],'4.CAP_ENDMNT'!B:B,'4.CAP_ENDMNT'!N:N,0,0,1)</f>
        <v>1</v>
      </c>
      <c r="AH161" s="134">
        <f>+_xlfn.XLOOKUP(PROYECTOS2[[#This Row],[MUNICIPIO]],'4.CAP_ENDMNT'!B:B,'4.CAP_ENDMNT'!O:O,0,0,1)</f>
        <v>0.49448054880206244</v>
      </c>
      <c r="AI161" s="134">
        <f>+_xlfn.XLOOKUP(PROYECTOS2[[#This Row],[MUNICIPIO]],'4.CAP_ENDMNT'!B:B,'4.CAP_ENDMNT'!P:P,0,0,1)</f>
        <v>0.8</v>
      </c>
      <c r="AJ161" s="44" t="str">
        <f>+_xlfn.XLOOKUP(PROYECTOS2[[#This Row],[MUNICIPIO]],'4.CAP_ENDMNT'!B:B,'4.CAP_ENDMNT'!Q:Q,0,0,1)</f>
        <v>Cumple</v>
      </c>
    </row>
    <row r="162" spans="1:36">
      <c r="A162" s="44">
        <v>177</v>
      </c>
      <c r="B162" s="37" t="s">
        <v>173</v>
      </c>
      <c r="C162" s="118">
        <f>+_xlfn.XLOOKUP(PROYECTOS2[[#This Row],[ID_NECESIDAD]],'1.RADICADOS'!G:G,'1.RADICADOS'!C:C,0,0,1)*1</f>
        <v>45391</v>
      </c>
      <c r="D162" s="46" t="s">
        <v>52</v>
      </c>
      <c r="E162" s="47" t="str">
        <f>+_xlfn.XLOOKUP(PROYECTOS2[[#This Row],[MUNICIPIO]],MUNICIPIOS!A:A,MUNICIPIOS!E:E,0,0,1)</f>
        <v>Suroeste</v>
      </c>
      <c r="F162" s="44" t="e" cm="1">
        <f t="array" ref="F162">+_xlfn.XLOOKUP(PROYECTOS2[[#This Row],[MUNICIPIO]],Table1[Municipio],MUNICIPIOS!F:F,0,0,1)</f>
        <v>#VALUE!</v>
      </c>
      <c r="G162" s="44" t="str">
        <f>+LOOKUP(PROYECTOS2[[#This Row],[MUNICIPIO]],Table1[Municipio],Table1[Latitud])</f>
        <v>6,149903</v>
      </c>
      <c r="H162" s="44">
        <f>+LOOKUP(PROYECTOS2[[#This Row],[MUNICIPIO]],Table1[Municipio],Table1[PDET])</f>
        <v>0</v>
      </c>
      <c r="I162" s="44">
        <f>+LOOKUP(PROYECTOS2[[#This Row],[MUNICIPIO]],Table1[Municipio],Table1[ZOMAC])</f>
        <v>0</v>
      </c>
      <c r="J162" s="3" t="str" cm="1">
        <f t="array" ref="J162">_xlfn.TEXTJOIN(", ", TRUE, IF(radicados[ID PROYECTOS]=A162, radicados[RADICADO], ""))</f>
        <v>2024010402559</v>
      </c>
      <c r="K162" s="45">
        <v>3</v>
      </c>
      <c r="L162" s="45"/>
      <c r="M162" s="43"/>
      <c r="N162" s="48">
        <v>3301000000</v>
      </c>
      <c r="O162" s="48"/>
      <c r="P162" s="48"/>
      <c r="Q162" s="148" t="s">
        <v>1067</v>
      </c>
      <c r="R162" s="34" t="s">
        <v>288</v>
      </c>
      <c r="S162" s="34" t="s">
        <v>398</v>
      </c>
      <c r="T162" s="34" t="s">
        <v>25</v>
      </c>
      <c r="U162" s="37"/>
      <c r="V162" s="44">
        <f>+_xlfn.XLOOKUP(PROYECTOS2[[#This Row],[MUNICIPIO]],'4.CAP_ENDMNT'!B:B,'4.CAP_ENDMNT'!C:C,0,0,1)</f>
        <v>6</v>
      </c>
      <c r="W162" s="139">
        <f>+_xlfn.XLOOKUP(PROYECTOS2[[#This Row],[MUNICIPIO]],'4.CAP_ENDMNT'!B:B,'4.CAP_ENDMNT'!D:D,0,0,1)</f>
        <v>13939577899.640499</v>
      </c>
      <c r="X162" s="140">
        <f>+_xlfn.XLOOKUP(PROYECTOS2[[#This Row],[MUNICIPIO]],'4.CAP_ENDMNT'!B:B,'4.CAP_ENDMNT'!E:E,0,0,1)</f>
        <v>5408645166.3600006</v>
      </c>
      <c r="Y162" s="140">
        <f>+_xlfn.XLOOKUP(PROYECTOS2[[#This Row],[MUNICIPIO]],'4.CAP_ENDMNT'!B:B,'4.CAP_ENDMNT'!F:F,0,0,1)</f>
        <v>8530932733.2804985</v>
      </c>
      <c r="Z162" s="140">
        <f>+_xlfn.XLOOKUP(PROYECTOS2[[#This Row],[MUNICIPIO]],'4.CAP_ENDMNT'!B:B,'4.CAP_ENDMNT'!G:G,0,0,1)</f>
        <v>2408239973</v>
      </c>
      <c r="AA162" s="140">
        <f>+_xlfn.XLOOKUP(PROYECTOS2[[#This Row],[MUNICIPIO]],'4.CAP_ENDMNT'!B:B,'4.CAP_ENDMNT'!H:H,0,0,1)</f>
        <v>812109375</v>
      </c>
      <c r="AB162" s="140">
        <f>+_xlfn.XLOOKUP(PROYECTOS2[[#This Row],[MUNICIPIO]],'4.CAP_ENDMNT'!B:B,'4.CAP_ENDMNT'!I:I,0,0,1)</f>
        <v>3220349348</v>
      </c>
      <c r="AC162" s="134">
        <f>+_xlfn.XLOOKUP(PROYECTOS2[[#This Row],[MUNICIPIO]],'4.CAP_ENDMNT'!B:B,'4.CAP_ENDMNT'!J:J,0,0,1)</f>
        <v>0.23102201309001277</v>
      </c>
      <c r="AD162" s="140">
        <f>+_xlfn.XLOOKUP(PROYECTOS2[[#This Row],[MUNICIPIO]],'4.CAP_ENDMNT'!B:B,'4.CAP_ENDMNT'!K:K,0,0,1)</f>
        <v>10719228551.640499</v>
      </c>
      <c r="AE162" s="140">
        <f>+_xlfn.XLOOKUP(PROYECTOS2[[#This Row],[MUNICIPIO]],'4.CAP_ENDMNT'!B:B,'4.CAP_ENDMNT'!L:L,0,0,1)</f>
        <v>8575382841.3123999</v>
      </c>
      <c r="AF162" s="140">
        <f>+_xlfn.XLOOKUP(PROYECTOS2[[#This Row],[MUNICIPIO]],'4.CAP_ENDMNT'!B:B,'4.CAP_ENDMNT'!M:M,0,0,1)</f>
        <v>6431537130.9842997</v>
      </c>
      <c r="AG162" s="134">
        <f>+_xlfn.XLOOKUP(PROYECTOS2[[#This Row],[MUNICIPIO]],'4.CAP_ENDMNT'!B:B,'4.CAP_ENDMNT'!N:N,0,0,1)</f>
        <v>0.74781947942872684</v>
      </c>
      <c r="AH162" s="134">
        <f>+_xlfn.XLOOKUP(PROYECTOS2[[#This Row],[MUNICIPIO]],'4.CAP_ENDMNT'!B:B,'4.CAP_ENDMNT'!O:O,0,0,1)</f>
        <v>0.48148969869574604</v>
      </c>
      <c r="AI162" s="134">
        <f>+_xlfn.XLOOKUP(PROYECTOS2[[#This Row],[MUNICIPIO]],'4.CAP_ENDMNT'!B:B,'4.CAP_ENDMNT'!P:P,0,0,1)</f>
        <v>0.8</v>
      </c>
      <c r="AJ162" s="44" t="str">
        <f>+_xlfn.XLOOKUP(PROYECTOS2[[#This Row],[MUNICIPIO]],'4.CAP_ENDMNT'!B:B,'4.CAP_ENDMNT'!Q:Q,0,0,1)</f>
        <v>Cumple</v>
      </c>
    </row>
    <row r="163" spans="1:36">
      <c r="A163" s="44">
        <v>178</v>
      </c>
      <c r="B163" s="37" t="s">
        <v>172</v>
      </c>
      <c r="C163" s="118">
        <f>+_xlfn.XLOOKUP(PROYECTOS2[[#This Row],[ID_NECESIDAD]],'1.RADICADOS'!G:G,'1.RADICADOS'!C:C,0,0,1)*1</f>
        <v>45391</v>
      </c>
      <c r="D163" s="46" t="s">
        <v>52</v>
      </c>
      <c r="E163" s="47" t="str">
        <f>+_xlfn.XLOOKUP(PROYECTOS2[[#This Row],[MUNICIPIO]],MUNICIPIOS!A:A,MUNICIPIOS!E:E,0,0,1)</f>
        <v>Suroeste</v>
      </c>
      <c r="F163" s="44" t="e" cm="1">
        <f t="array" ref="F163">+_xlfn.XLOOKUP(PROYECTOS2[[#This Row],[MUNICIPIO]],Table1[Municipio],MUNICIPIOS!F:F,0,0,1)</f>
        <v>#VALUE!</v>
      </c>
      <c r="G163" s="44" t="str">
        <f>+LOOKUP(PROYECTOS2[[#This Row],[MUNICIPIO]],Table1[Municipio],Table1[Latitud])</f>
        <v>6,149903</v>
      </c>
      <c r="H163" s="44">
        <f>+LOOKUP(PROYECTOS2[[#This Row],[MUNICIPIO]],Table1[Municipio],Table1[PDET])</f>
        <v>0</v>
      </c>
      <c r="I163" s="44">
        <f>+LOOKUP(PROYECTOS2[[#This Row],[MUNICIPIO]],Table1[Municipio],Table1[ZOMAC])</f>
        <v>0</v>
      </c>
      <c r="J163" s="3" t="str" cm="1">
        <f t="array" ref="J163">_xlfn.TEXTJOIN(", ", TRUE, IF(radicados[ID PROYECTOS]=A163, radicados[RADICADO], ""))</f>
        <v>2024010402559</v>
      </c>
      <c r="K163" s="45">
        <v>3</v>
      </c>
      <c r="L163" s="45"/>
      <c r="M163" s="43" t="s">
        <v>179</v>
      </c>
      <c r="N163" s="48">
        <v>2656411701</v>
      </c>
      <c r="O163" s="48"/>
      <c r="P163" s="48"/>
      <c r="Q163" s="148" t="s">
        <v>1067</v>
      </c>
      <c r="R163" s="34" t="s">
        <v>288</v>
      </c>
      <c r="S163" s="40" t="s">
        <v>398</v>
      </c>
      <c r="T163" s="34" t="s">
        <v>25</v>
      </c>
      <c r="U163" s="37"/>
      <c r="V163" s="44">
        <f>+_xlfn.XLOOKUP(PROYECTOS2[[#This Row],[MUNICIPIO]],'4.CAP_ENDMNT'!B:B,'4.CAP_ENDMNT'!C:C,0,0,1)</f>
        <v>6</v>
      </c>
      <c r="W163" s="139">
        <f>+_xlfn.XLOOKUP(PROYECTOS2[[#This Row],[MUNICIPIO]],'4.CAP_ENDMNT'!B:B,'4.CAP_ENDMNT'!D:D,0,0,1)</f>
        <v>13939577899.640499</v>
      </c>
      <c r="X163" s="140">
        <f>+_xlfn.XLOOKUP(PROYECTOS2[[#This Row],[MUNICIPIO]],'4.CAP_ENDMNT'!B:B,'4.CAP_ENDMNT'!E:E,0,0,1)</f>
        <v>5408645166.3600006</v>
      </c>
      <c r="Y163" s="140">
        <f>+_xlfn.XLOOKUP(PROYECTOS2[[#This Row],[MUNICIPIO]],'4.CAP_ENDMNT'!B:B,'4.CAP_ENDMNT'!F:F,0,0,1)</f>
        <v>8530932733.2804985</v>
      </c>
      <c r="Z163" s="140">
        <f>+_xlfn.XLOOKUP(PROYECTOS2[[#This Row],[MUNICIPIO]],'4.CAP_ENDMNT'!B:B,'4.CAP_ENDMNT'!G:G,0,0,1)</f>
        <v>2408239973</v>
      </c>
      <c r="AA163" s="140">
        <f>+_xlfn.XLOOKUP(PROYECTOS2[[#This Row],[MUNICIPIO]],'4.CAP_ENDMNT'!B:B,'4.CAP_ENDMNT'!H:H,0,0,1)</f>
        <v>812109375</v>
      </c>
      <c r="AB163" s="140">
        <f>+_xlfn.XLOOKUP(PROYECTOS2[[#This Row],[MUNICIPIO]],'4.CAP_ENDMNT'!B:B,'4.CAP_ENDMNT'!I:I,0,0,1)</f>
        <v>3220349348</v>
      </c>
      <c r="AC163" s="134">
        <f>+_xlfn.XLOOKUP(PROYECTOS2[[#This Row],[MUNICIPIO]],'4.CAP_ENDMNT'!B:B,'4.CAP_ENDMNT'!J:J,0,0,1)</f>
        <v>0.23102201309001277</v>
      </c>
      <c r="AD163" s="140">
        <f>+_xlfn.XLOOKUP(PROYECTOS2[[#This Row],[MUNICIPIO]],'4.CAP_ENDMNT'!B:B,'4.CAP_ENDMNT'!K:K,0,0,1)</f>
        <v>10719228551.640499</v>
      </c>
      <c r="AE163" s="140">
        <f>+_xlfn.XLOOKUP(PROYECTOS2[[#This Row],[MUNICIPIO]],'4.CAP_ENDMNT'!B:B,'4.CAP_ENDMNT'!L:L,0,0,1)</f>
        <v>8575382841.3123999</v>
      </c>
      <c r="AF163" s="140">
        <f>+_xlfn.XLOOKUP(PROYECTOS2[[#This Row],[MUNICIPIO]],'4.CAP_ENDMNT'!B:B,'4.CAP_ENDMNT'!M:M,0,0,1)</f>
        <v>6431537130.9842997</v>
      </c>
      <c r="AG163" s="134">
        <f>+_xlfn.XLOOKUP(PROYECTOS2[[#This Row],[MUNICIPIO]],'4.CAP_ENDMNT'!B:B,'4.CAP_ENDMNT'!N:N,0,0,1)</f>
        <v>0.74781947942872684</v>
      </c>
      <c r="AH163" s="134">
        <f>+_xlfn.XLOOKUP(PROYECTOS2[[#This Row],[MUNICIPIO]],'4.CAP_ENDMNT'!B:B,'4.CAP_ENDMNT'!O:O,0,0,1)</f>
        <v>0.48148969869574604</v>
      </c>
      <c r="AI163" s="134">
        <f>+_xlfn.XLOOKUP(PROYECTOS2[[#This Row],[MUNICIPIO]],'4.CAP_ENDMNT'!B:B,'4.CAP_ENDMNT'!P:P,0,0,1)</f>
        <v>0.8</v>
      </c>
      <c r="AJ163" s="44" t="str">
        <f>+_xlfn.XLOOKUP(PROYECTOS2[[#This Row],[MUNICIPIO]],'4.CAP_ENDMNT'!B:B,'4.CAP_ENDMNT'!Q:Q,0,0,1)</f>
        <v>Cumple</v>
      </c>
    </row>
    <row r="164" spans="1:36">
      <c r="A164" s="44">
        <v>179</v>
      </c>
      <c r="B164" s="37" t="s">
        <v>443</v>
      </c>
      <c r="C164" s="118">
        <v>45747</v>
      </c>
      <c r="D164" s="46" t="s">
        <v>444</v>
      </c>
      <c r="E164" s="47" t="str">
        <f>+_xlfn.XLOOKUP(PROYECTOS2[[#This Row],[MUNICIPIO]],MUNICIPIOS!A:A,MUNICIPIOS!E:E,0,0,1)</f>
        <v>Suroeste</v>
      </c>
      <c r="F164" s="44" t="e" cm="1">
        <f t="array" ref="F164">+_xlfn.XLOOKUP(PROYECTOS2[[#This Row],[MUNICIPIO]],Table1[Municipio],MUNICIPIOS!F:F,0,0,1)</f>
        <v>#VALUE!</v>
      </c>
      <c r="G164" s="44" t="str">
        <f>+LOOKUP(PROYECTOS2[[#This Row],[MUNICIPIO]],Table1[Municipio],Table1[Latitud])</f>
        <v>6,394348</v>
      </c>
      <c r="H164" s="44">
        <f>+LOOKUP(PROYECTOS2[[#This Row],[MUNICIPIO]],Table1[Municipio],Table1[PDET])</f>
        <v>0</v>
      </c>
      <c r="I164" s="44">
        <f>+LOOKUP(PROYECTOS2[[#This Row],[MUNICIPIO]],Table1[Municipio],Table1[ZOMAC])</f>
        <v>1</v>
      </c>
      <c r="J164" s="3" t="str" cm="1">
        <f t="array" ref="J164">_xlfn.TEXTJOIN(", ", TRUE, IF(radicados[ID PROYECTOS]=A164, radicados[RADICADO], ""))</f>
        <v/>
      </c>
      <c r="K164" s="45">
        <v>3</v>
      </c>
      <c r="L164" s="45"/>
      <c r="M164" s="43" t="s">
        <v>179</v>
      </c>
      <c r="N164" s="48">
        <v>2381561537</v>
      </c>
      <c r="O164" s="48"/>
      <c r="P164" s="48"/>
      <c r="Q164" s="148" t="s">
        <v>1067</v>
      </c>
      <c r="R164" s="34" t="s">
        <v>288</v>
      </c>
      <c r="S164" s="40" t="s">
        <v>398</v>
      </c>
      <c r="T164" s="34" t="s">
        <v>25</v>
      </c>
      <c r="U164" s="37"/>
      <c r="V164" s="44">
        <f>+_xlfn.XLOOKUP(PROYECTOS2[[#This Row],[MUNICIPIO]],'4.CAP_ENDMNT'!B:B,'4.CAP_ENDMNT'!C:C,0,0,1)</f>
        <v>6</v>
      </c>
      <c r="W164" s="139">
        <f>+_xlfn.XLOOKUP(PROYECTOS2[[#This Row],[MUNICIPIO]],'4.CAP_ENDMNT'!B:B,'4.CAP_ENDMNT'!D:D,0,0,1)</f>
        <v>15768761995.465</v>
      </c>
      <c r="X164" s="140">
        <f>+_xlfn.XLOOKUP(PROYECTOS2[[#This Row],[MUNICIPIO]],'4.CAP_ENDMNT'!B:B,'4.CAP_ENDMNT'!E:E,0,0,1)</f>
        <v>6120714378.3199997</v>
      </c>
      <c r="Y164" s="140">
        <f>+_xlfn.XLOOKUP(PROYECTOS2[[#This Row],[MUNICIPIO]],'4.CAP_ENDMNT'!B:B,'4.CAP_ENDMNT'!F:F,0,0,1)</f>
        <v>9648047617.1450005</v>
      </c>
      <c r="Z164" s="140">
        <f>+_xlfn.XLOOKUP(PROYECTOS2[[#This Row],[MUNICIPIO]],'4.CAP_ENDMNT'!B:B,'4.CAP_ENDMNT'!G:G,0,0,1)</f>
        <v>0</v>
      </c>
      <c r="AA164" s="140">
        <f>+_xlfn.XLOOKUP(PROYECTOS2[[#This Row],[MUNICIPIO]],'4.CAP_ENDMNT'!B:B,'4.CAP_ENDMNT'!H:H,0,0,1)</f>
        <v>1826140917</v>
      </c>
      <c r="AB164" s="140">
        <f>+_xlfn.XLOOKUP(PROYECTOS2[[#This Row],[MUNICIPIO]],'4.CAP_ENDMNT'!B:B,'4.CAP_ENDMNT'!I:I,0,0,1)</f>
        <v>1826140917</v>
      </c>
      <c r="AC164" s="134">
        <f>+_xlfn.XLOOKUP(PROYECTOS2[[#This Row],[MUNICIPIO]],'4.CAP_ENDMNT'!B:B,'4.CAP_ENDMNT'!J:J,0,0,1)</f>
        <v>0.11580750077432755</v>
      </c>
      <c r="AD164" s="140">
        <f>+_xlfn.XLOOKUP(PROYECTOS2[[#This Row],[MUNICIPIO]],'4.CAP_ENDMNT'!B:B,'4.CAP_ENDMNT'!K:K,0,0,1)</f>
        <v>13942621078.465</v>
      </c>
      <c r="AE164" s="140">
        <f>+_xlfn.XLOOKUP(PROYECTOS2[[#This Row],[MUNICIPIO]],'4.CAP_ENDMNT'!B:B,'4.CAP_ENDMNT'!L:L,0,0,1)</f>
        <v>11154096862.772001</v>
      </c>
      <c r="AF164" s="140">
        <f>+_xlfn.XLOOKUP(PROYECTOS2[[#This Row],[MUNICIPIO]],'4.CAP_ENDMNT'!B:B,'4.CAP_ENDMNT'!M:M,0,0,1)</f>
        <v>8365572647.0789995</v>
      </c>
      <c r="AG164" s="134">
        <f>+_xlfn.XLOOKUP(PROYECTOS2[[#This Row],[MUNICIPIO]],'4.CAP_ENDMNT'!B:B,'4.CAP_ENDMNT'!N:N,0,0,1)</f>
        <v>0</v>
      </c>
      <c r="AH164" s="134">
        <f>+_xlfn.XLOOKUP(PROYECTOS2[[#This Row],[MUNICIPIO]],'4.CAP_ENDMNT'!B:B,'4.CAP_ENDMNT'!O:O,0,0,1)</f>
        <v>0.59742617293949363</v>
      </c>
      <c r="AI164" s="134">
        <f>+_xlfn.XLOOKUP(PROYECTOS2[[#This Row],[MUNICIPIO]],'4.CAP_ENDMNT'!B:B,'4.CAP_ENDMNT'!P:P,0,0,1)</f>
        <v>0.8</v>
      </c>
      <c r="AJ164" s="44" t="str">
        <f>+_xlfn.XLOOKUP(PROYECTOS2[[#This Row],[MUNICIPIO]],'4.CAP_ENDMNT'!B:B,'4.CAP_ENDMNT'!Q:Q,0,0,1)</f>
        <v>Cumple</v>
      </c>
    </row>
    <row r="165" spans="1:36">
      <c r="A165" s="44">
        <v>180</v>
      </c>
      <c r="B165" s="37" t="s">
        <v>445</v>
      </c>
      <c r="C165" s="118">
        <v>45747</v>
      </c>
      <c r="D165" s="46" t="s">
        <v>156</v>
      </c>
      <c r="E165" s="47" t="str">
        <f>+_xlfn.XLOOKUP(PROYECTOS2[[#This Row],[MUNICIPIO]],MUNICIPIOS!A:A,MUNICIPIOS!E:E,0,0,1)</f>
        <v>Suroeste</v>
      </c>
      <c r="F165" s="44" t="e" cm="1">
        <f t="array" ref="F165">+_xlfn.XLOOKUP(PROYECTOS2[[#This Row],[MUNICIPIO]],Table1[Municipio],MUNICIPIOS!F:F,0,0,1)</f>
        <v>#VALUE!</v>
      </c>
      <c r="G165" s="44" t="str">
        <f>+LOOKUP(PROYECTOS2[[#This Row],[MUNICIPIO]],Table1[Municipio],Table1[Latitud])</f>
        <v>6,232461</v>
      </c>
      <c r="H165" s="44">
        <f>+LOOKUP(PROYECTOS2[[#This Row],[MUNICIPIO]],Table1[Municipio],Table1[PDET])</f>
        <v>0</v>
      </c>
      <c r="I165" s="44">
        <f>+LOOKUP(PROYECTOS2[[#This Row],[MUNICIPIO]],Table1[Municipio],Table1[ZOMAC])</f>
        <v>0</v>
      </c>
      <c r="J165" s="3" t="str" cm="1">
        <f t="array" ref="J165">_xlfn.TEXTJOIN(", ", TRUE, IF(radicados[ID PROYECTOS]=A165, radicados[RADICADO], ""))</f>
        <v/>
      </c>
      <c r="K165" s="45">
        <v>3</v>
      </c>
      <c r="L165" s="45"/>
      <c r="M165" s="43" t="s">
        <v>179</v>
      </c>
      <c r="N165" s="48">
        <v>758742624</v>
      </c>
      <c r="O165" s="48"/>
      <c r="P165" s="48"/>
      <c r="Q165" s="148" t="s">
        <v>1067</v>
      </c>
      <c r="R165" s="34" t="s">
        <v>288</v>
      </c>
      <c r="S165" s="40" t="s">
        <v>398</v>
      </c>
      <c r="T165" s="34" t="s">
        <v>25</v>
      </c>
      <c r="U165" s="37"/>
      <c r="V165" s="44">
        <f>+_xlfn.XLOOKUP(PROYECTOS2[[#This Row],[MUNICIPIO]],'4.CAP_ENDMNT'!B:B,'4.CAP_ENDMNT'!C:C,0,0,1)</f>
        <v>6</v>
      </c>
      <c r="W165" s="139">
        <f>+_xlfn.XLOOKUP(PROYECTOS2[[#This Row],[MUNICIPIO]],'4.CAP_ENDMNT'!B:B,'4.CAP_ENDMNT'!D:D,0,0,1)</f>
        <v>14419744847.987999</v>
      </c>
      <c r="X165" s="140">
        <f>+_xlfn.XLOOKUP(PROYECTOS2[[#This Row],[MUNICIPIO]],'4.CAP_ENDMNT'!B:B,'4.CAP_ENDMNT'!E:E,0,0,1)</f>
        <v>4888479181.79</v>
      </c>
      <c r="Y165" s="140">
        <f>+_xlfn.XLOOKUP(PROYECTOS2[[#This Row],[MUNICIPIO]],'4.CAP_ENDMNT'!B:B,'4.CAP_ENDMNT'!F:F,0,0,1)</f>
        <v>9531265666.197998</v>
      </c>
      <c r="Z165" s="140">
        <f>+_xlfn.XLOOKUP(PROYECTOS2[[#This Row],[MUNICIPIO]],'4.CAP_ENDMNT'!B:B,'4.CAP_ENDMNT'!G:G,0,0,1)</f>
        <v>0</v>
      </c>
      <c r="AA165" s="140">
        <f>+_xlfn.XLOOKUP(PROYECTOS2[[#This Row],[MUNICIPIO]],'4.CAP_ENDMNT'!B:B,'4.CAP_ENDMNT'!H:H,0,0,1)</f>
        <v>0</v>
      </c>
      <c r="AB165" s="140">
        <f>+_xlfn.XLOOKUP(PROYECTOS2[[#This Row],[MUNICIPIO]],'4.CAP_ENDMNT'!B:B,'4.CAP_ENDMNT'!I:I,0,0,1)</f>
        <v>0</v>
      </c>
      <c r="AC165" s="134">
        <f>+_xlfn.XLOOKUP(PROYECTOS2[[#This Row],[MUNICIPIO]],'4.CAP_ENDMNT'!B:B,'4.CAP_ENDMNT'!J:J,0,0,1)</f>
        <v>0</v>
      </c>
      <c r="AD165" s="140">
        <f>+_xlfn.XLOOKUP(PROYECTOS2[[#This Row],[MUNICIPIO]],'4.CAP_ENDMNT'!B:B,'4.CAP_ENDMNT'!K:K,0,0,1)</f>
        <v>14419744847.987999</v>
      </c>
      <c r="AE165" s="140">
        <f>+_xlfn.XLOOKUP(PROYECTOS2[[#This Row],[MUNICIPIO]],'4.CAP_ENDMNT'!B:B,'4.CAP_ENDMNT'!L:L,0,0,1)</f>
        <v>11535795878.3904</v>
      </c>
      <c r="AF165" s="140">
        <f>+_xlfn.XLOOKUP(PROYECTOS2[[#This Row],[MUNICIPIO]],'4.CAP_ENDMNT'!B:B,'4.CAP_ENDMNT'!M:M,0,0,1)</f>
        <v>8651846908.792799</v>
      </c>
      <c r="AG165" s="134">
        <f>+_xlfn.XLOOKUP(PROYECTOS2[[#This Row],[MUNICIPIO]],'4.CAP_ENDMNT'!B:B,'4.CAP_ENDMNT'!N:N,0,0,1)</f>
        <v>0</v>
      </c>
      <c r="AH165" s="134">
        <f>+_xlfn.XLOOKUP(PROYECTOS2[[#This Row],[MUNICIPIO]],'4.CAP_ENDMNT'!B:B,'4.CAP_ENDMNT'!O:O,0,0,1)</f>
        <v>0.45738888558733654</v>
      </c>
      <c r="AI165" s="134">
        <f>+_xlfn.XLOOKUP(PROYECTOS2[[#This Row],[MUNICIPIO]],'4.CAP_ENDMNT'!B:B,'4.CAP_ENDMNT'!P:P,0,0,1)</f>
        <v>0.8</v>
      </c>
      <c r="AJ165" s="44" t="str">
        <f>+_xlfn.XLOOKUP(PROYECTOS2[[#This Row],[MUNICIPIO]],'4.CAP_ENDMNT'!B:B,'4.CAP_ENDMNT'!Q:Q,0,0,1)</f>
        <v>Cumple</v>
      </c>
    </row>
    <row r="166" spans="1:36">
      <c r="A166" s="44">
        <v>181</v>
      </c>
      <c r="B166" s="37" t="s">
        <v>446</v>
      </c>
      <c r="C166" s="118">
        <v>45747</v>
      </c>
      <c r="D166" s="46" t="s">
        <v>323</v>
      </c>
      <c r="E166" s="47" t="str">
        <f>+_xlfn.XLOOKUP(PROYECTOS2[[#This Row],[MUNICIPIO]],MUNICIPIOS!A:A,MUNICIPIOS!E:E,0,0,1)</f>
        <v>Oriente</v>
      </c>
      <c r="F166" s="44" t="e" cm="1">
        <f t="array" ref="F166">+_xlfn.XLOOKUP(PROYECTOS2[[#This Row],[MUNICIPIO]],Table1[Municipio],MUNICIPIOS!F:F,0,0,1)</f>
        <v>#VALUE!</v>
      </c>
      <c r="G166" s="44" t="str">
        <f>+LOOKUP(PROYECTOS2[[#This Row],[MUNICIPIO]],Table1[Municipio],Table1[Latitud])</f>
        <v>6,062454</v>
      </c>
      <c r="H166" s="44">
        <f>+LOOKUP(PROYECTOS2[[#This Row],[MUNICIPIO]],Table1[Municipio],Table1[PDET])</f>
        <v>0</v>
      </c>
      <c r="I166" s="44">
        <f>+LOOKUP(PROYECTOS2[[#This Row],[MUNICIPIO]],Table1[Municipio],Table1[ZOMAC])</f>
        <v>0</v>
      </c>
      <c r="J166" s="3" t="str" cm="1">
        <f t="array" ref="J166">_xlfn.TEXTJOIN(", ", TRUE, IF(radicados[ID PROYECTOS]=A166, radicados[RADICADO], ""))</f>
        <v/>
      </c>
      <c r="K166" s="45">
        <v>3</v>
      </c>
      <c r="L166" s="45"/>
      <c r="M166" s="43" t="s">
        <v>179</v>
      </c>
      <c r="N166" s="48">
        <v>5513756546</v>
      </c>
      <c r="O166" s="48"/>
      <c r="P166" s="48"/>
      <c r="Q166" s="148" t="s">
        <v>1067</v>
      </c>
      <c r="R166" s="34" t="s">
        <v>288</v>
      </c>
      <c r="S166" s="40" t="s">
        <v>398</v>
      </c>
      <c r="T166" s="34" t="s">
        <v>25</v>
      </c>
      <c r="U166" s="37"/>
      <c r="V166" s="44">
        <f>+_xlfn.XLOOKUP(PROYECTOS2[[#This Row],[MUNICIPIO]],'4.CAP_ENDMNT'!B:B,'4.CAP_ENDMNT'!C:C,0,0,1)</f>
        <v>3</v>
      </c>
      <c r="W166" s="139">
        <f>+_xlfn.XLOOKUP(PROYECTOS2[[#This Row],[MUNICIPIO]],'4.CAP_ENDMNT'!B:B,'4.CAP_ENDMNT'!D:D,0,0,1)</f>
        <v>69187005609.695007</v>
      </c>
      <c r="X166" s="140">
        <f>+_xlfn.XLOOKUP(PROYECTOS2[[#This Row],[MUNICIPIO]],'4.CAP_ENDMNT'!B:B,'4.CAP_ENDMNT'!E:E,0,0,1)</f>
        <v>24929217109.209999</v>
      </c>
      <c r="Y166" s="140">
        <f>+_xlfn.XLOOKUP(PROYECTOS2[[#This Row],[MUNICIPIO]],'4.CAP_ENDMNT'!B:B,'4.CAP_ENDMNT'!F:F,0,0,1)</f>
        <v>44257788500.485008</v>
      </c>
      <c r="Z166" s="140">
        <f>+_xlfn.XLOOKUP(PROYECTOS2[[#This Row],[MUNICIPIO]],'4.CAP_ENDMNT'!B:B,'4.CAP_ENDMNT'!G:G,0,0,1)</f>
        <v>0</v>
      </c>
      <c r="AA166" s="140">
        <f>+_xlfn.XLOOKUP(PROYECTOS2[[#This Row],[MUNICIPIO]],'4.CAP_ENDMNT'!B:B,'4.CAP_ENDMNT'!H:H,0,0,1)</f>
        <v>0</v>
      </c>
      <c r="AB166" s="140">
        <f>+_xlfn.XLOOKUP(PROYECTOS2[[#This Row],[MUNICIPIO]],'4.CAP_ENDMNT'!B:B,'4.CAP_ENDMNT'!I:I,0,0,1)</f>
        <v>0</v>
      </c>
      <c r="AC166" s="134">
        <f>+_xlfn.XLOOKUP(PROYECTOS2[[#This Row],[MUNICIPIO]],'4.CAP_ENDMNT'!B:B,'4.CAP_ENDMNT'!J:J,0,0,1)</f>
        <v>0</v>
      </c>
      <c r="AD166" s="140">
        <f>+_xlfn.XLOOKUP(PROYECTOS2[[#This Row],[MUNICIPIO]],'4.CAP_ENDMNT'!B:B,'4.CAP_ENDMNT'!K:K,0,0,1)</f>
        <v>69187005609.695007</v>
      </c>
      <c r="AE166" s="140">
        <f>+_xlfn.XLOOKUP(PROYECTOS2[[#This Row],[MUNICIPIO]],'4.CAP_ENDMNT'!B:B,'4.CAP_ENDMNT'!L:L,0,0,1)</f>
        <v>55349604487.756012</v>
      </c>
      <c r="AF166" s="140">
        <f>+_xlfn.XLOOKUP(PROYECTOS2[[#This Row],[MUNICIPIO]],'4.CAP_ENDMNT'!B:B,'4.CAP_ENDMNT'!M:M,0,0,1)</f>
        <v>41512203365.817001</v>
      </c>
      <c r="AG166" s="134">
        <f>+_xlfn.XLOOKUP(PROYECTOS2[[#This Row],[MUNICIPIO]],'4.CAP_ENDMNT'!B:B,'4.CAP_ENDMNT'!N:N,0,0,1)</f>
        <v>0</v>
      </c>
      <c r="AH166" s="134">
        <f>+_xlfn.XLOOKUP(PROYECTOS2[[#This Row],[MUNICIPIO]],'4.CAP_ENDMNT'!B:B,'4.CAP_ENDMNT'!O:O,0,0,1)</f>
        <v>0.36680132048521774</v>
      </c>
      <c r="AI166" s="134">
        <f>+_xlfn.XLOOKUP(PROYECTOS2[[#This Row],[MUNICIPIO]],'4.CAP_ENDMNT'!B:B,'4.CAP_ENDMNT'!P:P,0,0,1)</f>
        <v>0.7</v>
      </c>
      <c r="AJ166" s="44" t="str">
        <f>+_xlfn.XLOOKUP(PROYECTOS2[[#This Row],[MUNICIPIO]],'4.CAP_ENDMNT'!B:B,'4.CAP_ENDMNT'!Q:Q,0,0,1)</f>
        <v>Cumple</v>
      </c>
    </row>
    <row r="167" spans="1:36">
      <c r="A167" s="44">
        <v>182</v>
      </c>
      <c r="B167" s="37" t="s">
        <v>447</v>
      </c>
      <c r="C167" s="118">
        <v>45747</v>
      </c>
      <c r="D167" s="46" t="s">
        <v>448</v>
      </c>
      <c r="E167" s="47" t="str">
        <f>+_xlfn.XLOOKUP(PROYECTOS2[[#This Row],[MUNICIPIO]],MUNICIPIOS!A:A,MUNICIPIOS!E:E,0,0,1)</f>
        <v>Occidente</v>
      </c>
      <c r="F167" s="44" t="e" cm="1">
        <f t="array" ref="F167">+_xlfn.XLOOKUP(PROYECTOS2[[#This Row],[MUNICIPIO]],Table1[Municipio],MUNICIPIOS!F:F,0,0,1)</f>
        <v>#VALUE!</v>
      </c>
      <c r="G167" s="44" t="str">
        <f>+LOOKUP(PROYECTOS2[[#This Row],[MUNICIPIO]],Table1[Municipio],Table1[Latitud])</f>
        <v>7,074703</v>
      </c>
      <c r="H167" s="44">
        <f>+LOOKUP(PROYECTOS2[[#This Row],[MUNICIPIO]],Table1[Municipio],Table1[PDET])</f>
        <v>1</v>
      </c>
      <c r="I167" s="44">
        <f>+LOOKUP(PROYECTOS2[[#This Row],[MUNICIPIO]],Table1[Municipio],Table1[ZOMAC])</f>
        <v>1</v>
      </c>
      <c r="J167" s="3" t="str" cm="1">
        <f t="array" ref="J167">_xlfn.TEXTJOIN(", ", TRUE, IF(radicados[ID PROYECTOS]=A167, radicados[RADICADO], ""))</f>
        <v/>
      </c>
      <c r="K167" s="45">
        <v>3</v>
      </c>
      <c r="L167" s="45"/>
      <c r="M167" s="43" t="s">
        <v>179</v>
      </c>
      <c r="N167" s="48">
        <v>6507553565</v>
      </c>
      <c r="O167" s="48"/>
      <c r="P167" s="48"/>
      <c r="Q167" s="148" t="s">
        <v>1067</v>
      </c>
      <c r="R167" s="34" t="s">
        <v>288</v>
      </c>
      <c r="S167" s="40" t="s">
        <v>398</v>
      </c>
      <c r="T167" s="34" t="s">
        <v>25</v>
      </c>
      <c r="U167" s="37"/>
      <c r="V167" s="44">
        <f>+_xlfn.XLOOKUP(PROYECTOS2[[#This Row],[MUNICIPIO]],'4.CAP_ENDMNT'!B:B,'4.CAP_ENDMNT'!C:C,0,0,1)</f>
        <v>6</v>
      </c>
      <c r="W167" s="139">
        <f>+_xlfn.XLOOKUP(PROYECTOS2[[#This Row],[MUNICIPIO]],'4.CAP_ENDMNT'!B:B,'4.CAP_ENDMNT'!D:D,0,0,1)</f>
        <v>8536446221.1044998</v>
      </c>
      <c r="X167" s="140">
        <f>+_xlfn.XLOOKUP(PROYECTOS2[[#This Row],[MUNICIPIO]],'4.CAP_ENDMNT'!B:B,'4.CAP_ENDMNT'!E:E,0,0,1)</f>
        <v>2840287960.8099999</v>
      </c>
      <c r="Y167" s="140">
        <f>+_xlfn.XLOOKUP(PROYECTOS2[[#This Row],[MUNICIPIO]],'4.CAP_ENDMNT'!B:B,'4.CAP_ENDMNT'!F:F,0,0,1)</f>
        <v>5696158260.2945004</v>
      </c>
      <c r="Z167" s="140">
        <f>+_xlfn.XLOOKUP(PROYECTOS2[[#This Row],[MUNICIPIO]],'4.CAP_ENDMNT'!B:B,'4.CAP_ENDMNT'!G:G,0,0,1)</f>
        <v>1059912604</v>
      </c>
      <c r="AA167" s="140">
        <f>+_xlfn.XLOOKUP(PROYECTOS2[[#This Row],[MUNICIPIO]],'4.CAP_ENDMNT'!B:B,'4.CAP_ENDMNT'!H:H,0,0,1)</f>
        <v>559890374</v>
      </c>
      <c r="AB167" s="140">
        <f>+_xlfn.XLOOKUP(PROYECTOS2[[#This Row],[MUNICIPIO]],'4.CAP_ENDMNT'!B:B,'4.CAP_ENDMNT'!I:I,0,0,1)</f>
        <v>1619802978</v>
      </c>
      <c r="AC167" s="134">
        <f>+_xlfn.XLOOKUP(PROYECTOS2[[#This Row],[MUNICIPIO]],'4.CAP_ENDMNT'!B:B,'4.CAP_ENDMNT'!J:J,0,0,1)</f>
        <v>0.18975144176453554</v>
      </c>
      <c r="AD167" s="140">
        <f>+_xlfn.XLOOKUP(PROYECTOS2[[#This Row],[MUNICIPIO]],'4.CAP_ENDMNT'!B:B,'4.CAP_ENDMNT'!K:K,0,0,1)</f>
        <v>6916643243.1044998</v>
      </c>
      <c r="AE167" s="140">
        <f>+_xlfn.XLOOKUP(PROYECTOS2[[#This Row],[MUNICIPIO]],'4.CAP_ENDMNT'!B:B,'4.CAP_ENDMNT'!L:L,0,0,1)</f>
        <v>5533314594.4836006</v>
      </c>
      <c r="AF167" s="140">
        <f>+_xlfn.XLOOKUP(PROYECTOS2[[#This Row],[MUNICIPIO]],'4.CAP_ENDMNT'!B:B,'4.CAP_ENDMNT'!M:M,0,0,1)</f>
        <v>4149985945.8626995</v>
      </c>
      <c r="AG167" s="134">
        <f>+_xlfn.XLOOKUP(PROYECTOS2[[#This Row],[MUNICIPIO]],'4.CAP_ENDMNT'!B:B,'4.CAP_ENDMNT'!N:N,0,0,1)</f>
        <v>0.65434662017271583</v>
      </c>
      <c r="AH167" s="134">
        <f>+_xlfn.XLOOKUP(PROYECTOS2[[#This Row],[MUNICIPIO]],'4.CAP_ENDMNT'!B:B,'4.CAP_ENDMNT'!O:O,0,0,1)</f>
        <v>0.62730744736284794</v>
      </c>
      <c r="AI167" s="134">
        <f>+_xlfn.XLOOKUP(PROYECTOS2[[#This Row],[MUNICIPIO]],'4.CAP_ENDMNT'!B:B,'4.CAP_ENDMNT'!P:P,0,0,1)</f>
        <v>0.8</v>
      </c>
      <c r="AJ167" s="44" t="str">
        <f>+_xlfn.XLOOKUP(PROYECTOS2[[#This Row],[MUNICIPIO]],'4.CAP_ENDMNT'!B:B,'4.CAP_ENDMNT'!Q:Q,0,0,1)</f>
        <v>Cumple</v>
      </c>
    </row>
    <row r="168" spans="1:36">
      <c r="A168" s="44">
        <v>183</v>
      </c>
      <c r="B168" s="37" t="s">
        <v>449</v>
      </c>
      <c r="C168" s="118">
        <v>45747</v>
      </c>
      <c r="D168" s="46" t="s">
        <v>166</v>
      </c>
      <c r="E168" s="47" t="str">
        <f>+_xlfn.XLOOKUP(PROYECTOS2[[#This Row],[MUNICIPIO]],MUNICIPIOS!A:A,MUNICIPIOS!E:E,0,0,1)</f>
        <v>Occidente</v>
      </c>
      <c r="F168" s="44" t="e" cm="1">
        <f t="array" ref="F168">+_xlfn.XLOOKUP(PROYECTOS2[[#This Row],[MUNICIPIO]],Table1[Municipio],MUNICIPIOS!F:F,0,0,1)</f>
        <v>#VALUE!</v>
      </c>
      <c r="G168" s="44" t="str">
        <f>+LOOKUP(PROYECTOS2[[#This Row],[MUNICIPIO]],Table1[Municipio],Table1[Latitud])</f>
        <v>6,149903</v>
      </c>
      <c r="H168" s="44">
        <f>+LOOKUP(PROYECTOS2[[#This Row],[MUNICIPIO]],Table1[Municipio],Table1[PDET])</f>
        <v>0</v>
      </c>
      <c r="I168" s="44">
        <f>+LOOKUP(PROYECTOS2[[#This Row],[MUNICIPIO]],Table1[Municipio],Table1[ZOMAC])</f>
        <v>0</v>
      </c>
      <c r="J168" s="3" t="str" cm="1">
        <f t="array" ref="J168">_xlfn.TEXTJOIN(", ", TRUE, IF(radicados[ID PROYECTOS]=A168, radicados[RADICADO], ""))</f>
        <v>2024010402813</v>
      </c>
      <c r="K168" s="45">
        <v>3</v>
      </c>
      <c r="L168" s="45"/>
      <c r="M168" s="43" t="s">
        <v>179</v>
      </c>
      <c r="N168" s="48">
        <v>12369426728</v>
      </c>
      <c r="O168" s="48"/>
      <c r="P168" s="48"/>
      <c r="Q168" s="148" t="s">
        <v>1067</v>
      </c>
      <c r="R168" s="34" t="s">
        <v>288</v>
      </c>
      <c r="S168" s="40" t="s">
        <v>398</v>
      </c>
      <c r="T168" s="34" t="s">
        <v>25</v>
      </c>
      <c r="U168" s="37"/>
      <c r="V168" s="44">
        <f>+_xlfn.XLOOKUP(PROYECTOS2[[#This Row],[MUNICIPIO]],'4.CAP_ENDMNT'!B:B,'4.CAP_ENDMNT'!C:C,0,0,1)</f>
        <v>5</v>
      </c>
      <c r="W168" s="139">
        <f>+_xlfn.XLOOKUP(PROYECTOS2[[#This Row],[MUNICIPIO]],'4.CAP_ENDMNT'!B:B,'4.CAP_ENDMNT'!D:D,0,0,1)</f>
        <v>40656193467.687004</v>
      </c>
      <c r="X168" s="140">
        <f>+_xlfn.XLOOKUP(PROYECTOS2[[#This Row],[MUNICIPIO]],'4.CAP_ENDMNT'!B:B,'4.CAP_ENDMNT'!E:E,0,0,1)</f>
        <v>18778286398.540001</v>
      </c>
      <c r="Y168" s="140">
        <f>+_xlfn.XLOOKUP(PROYECTOS2[[#This Row],[MUNICIPIO]],'4.CAP_ENDMNT'!B:B,'4.CAP_ENDMNT'!F:F,0,0,1)</f>
        <v>21877907069.147003</v>
      </c>
      <c r="Z168" s="140">
        <f>+_xlfn.XLOOKUP(PROYECTOS2[[#This Row],[MUNICIPIO]],'4.CAP_ENDMNT'!B:B,'4.CAP_ENDMNT'!G:G,0,0,1)</f>
        <v>5492975516</v>
      </c>
      <c r="AA168" s="140">
        <f>+_xlfn.XLOOKUP(PROYECTOS2[[#This Row],[MUNICIPIO]],'4.CAP_ENDMNT'!B:B,'4.CAP_ENDMNT'!H:H,0,0,1)</f>
        <v>2014055909</v>
      </c>
      <c r="AB168" s="140">
        <f>+_xlfn.XLOOKUP(PROYECTOS2[[#This Row],[MUNICIPIO]],'4.CAP_ENDMNT'!B:B,'4.CAP_ENDMNT'!I:I,0,0,1)</f>
        <v>7507031425</v>
      </c>
      <c r="AC168" s="134">
        <f>+_xlfn.XLOOKUP(PROYECTOS2[[#This Row],[MUNICIPIO]],'4.CAP_ENDMNT'!B:B,'4.CAP_ENDMNT'!J:J,0,0,1)</f>
        <v>0.18464668688096655</v>
      </c>
      <c r="AD168" s="140">
        <f>+_xlfn.XLOOKUP(PROYECTOS2[[#This Row],[MUNICIPIO]],'4.CAP_ENDMNT'!B:B,'4.CAP_ENDMNT'!K:K,0,0,1)</f>
        <v>33149162042.687004</v>
      </c>
      <c r="AE168" s="140">
        <f>+_xlfn.XLOOKUP(PROYECTOS2[[#This Row],[MUNICIPIO]],'4.CAP_ENDMNT'!B:B,'4.CAP_ENDMNT'!L:L,0,0,1)</f>
        <v>26519329634.149605</v>
      </c>
      <c r="AF168" s="140">
        <f>+_xlfn.XLOOKUP(PROYECTOS2[[#This Row],[MUNICIPIO]],'4.CAP_ENDMNT'!B:B,'4.CAP_ENDMNT'!M:M,0,0,1)</f>
        <v>19889497225.612202</v>
      </c>
      <c r="AG168" s="134">
        <f>+_xlfn.XLOOKUP(PROYECTOS2[[#This Row],[MUNICIPIO]],'4.CAP_ENDMNT'!B:B,'4.CAP_ENDMNT'!N:N,0,0,1)</f>
        <v>0.73171073957506449</v>
      </c>
      <c r="AH168" s="134">
        <f>+_xlfn.XLOOKUP(PROYECTOS2[[#This Row],[MUNICIPIO]],'4.CAP_ENDMNT'!B:B,'4.CAP_ENDMNT'!O:O,0,0,1)</f>
        <v>0.53391906125286837</v>
      </c>
      <c r="AI168" s="134">
        <f>+_xlfn.XLOOKUP(PROYECTOS2[[#This Row],[MUNICIPIO]],'4.CAP_ENDMNT'!B:B,'4.CAP_ENDMNT'!P:P,0,0,1)</f>
        <v>0.8</v>
      </c>
      <c r="AJ168" s="44" t="str">
        <f>+_xlfn.XLOOKUP(PROYECTOS2[[#This Row],[MUNICIPIO]],'4.CAP_ENDMNT'!B:B,'4.CAP_ENDMNT'!Q:Q,0,0,1)</f>
        <v>Cumple</v>
      </c>
    </row>
    <row r="169" spans="1:36">
      <c r="A169" s="44">
        <v>184</v>
      </c>
      <c r="B169" s="37" t="s">
        <v>450</v>
      </c>
      <c r="C169" s="118">
        <v>45747</v>
      </c>
      <c r="D169" s="46" t="s">
        <v>166</v>
      </c>
      <c r="E169" s="47" t="str">
        <f>+_xlfn.XLOOKUP(PROYECTOS2[[#This Row],[MUNICIPIO]],MUNICIPIOS!A:A,MUNICIPIOS!E:E,0,0,1)</f>
        <v>Occidente</v>
      </c>
      <c r="F169" s="44" t="e" cm="1">
        <f t="array" ref="F169">+_xlfn.XLOOKUP(PROYECTOS2[[#This Row],[MUNICIPIO]],Table1[Municipio],MUNICIPIOS!F:F,0,0,1)</f>
        <v>#VALUE!</v>
      </c>
      <c r="G169" s="44" t="str">
        <f>+LOOKUP(PROYECTOS2[[#This Row],[MUNICIPIO]],Table1[Municipio],Table1[Latitud])</f>
        <v>6,149903</v>
      </c>
      <c r="H169" s="44">
        <f>+LOOKUP(PROYECTOS2[[#This Row],[MUNICIPIO]],Table1[Municipio],Table1[PDET])</f>
        <v>0</v>
      </c>
      <c r="I169" s="44">
        <f>+LOOKUP(PROYECTOS2[[#This Row],[MUNICIPIO]],Table1[Municipio],Table1[ZOMAC])</f>
        <v>0</v>
      </c>
      <c r="J169" s="3" t="str" cm="1">
        <f t="array" ref="J169">_xlfn.TEXTJOIN(", ", TRUE, IF(radicados[ID PROYECTOS]=A169, radicados[RADICADO], ""))</f>
        <v>2025010316151</v>
      </c>
      <c r="K169" s="45">
        <v>3</v>
      </c>
      <c r="L169" s="45"/>
      <c r="M169" s="43" t="s">
        <v>179</v>
      </c>
      <c r="N169" s="48">
        <v>11434345738</v>
      </c>
      <c r="O169" s="48"/>
      <c r="P169" s="48"/>
      <c r="Q169" s="148" t="s">
        <v>1067</v>
      </c>
      <c r="R169" s="34" t="s">
        <v>288</v>
      </c>
      <c r="S169" s="40" t="s">
        <v>398</v>
      </c>
      <c r="T169" s="34" t="s">
        <v>25</v>
      </c>
      <c r="U169" s="37"/>
      <c r="V169" s="44">
        <f>+_xlfn.XLOOKUP(PROYECTOS2[[#This Row],[MUNICIPIO]],'4.CAP_ENDMNT'!B:B,'4.CAP_ENDMNT'!C:C,0,0,1)</f>
        <v>5</v>
      </c>
      <c r="W169" s="139">
        <f>+_xlfn.XLOOKUP(PROYECTOS2[[#This Row],[MUNICIPIO]],'4.CAP_ENDMNT'!B:B,'4.CAP_ENDMNT'!D:D,0,0,1)</f>
        <v>40656193467.687004</v>
      </c>
      <c r="X169" s="140">
        <f>+_xlfn.XLOOKUP(PROYECTOS2[[#This Row],[MUNICIPIO]],'4.CAP_ENDMNT'!B:B,'4.CAP_ENDMNT'!E:E,0,0,1)</f>
        <v>18778286398.540001</v>
      </c>
      <c r="Y169" s="140">
        <f>+_xlfn.XLOOKUP(PROYECTOS2[[#This Row],[MUNICIPIO]],'4.CAP_ENDMNT'!B:B,'4.CAP_ENDMNT'!F:F,0,0,1)</f>
        <v>21877907069.147003</v>
      </c>
      <c r="Z169" s="140">
        <f>+_xlfn.XLOOKUP(PROYECTOS2[[#This Row],[MUNICIPIO]],'4.CAP_ENDMNT'!B:B,'4.CAP_ENDMNT'!G:G,0,0,1)</f>
        <v>5492975516</v>
      </c>
      <c r="AA169" s="140">
        <f>+_xlfn.XLOOKUP(PROYECTOS2[[#This Row],[MUNICIPIO]],'4.CAP_ENDMNT'!B:B,'4.CAP_ENDMNT'!H:H,0,0,1)</f>
        <v>2014055909</v>
      </c>
      <c r="AB169" s="140">
        <f>+_xlfn.XLOOKUP(PROYECTOS2[[#This Row],[MUNICIPIO]],'4.CAP_ENDMNT'!B:B,'4.CAP_ENDMNT'!I:I,0,0,1)</f>
        <v>7507031425</v>
      </c>
      <c r="AC169" s="134">
        <f>+_xlfn.XLOOKUP(PROYECTOS2[[#This Row],[MUNICIPIO]],'4.CAP_ENDMNT'!B:B,'4.CAP_ENDMNT'!J:J,0,0,1)</f>
        <v>0.18464668688096655</v>
      </c>
      <c r="AD169" s="140">
        <f>+_xlfn.XLOOKUP(PROYECTOS2[[#This Row],[MUNICIPIO]],'4.CAP_ENDMNT'!B:B,'4.CAP_ENDMNT'!K:K,0,0,1)</f>
        <v>33149162042.687004</v>
      </c>
      <c r="AE169" s="140">
        <f>+_xlfn.XLOOKUP(PROYECTOS2[[#This Row],[MUNICIPIO]],'4.CAP_ENDMNT'!B:B,'4.CAP_ENDMNT'!L:L,0,0,1)</f>
        <v>26519329634.149605</v>
      </c>
      <c r="AF169" s="140">
        <f>+_xlfn.XLOOKUP(PROYECTOS2[[#This Row],[MUNICIPIO]],'4.CAP_ENDMNT'!B:B,'4.CAP_ENDMNT'!M:M,0,0,1)</f>
        <v>19889497225.612202</v>
      </c>
      <c r="AG169" s="134">
        <f>+_xlfn.XLOOKUP(PROYECTOS2[[#This Row],[MUNICIPIO]],'4.CAP_ENDMNT'!B:B,'4.CAP_ENDMNT'!N:N,0,0,1)</f>
        <v>0.73171073957506449</v>
      </c>
      <c r="AH169" s="134">
        <f>+_xlfn.XLOOKUP(PROYECTOS2[[#This Row],[MUNICIPIO]],'4.CAP_ENDMNT'!B:B,'4.CAP_ENDMNT'!O:O,0,0,1)</f>
        <v>0.53391906125286837</v>
      </c>
      <c r="AI169" s="134">
        <f>+_xlfn.XLOOKUP(PROYECTOS2[[#This Row],[MUNICIPIO]],'4.CAP_ENDMNT'!B:B,'4.CAP_ENDMNT'!P:P,0,0,1)</f>
        <v>0.8</v>
      </c>
      <c r="AJ169" s="44" t="str">
        <f>+_xlfn.XLOOKUP(PROYECTOS2[[#This Row],[MUNICIPIO]],'4.CAP_ENDMNT'!B:B,'4.CAP_ENDMNT'!Q:Q,0,0,1)</f>
        <v>Cumple</v>
      </c>
    </row>
    <row r="170" spans="1:36">
      <c r="A170" s="44">
        <v>185</v>
      </c>
      <c r="B170" s="37" t="s">
        <v>451</v>
      </c>
      <c r="C170" s="118">
        <v>45747</v>
      </c>
      <c r="D170" s="46" t="s">
        <v>452</v>
      </c>
      <c r="E170" s="47" t="str">
        <f>+_xlfn.XLOOKUP(PROYECTOS2[[#This Row],[MUNICIPIO]],MUNICIPIOS!A:A,MUNICIPIOS!E:E,0,0,1)</f>
        <v>Occidente</v>
      </c>
      <c r="F170" s="44" t="e" cm="1">
        <f t="array" ref="F170">+_xlfn.XLOOKUP(PROYECTOS2[[#This Row],[MUNICIPIO]],Table1[Municipio],MUNICIPIOS!F:F,0,0,1)</f>
        <v>#VALUE!</v>
      </c>
      <c r="G170" s="44" t="str">
        <f>+LOOKUP(PROYECTOS2[[#This Row],[MUNICIPIO]],Table1[Municipio],Table1[Latitud])</f>
        <v>6,246631</v>
      </c>
      <c r="H170" s="44">
        <f>+LOOKUP(PROYECTOS2[[#This Row],[MUNICIPIO]],Table1[Municipio],Table1[PDET])</f>
        <v>0</v>
      </c>
      <c r="I170" s="44">
        <f>+LOOKUP(PROYECTOS2[[#This Row],[MUNICIPIO]],Table1[Municipio],Table1[ZOMAC])</f>
        <v>0</v>
      </c>
      <c r="J170" s="3" t="str" cm="1">
        <f t="array" ref="J170">_xlfn.TEXTJOIN(", ", TRUE, IF(radicados[ID PROYECTOS]=A170, radicados[RADICADO], ""))</f>
        <v>2025010343303</v>
      </c>
      <c r="K170" s="45">
        <v>3</v>
      </c>
      <c r="L170" s="45"/>
      <c r="M170" s="43" t="s">
        <v>179</v>
      </c>
      <c r="N170" s="48">
        <v>5520217450</v>
      </c>
      <c r="O170" s="48"/>
      <c r="P170" s="48"/>
      <c r="Q170" s="148" t="s">
        <v>1067</v>
      </c>
      <c r="R170" s="34" t="s">
        <v>288</v>
      </c>
      <c r="S170" s="40" t="s">
        <v>398</v>
      </c>
      <c r="T170" s="34" t="s">
        <v>25</v>
      </c>
      <c r="U170" s="37"/>
      <c r="V170" s="44">
        <f>+_xlfn.XLOOKUP(PROYECTOS2[[#This Row],[MUNICIPIO]],'4.CAP_ENDMNT'!B:B,'4.CAP_ENDMNT'!C:C,0,0,1)</f>
        <v>6</v>
      </c>
      <c r="W170" s="139">
        <f>+_xlfn.XLOOKUP(PROYECTOS2[[#This Row],[MUNICIPIO]],'4.CAP_ENDMNT'!B:B,'4.CAP_ENDMNT'!D:D,0,0,1)</f>
        <v>13002660545.618999</v>
      </c>
      <c r="X170" s="140">
        <f>+_xlfn.XLOOKUP(PROYECTOS2[[#This Row],[MUNICIPIO]],'4.CAP_ENDMNT'!B:B,'4.CAP_ENDMNT'!E:E,0,0,1)</f>
        <v>2851909764.96</v>
      </c>
      <c r="Y170" s="140">
        <f>+_xlfn.XLOOKUP(PROYECTOS2[[#This Row],[MUNICIPIO]],'4.CAP_ENDMNT'!B:B,'4.CAP_ENDMNT'!F:F,0,0,1)</f>
        <v>10150750780.659</v>
      </c>
      <c r="Z170" s="140">
        <f>+_xlfn.XLOOKUP(PROYECTOS2[[#This Row],[MUNICIPIO]],'4.CAP_ENDMNT'!B:B,'4.CAP_ENDMNT'!G:G,0,0,1)</f>
        <v>3580400217</v>
      </c>
      <c r="AA170" s="140">
        <f>+_xlfn.XLOOKUP(PROYECTOS2[[#This Row],[MUNICIPIO]],'4.CAP_ENDMNT'!B:B,'4.CAP_ENDMNT'!H:H,0,0,1)</f>
        <v>0</v>
      </c>
      <c r="AB170" s="140">
        <f>+_xlfn.XLOOKUP(PROYECTOS2[[#This Row],[MUNICIPIO]],'4.CAP_ENDMNT'!B:B,'4.CAP_ENDMNT'!I:I,0,0,1)</f>
        <v>3580400217</v>
      </c>
      <c r="AC170" s="134">
        <f>+_xlfn.XLOOKUP(PROYECTOS2[[#This Row],[MUNICIPIO]],'4.CAP_ENDMNT'!B:B,'4.CAP_ENDMNT'!J:J,0,0,1)</f>
        <v>0.27535904705336234</v>
      </c>
      <c r="AD170" s="140">
        <f>+_xlfn.XLOOKUP(PROYECTOS2[[#This Row],[MUNICIPIO]],'4.CAP_ENDMNT'!B:B,'4.CAP_ENDMNT'!K:K,0,0,1)</f>
        <v>9422260328.6189995</v>
      </c>
      <c r="AE170" s="140">
        <f>+_xlfn.XLOOKUP(PROYECTOS2[[#This Row],[MUNICIPIO]],'4.CAP_ENDMNT'!B:B,'4.CAP_ENDMNT'!L:L,0,0,1)</f>
        <v>7537808262.8951998</v>
      </c>
      <c r="AF170" s="140">
        <f>+_xlfn.XLOOKUP(PROYECTOS2[[#This Row],[MUNICIPIO]],'4.CAP_ENDMNT'!B:B,'4.CAP_ENDMNT'!M:M,0,0,1)</f>
        <v>5653356197.1713991</v>
      </c>
      <c r="AG170" s="134">
        <f>+_xlfn.XLOOKUP(PROYECTOS2[[#This Row],[MUNICIPIO]],'4.CAP_ENDMNT'!B:B,'4.CAP_ENDMNT'!N:N,0,0,1)</f>
        <v>1</v>
      </c>
      <c r="AH170" s="134">
        <f>+_xlfn.XLOOKUP(PROYECTOS2[[#This Row],[MUNICIPIO]],'4.CAP_ENDMNT'!B:B,'4.CAP_ENDMNT'!O:O,0,0,1)</f>
        <v>0.60546314083774588</v>
      </c>
      <c r="AI170" s="134">
        <f>+_xlfn.XLOOKUP(PROYECTOS2[[#This Row],[MUNICIPIO]],'4.CAP_ENDMNT'!B:B,'4.CAP_ENDMNT'!P:P,0,0,1)</f>
        <v>0.8</v>
      </c>
      <c r="AJ170" s="44" t="str">
        <f>+_xlfn.XLOOKUP(PROYECTOS2[[#This Row],[MUNICIPIO]],'4.CAP_ENDMNT'!B:B,'4.CAP_ENDMNT'!Q:Q,0,0,1)</f>
        <v>Cumple</v>
      </c>
    </row>
    <row r="171" spans="1:36">
      <c r="A171" s="44">
        <v>186</v>
      </c>
      <c r="B171" s="37" t="s">
        <v>453</v>
      </c>
      <c r="C171" s="118">
        <v>45747</v>
      </c>
      <c r="D171" s="46" t="s">
        <v>341</v>
      </c>
      <c r="E171" s="47" t="str">
        <f>+_xlfn.XLOOKUP(PROYECTOS2[[#This Row],[MUNICIPIO]],MUNICIPIOS!A:A,MUNICIPIOS!E:E,0,0,1)</f>
        <v>Norte</v>
      </c>
      <c r="F171" s="44" t="e" cm="1">
        <f t="array" ref="F171">+_xlfn.XLOOKUP(PROYECTOS2[[#This Row],[MUNICIPIO]],Table1[Municipio],MUNICIPIOS!F:F,0,0,1)</f>
        <v>#VALUE!</v>
      </c>
      <c r="G171" s="44" t="str">
        <f>+LOOKUP(PROYECTOS2[[#This Row],[MUNICIPIO]],Table1[Municipio],Table1[Latitud])</f>
        <v>7,074703</v>
      </c>
      <c r="H171" s="44">
        <f>+LOOKUP(PROYECTOS2[[#This Row],[MUNICIPIO]],Table1[Municipio],Table1[PDET])</f>
        <v>1</v>
      </c>
      <c r="I171" s="44">
        <f>+LOOKUP(PROYECTOS2[[#This Row],[MUNICIPIO]],Table1[Municipio],Table1[ZOMAC])</f>
        <v>1</v>
      </c>
      <c r="J171" s="3" t="str" cm="1">
        <f t="array" ref="J171">_xlfn.TEXTJOIN(", ", TRUE, IF(radicados[ID PROYECTOS]=A171, radicados[RADICADO], ""))</f>
        <v/>
      </c>
      <c r="K171" s="45">
        <v>3</v>
      </c>
      <c r="L171" s="45"/>
      <c r="M171" s="43" t="s">
        <v>179</v>
      </c>
      <c r="N171" s="48">
        <v>2041038177</v>
      </c>
      <c r="O171" s="48"/>
      <c r="P171" s="48"/>
      <c r="Q171" s="148" t="s">
        <v>1067</v>
      </c>
      <c r="R171" s="34" t="s">
        <v>288</v>
      </c>
      <c r="S171" s="40" t="s">
        <v>398</v>
      </c>
      <c r="T171" s="34" t="s">
        <v>25</v>
      </c>
      <c r="U171" s="37"/>
      <c r="V171" s="44">
        <f>+_xlfn.XLOOKUP(PROYECTOS2[[#This Row],[MUNICIPIO]],'4.CAP_ENDMNT'!B:B,'4.CAP_ENDMNT'!C:C,0,0,1)</f>
        <v>6</v>
      </c>
      <c r="W171" s="139">
        <f>+_xlfn.XLOOKUP(PROYECTOS2[[#This Row],[MUNICIPIO]],'4.CAP_ENDMNT'!B:B,'4.CAP_ENDMNT'!D:D,0,0,1)</f>
        <v>10160021082.964001</v>
      </c>
      <c r="X171" s="140">
        <f>+_xlfn.XLOOKUP(PROYECTOS2[[#This Row],[MUNICIPIO]],'4.CAP_ENDMNT'!B:B,'4.CAP_ENDMNT'!E:E,0,0,1)</f>
        <v>3265249234.6399999</v>
      </c>
      <c r="Y171" s="140">
        <f>+_xlfn.XLOOKUP(PROYECTOS2[[#This Row],[MUNICIPIO]],'4.CAP_ENDMNT'!B:B,'4.CAP_ENDMNT'!F:F,0,0,1)</f>
        <v>6894771848.3240013</v>
      </c>
      <c r="Z171" s="140">
        <f>+_xlfn.XLOOKUP(PROYECTOS2[[#This Row],[MUNICIPIO]],'4.CAP_ENDMNT'!B:B,'4.CAP_ENDMNT'!G:G,0,0,1)</f>
        <v>3316718973.96</v>
      </c>
      <c r="AA171" s="140">
        <f>+_xlfn.XLOOKUP(PROYECTOS2[[#This Row],[MUNICIPIO]],'4.CAP_ENDMNT'!B:B,'4.CAP_ENDMNT'!H:H,0,0,1)</f>
        <v>0</v>
      </c>
      <c r="AB171" s="140">
        <f>+_xlfn.XLOOKUP(PROYECTOS2[[#This Row],[MUNICIPIO]],'4.CAP_ENDMNT'!B:B,'4.CAP_ENDMNT'!I:I,0,0,1)</f>
        <v>3316718973.96</v>
      </c>
      <c r="AC171" s="134">
        <f>+_xlfn.XLOOKUP(PROYECTOS2[[#This Row],[MUNICIPIO]],'4.CAP_ENDMNT'!B:B,'4.CAP_ENDMNT'!J:J,0,0,1)</f>
        <v>0.32644804049879078</v>
      </c>
      <c r="AD171" s="140">
        <f>+_xlfn.XLOOKUP(PROYECTOS2[[#This Row],[MUNICIPIO]],'4.CAP_ENDMNT'!B:B,'4.CAP_ENDMNT'!K:K,0,0,1)</f>
        <v>6843302109.0040007</v>
      </c>
      <c r="AE171" s="140">
        <f>+_xlfn.XLOOKUP(PROYECTOS2[[#This Row],[MUNICIPIO]],'4.CAP_ENDMNT'!B:B,'4.CAP_ENDMNT'!L:L,0,0,1)</f>
        <v>5474641687.2032013</v>
      </c>
      <c r="AF171" s="140">
        <f>+_xlfn.XLOOKUP(PROYECTOS2[[#This Row],[MUNICIPIO]],'4.CAP_ENDMNT'!B:B,'4.CAP_ENDMNT'!M:M,0,0,1)</f>
        <v>4105981265.4024</v>
      </c>
      <c r="AG171" s="134">
        <f>+_xlfn.XLOOKUP(PROYECTOS2[[#This Row],[MUNICIPIO]],'4.CAP_ENDMNT'!B:B,'4.CAP_ENDMNT'!N:N,0,0,1)</f>
        <v>1</v>
      </c>
      <c r="AH171" s="134">
        <f>+_xlfn.XLOOKUP(PROYECTOS2[[#This Row],[MUNICIPIO]],'4.CAP_ENDMNT'!B:B,'4.CAP_ENDMNT'!O:O,0,0,1)</f>
        <v>0.59534208417675272</v>
      </c>
      <c r="AI171" s="134">
        <f>+_xlfn.XLOOKUP(PROYECTOS2[[#This Row],[MUNICIPIO]],'4.CAP_ENDMNT'!B:B,'4.CAP_ENDMNT'!P:P,0,0,1)</f>
        <v>0.8</v>
      </c>
      <c r="AJ171" s="44" t="str">
        <f>+_xlfn.XLOOKUP(PROYECTOS2[[#This Row],[MUNICIPIO]],'4.CAP_ENDMNT'!B:B,'4.CAP_ENDMNT'!Q:Q,0,0,1)</f>
        <v>Cumple</v>
      </c>
    </row>
    <row r="172" spans="1:36">
      <c r="A172" s="44">
        <v>187</v>
      </c>
      <c r="B172" s="37" t="s">
        <v>454</v>
      </c>
      <c r="C172" s="118">
        <v>45747</v>
      </c>
      <c r="D172" s="46" t="s">
        <v>341</v>
      </c>
      <c r="E172" s="47" t="str">
        <f>+_xlfn.XLOOKUP(PROYECTOS2[[#This Row],[MUNICIPIO]],MUNICIPIOS!A:A,MUNICIPIOS!E:E,0,0,1)</f>
        <v>Norte</v>
      </c>
      <c r="F172" s="44" t="e" cm="1">
        <f t="array" ref="F172">+_xlfn.XLOOKUP(PROYECTOS2[[#This Row],[MUNICIPIO]],Table1[Municipio],MUNICIPIOS!F:F,0,0,1)</f>
        <v>#VALUE!</v>
      </c>
      <c r="G172" s="44" t="str">
        <f>+LOOKUP(PROYECTOS2[[#This Row],[MUNICIPIO]],Table1[Municipio],Table1[Latitud])</f>
        <v>7,074703</v>
      </c>
      <c r="H172" s="44">
        <f>+LOOKUP(PROYECTOS2[[#This Row],[MUNICIPIO]],Table1[Municipio],Table1[PDET])</f>
        <v>1</v>
      </c>
      <c r="I172" s="44">
        <f>+LOOKUP(PROYECTOS2[[#This Row],[MUNICIPIO]],Table1[Municipio],Table1[ZOMAC])</f>
        <v>1</v>
      </c>
      <c r="J172" s="3" t="str" cm="1">
        <f t="array" ref="J172">_xlfn.TEXTJOIN(", ", TRUE, IF(radicados[ID PROYECTOS]=A172, radicados[RADICADO], ""))</f>
        <v/>
      </c>
      <c r="K172" s="45">
        <v>3</v>
      </c>
      <c r="L172" s="45"/>
      <c r="M172" s="43" t="s">
        <v>179</v>
      </c>
      <c r="N172" s="48">
        <v>981613173</v>
      </c>
      <c r="O172" s="48"/>
      <c r="P172" s="48"/>
      <c r="Q172" s="148" t="s">
        <v>1067</v>
      </c>
      <c r="R172" s="34" t="s">
        <v>288</v>
      </c>
      <c r="S172" s="40" t="s">
        <v>398</v>
      </c>
      <c r="T172" s="34" t="s">
        <v>25</v>
      </c>
      <c r="U172" s="37"/>
      <c r="V172" s="44">
        <f>+_xlfn.XLOOKUP(PROYECTOS2[[#This Row],[MUNICIPIO]],'4.CAP_ENDMNT'!B:B,'4.CAP_ENDMNT'!C:C,0,0,1)</f>
        <v>6</v>
      </c>
      <c r="W172" s="139">
        <f>+_xlfn.XLOOKUP(PROYECTOS2[[#This Row],[MUNICIPIO]],'4.CAP_ENDMNT'!B:B,'4.CAP_ENDMNT'!D:D,0,0,1)</f>
        <v>10160021082.964001</v>
      </c>
      <c r="X172" s="140">
        <f>+_xlfn.XLOOKUP(PROYECTOS2[[#This Row],[MUNICIPIO]],'4.CAP_ENDMNT'!B:B,'4.CAP_ENDMNT'!E:E,0,0,1)</f>
        <v>3265249234.6399999</v>
      </c>
      <c r="Y172" s="140">
        <f>+_xlfn.XLOOKUP(PROYECTOS2[[#This Row],[MUNICIPIO]],'4.CAP_ENDMNT'!B:B,'4.CAP_ENDMNT'!F:F,0,0,1)</f>
        <v>6894771848.3240013</v>
      </c>
      <c r="Z172" s="140">
        <f>+_xlfn.XLOOKUP(PROYECTOS2[[#This Row],[MUNICIPIO]],'4.CAP_ENDMNT'!B:B,'4.CAP_ENDMNT'!G:G,0,0,1)</f>
        <v>3316718973.96</v>
      </c>
      <c r="AA172" s="140">
        <f>+_xlfn.XLOOKUP(PROYECTOS2[[#This Row],[MUNICIPIO]],'4.CAP_ENDMNT'!B:B,'4.CAP_ENDMNT'!H:H,0,0,1)</f>
        <v>0</v>
      </c>
      <c r="AB172" s="140">
        <f>+_xlfn.XLOOKUP(PROYECTOS2[[#This Row],[MUNICIPIO]],'4.CAP_ENDMNT'!B:B,'4.CAP_ENDMNT'!I:I,0,0,1)</f>
        <v>3316718973.96</v>
      </c>
      <c r="AC172" s="134">
        <f>+_xlfn.XLOOKUP(PROYECTOS2[[#This Row],[MUNICIPIO]],'4.CAP_ENDMNT'!B:B,'4.CAP_ENDMNT'!J:J,0,0,1)</f>
        <v>0.32644804049879078</v>
      </c>
      <c r="AD172" s="140">
        <f>+_xlfn.XLOOKUP(PROYECTOS2[[#This Row],[MUNICIPIO]],'4.CAP_ENDMNT'!B:B,'4.CAP_ENDMNT'!K:K,0,0,1)</f>
        <v>6843302109.0040007</v>
      </c>
      <c r="AE172" s="140">
        <f>+_xlfn.XLOOKUP(PROYECTOS2[[#This Row],[MUNICIPIO]],'4.CAP_ENDMNT'!B:B,'4.CAP_ENDMNT'!L:L,0,0,1)</f>
        <v>5474641687.2032013</v>
      </c>
      <c r="AF172" s="140">
        <f>+_xlfn.XLOOKUP(PROYECTOS2[[#This Row],[MUNICIPIO]],'4.CAP_ENDMNT'!B:B,'4.CAP_ENDMNT'!M:M,0,0,1)</f>
        <v>4105981265.4024</v>
      </c>
      <c r="AG172" s="134">
        <f>+_xlfn.XLOOKUP(PROYECTOS2[[#This Row],[MUNICIPIO]],'4.CAP_ENDMNT'!B:B,'4.CAP_ENDMNT'!N:N,0,0,1)</f>
        <v>1</v>
      </c>
      <c r="AH172" s="134">
        <f>+_xlfn.XLOOKUP(PROYECTOS2[[#This Row],[MUNICIPIO]],'4.CAP_ENDMNT'!B:B,'4.CAP_ENDMNT'!O:O,0,0,1)</f>
        <v>0.59534208417675272</v>
      </c>
      <c r="AI172" s="134">
        <f>+_xlfn.XLOOKUP(PROYECTOS2[[#This Row],[MUNICIPIO]],'4.CAP_ENDMNT'!B:B,'4.CAP_ENDMNT'!P:P,0,0,1)</f>
        <v>0.8</v>
      </c>
      <c r="AJ172" s="44" t="str">
        <f>+_xlfn.XLOOKUP(PROYECTOS2[[#This Row],[MUNICIPIO]],'4.CAP_ENDMNT'!B:B,'4.CAP_ENDMNT'!Q:Q,0,0,1)</f>
        <v>Cumple</v>
      </c>
    </row>
    <row r="173" spans="1:36">
      <c r="A173" s="44">
        <v>188</v>
      </c>
      <c r="B173" s="37" t="s">
        <v>455</v>
      </c>
      <c r="C173" s="118">
        <v>45747</v>
      </c>
      <c r="D173" s="46" t="s">
        <v>341</v>
      </c>
      <c r="E173" s="47" t="str">
        <f>+_xlfn.XLOOKUP(PROYECTOS2[[#This Row],[MUNICIPIO]],MUNICIPIOS!A:A,MUNICIPIOS!E:E,0,0,1)</f>
        <v>Norte</v>
      </c>
      <c r="F173" s="44" t="e" cm="1">
        <f t="array" ref="F173">+_xlfn.XLOOKUP(PROYECTOS2[[#This Row],[MUNICIPIO]],Table1[Municipio],MUNICIPIOS!F:F,0,0,1)</f>
        <v>#VALUE!</v>
      </c>
      <c r="G173" s="44" t="str">
        <f>+LOOKUP(PROYECTOS2[[#This Row],[MUNICIPIO]],Table1[Municipio],Table1[Latitud])</f>
        <v>7,074703</v>
      </c>
      <c r="H173" s="44">
        <f>+LOOKUP(PROYECTOS2[[#This Row],[MUNICIPIO]],Table1[Municipio],Table1[PDET])</f>
        <v>1</v>
      </c>
      <c r="I173" s="44">
        <f>+LOOKUP(PROYECTOS2[[#This Row],[MUNICIPIO]],Table1[Municipio],Table1[ZOMAC])</f>
        <v>1</v>
      </c>
      <c r="J173" s="3" t="str" cm="1">
        <f t="array" ref="J173">_xlfn.TEXTJOIN(", ", TRUE, IF(radicados[ID PROYECTOS]=A173, radicados[RADICADO], ""))</f>
        <v/>
      </c>
      <c r="K173" s="45">
        <v>3</v>
      </c>
      <c r="L173" s="45"/>
      <c r="M173" s="43" t="s">
        <v>179</v>
      </c>
      <c r="N173" s="48">
        <v>1500000000</v>
      </c>
      <c r="O173" s="48"/>
      <c r="P173" s="48"/>
      <c r="Q173" s="148" t="s">
        <v>1067</v>
      </c>
      <c r="R173" s="34" t="s">
        <v>288</v>
      </c>
      <c r="S173" s="40" t="s">
        <v>398</v>
      </c>
      <c r="T173" s="34" t="s">
        <v>25</v>
      </c>
      <c r="U173" s="37"/>
      <c r="V173" s="44">
        <f>+_xlfn.XLOOKUP(PROYECTOS2[[#This Row],[MUNICIPIO]],'4.CAP_ENDMNT'!B:B,'4.CAP_ENDMNT'!C:C,0,0,1)</f>
        <v>6</v>
      </c>
      <c r="W173" s="139">
        <f>+_xlfn.XLOOKUP(PROYECTOS2[[#This Row],[MUNICIPIO]],'4.CAP_ENDMNT'!B:B,'4.CAP_ENDMNT'!D:D,0,0,1)</f>
        <v>10160021082.964001</v>
      </c>
      <c r="X173" s="140">
        <f>+_xlfn.XLOOKUP(PROYECTOS2[[#This Row],[MUNICIPIO]],'4.CAP_ENDMNT'!B:B,'4.CAP_ENDMNT'!E:E,0,0,1)</f>
        <v>3265249234.6399999</v>
      </c>
      <c r="Y173" s="140">
        <f>+_xlfn.XLOOKUP(PROYECTOS2[[#This Row],[MUNICIPIO]],'4.CAP_ENDMNT'!B:B,'4.CAP_ENDMNT'!F:F,0,0,1)</f>
        <v>6894771848.3240013</v>
      </c>
      <c r="Z173" s="140">
        <f>+_xlfn.XLOOKUP(PROYECTOS2[[#This Row],[MUNICIPIO]],'4.CAP_ENDMNT'!B:B,'4.CAP_ENDMNT'!G:G,0,0,1)</f>
        <v>3316718973.96</v>
      </c>
      <c r="AA173" s="140">
        <f>+_xlfn.XLOOKUP(PROYECTOS2[[#This Row],[MUNICIPIO]],'4.CAP_ENDMNT'!B:B,'4.CAP_ENDMNT'!H:H,0,0,1)</f>
        <v>0</v>
      </c>
      <c r="AB173" s="140">
        <f>+_xlfn.XLOOKUP(PROYECTOS2[[#This Row],[MUNICIPIO]],'4.CAP_ENDMNT'!B:B,'4.CAP_ENDMNT'!I:I,0,0,1)</f>
        <v>3316718973.96</v>
      </c>
      <c r="AC173" s="134">
        <f>+_xlfn.XLOOKUP(PROYECTOS2[[#This Row],[MUNICIPIO]],'4.CAP_ENDMNT'!B:B,'4.CAP_ENDMNT'!J:J,0,0,1)</f>
        <v>0.32644804049879078</v>
      </c>
      <c r="AD173" s="140">
        <f>+_xlfn.XLOOKUP(PROYECTOS2[[#This Row],[MUNICIPIO]],'4.CAP_ENDMNT'!B:B,'4.CAP_ENDMNT'!K:K,0,0,1)</f>
        <v>6843302109.0040007</v>
      </c>
      <c r="AE173" s="140">
        <f>+_xlfn.XLOOKUP(PROYECTOS2[[#This Row],[MUNICIPIO]],'4.CAP_ENDMNT'!B:B,'4.CAP_ENDMNT'!L:L,0,0,1)</f>
        <v>5474641687.2032013</v>
      </c>
      <c r="AF173" s="140">
        <f>+_xlfn.XLOOKUP(PROYECTOS2[[#This Row],[MUNICIPIO]],'4.CAP_ENDMNT'!B:B,'4.CAP_ENDMNT'!M:M,0,0,1)</f>
        <v>4105981265.4024</v>
      </c>
      <c r="AG173" s="134">
        <f>+_xlfn.XLOOKUP(PROYECTOS2[[#This Row],[MUNICIPIO]],'4.CAP_ENDMNT'!B:B,'4.CAP_ENDMNT'!N:N,0,0,1)</f>
        <v>1</v>
      </c>
      <c r="AH173" s="134">
        <f>+_xlfn.XLOOKUP(PROYECTOS2[[#This Row],[MUNICIPIO]],'4.CAP_ENDMNT'!B:B,'4.CAP_ENDMNT'!O:O,0,0,1)</f>
        <v>0.59534208417675272</v>
      </c>
      <c r="AI173" s="134">
        <f>+_xlfn.XLOOKUP(PROYECTOS2[[#This Row],[MUNICIPIO]],'4.CAP_ENDMNT'!B:B,'4.CAP_ENDMNT'!P:P,0,0,1)</f>
        <v>0.8</v>
      </c>
      <c r="AJ173" s="44" t="str">
        <f>+_xlfn.XLOOKUP(PROYECTOS2[[#This Row],[MUNICIPIO]],'4.CAP_ENDMNT'!B:B,'4.CAP_ENDMNT'!Q:Q,0,0,1)</f>
        <v>Cumple</v>
      </c>
    </row>
    <row r="174" spans="1:36">
      <c r="A174" s="44">
        <v>189</v>
      </c>
      <c r="B174" s="37" t="s">
        <v>456</v>
      </c>
      <c r="C174" s="118">
        <v>45747</v>
      </c>
      <c r="D174" s="46" t="s">
        <v>134</v>
      </c>
      <c r="E174" s="47" t="str">
        <f>+_xlfn.XLOOKUP(PROYECTOS2[[#This Row],[MUNICIPIO]],MUNICIPIOS!A:A,MUNICIPIOS!E:E,0,0,1)</f>
        <v>Magdalena Medio</v>
      </c>
      <c r="F174" s="44" t="e" cm="1">
        <f t="array" ref="F174">+_xlfn.XLOOKUP(PROYECTOS2[[#This Row],[MUNICIPIO]],Table1[Municipio],MUNICIPIOS!F:F,0,0,1)</f>
        <v>#VALUE!</v>
      </c>
      <c r="G174" s="44" t="str">
        <f>+LOOKUP(PROYECTOS2[[#This Row],[MUNICIPIO]],Table1[Municipio],Table1[Latitud])</f>
        <v>6,246631</v>
      </c>
      <c r="H174" s="44">
        <f>+LOOKUP(PROYECTOS2[[#This Row],[MUNICIPIO]],Table1[Municipio],Table1[PDET])</f>
        <v>0</v>
      </c>
      <c r="I174" s="44">
        <f>+LOOKUP(PROYECTOS2[[#This Row],[MUNICIPIO]],Table1[Municipio],Table1[ZOMAC])</f>
        <v>0</v>
      </c>
      <c r="J174" s="3" t="str" cm="1">
        <f t="array" ref="J174">_xlfn.TEXTJOIN(", ", TRUE, IF(radicados[ID PROYECTOS]=A174, radicados[RADICADO], ""))</f>
        <v/>
      </c>
      <c r="K174" s="45"/>
      <c r="L174" s="45"/>
      <c r="M174" s="43" t="s">
        <v>179</v>
      </c>
      <c r="N174" s="48">
        <v>2399050983</v>
      </c>
      <c r="O174" s="48"/>
      <c r="P174" s="48"/>
      <c r="Q174" s="148" t="s">
        <v>1067</v>
      </c>
      <c r="R174" s="34" t="s">
        <v>402</v>
      </c>
      <c r="S174" s="40"/>
      <c r="T174" s="40" t="s">
        <v>29</v>
      </c>
      <c r="U174" s="37"/>
      <c r="V174" s="44">
        <f>+_xlfn.XLOOKUP(PROYECTOS2[[#This Row],[MUNICIPIO]],'4.CAP_ENDMNT'!B:B,'4.CAP_ENDMNT'!C:C,0,0,1)</f>
        <v>6</v>
      </c>
      <c r="W174" s="139">
        <f>+_xlfn.XLOOKUP(PROYECTOS2[[#This Row],[MUNICIPIO]],'4.CAP_ENDMNT'!B:B,'4.CAP_ENDMNT'!D:D,0,0,1)</f>
        <v>17406090503.82</v>
      </c>
      <c r="X174" s="140">
        <f>+_xlfn.XLOOKUP(PROYECTOS2[[#This Row],[MUNICIPIO]],'4.CAP_ENDMNT'!B:B,'4.CAP_ENDMNT'!E:E,0,0,1)</f>
        <v>8490973725.3299999</v>
      </c>
      <c r="Y174" s="140">
        <f>+_xlfn.XLOOKUP(PROYECTOS2[[#This Row],[MUNICIPIO]],'4.CAP_ENDMNT'!B:B,'4.CAP_ENDMNT'!F:F,0,0,1)</f>
        <v>8915116778.4899998</v>
      </c>
      <c r="Z174" s="140">
        <f>+_xlfn.XLOOKUP(PROYECTOS2[[#This Row],[MUNICIPIO]],'4.CAP_ENDMNT'!B:B,'4.CAP_ENDMNT'!G:G,0,0,1)</f>
        <v>6695063584</v>
      </c>
      <c r="AA174" s="140">
        <f>+_xlfn.XLOOKUP(PROYECTOS2[[#This Row],[MUNICIPIO]],'4.CAP_ENDMNT'!B:B,'4.CAP_ENDMNT'!H:H,0,0,1)</f>
        <v>0</v>
      </c>
      <c r="AB174" s="140">
        <f>+_xlfn.XLOOKUP(PROYECTOS2[[#This Row],[MUNICIPIO]],'4.CAP_ENDMNT'!B:B,'4.CAP_ENDMNT'!I:I,0,0,1)</f>
        <v>6695063584</v>
      </c>
      <c r="AC174" s="134">
        <f>+_xlfn.XLOOKUP(PROYECTOS2[[#This Row],[MUNICIPIO]],'4.CAP_ENDMNT'!B:B,'4.CAP_ENDMNT'!J:J,0,0,1)</f>
        <v>0.38463913436108349</v>
      </c>
      <c r="AD174" s="140">
        <f>+_xlfn.XLOOKUP(PROYECTOS2[[#This Row],[MUNICIPIO]],'4.CAP_ENDMNT'!B:B,'4.CAP_ENDMNT'!K:K,0,0,1)</f>
        <v>10711026919.82</v>
      </c>
      <c r="AE174" s="140">
        <f>+_xlfn.XLOOKUP(PROYECTOS2[[#This Row],[MUNICIPIO]],'4.CAP_ENDMNT'!B:B,'4.CAP_ENDMNT'!L:L,0,0,1)</f>
        <v>8568821535.8559999</v>
      </c>
      <c r="AF174" s="140">
        <f>+_xlfn.XLOOKUP(PROYECTOS2[[#This Row],[MUNICIPIO]],'4.CAP_ENDMNT'!B:B,'4.CAP_ENDMNT'!M:M,0,0,1)</f>
        <v>6426616151.8919992</v>
      </c>
      <c r="AG174" s="134">
        <f>+_xlfn.XLOOKUP(PROYECTOS2[[#This Row],[MUNICIPIO]],'4.CAP_ENDMNT'!B:B,'4.CAP_ENDMNT'!N:N,0,0,1)</f>
        <v>1</v>
      </c>
      <c r="AH174" s="134">
        <f>+_xlfn.XLOOKUP(PROYECTOS2[[#This Row],[MUNICIPIO]],'4.CAP_ENDMNT'!B:B,'4.CAP_ENDMNT'!O:O,0,0,1)</f>
        <v>0.75913384232200265</v>
      </c>
      <c r="AI174" s="134">
        <f>+_xlfn.XLOOKUP(PROYECTOS2[[#This Row],[MUNICIPIO]],'4.CAP_ENDMNT'!B:B,'4.CAP_ENDMNT'!P:P,0,0,1)</f>
        <v>0.8</v>
      </c>
      <c r="AJ174" s="44" t="str">
        <f>+_xlfn.XLOOKUP(PROYECTOS2[[#This Row],[MUNICIPIO]],'4.CAP_ENDMNT'!B:B,'4.CAP_ENDMNT'!Q:Q,0,0,1)</f>
        <v>Riesgo</v>
      </c>
    </row>
    <row r="175" spans="1:36">
      <c r="A175" s="44">
        <v>192</v>
      </c>
      <c r="B175" s="37" t="s">
        <v>457</v>
      </c>
      <c r="C175" s="118">
        <v>45747</v>
      </c>
      <c r="D175" s="46" t="s">
        <v>146</v>
      </c>
      <c r="E175" s="47" t="str">
        <f>+_xlfn.XLOOKUP(PROYECTOS2[[#This Row],[MUNICIPIO]],MUNICIPIOS!A:A,MUNICIPIOS!E:E,0,0,1)</f>
        <v>Suroeste</v>
      </c>
      <c r="F175" s="44" t="e" cm="1">
        <f t="array" ref="F175">+_xlfn.XLOOKUP(PROYECTOS2[[#This Row],[MUNICIPIO]],Table1[Municipio],MUNICIPIOS!F:F,0,0,1)</f>
        <v>#VALUE!</v>
      </c>
      <c r="G175" s="44" t="str">
        <f>+LOOKUP(PROYECTOS2[[#This Row],[MUNICIPIO]],Table1[Municipio],Table1[Latitud])</f>
        <v>6,149903</v>
      </c>
      <c r="H175" s="44">
        <f>+LOOKUP(PROYECTOS2[[#This Row],[MUNICIPIO]],Table1[Municipio],Table1[PDET])</f>
        <v>0</v>
      </c>
      <c r="I175" s="44">
        <f>+LOOKUP(PROYECTOS2[[#This Row],[MUNICIPIO]],Table1[Municipio],Table1[ZOMAC])</f>
        <v>0</v>
      </c>
      <c r="J175" s="3" t="str" cm="1">
        <f t="array" ref="J175">_xlfn.TEXTJOIN(", ", TRUE, IF(radicados[ID PROYECTOS]=A175, radicados[RADICADO], ""))</f>
        <v/>
      </c>
      <c r="K175" s="45">
        <v>3</v>
      </c>
      <c r="L175" s="45">
        <v>1</v>
      </c>
      <c r="M175" s="43" t="s">
        <v>179</v>
      </c>
      <c r="N175" s="48">
        <v>7674272152</v>
      </c>
      <c r="O175" s="48"/>
      <c r="P175" s="48"/>
      <c r="Q175" s="148" t="s">
        <v>1067</v>
      </c>
      <c r="R175" s="34" t="s">
        <v>288</v>
      </c>
      <c r="S175" s="40" t="s">
        <v>398</v>
      </c>
      <c r="T175" s="34" t="s">
        <v>25</v>
      </c>
      <c r="U175" s="37"/>
      <c r="V175" s="44">
        <f>+_xlfn.XLOOKUP(PROYECTOS2[[#This Row],[MUNICIPIO]],'4.CAP_ENDMNT'!B:B,'4.CAP_ENDMNT'!C:C,0,0,1)</f>
        <v>6</v>
      </c>
      <c r="W175" s="139">
        <f>+_xlfn.XLOOKUP(PROYECTOS2[[#This Row],[MUNICIPIO]],'4.CAP_ENDMNT'!B:B,'4.CAP_ENDMNT'!D:D,0,0,1)</f>
        <v>11592686445.107998</v>
      </c>
      <c r="X175" s="140">
        <f>+_xlfn.XLOOKUP(PROYECTOS2[[#This Row],[MUNICIPIO]],'4.CAP_ENDMNT'!B:B,'4.CAP_ENDMNT'!E:E,0,0,1)</f>
        <v>5670743725.9899998</v>
      </c>
      <c r="Y175" s="140">
        <f>+_xlfn.XLOOKUP(PROYECTOS2[[#This Row],[MUNICIPIO]],'4.CAP_ENDMNT'!B:B,'4.CAP_ENDMNT'!F:F,0,0,1)</f>
        <v>5921942719.1179981</v>
      </c>
      <c r="Z175" s="140">
        <f>+_xlfn.XLOOKUP(PROYECTOS2[[#This Row],[MUNICIPIO]],'4.CAP_ENDMNT'!B:B,'4.CAP_ENDMNT'!G:G,0,0,1)</f>
        <v>1149558272.3800001</v>
      </c>
      <c r="AA175" s="140">
        <f>+_xlfn.XLOOKUP(PROYECTOS2[[#This Row],[MUNICIPIO]],'4.CAP_ENDMNT'!B:B,'4.CAP_ENDMNT'!H:H,0,0,1)</f>
        <v>1133660976</v>
      </c>
      <c r="AB175" s="140">
        <f>+_xlfn.XLOOKUP(PROYECTOS2[[#This Row],[MUNICIPIO]],'4.CAP_ENDMNT'!B:B,'4.CAP_ENDMNT'!I:I,0,0,1)</f>
        <v>2283219248.3800001</v>
      </c>
      <c r="AC175" s="134">
        <f>+_xlfn.XLOOKUP(PROYECTOS2[[#This Row],[MUNICIPIO]],'4.CAP_ENDMNT'!B:B,'4.CAP_ENDMNT'!J:J,0,0,1)</f>
        <v>0.19695342052001213</v>
      </c>
      <c r="AD175" s="140">
        <f>+_xlfn.XLOOKUP(PROYECTOS2[[#This Row],[MUNICIPIO]],'4.CAP_ENDMNT'!B:B,'4.CAP_ENDMNT'!K:K,0,0,1)</f>
        <v>9309467196.7279968</v>
      </c>
      <c r="AE175" s="140">
        <f>+_xlfn.XLOOKUP(PROYECTOS2[[#This Row],[MUNICIPIO]],'4.CAP_ENDMNT'!B:B,'4.CAP_ENDMNT'!L:L,0,0,1)</f>
        <v>7447573757.3823977</v>
      </c>
      <c r="AF175" s="140">
        <f>+_xlfn.XLOOKUP(PROYECTOS2[[#This Row],[MUNICIPIO]],'4.CAP_ENDMNT'!B:B,'4.CAP_ENDMNT'!M:M,0,0,1)</f>
        <v>5585680318.0367975</v>
      </c>
      <c r="AG175" s="134">
        <f>+_xlfn.XLOOKUP(PROYECTOS2[[#This Row],[MUNICIPIO]],'4.CAP_ENDMNT'!B:B,'4.CAP_ENDMNT'!N:N,0,0,1)</f>
        <v>0.50348133373334159</v>
      </c>
      <c r="AH175" s="134">
        <f>+_xlfn.XLOOKUP(PROYECTOS2[[#This Row],[MUNICIPIO]],'4.CAP_ENDMNT'!B:B,'4.CAP_ENDMNT'!O:O,0,0,1)</f>
        <v>0.69203788539600963</v>
      </c>
      <c r="AI175" s="134">
        <f>+_xlfn.XLOOKUP(PROYECTOS2[[#This Row],[MUNICIPIO]],'4.CAP_ENDMNT'!B:B,'4.CAP_ENDMNT'!P:P,0,0,1)</f>
        <v>0.8</v>
      </c>
      <c r="AJ175" s="44" t="str">
        <f>+_xlfn.XLOOKUP(PROYECTOS2[[#This Row],[MUNICIPIO]],'4.CAP_ENDMNT'!B:B,'4.CAP_ENDMNT'!Q:Q,0,0,1)</f>
        <v>Cumple</v>
      </c>
    </row>
    <row r="176" spans="1:36">
      <c r="A176" s="44">
        <v>193</v>
      </c>
      <c r="B176" s="37" t="s">
        <v>458</v>
      </c>
      <c r="C176" s="118">
        <v>45747</v>
      </c>
      <c r="D176" s="46" t="s">
        <v>113</v>
      </c>
      <c r="E176" s="47" t="str">
        <f>+_xlfn.XLOOKUP(PROYECTOS2[[#This Row],[MUNICIPIO]],MUNICIPIOS!A:A,MUNICIPIOS!E:E,0,0,1)</f>
        <v>Oriente</v>
      </c>
      <c r="F176" s="44" t="e" cm="1">
        <f t="array" ref="F176">+_xlfn.XLOOKUP(PROYECTOS2[[#This Row],[MUNICIPIO]],Table1[Municipio],MUNICIPIOS!F:F,0,0,1)</f>
        <v>#VALUE!</v>
      </c>
      <c r="G176" s="44" t="str">
        <f>+LOOKUP(PROYECTOS2[[#This Row],[MUNICIPIO]],Table1[Municipio],Table1[Latitud])</f>
        <v>6,149903</v>
      </c>
      <c r="H176" s="44">
        <f>+LOOKUP(PROYECTOS2[[#This Row],[MUNICIPIO]],Table1[Municipio],Table1[PDET])</f>
        <v>0</v>
      </c>
      <c r="I176" s="44">
        <f>+LOOKUP(PROYECTOS2[[#This Row],[MUNICIPIO]],Table1[Municipio],Table1[ZOMAC])</f>
        <v>0</v>
      </c>
      <c r="J176" s="3" t="str" cm="1">
        <f t="array" ref="J176">_xlfn.TEXTJOIN(", ", TRUE, IF(radicados[ID PROYECTOS]=A176, radicados[RADICADO], ""))</f>
        <v/>
      </c>
      <c r="K176" s="45">
        <v>3</v>
      </c>
      <c r="L176" s="45"/>
      <c r="M176" s="43" t="s">
        <v>179</v>
      </c>
      <c r="N176" s="48">
        <v>0</v>
      </c>
      <c r="O176" s="48"/>
      <c r="P176" s="48"/>
      <c r="Q176" s="148" t="s">
        <v>1067</v>
      </c>
      <c r="R176" s="34" t="s">
        <v>288</v>
      </c>
      <c r="S176" s="40" t="s">
        <v>398</v>
      </c>
      <c r="T176" s="34" t="s">
        <v>25</v>
      </c>
      <c r="U176" s="37" t="s">
        <v>990</v>
      </c>
      <c r="V176" s="44">
        <f>+_xlfn.XLOOKUP(PROYECTOS2[[#This Row],[MUNICIPIO]],'4.CAP_ENDMNT'!B:B,'4.CAP_ENDMNT'!C:C,0,0,1)</f>
        <v>6</v>
      </c>
      <c r="W176" s="139">
        <f>+_xlfn.XLOOKUP(PROYECTOS2[[#This Row],[MUNICIPIO]],'4.CAP_ENDMNT'!B:B,'4.CAP_ENDMNT'!D:D,0,0,1)</f>
        <v>7763487077.335</v>
      </c>
      <c r="X176" s="140">
        <f>+_xlfn.XLOOKUP(PROYECTOS2[[#This Row],[MUNICIPIO]],'4.CAP_ENDMNT'!B:B,'4.CAP_ENDMNT'!E:E,0,0,1)</f>
        <v>2329929022.3600001</v>
      </c>
      <c r="Y176" s="140">
        <f>+_xlfn.XLOOKUP(PROYECTOS2[[#This Row],[MUNICIPIO]],'4.CAP_ENDMNT'!B:B,'4.CAP_ENDMNT'!F:F,0,0,1)</f>
        <v>5433558054.9750004</v>
      </c>
      <c r="Z176" s="140">
        <f>+_xlfn.XLOOKUP(PROYECTOS2[[#This Row],[MUNICIPIO]],'4.CAP_ENDMNT'!B:B,'4.CAP_ENDMNT'!G:G,0,0,1)</f>
        <v>1217107364.4400001</v>
      </c>
      <c r="AA176" s="140">
        <f>+_xlfn.XLOOKUP(PROYECTOS2[[#This Row],[MUNICIPIO]],'4.CAP_ENDMNT'!B:B,'4.CAP_ENDMNT'!H:H,0,0,1)</f>
        <v>0</v>
      </c>
      <c r="AB176" s="140">
        <f>+_xlfn.XLOOKUP(PROYECTOS2[[#This Row],[MUNICIPIO]],'4.CAP_ENDMNT'!B:B,'4.CAP_ENDMNT'!I:I,0,0,1)</f>
        <v>1217107364.4400001</v>
      </c>
      <c r="AC176" s="134">
        <f>+_xlfn.XLOOKUP(PROYECTOS2[[#This Row],[MUNICIPIO]],'4.CAP_ENDMNT'!B:B,'4.CAP_ENDMNT'!J:J,0,0,1)</f>
        <v>0.15677328400446064</v>
      </c>
      <c r="AD176" s="140">
        <f>+_xlfn.XLOOKUP(PROYECTOS2[[#This Row],[MUNICIPIO]],'4.CAP_ENDMNT'!B:B,'4.CAP_ENDMNT'!K:K,0,0,1)</f>
        <v>6546379712.8950005</v>
      </c>
      <c r="AE176" s="140">
        <f>+_xlfn.XLOOKUP(PROYECTOS2[[#This Row],[MUNICIPIO]],'4.CAP_ENDMNT'!B:B,'4.CAP_ENDMNT'!L:L,0,0,1)</f>
        <v>5237103770.3160009</v>
      </c>
      <c r="AF176" s="140">
        <f>+_xlfn.XLOOKUP(PROYECTOS2[[#This Row],[MUNICIPIO]],'4.CAP_ENDMNT'!B:B,'4.CAP_ENDMNT'!M:M,0,0,1)</f>
        <v>3927827827.737</v>
      </c>
      <c r="AG176" s="134">
        <f>+_xlfn.XLOOKUP(PROYECTOS2[[#This Row],[MUNICIPIO]],'4.CAP_ENDMNT'!B:B,'4.CAP_ENDMNT'!N:N,0,0,1)</f>
        <v>1</v>
      </c>
      <c r="AH176" s="134">
        <f>+_xlfn.XLOOKUP(PROYECTOS2[[#This Row],[MUNICIPIO]],'4.CAP_ENDMNT'!B:B,'4.CAP_ENDMNT'!O:O,0,0,1)</f>
        <v>0.68141761997590633</v>
      </c>
      <c r="AI176" s="134">
        <f>+_xlfn.XLOOKUP(PROYECTOS2[[#This Row],[MUNICIPIO]],'4.CAP_ENDMNT'!B:B,'4.CAP_ENDMNT'!P:P,0,0,1)</f>
        <v>0.8</v>
      </c>
      <c r="AJ176" s="44" t="str">
        <f>+_xlfn.XLOOKUP(PROYECTOS2[[#This Row],[MUNICIPIO]],'4.CAP_ENDMNT'!B:B,'4.CAP_ENDMNT'!Q:Q,0,0,1)</f>
        <v>Cumple</v>
      </c>
    </row>
    <row r="177" spans="1:36">
      <c r="A177" s="44">
        <v>194</v>
      </c>
      <c r="B177" s="37" t="s">
        <v>459</v>
      </c>
      <c r="C177" s="118">
        <v>45747</v>
      </c>
      <c r="D177" s="46" t="s">
        <v>113</v>
      </c>
      <c r="E177" s="47" t="str">
        <f>+_xlfn.XLOOKUP(PROYECTOS2[[#This Row],[MUNICIPIO]],MUNICIPIOS!A:A,MUNICIPIOS!E:E,0,0,1)</f>
        <v>Oriente</v>
      </c>
      <c r="F177" s="44" t="e" cm="1">
        <f t="array" ref="F177">+_xlfn.XLOOKUP(PROYECTOS2[[#This Row],[MUNICIPIO]],Table1[Municipio],MUNICIPIOS!F:F,0,0,1)</f>
        <v>#VALUE!</v>
      </c>
      <c r="G177" s="44" t="str">
        <f>+LOOKUP(PROYECTOS2[[#This Row],[MUNICIPIO]],Table1[Municipio],Table1[Latitud])</f>
        <v>6,149903</v>
      </c>
      <c r="H177" s="44">
        <f>+LOOKUP(PROYECTOS2[[#This Row],[MUNICIPIO]],Table1[Municipio],Table1[PDET])</f>
        <v>0</v>
      </c>
      <c r="I177" s="44">
        <f>+LOOKUP(PROYECTOS2[[#This Row],[MUNICIPIO]],Table1[Municipio],Table1[ZOMAC])</f>
        <v>0</v>
      </c>
      <c r="J177" s="3" t="str" cm="1">
        <f t="array" ref="J177">_xlfn.TEXTJOIN(", ", TRUE, IF(radicados[ID PROYECTOS]=A177, radicados[RADICADO], ""))</f>
        <v/>
      </c>
      <c r="K177" s="45">
        <v>3</v>
      </c>
      <c r="L177" s="45"/>
      <c r="M177" s="43" t="s">
        <v>179</v>
      </c>
      <c r="N177" s="48">
        <v>2451241672</v>
      </c>
      <c r="O177" s="48"/>
      <c r="P177" s="48"/>
      <c r="Q177" s="148" t="s">
        <v>1067</v>
      </c>
      <c r="R177" s="34" t="s">
        <v>288</v>
      </c>
      <c r="S177" s="40" t="s">
        <v>398</v>
      </c>
      <c r="T177" s="34" t="s">
        <v>25</v>
      </c>
      <c r="U177" s="37"/>
      <c r="V177" s="44">
        <f>+_xlfn.XLOOKUP(PROYECTOS2[[#This Row],[MUNICIPIO]],'4.CAP_ENDMNT'!B:B,'4.CAP_ENDMNT'!C:C,0,0,1)</f>
        <v>6</v>
      </c>
      <c r="W177" s="139">
        <f>+_xlfn.XLOOKUP(PROYECTOS2[[#This Row],[MUNICIPIO]],'4.CAP_ENDMNT'!B:B,'4.CAP_ENDMNT'!D:D,0,0,1)</f>
        <v>7763487077.335</v>
      </c>
      <c r="X177" s="140">
        <f>+_xlfn.XLOOKUP(PROYECTOS2[[#This Row],[MUNICIPIO]],'4.CAP_ENDMNT'!B:B,'4.CAP_ENDMNT'!E:E,0,0,1)</f>
        <v>2329929022.3600001</v>
      </c>
      <c r="Y177" s="140">
        <f>+_xlfn.XLOOKUP(PROYECTOS2[[#This Row],[MUNICIPIO]],'4.CAP_ENDMNT'!B:B,'4.CAP_ENDMNT'!F:F,0,0,1)</f>
        <v>5433558054.9750004</v>
      </c>
      <c r="Z177" s="140">
        <f>+_xlfn.XLOOKUP(PROYECTOS2[[#This Row],[MUNICIPIO]],'4.CAP_ENDMNT'!B:B,'4.CAP_ENDMNT'!G:G,0,0,1)</f>
        <v>1217107364.4400001</v>
      </c>
      <c r="AA177" s="140">
        <f>+_xlfn.XLOOKUP(PROYECTOS2[[#This Row],[MUNICIPIO]],'4.CAP_ENDMNT'!B:B,'4.CAP_ENDMNT'!H:H,0,0,1)</f>
        <v>0</v>
      </c>
      <c r="AB177" s="140">
        <f>+_xlfn.XLOOKUP(PROYECTOS2[[#This Row],[MUNICIPIO]],'4.CAP_ENDMNT'!B:B,'4.CAP_ENDMNT'!I:I,0,0,1)</f>
        <v>1217107364.4400001</v>
      </c>
      <c r="AC177" s="134">
        <f>+_xlfn.XLOOKUP(PROYECTOS2[[#This Row],[MUNICIPIO]],'4.CAP_ENDMNT'!B:B,'4.CAP_ENDMNT'!J:J,0,0,1)</f>
        <v>0.15677328400446064</v>
      </c>
      <c r="AD177" s="140">
        <f>+_xlfn.XLOOKUP(PROYECTOS2[[#This Row],[MUNICIPIO]],'4.CAP_ENDMNT'!B:B,'4.CAP_ENDMNT'!K:K,0,0,1)</f>
        <v>6546379712.8950005</v>
      </c>
      <c r="AE177" s="140">
        <f>+_xlfn.XLOOKUP(PROYECTOS2[[#This Row],[MUNICIPIO]],'4.CAP_ENDMNT'!B:B,'4.CAP_ENDMNT'!L:L,0,0,1)</f>
        <v>5237103770.3160009</v>
      </c>
      <c r="AF177" s="140">
        <f>+_xlfn.XLOOKUP(PROYECTOS2[[#This Row],[MUNICIPIO]],'4.CAP_ENDMNT'!B:B,'4.CAP_ENDMNT'!M:M,0,0,1)</f>
        <v>3927827827.737</v>
      </c>
      <c r="AG177" s="134">
        <f>+_xlfn.XLOOKUP(PROYECTOS2[[#This Row],[MUNICIPIO]],'4.CAP_ENDMNT'!B:B,'4.CAP_ENDMNT'!N:N,0,0,1)</f>
        <v>1</v>
      </c>
      <c r="AH177" s="134">
        <f>+_xlfn.XLOOKUP(PROYECTOS2[[#This Row],[MUNICIPIO]],'4.CAP_ENDMNT'!B:B,'4.CAP_ENDMNT'!O:O,0,0,1)</f>
        <v>0.68141761997590633</v>
      </c>
      <c r="AI177" s="134">
        <f>+_xlfn.XLOOKUP(PROYECTOS2[[#This Row],[MUNICIPIO]],'4.CAP_ENDMNT'!B:B,'4.CAP_ENDMNT'!P:P,0,0,1)</f>
        <v>0.8</v>
      </c>
      <c r="AJ177" s="44" t="str">
        <f>+_xlfn.XLOOKUP(PROYECTOS2[[#This Row],[MUNICIPIO]],'4.CAP_ENDMNT'!B:B,'4.CAP_ENDMNT'!Q:Q,0,0,1)</f>
        <v>Cumple</v>
      </c>
    </row>
    <row r="178" spans="1:36">
      <c r="A178" s="44">
        <v>195</v>
      </c>
      <c r="B178" s="37" t="s">
        <v>460</v>
      </c>
      <c r="C178" s="118">
        <v>45747</v>
      </c>
      <c r="D178" s="46" t="s">
        <v>67</v>
      </c>
      <c r="E178" s="47" t="str">
        <f>+_xlfn.XLOOKUP(PROYECTOS2[[#This Row],[MUNICIPIO]],MUNICIPIOS!A:A,MUNICIPIOS!E:E,0,0,1)</f>
        <v>Nordeste</v>
      </c>
      <c r="F178" s="44" t="e" cm="1">
        <f t="array" ref="F178">+_xlfn.XLOOKUP(PROYECTOS2[[#This Row],[MUNICIPIO]],Table1[Municipio],MUNICIPIOS!F:F,0,0,1)</f>
        <v>#VALUE!</v>
      </c>
      <c r="G178" s="44" t="str">
        <f>+LOOKUP(PROYECTOS2[[#This Row],[MUNICIPIO]],Table1[Municipio],Table1[Latitud])</f>
        <v>6,149903</v>
      </c>
      <c r="H178" s="44">
        <f>+LOOKUP(PROYECTOS2[[#This Row],[MUNICIPIO]],Table1[Municipio],Table1[PDET])</f>
        <v>0</v>
      </c>
      <c r="I178" s="44">
        <f>+LOOKUP(PROYECTOS2[[#This Row],[MUNICIPIO]],Table1[Municipio],Table1[ZOMAC])</f>
        <v>0</v>
      </c>
      <c r="J178" s="3" t="str" cm="1">
        <f t="array" ref="J178">_xlfn.TEXTJOIN(", ", TRUE, IF(radicados[ID PROYECTOS]=A178, radicados[RADICADO], ""))</f>
        <v/>
      </c>
      <c r="K178" s="45">
        <v>3</v>
      </c>
      <c r="L178" s="45"/>
      <c r="M178" s="43" t="s">
        <v>179</v>
      </c>
      <c r="N178" s="48">
        <v>6562907695</v>
      </c>
      <c r="O178" s="48"/>
      <c r="P178" s="48"/>
      <c r="Q178" s="148" t="s">
        <v>1067</v>
      </c>
      <c r="R178" s="34" t="s">
        <v>288</v>
      </c>
      <c r="S178" s="40" t="s">
        <v>398</v>
      </c>
      <c r="T178" s="34" t="s">
        <v>25</v>
      </c>
      <c r="U178" s="37"/>
      <c r="V178" s="44">
        <f>+_xlfn.XLOOKUP(PROYECTOS2[[#This Row],[MUNICIPIO]],'4.CAP_ENDMNT'!B:B,'4.CAP_ENDMNT'!C:C,0,0,1)</f>
        <v>6</v>
      </c>
      <c r="W178" s="139">
        <f>+_xlfn.XLOOKUP(PROYECTOS2[[#This Row],[MUNICIPIO]],'4.CAP_ENDMNT'!B:B,'4.CAP_ENDMNT'!D:D,0,0,1)</f>
        <v>18632663202.9925</v>
      </c>
      <c r="X178" s="140">
        <f>+_xlfn.XLOOKUP(PROYECTOS2[[#This Row],[MUNICIPIO]],'4.CAP_ENDMNT'!B:B,'4.CAP_ENDMNT'!E:E,0,0,1)</f>
        <v>4332293517.3299999</v>
      </c>
      <c r="Y178" s="140">
        <f>+_xlfn.XLOOKUP(PROYECTOS2[[#This Row],[MUNICIPIO]],'4.CAP_ENDMNT'!B:B,'4.CAP_ENDMNT'!F:F,0,0,1)</f>
        <v>14300369685.6625</v>
      </c>
      <c r="Z178" s="140">
        <f>+_xlfn.XLOOKUP(PROYECTOS2[[#This Row],[MUNICIPIO]],'4.CAP_ENDMNT'!B:B,'4.CAP_ENDMNT'!G:G,0,0,1)</f>
        <v>3970281006</v>
      </c>
      <c r="AA178" s="140">
        <f>+_xlfn.XLOOKUP(PROYECTOS2[[#This Row],[MUNICIPIO]],'4.CAP_ENDMNT'!B:B,'4.CAP_ENDMNT'!H:H,0,0,1)</f>
        <v>1500000000</v>
      </c>
      <c r="AB178" s="140">
        <f>+_xlfn.XLOOKUP(PROYECTOS2[[#This Row],[MUNICIPIO]],'4.CAP_ENDMNT'!B:B,'4.CAP_ENDMNT'!I:I,0,0,1)</f>
        <v>5470281006</v>
      </c>
      <c r="AC178" s="134">
        <f>+_xlfn.XLOOKUP(PROYECTOS2[[#This Row],[MUNICIPIO]],'4.CAP_ENDMNT'!B:B,'4.CAP_ENDMNT'!J:J,0,0,1)</f>
        <v>0.29358556779588252</v>
      </c>
      <c r="AD178" s="140">
        <f>+_xlfn.XLOOKUP(PROYECTOS2[[#This Row],[MUNICIPIO]],'4.CAP_ENDMNT'!B:B,'4.CAP_ENDMNT'!K:K,0,0,1)</f>
        <v>13162382196.9925</v>
      </c>
      <c r="AE178" s="140">
        <f>+_xlfn.XLOOKUP(PROYECTOS2[[#This Row],[MUNICIPIO]],'4.CAP_ENDMNT'!B:B,'4.CAP_ENDMNT'!L:L,0,0,1)</f>
        <v>10529905757.594002</v>
      </c>
      <c r="AF178" s="140">
        <f>+_xlfn.XLOOKUP(PROYECTOS2[[#This Row],[MUNICIPIO]],'4.CAP_ENDMNT'!B:B,'4.CAP_ENDMNT'!M:M,0,0,1)</f>
        <v>7897429318.1954994</v>
      </c>
      <c r="AG178" s="134">
        <f>+_xlfn.XLOOKUP(PROYECTOS2[[#This Row],[MUNICIPIO]],'4.CAP_ENDMNT'!B:B,'4.CAP_ENDMNT'!N:N,0,0,1)</f>
        <v>0.72579105198531002</v>
      </c>
      <c r="AH178" s="134">
        <f>+_xlfn.XLOOKUP(PROYECTOS2[[#This Row],[MUNICIPIO]],'4.CAP_ENDMNT'!B:B,'4.CAP_ENDMNT'!O:O,0,0,1)</f>
        <v>0.44683077557401057</v>
      </c>
      <c r="AI178" s="134">
        <f>+_xlfn.XLOOKUP(PROYECTOS2[[#This Row],[MUNICIPIO]],'4.CAP_ENDMNT'!B:B,'4.CAP_ENDMNT'!P:P,0,0,1)</f>
        <v>0.8</v>
      </c>
      <c r="AJ178" s="44" t="str">
        <f>+_xlfn.XLOOKUP(PROYECTOS2[[#This Row],[MUNICIPIO]],'4.CAP_ENDMNT'!B:B,'4.CAP_ENDMNT'!Q:Q,0,0,1)</f>
        <v>Cumple</v>
      </c>
    </row>
    <row r="179" spans="1:36">
      <c r="A179" s="44">
        <v>196</v>
      </c>
      <c r="B179" s="37" t="s">
        <v>461</v>
      </c>
      <c r="C179" s="118">
        <v>45747</v>
      </c>
      <c r="D179" s="46" t="s">
        <v>329</v>
      </c>
      <c r="E179" s="47" t="str">
        <f>+_xlfn.XLOOKUP(PROYECTOS2[[#This Row],[MUNICIPIO]],MUNICIPIOS!A:A,MUNICIPIOS!E:E,0,0,1)</f>
        <v>Bajo Cauca</v>
      </c>
      <c r="F179" s="44" t="e" cm="1">
        <f t="array" ref="F179">+_xlfn.XLOOKUP(PROYECTOS2[[#This Row],[MUNICIPIO]],Table1[Municipio],MUNICIPIOS!F:F,0,0,1)</f>
        <v>#VALUE!</v>
      </c>
      <c r="G179" s="44" t="str">
        <f>+LOOKUP(PROYECTOS2[[#This Row],[MUNICIPIO]],Table1[Municipio],Table1[Latitud])</f>
        <v>6,246631</v>
      </c>
      <c r="H179" s="44">
        <f>+LOOKUP(PROYECTOS2[[#This Row],[MUNICIPIO]],Table1[Municipio],Table1[PDET])</f>
        <v>0</v>
      </c>
      <c r="I179" s="44">
        <f>+LOOKUP(PROYECTOS2[[#This Row],[MUNICIPIO]],Table1[Municipio],Table1[ZOMAC])</f>
        <v>0</v>
      </c>
      <c r="J179" s="3" t="str" cm="1">
        <f t="array" ref="J179">_xlfn.TEXTJOIN(", ", TRUE, IF(radicados[ID PROYECTOS]=A179, radicados[RADICADO], ""))</f>
        <v/>
      </c>
      <c r="K179" s="45">
        <v>3</v>
      </c>
      <c r="L179" s="45"/>
      <c r="M179" s="43" t="s">
        <v>179</v>
      </c>
      <c r="N179" s="48">
        <v>3336095639</v>
      </c>
      <c r="O179" s="48"/>
      <c r="P179" s="48"/>
      <c r="Q179" s="148" t="s">
        <v>1067</v>
      </c>
      <c r="R179" s="34" t="s">
        <v>288</v>
      </c>
      <c r="S179" s="40" t="s">
        <v>398</v>
      </c>
      <c r="T179" s="34" t="s">
        <v>25</v>
      </c>
      <c r="U179" s="37" t="s">
        <v>462</v>
      </c>
      <c r="V179" s="44">
        <f>+_xlfn.XLOOKUP(PROYECTOS2[[#This Row],[MUNICIPIO]],'4.CAP_ENDMNT'!B:B,'4.CAP_ENDMNT'!C:C,0,0,1)</f>
        <v>6</v>
      </c>
      <c r="W179" s="139">
        <f>+_xlfn.XLOOKUP(PROYECTOS2[[#This Row],[MUNICIPIO]],'4.CAP_ENDMNT'!B:B,'4.CAP_ENDMNT'!D:D,0,0,1)</f>
        <v>17207529181.433002</v>
      </c>
      <c r="X179" s="140">
        <f>+_xlfn.XLOOKUP(PROYECTOS2[[#This Row],[MUNICIPIO]],'4.CAP_ENDMNT'!B:B,'4.CAP_ENDMNT'!E:E,0,0,1)</f>
        <v>3556882387.1300001</v>
      </c>
      <c r="Y179" s="140">
        <f>+_xlfn.XLOOKUP(PROYECTOS2[[#This Row],[MUNICIPIO]],'4.CAP_ENDMNT'!B:B,'4.CAP_ENDMNT'!F:F,0,0,1)</f>
        <v>13650646794.303001</v>
      </c>
      <c r="Z179" s="140">
        <f>+_xlfn.XLOOKUP(PROYECTOS2[[#This Row],[MUNICIPIO]],'4.CAP_ENDMNT'!B:B,'4.CAP_ENDMNT'!G:G,0,0,1)</f>
        <v>2981910160</v>
      </c>
      <c r="AA179" s="140">
        <f>+_xlfn.XLOOKUP(PROYECTOS2[[#This Row],[MUNICIPIO]],'4.CAP_ENDMNT'!B:B,'4.CAP_ENDMNT'!H:H,0,0,1)</f>
        <v>5898924731</v>
      </c>
      <c r="AB179" s="140">
        <f>+_xlfn.XLOOKUP(PROYECTOS2[[#This Row],[MUNICIPIO]],'4.CAP_ENDMNT'!B:B,'4.CAP_ENDMNT'!I:I,0,0,1)</f>
        <v>8880834891</v>
      </c>
      <c r="AC179" s="134">
        <f>+_xlfn.XLOOKUP(PROYECTOS2[[#This Row],[MUNICIPIO]],'4.CAP_ENDMNT'!B:B,'4.CAP_ENDMNT'!J:J,0,0,1)</f>
        <v>0.51610168998478057</v>
      </c>
      <c r="AD179" s="140">
        <f>+_xlfn.XLOOKUP(PROYECTOS2[[#This Row],[MUNICIPIO]],'4.CAP_ENDMNT'!B:B,'4.CAP_ENDMNT'!K:K,0,0,1)</f>
        <v>8326694290.4330025</v>
      </c>
      <c r="AE179" s="140">
        <f>+_xlfn.XLOOKUP(PROYECTOS2[[#This Row],[MUNICIPIO]],'4.CAP_ENDMNT'!B:B,'4.CAP_ENDMNT'!L:L,0,0,1)</f>
        <v>6661355432.3464022</v>
      </c>
      <c r="AF179" s="140">
        <f>+_xlfn.XLOOKUP(PROYECTOS2[[#This Row],[MUNICIPIO]],'4.CAP_ENDMNT'!B:B,'4.CAP_ENDMNT'!M:M,0,0,1)</f>
        <v>4996016574.2598009</v>
      </c>
      <c r="AG179" s="134">
        <f>+_xlfn.XLOOKUP(PROYECTOS2[[#This Row],[MUNICIPIO]],'4.CAP_ENDMNT'!B:B,'4.CAP_ENDMNT'!N:N,0,0,1)</f>
        <v>0.3357691249301259</v>
      </c>
      <c r="AH179" s="134">
        <f>+_xlfn.XLOOKUP(PROYECTOS2[[#This Row],[MUNICIPIO]],'4.CAP_ENDMNT'!B:B,'4.CAP_ENDMNT'!O:O,0,0,1)</f>
        <v>0.46603493316730282</v>
      </c>
      <c r="AI179" s="134">
        <f>+_xlfn.XLOOKUP(PROYECTOS2[[#This Row],[MUNICIPIO]],'4.CAP_ENDMNT'!B:B,'4.CAP_ENDMNT'!P:P,0,0,1)</f>
        <v>0.8</v>
      </c>
      <c r="AJ179" s="44" t="str">
        <f>+_xlfn.XLOOKUP(PROYECTOS2[[#This Row],[MUNICIPIO]],'4.CAP_ENDMNT'!B:B,'4.CAP_ENDMNT'!Q:Q,0,0,1)</f>
        <v>Cumple</v>
      </c>
    </row>
    <row r="180" spans="1:36">
      <c r="A180" s="44">
        <v>197</v>
      </c>
      <c r="B180" s="37" t="s">
        <v>463</v>
      </c>
      <c r="C180" s="118">
        <v>45747</v>
      </c>
      <c r="D180" s="46" t="s">
        <v>329</v>
      </c>
      <c r="E180" s="47" t="str">
        <f>+_xlfn.XLOOKUP(PROYECTOS2[[#This Row],[MUNICIPIO]],MUNICIPIOS!A:A,MUNICIPIOS!E:E,0,0,1)</f>
        <v>Bajo Cauca</v>
      </c>
      <c r="F180" s="44" t="e" cm="1">
        <f t="array" ref="F180">+_xlfn.XLOOKUP(PROYECTOS2[[#This Row],[MUNICIPIO]],Table1[Municipio],MUNICIPIOS!F:F,0,0,1)</f>
        <v>#VALUE!</v>
      </c>
      <c r="G180" s="44" t="str">
        <f>+LOOKUP(PROYECTOS2[[#This Row],[MUNICIPIO]],Table1[Municipio],Table1[Latitud])</f>
        <v>6,246631</v>
      </c>
      <c r="H180" s="44">
        <f>+LOOKUP(PROYECTOS2[[#This Row],[MUNICIPIO]],Table1[Municipio],Table1[PDET])</f>
        <v>0</v>
      </c>
      <c r="I180" s="44">
        <f>+LOOKUP(PROYECTOS2[[#This Row],[MUNICIPIO]],Table1[Municipio],Table1[ZOMAC])</f>
        <v>0</v>
      </c>
      <c r="J180" s="3" t="str" cm="1">
        <f t="array" ref="J180">_xlfn.TEXTJOIN(", ", TRUE, IF(radicados[ID PROYECTOS]=A180, radicados[RADICADO], ""))</f>
        <v/>
      </c>
      <c r="K180" s="45">
        <v>3</v>
      </c>
      <c r="L180" s="45"/>
      <c r="M180" s="43" t="s">
        <v>179</v>
      </c>
      <c r="N180" s="48">
        <v>3723342463</v>
      </c>
      <c r="O180" s="48"/>
      <c r="P180" s="48"/>
      <c r="Q180" s="148" t="s">
        <v>1067</v>
      </c>
      <c r="R180" s="34" t="s">
        <v>288</v>
      </c>
      <c r="S180" s="40" t="s">
        <v>398</v>
      </c>
      <c r="T180" s="34" t="s">
        <v>25</v>
      </c>
      <c r="U180" s="37" t="s">
        <v>462</v>
      </c>
      <c r="V180" s="44">
        <f>+_xlfn.XLOOKUP(PROYECTOS2[[#This Row],[MUNICIPIO]],'4.CAP_ENDMNT'!B:B,'4.CAP_ENDMNT'!C:C,0,0,1)</f>
        <v>6</v>
      </c>
      <c r="W180" s="139">
        <f>+_xlfn.XLOOKUP(PROYECTOS2[[#This Row],[MUNICIPIO]],'4.CAP_ENDMNT'!B:B,'4.CAP_ENDMNT'!D:D,0,0,1)</f>
        <v>17207529181.433002</v>
      </c>
      <c r="X180" s="140">
        <f>+_xlfn.XLOOKUP(PROYECTOS2[[#This Row],[MUNICIPIO]],'4.CAP_ENDMNT'!B:B,'4.CAP_ENDMNT'!E:E,0,0,1)</f>
        <v>3556882387.1300001</v>
      </c>
      <c r="Y180" s="140">
        <f>+_xlfn.XLOOKUP(PROYECTOS2[[#This Row],[MUNICIPIO]],'4.CAP_ENDMNT'!B:B,'4.CAP_ENDMNT'!F:F,0,0,1)</f>
        <v>13650646794.303001</v>
      </c>
      <c r="Z180" s="140">
        <f>+_xlfn.XLOOKUP(PROYECTOS2[[#This Row],[MUNICIPIO]],'4.CAP_ENDMNT'!B:B,'4.CAP_ENDMNT'!G:G,0,0,1)</f>
        <v>2981910160</v>
      </c>
      <c r="AA180" s="140">
        <f>+_xlfn.XLOOKUP(PROYECTOS2[[#This Row],[MUNICIPIO]],'4.CAP_ENDMNT'!B:B,'4.CAP_ENDMNT'!H:H,0,0,1)</f>
        <v>5898924731</v>
      </c>
      <c r="AB180" s="140">
        <f>+_xlfn.XLOOKUP(PROYECTOS2[[#This Row],[MUNICIPIO]],'4.CAP_ENDMNT'!B:B,'4.CAP_ENDMNT'!I:I,0,0,1)</f>
        <v>8880834891</v>
      </c>
      <c r="AC180" s="134">
        <f>+_xlfn.XLOOKUP(PROYECTOS2[[#This Row],[MUNICIPIO]],'4.CAP_ENDMNT'!B:B,'4.CAP_ENDMNT'!J:J,0,0,1)</f>
        <v>0.51610168998478057</v>
      </c>
      <c r="AD180" s="140">
        <f>+_xlfn.XLOOKUP(PROYECTOS2[[#This Row],[MUNICIPIO]],'4.CAP_ENDMNT'!B:B,'4.CAP_ENDMNT'!K:K,0,0,1)</f>
        <v>8326694290.4330025</v>
      </c>
      <c r="AE180" s="140">
        <f>+_xlfn.XLOOKUP(PROYECTOS2[[#This Row],[MUNICIPIO]],'4.CAP_ENDMNT'!B:B,'4.CAP_ENDMNT'!L:L,0,0,1)</f>
        <v>6661355432.3464022</v>
      </c>
      <c r="AF180" s="140">
        <f>+_xlfn.XLOOKUP(PROYECTOS2[[#This Row],[MUNICIPIO]],'4.CAP_ENDMNT'!B:B,'4.CAP_ENDMNT'!M:M,0,0,1)</f>
        <v>4996016574.2598009</v>
      </c>
      <c r="AG180" s="134">
        <f>+_xlfn.XLOOKUP(PROYECTOS2[[#This Row],[MUNICIPIO]],'4.CAP_ENDMNT'!B:B,'4.CAP_ENDMNT'!N:N,0,0,1)</f>
        <v>0.3357691249301259</v>
      </c>
      <c r="AH180" s="134">
        <f>+_xlfn.XLOOKUP(PROYECTOS2[[#This Row],[MUNICIPIO]],'4.CAP_ENDMNT'!B:B,'4.CAP_ENDMNT'!O:O,0,0,1)</f>
        <v>0.46603493316730282</v>
      </c>
      <c r="AI180" s="134">
        <f>+_xlfn.XLOOKUP(PROYECTOS2[[#This Row],[MUNICIPIO]],'4.CAP_ENDMNT'!B:B,'4.CAP_ENDMNT'!P:P,0,0,1)</f>
        <v>0.8</v>
      </c>
      <c r="AJ180" s="44" t="str">
        <f>+_xlfn.XLOOKUP(PROYECTOS2[[#This Row],[MUNICIPIO]],'4.CAP_ENDMNT'!B:B,'4.CAP_ENDMNT'!Q:Q,0,0,1)</f>
        <v>Cumple</v>
      </c>
    </row>
    <row r="181" spans="1:36">
      <c r="A181" s="44">
        <v>198</v>
      </c>
      <c r="B181" s="37" t="s">
        <v>464</v>
      </c>
      <c r="C181" s="118">
        <v>45747</v>
      </c>
      <c r="D181" s="46" t="s">
        <v>465</v>
      </c>
      <c r="E181" s="47" t="str">
        <f>+_xlfn.XLOOKUP(PROYECTOS2[[#This Row],[MUNICIPIO]],MUNICIPIOS!A:A,MUNICIPIOS!E:E,0,0,1)</f>
        <v>Suroeste</v>
      </c>
      <c r="F181" s="44" t="e" cm="1">
        <f t="array" ref="F181">+_xlfn.XLOOKUP(PROYECTOS2[[#This Row],[MUNICIPIO]],Table1[Municipio],MUNICIPIOS!F:F,0,0,1)</f>
        <v>#VALUE!</v>
      </c>
      <c r="G181" s="44" t="e">
        <f>+LOOKUP(PROYECTOS2[[#This Row],[MUNICIPIO]],Table1[Municipio],Table1[Latitud])</f>
        <v>#N/A</v>
      </c>
      <c r="H181" s="44" t="e">
        <f>+LOOKUP(PROYECTOS2[[#This Row],[MUNICIPIO]],Table1[Municipio],Table1[PDET])</f>
        <v>#N/A</v>
      </c>
      <c r="I181" s="44" t="e">
        <f>+LOOKUP(PROYECTOS2[[#This Row],[MUNICIPIO]],Table1[Municipio],Table1[ZOMAC])</f>
        <v>#N/A</v>
      </c>
      <c r="J181" s="3" t="str" cm="1">
        <f t="array" ref="J181">_xlfn.TEXTJOIN(", ", TRUE, IF(radicados[ID PROYECTOS]=A181, radicados[RADICADO], ""))</f>
        <v/>
      </c>
      <c r="K181" s="45">
        <v>3</v>
      </c>
      <c r="L181" s="45"/>
      <c r="M181" s="43" t="s">
        <v>179</v>
      </c>
      <c r="N181" s="48">
        <v>5358281136</v>
      </c>
      <c r="O181" s="48"/>
      <c r="P181" s="48"/>
      <c r="Q181" s="148" t="s">
        <v>1067</v>
      </c>
      <c r="R181" s="34" t="s">
        <v>288</v>
      </c>
      <c r="S181" s="40" t="s">
        <v>398</v>
      </c>
      <c r="T181" s="34" t="s">
        <v>25</v>
      </c>
      <c r="U181" s="37"/>
      <c r="V181" s="44">
        <f>+_xlfn.XLOOKUP(PROYECTOS2[[#This Row],[MUNICIPIO]],'4.CAP_ENDMNT'!B:B,'4.CAP_ENDMNT'!C:C,0,0,1)</f>
        <v>5</v>
      </c>
      <c r="W181" s="139">
        <f>+_xlfn.XLOOKUP(PROYECTOS2[[#This Row],[MUNICIPIO]],'4.CAP_ENDMNT'!B:B,'4.CAP_ENDMNT'!D:D,0,0,1)</f>
        <v>7630980393.4579992</v>
      </c>
      <c r="X181" s="140">
        <f>+_xlfn.XLOOKUP(PROYECTOS2[[#This Row],[MUNICIPIO]],'4.CAP_ENDMNT'!B:B,'4.CAP_ENDMNT'!E:E,0,0,1)</f>
        <v>2836641555.8400002</v>
      </c>
      <c r="Y181" s="140">
        <f>+_xlfn.XLOOKUP(PROYECTOS2[[#This Row],[MUNICIPIO]],'4.CAP_ENDMNT'!B:B,'4.CAP_ENDMNT'!F:F,0,0,1)</f>
        <v>4794338837.6179991</v>
      </c>
      <c r="Z181" s="140">
        <f>+_xlfn.XLOOKUP(PROYECTOS2[[#This Row],[MUNICIPIO]],'4.CAP_ENDMNT'!B:B,'4.CAP_ENDMNT'!G:G,0,0,1)</f>
        <v>46770446.019999996</v>
      </c>
      <c r="AA181" s="140">
        <f>+_xlfn.XLOOKUP(PROYECTOS2[[#This Row],[MUNICIPIO]],'4.CAP_ENDMNT'!B:B,'4.CAP_ENDMNT'!H:H,0,0,1)</f>
        <v>1700000000</v>
      </c>
      <c r="AB181" s="140">
        <f>+_xlfn.XLOOKUP(PROYECTOS2[[#This Row],[MUNICIPIO]],'4.CAP_ENDMNT'!B:B,'4.CAP_ENDMNT'!I:I,0,0,1)</f>
        <v>1746770446.02</v>
      </c>
      <c r="AC181" s="134">
        <f>+_xlfn.XLOOKUP(PROYECTOS2[[#This Row],[MUNICIPIO]],'4.CAP_ENDMNT'!B:B,'4.CAP_ENDMNT'!J:J,0,0,1)</f>
        <v>0.22890511519561726</v>
      </c>
      <c r="AD181" s="140">
        <f>+_xlfn.XLOOKUP(PROYECTOS2[[#This Row],[MUNICIPIO]],'4.CAP_ENDMNT'!B:B,'4.CAP_ENDMNT'!K:K,0,0,1)</f>
        <v>5884209947.4379997</v>
      </c>
      <c r="AE181" s="140">
        <f>+_xlfn.XLOOKUP(PROYECTOS2[[#This Row],[MUNICIPIO]],'4.CAP_ENDMNT'!B:B,'4.CAP_ENDMNT'!L:L,0,0,1)</f>
        <v>4707367957.9504004</v>
      </c>
      <c r="AF181" s="140">
        <f>+_xlfn.XLOOKUP(PROYECTOS2[[#This Row],[MUNICIPIO]],'4.CAP_ENDMNT'!B:B,'4.CAP_ENDMNT'!M:M,0,0,1)</f>
        <v>3530525968.4627995</v>
      </c>
      <c r="AG181" s="134">
        <f>+_xlfn.XLOOKUP(PROYECTOS2[[#This Row],[MUNICIPIO]],'4.CAP_ENDMNT'!B:B,'4.CAP_ENDMNT'!N:N,0,0,1)</f>
        <v>2.6775382035210189E-2</v>
      </c>
      <c r="AH181" s="134">
        <f>+_xlfn.XLOOKUP(PROYECTOS2[[#This Row],[MUNICIPIO]],'4.CAP_ENDMNT'!B:B,'4.CAP_ENDMNT'!O:O,0,0,1)</f>
        <v>0.7580768893854527</v>
      </c>
      <c r="AI181" s="134">
        <f>+_xlfn.XLOOKUP(PROYECTOS2[[#This Row],[MUNICIPIO]],'4.CAP_ENDMNT'!B:B,'4.CAP_ENDMNT'!P:P,0,0,1)</f>
        <v>0.8</v>
      </c>
      <c r="AJ181" s="44" t="str">
        <f>+_xlfn.XLOOKUP(PROYECTOS2[[#This Row],[MUNICIPIO]],'4.CAP_ENDMNT'!B:B,'4.CAP_ENDMNT'!Q:Q,0,0,1)</f>
        <v>Riesgo</v>
      </c>
    </row>
    <row r="182" spans="1:36">
      <c r="A182" s="44">
        <v>199</v>
      </c>
      <c r="B182" s="37" t="s">
        <v>466</v>
      </c>
      <c r="C182" s="118">
        <v>45747</v>
      </c>
      <c r="D182" s="46" t="s">
        <v>232</v>
      </c>
      <c r="E182" s="47" t="str">
        <f>+_xlfn.XLOOKUP(PROYECTOS2[[#This Row],[MUNICIPIO]],MUNICIPIOS!A:A,MUNICIPIOS!E:E,0,0,1)</f>
        <v>Suroeste</v>
      </c>
      <c r="F182" s="44" t="e" cm="1">
        <f t="array" ref="F182">+_xlfn.XLOOKUP(PROYECTOS2[[#This Row],[MUNICIPIO]],Table1[Municipio],MUNICIPIOS!F:F,0,0,1)</f>
        <v>#VALUE!</v>
      </c>
      <c r="G182" s="44" t="str">
        <f>+LOOKUP(PROYECTOS2[[#This Row],[MUNICIPIO]],Table1[Municipio],Table1[Latitud])</f>
        <v>5,946313</v>
      </c>
      <c r="H182" s="44">
        <f>+LOOKUP(PROYECTOS2[[#This Row],[MUNICIPIO]],Table1[Municipio],Table1[PDET])</f>
        <v>0</v>
      </c>
      <c r="I182" s="44">
        <f>+LOOKUP(PROYECTOS2[[#This Row],[MUNICIPIO]],Table1[Municipio],Table1[ZOMAC])</f>
        <v>1</v>
      </c>
      <c r="J182" s="3" t="str" cm="1">
        <f t="array" ref="J182">_xlfn.TEXTJOIN(", ", TRUE, IF(radicados[ID PROYECTOS]=A182, radicados[RADICADO], ""))</f>
        <v/>
      </c>
      <c r="K182" s="45">
        <v>3</v>
      </c>
      <c r="L182" s="45"/>
      <c r="M182" s="43" t="s">
        <v>179</v>
      </c>
      <c r="N182" s="48"/>
      <c r="O182" s="48"/>
      <c r="P182" s="48"/>
      <c r="Q182" s="148" t="s">
        <v>1067</v>
      </c>
      <c r="R182" s="34" t="s">
        <v>288</v>
      </c>
      <c r="S182" s="40" t="s">
        <v>398</v>
      </c>
      <c r="T182" s="34" t="s">
        <v>25</v>
      </c>
      <c r="U182" s="37" t="s">
        <v>1098</v>
      </c>
      <c r="V182" s="44">
        <f>+_xlfn.XLOOKUP(PROYECTOS2[[#This Row],[MUNICIPIO]],'4.CAP_ENDMNT'!B:B,'4.CAP_ENDMNT'!C:C,0,0,1)</f>
        <v>6</v>
      </c>
      <c r="W182" s="139">
        <f>+_xlfn.XLOOKUP(PROYECTOS2[[#This Row],[MUNICIPIO]],'4.CAP_ENDMNT'!B:B,'4.CAP_ENDMNT'!D:D,0,0,1)</f>
        <v>6527267076.0299997</v>
      </c>
      <c r="X182" s="140">
        <f>+_xlfn.XLOOKUP(PROYECTOS2[[#This Row],[MUNICIPIO]],'4.CAP_ENDMNT'!B:B,'4.CAP_ENDMNT'!E:E,0,0,1)</f>
        <v>2852468155.77</v>
      </c>
      <c r="Y182" s="140">
        <f>+_xlfn.XLOOKUP(PROYECTOS2[[#This Row],[MUNICIPIO]],'4.CAP_ENDMNT'!B:B,'4.CAP_ENDMNT'!F:F,0,0,1)</f>
        <v>3674798920.2599998</v>
      </c>
      <c r="Z182" s="140">
        <f>+_xlfn.XLOOKUP(PROYECTOS2[[#This Row],[MUNICIPIO]],'4.CAP_ENDMNT'!B:B,'4.CAP_ENDMNT'!G:G,0,0,1)</f>
        <v>1320825426</v>
      </c>
      <c r="AA182" s="140">
        <f>+_xlfn.XLOOKUP(PROYECTOS2[[#This Row],[MUNICIPIO]],'4.CAP_ENDMNT'!B:B,'4.CAP_ENDMNT'!H:H,0,0,1)</f>
        <v>0</v>
      </c>
      <c r="AB182" s="140">
        <f>+_xlfn.XLOOKUP(PROYECTOS2[[#This Row],[MUNICIPIO]],'4.CAP_ENDMNT'!B:B,'4.CAP_ENDMNT'!I:I,0,0,1)</f>
        <v>1320825426</v>
      </c>
      <c r="AC182" s="134">
        <f>+_xlfn.XLOOKUP(PROYECTOS2[[#This Row],[MUNICIPIO]],'4.CAP_ENDMNT'!B:B,'4.CAP_ENDMNT'!J:J,0,0,1)</f>
        <v>0.2023550454753798</v>
      </c>
      <c r="AD182" s="140">
        <f>+_xlfn.XLOOKUP(PROYECTOS2[[#This Row],[MUNICIPIO]],'4.CAP_ENDMNT'!B:B,'4.CAP_ENDMNT'!K:K,0,0,1)</f>
        <v>5206441650.0299997</v>
      </c>
      <c r="AE182" s="140">
        <f>+_xlfn.XLOOKUP(PROYECTOS2[[#This Row],[MUNICIPIO]],'4.CAP_ENDMNT'!B:B,'4.CAP_ENDMNT'!L:L,0,0,1)</f>
        <v>4165153320.0240002</v>
      </c>
      <c r="AF182" s="140">
        <f>+_xlfn.XLOOKUP(PROYECTOS2[[#This Row],[MUNICIPIO]],'4.CAP_ENDMNT'!B:B,'4.CAP_ENDMNT'!M:M,0,0,1)</f>
        <v>3123864990.0179996</v>
      </c>
      <c r="AG182" s="134">
        <f>+_xlfn.XLOOKUP(PROYECTOS2[[#This Row],[MUNICIPIO]],'4.CAP_ENDMNT'!B:B,'4.CAP_ENDMNT'!N:N,0,0,1)</f>
        <v>1</v>
      </c>
      <c r="AH182" s="134">
        <f>+_xlfn.XLOOKUP(PROYECTOS2[[#This Row],[MUNICIPIO]],'4.CAP_ENDMNT'!B:B,'4.CAP_ENDMNT'!O:O,0,0,1)</f>
        <v>0.63926485007667311</v>
      </c>
      <c r="AI182" s="134">
        <f>+_xlfn.XLOOKUP(PROYECTOS2[[#This Row],[MUNICIPIO]],'4.CAP_ENDMNT'!B:B,'4.CAP_ENDMNT'!P:P,0,0,1)</f>
        <v>0.8</v>
      </c>
      <c r="AJ182" s="44" t="str">
        <f>+_xlfn.XLOOKUP(PROYECTOS2[[#This Row],[MUNICIPIO]],'4.CAP_ENDMNT'!B:B,'4.CAP_ENDMNT'!Q:Q,0,0,1)</f>
        <v>Cumple</v>
      </c>
    </row>
    <row r="183" spans="1:36">
      <c r="A183" s="44">
        <v>200</v>
      </c>
      <c r="B183" s="37" t="s">
        <v>467</v>
      </c>
      <c r="C183" s="118">
        <v>45747</v>
      </c>
      <c r="D183" s="46" t="s">
        <v>160</v>
      </c>
      <c r="E183" s="47" t="str">
        <f>+_xlfn.XLOOKUP(PROYECTOS2[[#This Row],[MUNICIPIO]],MUNICIPIOS!A:A,MUNICIPIOS!E:E,0,0,1)</f>
        <v>Occidente</v>
      </c>
      <c r="F183" s="44" t="e" cm="1">
        <f t="array" ref="F183">+_xlfn.XLOOKUP(PROYECTOS2[[#This Row],[MUNICIPIO]],Table1[Municipio],MUNICIPIOS!F:F,0,0,1)</f>
        <v>#VALUE!</v>
      </c>
      <c r="G183" s="44" t="str">
        <f>+LOOKUP(PROYECTOS2[[#This Row],[MUNICIPIO]],Table1[Municipio],Table1[Latitud])</f>
        <v>6,136871</v>
      </c>
      <c r="H183" s="44">
        <f>+LOOKUP(PROYECTOS2[[#This Row],[MUNICIPIO]],Table1[Municipio],Table1[PDET])</f>
        <v>0</v>
      </c>
      <c r="I183" s="44">
        <f>+LOOKUP(PROYECTOS2[[#This Row],[MUNICIPIO]],Table1[Municipio],Table1[ZOMAC])</f>
        <v>0</v>
      </c>
      <c r="J183" s="3" t="str" cm="1">
        <f t="array" ref="J183">_xlfn.TEXTJOIN(", ", TRUE, IF(radicados[ID PROYECTOS]=A183, radicados[RADICADO], ""))</f>
        <v/>
      </c>
      <c r="K183" s="45">
        <v>3</v>
      </c>
      <c r="L183" s="45"/>
      <c r="M183" s="43" t="s">
        <v>179</v>
      </c>
      <c r="N183" s="48">
        <v>1299729169.5320001</v>
      </c>
      <c r="O183" s="48"/>
      <c r="P183" s="48"/>
      <c r="Q183" s="148" t="s">
        <v>1067</v>
      </c>
      <c r="R183" s="34" t="s">
        <v>288</v>
      </c>
      <c r="S183" s="40" t="s">
        <v>398</v>
      </c>
      <c r="T183" s="34" t="s">
        <v>25</v>
      </c>
      <c r="U183" s="37"/>
      <c r="V183" s="44">
        <f>+_xlfn.XLOOKUP(PROYECTOS2[[#This Row],[MUNICIPIO]],'4.CAP_ENDMNT'!B:B,'4.CAP_ENDMNT'!C:C,0,0,1)</f>
        <v>6</v>
      </c>
      <c r="W183" s="139">
        <f>+_xlfn.XLOOKUP(PROYECTOS2[[#This Row],[MUNICIPIO]],'4.CAP_ENDMNT'!B:B,'4.CAP_ENDMNT'!D:D,0,0,1)</f>
        <v>10996307821.845001</v>
      </c>
      <c r="X183" s="140">
        <f>+_xlfn.XLOOKUP(PROYECTOS2[[#This Row],[MUNICIPIO]],'4.CAP_ENDMNT'!B:B,'4.CAP_ENDMNT'!E:E,0,0,1)</f>
        <v>3830082733.7800002</v>
      </c>
      <c r="Y183" s="140">
        <f>+_xlfn.XLOOKUP(PROYECTOS2[[#This Row],[MUNICIPIO]],'4.CAP_ENDMNT'!B:B,'4.CAP_ENDMNT'!F:F,0,0,1)</f>
        <v>7166225088.0650005</v>
      </c>
      <c r="Z183" s="140">
        <f>+_xlfn.XLOOKUP(PROYECTOS2[[#This Row],[MUNICIPIO]],'4.CAP_ENDMNT'!B:B,'4.CAP_ENDMNT'!G:G,0,0,1)</f>
        <v>1182597765.4299998</v>
      </c>
      <c r="AA183" s="140">
        <f>+_xlfn.XLOOKUP(PROYECTOS2[[#This Row],[MUNICIPIO]],'4.CAP_ENDMNT'!B:B,'4.CAP_ENDMNT'!H:H,0,0,1)</f>
        <v>0</v>
      </c>
      <c r="AB183" s="140">
        <f>+_xlfn.XLOOKUP(PROYECTOS2[[#This Row],[MUNICIPIO]],'4.CAP_ENDMNT'!B:B,'4.CAP_ENDMNT'!I:I,0,0,1)</f>
        <v>1182597765.4299998</v>
      </c>
      <c r="AC183" s="134">
        <f>+_xlfn.XLOOKUP(PROYECTOS2[[#This Row],[MUNICIPIO]],'4.CAP_ENDMNT'!B:B,'4.CAP_ENDMNT'!J:J,0,0,1)</f>
        <v>0.10754498551601833</v>
      </c>
      <c r="AD183" s="140">
        <f>+_xlfn.XLOOKUP(PROYECTOS2[[#This Row],[MUNICIPIO]],'4.CAP_ENDMNT'!B:B,'4.CAP_ENDMNT'!K:K,0,0,1)</f>
        <v>9813710056.4150009</v>
      </c>
      <c r="AE183" s="140">
        <f>+_xlfn.XLOOKUP(PROYECTOS2[[#This Row],[MUNICIPIO]],'4.CAP_ENDMNT'!B:B,'4.CAP_ENDMNT'!L:L,0,0,1)</f>
        <v>7850968045.1320009</v>
      </c>
      <c r="AF183" s="140">
        <f>+_xlfn.XLOOKUP(PROYECTOS2[[#This Row],[MUNICIPIO]],'4.CAP_ENDMNT'!B:B,'4.CAP_ENDMNT'!M:M,0,0,1)</f>
        <v>5888226033.849</v>
      </c>
      <c r="AG183" s="134">
        <f>+_xlfn.XLOOKUP(PROYECTOS2[[#This Row],[MUNICIPIO]],'4.CAP_ENDMNT'!B:B,'4.CAP_ENDMNT'!N:N,0,0,1)</f>
        <v>1</v>
      </c>
      <c r="AH183" s="134">
        <f>+_xlfn.XLOOKUP(PROYECTOS2[[#This Row],[MUNICIPIO]],'4.CAP_ENDMNT'!B:B,'4.CAP_ENDMNT'!O:O,0,0,1)</f>
        <v>0.53885751046750907</v>
      </c>
      <c r="AI183" s="134">
        <f>+_xlfn.XLOOKUP(PROYECTOS2[[#This Row],[MUNICIPIO]],'4.CAP_ENDMNT'!B:B,'4.CAP_ENDMNT'!P:P,0,0,1)</f>
        <v>0.8</v>
      </c>
      <c r="AJ183" s="44" t="str">
        <f>+_xlfn.XLOOKUP(PROYECTOS2[[#This Row],[MUNICIPIO]],'4.CAP_ENDMNT'!B:B,'4.CAP_ENDMNT'!Q:Q,0,0,1)</f>
        <v>Cumple</v>
      </c>
    </row>
    <row r="184" spans="1:36">
      <c r="A184" s="44">
        <v>206</v>
      </c>
      <c r="B184" s="37" t="s">
        <v>469</v>
      </c>
      <c r="C184" s="118">
        <v>45747</v>
      </c>
      <c r="D184" s="46" t="s">
        <v>470</v>
      </c>
      <c r="E184" s="47" t="str">
        <f>+_xlfn.XLOOKUP(PROYECTOS2[[#This Row],[MUNICIPIO]],MUNICIPIOS!A:A,MUNICIPIOS!E:E,0,0,1)</f>
        <v>Oriente</v>
      </c>
      <c r="F184" s="44" t="e" cm="1">
        <f t="array" ref="F184">+_xlfn.XLOOKUP(PROYECTOS2[[#This Row],[MUNICIPIO]],Table1[Municipio],MUNICIPIOS!F:F,0,0,1)</f>
        <v>#VALUE!</v>
      </c>
      <c r="G184" s="44" t="str">
        <f>+LOOKUP(PROYECTOS2[[#This Row],[MUNICIPIO]],Table1[Municipio],Table1[Latitud])</f>
        <v>6,149903</v>
      </c>
      <c r="H184" s="44">
        <f>+LOOKUP(PROYECTOS2[[#This Row],[MUNICIPIO]],Table1[Municipio],Table1[PDET])</f>
        <v>0</v>
      </c>
      <c r="I184" s="44">
        <f>+LOOKUP(PROYECTOS2[[#This Row],[MUNICIPIO]],Table1[Municipio],Table1[ZOMAC])</f>
        <v>0</v>
      </c>
      <c r="J184" s="3" t="str" cm="1">
        <f t="array" ref="J184">_xlfn.TEXTJOIN(", ", TRUE, IF(radicados[ID PROYECTOS]=A184, radicados[RADICADO], ""))</f>
        <v/>
      </c>
      <c r="K184" s="45">
        <v>3</v>
      </c>
      <c r="L184" s="45">
        <v>1</v>
      </c>
      <c r="M184" s="43" t="s">
        <v>179</v>
      </c>
      <c r="N184" s="48">
        <v>4847192489</v>
      </c>
      <c r="O184" s="48"/>
      <c r="P184" s="48"/>
      <c r="Q184" s="148" t="s">
        <v>1067</v>
      </c>
      <c r="R184" s="34" t="s">
        <v>288</v>
      </c>
      <c r="S184" s="40" t="s">
        <v>398</v>
      </c>
      <c r="T184" s="34" t="s">
        <v>25</v>
      </c>
      <c r="U184" s="37"/>
      <c r="V184" s="44">
        <f>+_xlfn.XLOOKUP(PROYECTOS2[[#This Row],[MUNICIPIO]],'4.CAP_ENDMNT'!B:B,'4.CAP_ENDMNT'!C:C,0,0,1)</f>
        <v>6</v>
      </c>
      <c r="W184" s="139">
        <f>+_xlfn.XLOOKUP(PROYECTOS2[[#This Row],[MUNICIPIO]],'4.CAP_ENDMNT'!B:B,'4.CAP_ENDMNT'!D:D,0,0,1)</f>
        <v>17565923370.843998</v>
      </c>
      <c r="X184" s="140">
        <f>+_xlfn.XLOOKUP(PROYECTOS2[[#This Row],[MUNICIPIO]],'4.CAP_ENDMNT'!B:B,'4.CAP_ENDMNT'!E:E,0,0,1)</f>
        <v>4463335582.5100002</v>
      </c>
      <c r="Y184" s="140">
        <f>+_xlfn.XLOOKUP(PROYECTOS2[[#This Row],[MUNICIPIO]],'4.CAP_ENDMNT'!B:B,'4.CAP_ENDMNT'!F:F,0,0,1)</f>
        <v>13102587788.333998</v>
      </c>
      <c r="Z184" s="140">
        <f>+_xlfn.XLOOKUP(PROYECTOS2[[#This Row],[MUNICIPIO]],'4.CAP_ENDMNT'!B:B,'4.CAP_ENDMNT'!G:G,0,0,1)</f>
        <v>2561424191</v>
      </c>
      <c r="AA184" s="140">
        <f>+_xlfn.XLOOKUP(PROYECTOS2[[#This Row],[MUNICIPIO]],'4.CAP_ENDMNT'!B:B,'4.CAP_ENDMNT'!H:H,0,0,1)</f>
        <v>0</v>
      </c>
      <c r="AB184" s="140">
        <f>+_xlfn.XLOOKUP(PROYECTOS2[[#This Row],[MUNICIPIO]],'4.CAP_ENDMNT'!B:B,'4.CAP_ENDMNT'!I:I,0,0,1)</f>
        <v>2561424191</v>
      </c>
      <c r="AC184" s="134">
        <f>+_xlfn.XLOOKUP(PROYECTOS2[[#This Row],[MUNICIPIO]],'4.CAP_ENDMNT'!B:B,'4.CAP_ENDMNT'!J:J,0,0,1)</f>
        <v>0.14581779374328047</v>
      </c>
      <c r="AD184" s="140">
        <f>+_xlfn.XLOOKUP(PROYECTOS2[[#This Row],[MUNICIPIO]],'4.CAP_ENDMNT'!B:B,'4.CAP_ENDMNT'!K:K,0,0,1)</f>
        <v>15004499179.843998</v>
      </c>
      <c r="AE184" s="140">
        <f>+_xlfn.XLOOKUP(PROYECTOS2[[#This Row],[MUNICIPIO]],'4.CAP_ENDMNT'!B:B,'4.CAP_ENDMNT'!L:L,0,0,1)</f>
        <v>12003599343.875198</v>
      </c>
      <c r="AF184" s="140">
        <f>+_xlfn.XLOOKUP(PROYECTOS2[[#This Row],[MUNICIPIO]],'4.CAP_ENDMNT'!B:B,'4.CAP_ENDMNT'!M:M,0,0,1)</f>
        <v>9002699507.9063988</v>
      </c>
      <c r="AG184" s="134">
        <f>+_xlfn.XLOOKUP(PROYECTOS2[[#This Row],[MUNICIPIO]],'4.CAP_ENDMNT'!B:B,'4.CAP_ENDMNT'!N:N,0,0,1)</f>
        <v>1</v>
      </c>
      <c r="AH184" s="134">
        <f>+_xlfn.XLOOKUP(PROYECTOS2[[#This Row],[MUNICIPIO]],'4.CAP_ENDMNT'!B:B,'4.CAP_ENDMNT'!O:O,0,0,1)</f>
        <v>0.64471709259563048</v>
      </c>
      <c r="AI184" s="134">
        <f>+_xlfn.XLOOKUP(PROYECTOS2[[#This Row],[MUNICIPIO]],'4.CAP_ENDMNT'!B:B,'4.CAP_ENDMNT'!P:P,0,0,1)</f>
        <v>0.8</v>
      </c>
      <c r="AJ184" s="44" t="str">
        <f>+_xlfn.XLOOKUP(PROYECTOS2[[#This Row],[MUNICIPIO]],'4.CAP_ENDMNT'!B:B,'4.CAP_ENDMNT'!Q:Q,0,0,1)</f>
        <v>Cumple</v>
      </c>
    </row>
    <row r="185" spans="1:36">
      <c r="A185" s="44">
        <v>207</v>
      </c>
      <c r="B185" s="37" t="s">
        <v>471</v>
      </c>
      <c r="C185" s="118">
        <v>45747</v>
      </c>
      <c r="D185" s="46" t="s">
        <v>141</v>
      </c>
      <c r="E185" s="47" t="str">
        <f>+_xlfn.XLOOKUP(PROYECTOS2[[#This Row],[MUNICIPIO]],MUNICIPIOS!A:A,MUNICIPIOS!E:E,0,0,1)</f>
        <v>Oriente</v>
      </c>
      <c r="F185" s="44" t="e" cm="1">
        <f t="array" ref="F185">+_xlfn.XLOOKUP(PROYECTOS2[[#This Row],[MUNICIPIO]],Table1[Municipio],MUNICIPIOS!F:F,0,0,1)</f>
        <v>#VALUE!</v>
      </c>
      <c r="G185" s="44" t="str">
        <f>+LOOKUP(PROYECTOS2[[#This Row],[MUNICIPIO]],Table1[Municipio],Table1[Latitud])</f>
        <v>7,074703</v>
      </c>
      <c r="H185" s="44">
        <f>+LOOKUP(PROYECTOS2[[#This Row],[MUNICIPIO]],Table1[Municipio],Table1[PDET])</f>
        <v>1</v>
      </c>
      <c r="I185" s="44">
        <f>+LOOKUP(PROYECTOS2[[#This Row],[MUNICIPIO]],Table1[Municipio],Table1[ZOMAC])</f>
        <v>1</v>
      </c>
      <c r="J185" s="3" t="str" cm="1">
        <f t="array" ref="J185">_xlfn.TEXTJOIN(", ", TRUE, IF(radicados[ID PROYECTOS]=A185, radicados[RADICADO], ""))</f>
        <v/>
      </c>
      <c r="K185" s="45">
        <v>3</v>
      </c>
      <c r="L185" s="45"/>
      <c r="M185" s="43" t="s">
        <v>179</v>
      </c>
      <c r="N185" s="48">
        <v>10645295128</v>
      </c>
      <c r="O185" s="48"/>
      <c r="P185" s="48"/>
      <c r="Q185" s="148" t="s">
        <v>1067</v>
      </c>
      <c r="R185" s="34" t="s">
        <v>288</v>
      </c>
      <c r="S185" s="40" t="s">
        <v>398</v>
      </c>
      <c r="T185" s="34" t="s">
        <v>25</v>
      </c>
      <c r="U185" s="37" t="s">
        <v>967</v>
      </c>
      <c r="V185" s="44">
        <f>+_xlfn.XLOOKUP(PROYECTOS2[[#This Row],[MUNICIPIO]],'4.CAP_ENDMNT'!B:B,'4.CAP_ENDMNT'!C:C,0,0,1)</f>
        <v>6</v>
      </c>
      <c r="W185" s="139">
        <f>+_xlfn.XLOOKUP(PROYECTOS2[[#This Row],[MUNICIPIO]],'4.CAP_ENDMNT'!B:B,'4.CAP_ENDMNT'!D:D,0,0,1)</f>
        <v>7397887197.3409996</v>
      </c>
      <c r="X185" s="140">
        <f>+_xlfn.XLOOKUP(PROYECTOS2[[#This Row],[MUNICIPIO]],'4.CAP_ENDMNT'!B:B,'4.CAP_ENDMNT'!E:E,0,0,1)</f>
        <v>2145550795.75</v>
      </c>
      <c r="Y185" s="140">
        <f>+_xlfn.XLOOKUP(PROYECTOS2[[#This Row],[MUNICIPIO]],'4.CAP_ENDMNT'!B:B,'4.CAP_ENDMNT'!F:F,0,0,1)</f>
        <v>5252336401.5909996</v>
      </c>
      <c r="Z185" s="140">
        <f>+_xlfn.XLOOKUP(PROYECTOS2[[#This Row],[MUNICIPIO]],'4.CAP_ENDMNT'!B:B,'4.CAP_ENDMNT'!G:G,0,0,1)</f>
        <v>913988424</v>
      </c>
      <c r="AA185" s="140">
        <f>+_xlfn.XLOOKUP(PROYECTOS2[[#This Row],[MUNICIPIO]],'4.CAP_ENDMNT'!B:B,'4.CAP_ENDMNT'!H:H,0,0,1)</f>
        <v>0</v>
      </c>
      <c r="AB185" s="140">
        <f>+_xlfn.XLOOKUP(PROYECTOS2[[#This Row],[MUNICIPIO]],'4.CAP_ENDMNT'!B:B,'4.CAP_ENDMNT'!I:I,0,0,1)</f>
        <v>913988424</v>
      </c>
      <c r="AC185" s="134">
        <f>+_xlfn.XLOOKUP(PROYECTOS2[[#This Row],[MUNICIPIO]],'4.CAP_ENDMNT'!B:B,'4.CAP_ENDMNT'!J:J,0,0,1)</f>
        <v>0.12354722363548773</v>
      </c>
      <c r="AD185" s="140">
        <f>+_xlfn.XLOOKUP(PROYECTOS2[[#This Row],[MUNICIPIO]],'4.CAP_ENDMNT'!B:B,'4.CAP_ENDMNT'!K:K,0,0,1)</f>
        <v>6483898773.3409996</v>
      </c>
      <c r="AE185" s="140">
        <f>+_xlfn.XLOOKUP(PROYECTOS2[[#This Row],[MUNICIPIO]],'4.CAP_ENDMNT'!B:B,'4.CAP_ENDMNT'!L:L,0,0,1)</f>
        <v>5187119018.6728001</v>
      </c>
      <c r="AF185" s="140">
        <f>+_xlfn.XLOOKUP(PROYECTOS2[[#This Row],[MUNICIPIO]],'4.CAP_ENDMNT'!B:B,'4.CAP_ENDMNT'!M:M,0,0,1)</f>
        <v>3890339264.0045996</v>
      </c>
      <c r="AG185" s="134">
        <f>+_xlfn.XLOOKUP(PROYECTOS2[[#This Row],[MUNICIPIO]],'4.CAP_ENDMNT'!B:B,'4.CAP_ENDMNT'!N:N,0,0,1)</f>
        <v>1</v>
      </c>
      <c r="AH185" s="134">
        <f>+_xlfn.XLOOKUP(PROYECTOS2[[#This Row],[MUNICIPIO]],'4.CAP_ENDMNT'!B:B,'4.CAP_ENDMNT'!O:O,0,0,1)</f>
        <v>0.55936476249157852</v>
      </c>
      <c r="AI185" s="134">
        <f>+_xlfn.XLOOKUP(PROYECTOS2[[#This Row],[MUNICIPIO]],'4.CAP_ENDMNT'!B:B,'4.CAP_ENDMNT'!P:P,0,0,1)</f>
        <v>0.8</v>
      </c>
      <c r="AJ185" s="44" t="str">
        <f>+_xlfn.XLOOKUP(PROYECTOS2[[#This Row],[MUNICIPIO]],'4.CAP_ENDMNT'!B:B,'4.CAP_ENDMNT'!Q:Q,0,0,1)</f>
        <v>Cumple</v>
      </c>
    </row>
    <row r="186" spans="1:36">
      <c r="A186" s="44">
        <v>208</v>
      </c>
      <c r="B186" s="37" t="s">
        <v>472</v>
      </c>
      <c r="C186" s="118">
        <v>45747</v>
      </c>
      <c r="D186" s="46" t="s">
        <v>473</v>
      </c>
      <c r="E186" s="47" t="str">
        <f>+_xlfn.XLOOKUP(PROYECTOS2[[#This Row],[MUNICIPIO]],MUNICIPIOS!A:A,MUNICIPIOS!E:E,0,0,1)</f>
        <v>Magdalena Medio</v>
      </c>
      <c r="F186" s="44" t="e" cm="1">
        <f t="array" ref="F186">+_xlfn.XLOOKUP(PROYECTOS2[[#This Row],[MUNICIPIO]],Table1[Municipio],MUNICIPIOS!F:F,0,0,1)</f>
        <v>#VALUE!</v>
      </c>
      <c r="G186" s="44" t="str">
        <f>+LOOKUP(PROYECTOS2[[#This Row],[MUNICIPIO]],Table1[Municipio],Table1[Latitud])</f>
        <v>7,074703</v>
      </c>
      <c r="H186" s="44">
        <f>+LOOKUP(PROYECTOS2[[#This Row],[MUNICIPIO]],Table1[Municipio],Table1[PDET])</f>
        <v>1</v>
      </c>
      <c r="I186" s="44">
        <f>+LOOKUP(PROYECTOS2[[#This Row],[MUNICIPIO]],Table1[Municipio],Table1[ZOMAC])</f>
        <v>1</v>
      </c>
      <c r="J186" s="3" t="str" cm="1">
        <f t="array" ref="J186">_xlfn.TEXTJOIN(", ", TRUE, IF(radicados[ID PROYECTOS]=A186, radicados[RADICADO], ""))</f>
        <v/>
      </c>
      <c r="K186" s="128">
        <v>2</v>
      </c>
      <c r="L186" s="45"/>
      <c r="M186" s="43" t="s">
        <v>179</v>
      </c>
      <c r="N186" s="48">
        <v>31817248283</v>
      </c>
      <c r="O186" s="48"/>
      <c r="P186" s="48"/>
      <c r="Q186" s="148" t="s">
        <v>1067</v>
      </c>
      <c r="R186" s="34" t="s">
        <v>288</v>
      </c>
      <c r="S186" s="40" t="s">
        <v>398</v>
      </c>
      <c r="T186" s="34" t="s">
        <v>25</v>
      </c>
      <c r="U186" s="37" t="s">
        <v>939</v>
      </c>
      <c r="V186" s="44">
        <f>+_xlfn.XLOOKUP(PROYECTOS2[[#This Row],[MUNICIPIO]],'4.CAP_ENDMNT'!B:B,'4.CAP_ENDMNT'!C:C,0,0,1)</f>
        <v>6</v>
      </c>
      <c r="W186" s="139">
        <f>+_xlfn.XLOOKUP(PROYECTOS2[[#This Row],[MUNICIPIO]],'4.CAP_ENDMNT'!B:B,'4.CAP_ENDMNT'!D:D,0,0,1)</f>
        <v>6287173903.2990007</v>
      </c>
      <c r="X186" s="140">
        <f>+_xlfn.XLOOKUP(PROYECTOS2[[#This Row],[MUNICIPIO]],'4.CAP_ENDMNT'!B:B,'4.CAP_ENDMNT'!E:E,0,0,1)</f>
        <v>2101889048.3700001</v>
      </c>
      <c r="Y186" s="140">
        <f>+_xlfn.XLOOKUP(PROYECTOS2[[#This Row],[MUNICIPIO]],'4.CAP_ENDMNT'!B:B,'4.CAP_ENDMNT'!F:F,0,0,1)</f>
        <v>4185284854.9290009</v>
      </c>
      <c r="Z186" s="140">
        <f>+_xlfn.XLOOKUP(PROYECTOS2[[#This Row],[MUNICIPIO]],'4.CAP_ENDMNT'!B:B,'4.CAP_ENDMNT'!G:G,0,0,1)</f>
        <v>1389004859</v>
      </c>
      <c r="AA186" s="140">
        <f>+_xlfn.XLOOKUP(PROYECTOS2[[#This Row],[MUNICIPIO]],'4.CAP_ENDMNT'!B:B,'4.CAP_ENDMNT'!H:H,0,0,1)</f>
        <v>1150000000</v>
      </c>
      <c r="AB186" s="140">
        <f>+_xlfn.XLOOKUP(PROYECTOS2[[#This Row],[MUNICIPIO]],'4.CAP_ENDMNT'!B:B,'4.CAP_ENDMNT'!I:I,0,0,1)</f>
        <v>2539004859</v>
      </c>
      <c r="AC186" s="134">
        <f>+_xlfn.XLOOKUP(PROYECTOS2[[#This Row],[MUNICIPIO]],'4.CAP_ENDMNT'!B:B,'4.CAP_ENDMNT'!J:J,0,0,1)</f>
        <v>0.40383881503066671</v>
      </c>
      <c r="AD186" s="140">
        <f>+_xlfn.XLOOKUP(PROYECTOS2[[#This Row],[MUNICIPIO]],'4.CAP_ENDMNT'!B:B,'4.CAP_ENDMNT'!K:K,0,0,1)</f>
        <v>3748169044.2990007</v>
      </c>
      <c r="AE186" s="140">
        <f>+_xlfn.XLOOKUP(PROYECTOS2[[#This Row],[MUNICIPIO]],'4.CAP_ENDMNT'!B:B,'4.CAP_ENDMNT'!L:L,0,0,1)</f>
        <v>2998535235.4392009</v>
      </c>
      <c r="AF186" s="140">
        <f>+_xlfn.XLOOKUP(PROYECTOS2[[#This Row],[MUNICIPIO]],'4.CAP_ENDMNT'!B:B,'4.CAP_ENDMNT'!M:M,0,0,1)</f>
        <v>2248901426.5794005</v>
      </c>
      <c r="AG186" s="134">
        <f>+_xlfn.XLOOKUP(PROYECTOS2[[#This Row],[MUNICIPIO]],'4.CAP_ENDMNT'!B:B,'4.CAP_ENDMNT'!N:N,0,0,1)</f>
        <v>0.54706664072595224</v>
      </c>
      <c r="AH186" s="134">
        <f>+_xlfn.XLOOKUP(PROYECTOS2[[#This Row],[MUNICIPIO]],'4.CAP_ENDMNT'!B:B,'4.CAP_ENDMNT'!O:O,0,0,1)</f>
        <v>0.5833393396108878</v>
      </c>
      <c r="AI186" s="134">
        <f>+_xlfn.XLOOKUP(PROYECTOS2[[#This Row],[MUNICIPIO]],'4.CAP_ENDMNT'!B:B,'4.CAP_ENDMNT'!P:P,0,0,1)</f>
        <v>0.8</v>
      </c>
      <c r="AJ186" s="44" t="str">
        <f>+_xlfn.XLOOKUP(PROYECTOS2[[#This Row],[MUNICIPIO]],'4.CAP_ENDMNT'!B:B,'4.CAP_ENDMNT'!Q:Q,0,0,1)</f>
        <v>Cumple</v>
      </c>
    </row>
    <row r="187" spans="1:36">
      <c r="A187" s="44">
        <v>209</v>
      </c>
      <c r="B187" s="37" t="s">
        <v>474</v>
      </c>
      <c r="C187" s="118">
        <v>45747</v>
      </c>
      <c r="D187" s="46" t="s">
        <v>327</v>
      </c>
      <c r="E187" s="47" t="str">
        <f>+_xlfn.XLOOKUP(PROYECTOS2[[#This Row],[MUNICIPIO]],MUNICIPIOS!A:A,MUNICIPIOS!E:E,0,0,1)</f>
        <v>Nordeste</v>
      </c>
      <c r="F187" s="44" t="e" cm="1">
        <f t="array" ref="F187">+_xlfn.XLOOKUP(PROYECTOS2[[#This Row],[MUNICIPIO]],Table1[Municipio],MUNICIPIOS!F:F,0,0,1)</f>
        <v>#VALUE!</v>
      </c>
      <c r="G187" s="44" t="str">
        <f>+LOOKUP(PROYECTOS2[[#This Row],[MUNICIPIO]],Table1[Municipio],Table1[Latitud])</f>
        <v>6,149903</v>
      </c>
      <c r="H187" s="44">
        <f>+LOOKUP(PROYECTOS2[[#This Row],[MUNICIPIO]],Table1[Municipio],Table1[PDET])</f>
        <v>0</v>
      </c>
      <c r="I187" s="44">
        <f>+LOOKUP(PROYECTOS2[[#This Row],[MUNICIPIO]],Table1[Municipio],Table1[ZOMAC])</f>
        <v>0</v>
      </c>
      <c r="J187" s="3" t="str" cm="1">
        <f t="array" ref="J187">_xlfn.TEXTJOIN(", ", TRUE, IF(radicados[ID PROYECTOS]=A187, radicados[RADICADO], ""))</f>
        <v/>
      </c>
      <c r="K187" s="45">
        <v>3</v>
      </c>
      <c r="L187" s="45"/>
      <c r="M187" s="43" t="s">
        <v>179</v>
      </c>
      <c r="N187" s="48">
        <v>5451448010</v>
      </c>
      <c r="O187" s="48"/>
      <c r="P187" s="48"/>
      <c r="Q187" s="148" t="s">
        <v>1067</v>
      </c>
      <c r="R187" s="34" t="s">
        <v>288</v>
      </c>
      <c r="S187" s="40" t="s">
        <v>398</v>
      </c>
      <c r="T187" s="34" t="s">
        <v>25</v>
      </c>
      <c r="U187" s="37"/>
      <c r="V187" s="44">
        <f>+_xlfn.XLOOKUP(PROYECTOS2[[#This Row],[MUNICIPIO]],'4.CAP_ENDMNT'!B:B,'4.CAP_ENDMNT'!C:C,0,0,1)</f>
        <v>6</v>
      </c>
      <c r="W187" s="139">
        <f>+_xlfn.XLOOKUP(PROYECTOS2[[#This Row],[MUNICIPIO]],'4.CAP_ENDMNT'!B:B,'4.CAP_ENDMNT'!D:D,0,0,1)</f>
        <v>13645854382.4415</v>
      </c>
      <c r="X187" s="140">
        <f>+_xlfn.XLOOKUP(PROYECTOS2[[#This Row],[MUNICIPIO]],'4.CAP_ENDMNT'!B:B,'4.CAP_ENDMNT'!E:E,0,0,1)</f>
        <v>5036095672.2200003</v>
      </c>
      <c r="Y187" s="140">
        <f>+_xlfn.XLOOKUP(PROYECTOS2[[#This Row],[MUNICIPIO]],'4.CAP_ENDMNT'!B:B,'4.CAP_ENDMNT'!F:F,0,0,1)</f>
        <v>8609758710.2215004</v>
      </c>
      <c r="Z187" s="140">
        <f>+_xlfn.XLOOKUP(PROYECTOS2[[#This Row],[MUNICIPIO]],'4.CAP_ENDMNT'!B:B,'4.CAP_ENDMNT'!G:G,0,0,1)</f>
        <v>2357809963</v>
      </c>
      <c r="AA187" s="140">
        <f>+_xlfn.XLOOKUP(PROYECTOS2[[#This Row],[MUNICIPIO]],'4.CAP_ENDMNT'!B:B,'4.CAP_ENDMNT'!H:H,0,0,1)</f>
        <v>1093248488</v>
      </c>
      <c r="AB187" s="140">
        <f>+_xlfn.XLOOKUP(PROYECTOS2[[#This Row],[MUNICIPIO]],'4.CAP_ENDMNT'!B:B,'4.CAP_ENDMNT'!I:I,0,0,1)</f>
        <v>3451058451</v>
      </c>
      <c r="AC187" s="134">
        <f>+_xlfn.XLOOKUP(PROYECTOS2[[#This Row],[MUNICIPIO]],'4.CAP_ENDMNT'!B:B,'4.CAP_ENDMNT'!J:J,0,0,1)</f>
        <v>0.25290160324739891</v>
      </c>
      <c r="AD187" s="140">
        <f>+_xlfn.XLOOKUP(PROYECTOS2[[#This Row],[MUNICIPIO]],'4.CAP_ENDMNT'!B:B,'4.CAP_ENDMNT'!K:K,0,0,1)</f>
        <v>10194795931.4415</v>
      </c>
      <c r="AE187" s="140">
        <f>+_xlfn.XLOOKUP(PROYECTOS2[[#This Row],[MUNICIPIO]],'4.CAP_ENDMNT'!B:B,'4.CAP_ENDMNT'!L:L,0,0,1)</f>
        <v>8155836745.1532001</v>
      </c>
      <c r="AF187" s="140">
        <f>+_xlfn.XLOOKUP(PROYECTOS2[[#This Row],[MUNICIPIO]],'4.CAP_ENDMNT'!B:B,'4.CAP_ENDMNT'!M:M,0,0,1)</f>
        <v>6116877558.8648996</v>
      </c>
      <c r="AG187" s="134">
        <f>+_xlfn.XLOOKUP(PROYECTOS2[[#This Row],[MUNICIPIO]],'4.CAP_ENDMNT'!B:B,'4.CAP_ENDMNT'!N:N,0,0,1)</f>
        <v>0.68321356954032075</v>
      </c>
      <c r="AH187" s="134">
        <f>+_xlfn.XLOOKUP(PROYECTOS2[[#This Row],[MUNICIPIO]],'4.CAP_ENDMNT'!B:B,'4.CAP_ENDMNT'!O:O,0,0,1)</f>
        <v>0.58815143933117542</v>
      </c>
      <c r="AI187" s="134">
        <f>+_xlfn.XLOOKUP(PROYECTOS2[[#This Row],[MUNICIPIO]],'4.CAP_ENDMNT'!B:B,'4.CAP_ENDMNT'!P:P,0,0,1)</f>
        <v>0.8</v>
      </c>
      <c r="AJ187" s="44" t="str">
        <f>+_xlfn.XLOOKUP(PROYECTOS2[[#This Row],[MUNICIPIO]],'4.CAP_ENDMNT'!B:B,'4.CAP_ENDMNT'!Q:Q,0,0,1)</f>
        <v>Cumple</v>
      </c>
    </row>
    <row r="188" spans="1:36">
      <c r="A188" s="44">
        <v>210</v>
      </c>
      <c r="B188" s="37" t="s">
        <v>475</v>
      </c>
      <c r="C188" s="118">
        <v>45747</v>
      </c>
      <c r="D188" s="46" t="s">
        <v>74</v>
      </c>
      <c r="E188" s="47" t="str">
        <f>+_xlfn.XLOOKUP(PROYECTOS2[[#This Row],[MUNICIPIO]],MUNICIPIOS!A:A,MUNICIPIOS!E:E,0,0,1)</f>
        <v>Urabá</v>
      </c>
      <c r="F188" s="44" t="e" cm="1">
        <f t="array" ref="F188">+_xlfn.XLOOKUP(PROYECTOS2[[#This Row],[MUNICIPIO]],Table1[Municipio],MUNICIPIOS!F:F,0,0,1)</f>
        <v>#VALUE!</v>
      </c>
      <c r="G188" s="44" t="str">
        <f>+LOOKUP(PROYECTOS2[[#This Row],[MUNICIPIO]],Table1[Municipio],Table1[Latitud])</f>
        <v>6,149903</v>
      </c>
      <c r="H188" s="44">
        <f>+LOOKUP(PROYECTOS2[[#This Row],[MUNICIPIO]],Table1[Municipio],Table1[PDET])</f>
        <v>0</v>
      </c>
      <c r="I188" s="44">
        <f>+LOOKUP(PROYECTOS2[[#This Row],[MUNICIPIO]],Table1[Municipio],Table1[ZOMAC])</f>
        <v>0</v>
      </c>
      <c r="J188" s="3" t="str" cm="1">
        <f t="array" ref="J188">_xlfn.TEXTJOIN(", ", TRUE, IF(radicados[ID PROYECTOS]=A188, radicados[RADICADO], ""))</f>
        <v/>
      </c>
      <c r="K188" s="45">
        <v>3</v>
      </c>
      <c r="L188" s="45"/>
      <c r="M188" s="43" t="s">
        <v>179</v>
      </c>
      <c r="N188" s="48">
        <v>4983208998</v>
      </c>
      <c r="O188" s="48"/>
      <c r="P188" s="48"/>
      <c r="Q188" s="148" t="s">
        <v>1067</v>
      </c>
      <c r="R188" s="34" t="s">
        <v>288</v>
      </c>
      <c r="S188" s="40" t="s">
        <v>398</v>
      </c>
      <c r="T188" s="34" t="s">
        <v>25</v>
      </c>
      <c r="U188" s="37" t="s">
        <v>1111</v>
      </c>
      <c r="V188" s="44">
        <f>+_xlfn.XLOOKUP(PROYECTOS2[[#This Row],[MUNICIPIO]],'4.CAP_ENDMNT'!B:B,'4.CAP_ENDMNT'!C:C,0,0,1)</f>
        <v>5</v>
      </c>
      <c r="W188" s="139">
        <f>+_xlfn.XLOOKUP(PROYECTOS2[[#This Row],[MUNICIPIO]],'4.CAP_ENDMNT'!B:B,'4.CAP_ENDMNT'!D:D,0,0,1)</f>
        <v>57277943756.629501</v>
      </c>
      <c r="X188" s="140">
        <f>+_xlfn.XLOOKUP(PROYECTOS2[[#This Row],[MUNICIPIO]],'4.CAP_ENDMNT'!B:B,'4.CAP_ENDMNT'!E:E,0,0,1)</f>
        <v>34159399600.959999</v>
      </c>
      <c r="Y188" s="140">
        <f>+_xlfn.XLOOKUP(PROYECTOS2[[#This Row],[MUNICIPIO]],'4.CAP_ENDMNT'!B:B,'4.CAP_ENDMNT'!F:F,0,0,1)</f>
        <v>23118544155.669502</v>
      </c>
      <c r="Z188" s="140">
        <f>+_xlfn.XLOOKUP(PROYECTOS2[[#This Row],[MUNICIPIO]],'4.CAP_ENDMNT'!B:B,'4.CAP_ENDMNT'!G:G,0,0,1)</f>
        <v>3450000000</v>
      </c>
      <c r="AA188" s="140">
        <f>+_xlfn.XLOOKUP(PROYECTOS2[[#This Row],[MUNICIPIO]],'4.CAP_ENDMNT'!B:B,'4.CAP_ENDMNT'!H:H,0,0,1)</f>
        <v>21452083665</v>
      </c>
      <c r="AB188" s="140">
        <f>+_xlfn.XLOOKUP(PROYECTOS2[[#This Row],[MUNICIPIO]],'4.CAP_ENDMNT'!B:B,'4.CAP_ENDMNT'!I:I,0,0,1)</f>
        <v>24902083665</v>
      </c>
      <c r="AC188" s="134">
        <f>+_xlfn.XLOOKUP(PROYECTOS2[[#This Row],[MUNICIPIO]],'4.CAP_ENDMNT'!B:B,'4.CAP_ENDMNT'!J:J,0,0,1)</f>
        <v>0.43475868775610099</v>
      </c>
      <c r="AD188" s="140">
        <f>+_xlfn.XLOOKUP(PROYECTOS2[[#This Row],[MUNICIPIO]],'4.CAP_ENDMNT'!B:B,'4.CAP_ENDMNT'!K:K,0,0,1)</f>
        <v>32375860091.629501</v>
      </c>
      <c r="AE188" s="140">
        <f>+_xlfn.XLOOKUP(PROYECTOS2[[#This Row],[MUNICIPIO]],'4.CAP_ENDMNT'!B:B,'4.CAP_ENDMNT'!L:L,0,0,1)</f>
        <v>25900688073.303604</v>
      </c>
      <c r="AF188" s="140">
        <f>+_xlfn.XLOOKUP(PROYECTOS2[[#This Row],[MUNICIPIO]],'4.CAP_ENDMNT'!B:B,'4.CAP_ENDMNT'!M:M,0,0,1)</f>
        <v>19425516054.977699</v>
      </c>
      <c r="AG188" s="134">
        <f>+_xlfn.XLOOKUP(PROYECTOS2[[#This Row],[MUNICIPIO]],'4.CAP_ENDMNT'!B:B,'4.CAP_ENDMNT'!N:N,0,0,1)</f>
        <v>0.13854262343712995</v>
      </c>
      <c r="AH188" s="134">
        <f>+_xlfn.XLOOKUP(PROYECTOS2[[#This Row],[MUNICIPIO]],'4.CAP_ENDMNT'!B:B,'4.CAP_ENDMNT'!O:O,0,0,1)</f>
        <v>0.87015152665365447</v>
      </c>
      <c r="AI188" s="134">
        <f>+_xlfn.XLOOKUP(PROYECTOS2[[#This Row],[MUNICIPIO]],'4.CAP_ENDMNT'!B:B,'4.CAP_ENDMNT'!P:P,0,0,1)</f>
        <v>0.8</v>
      </c>
      <c r="AJ188" s="44" t="str">
        <f>+_xlfn.XLOOKUP(PROYECTOS2[[#This Row],[MUNICIPIO]],'4.CAP_ENDMNT'!B:B,'4.CAP_ENDMNT'!Q:Q,0,0,1)</f>
        <v>Incumple</v>
      </c>
    </row>
    <row r="189" spans="1:36">
      <c r="A189" s="44">
        <v>211</v>
      </c>
      <c r="B189" s="37" t="s">
        <v>476</v>
      </c>
      <c r="C189" s="118">
        <v>45747</v>
      </c>
      <c r="D189" s="46" t="s">
        <v>477</v>
      </c>
      <c r="E189" s="47" t="str">
        <f>+_xlfn.XLOOKUP(PROYECTOS2[[#This Row],[MUNICIPIO]],MUNICIPIOS!A:A,MUNICIPIOS!E:E,0,0,1)</f>
        <v>Norte</v>
      </c>
      <c r="F189" s="44" t="e" cm="1">
        <f t="array" ref="F189">+_xlfn.XLOOKUP(PROYECTOS2[[#This Row],[MUNICIPIO]],Table1[Municipio],MUNICIPIOS!F:F,0,0,1)</f>
        <v>#VALUE!</v>
      </c>
      <c r="G189" s="44" t="e">
        <f>+LOOKUP(PROYECTOS2[[#This Row],[MUNICIPIO]],Table1[Municipio],Table1[Latitud])</f>
        <v>#N/A</v>
      </c>
      <c r="H189" s="44" t="e">
        <f>+LOOKUP(PROYECTOS2[[#This Row],[MUNICIPIO]],Table1[Municipio],Table1[PDET])</f>
        <v>#N/A</v>
      </c>
      <c r="I189" s="44" t="e">
        <f>+LOOKUP(PROYECTOS2[[#This Row],[MUNICIPIO]],Table1[Municipio],Table1[ZOMAC])</f>
        <v>#N/A</v>
      </c>
      <c r="J189" s="3" t="str" cm="1">
        <f t="array" ref="J189">_xlfn.TEXTJOIN(", ", TRUE, IF(radicados[ID PROYECTOS]=A189, radicados[RADICADO], ""))</f>
        <v/>
      </c>
      <c r="K189" s="45">
        <v>3</v>
      </c>
      <c r="L189" s="45"/>
      <c r="M189" s="43" t="s">
        <v>179</v>
      </c>
      <c r="N189" s="48">
        <v>9109615127</v>
      </c>
      <c r="O189" s="48"/>
      <c r="P189" s="48"/>
      <c r="Q189" s="148" t="s">
        <v>1067</v>
      </c>
      <c r="R189" s="34" t="s">
        <v>288</v>
      </c>
      <c r="S189" s="40" t="s">
        <v>398</v>
      </c>
      <c r="T189" s="34" t="s">
        <v>25</v>
      </c>
      <c r="U189" s="37"/>
      <c r="V189" s="44">
        <f>+_xlfn.XLOOKUP(PROYECTOS2[[#This Row],[MUNICIPIO]],'4.CAP_ENDMNT'!B:B,'4.CAP_ENDMNT'!C:C,0,0,1)</f>
        <v>6</v>
      </c>
      <c r="W189" s="139">
        <f>+_xlfn.XLOOKUP(PROYECTOS2[[#This Row],[MUNICIPIO]],'4.CAP_ENDMNT'!B:B,'4.CAP_ENDMNT'!D:D,0,0,1)</f>
        <v>12764062914.553999</v>
      </c>
      <c r="X189" s="140">
        <f>+_xlfn.XLOOKUP(PROYECTOS2[[#This Row],[MUNICIPIO]],'4.CAP_ENDMNT'!B:B,'4.CAP_ENDMNT'!E:E,0,0,1)</f>
        <v>4266060462.2200003</v>
      </c>
      <c r="Y189" s="140">
        <f>+_xlfn.XLOOKUP(PROYECTOS2[[#This Row],[MUNICIPIO]],'4.CAP_ENDMNT'!B:B,'4.CAP_ENDMNT'!F:F,0,0,1)</f>
        <v>8498002452.3339987</v>
      </c>
      <c r="Z189" s="140">
        <f>+_xlfn.XLOOKUP(PROYECTOS2[[#This Row],[MUNICIPIO]],'4.CAP_ENDMNT'!B:B,'4.CAP_ENDMNT'!G:G,0,0,1)</f>
        <v>4258957687</v>
      </c>
      <c r="AA189" s="140">
        <f>+_xlfn.XLOOKUP(PROYECTOS2[[#This Row],[MUNICIPIO]],'4.CAP_ENDMNT'!B:B,'4.CAP_ENDMNT'!H:H,0,0,1)</f>
        <v>500000000</v>
      </c>
      <c r="AB189" s="140">
        <f>+_xlfn.XLOOKUP(PROYECTOS2[[#This Row],[MUNICIPIO]],'4.CAP_ENDMNT'!B:B,'4.CAP_ENDMNT'!I:I,0,0,1)</f>
        <v>4758957687</v>
      </c>
      <c r="AC189" s="134">
        <f>+_xlfn.XLOOKUP(PROYECTOS2[[#This Row],[MUNICIPIO]],'4.CAP_ENDMNT'!B:B,'4.CAP_ENDMNT'!J:J,0,0,1)</f>
        <v>0.37284035019708983</v>
      </c>
      <c r="AD189" s="140">
        <f>+_xlfn.XLOOKUP(PROYECTOS2[[#This Row],[MUNICIPIO]],'4.CAP_ENDMNT'!B:B,'4.CAP_ENDMNT'!K:K,0,0,1)</f>
        <v>8005105227.5539989</v>
      </c>
      <c r="AE189" s="140">
        <f>+_xlfn.XLOOKUP(PROYECTOS2[[#This Row],[MUNICIPIO]],'4.CAP_ENDMNT'!B:B,'4.CAP_ENDMNT'!L:L,0,0,1)</f>
        <v>6404084182.0431995</v>
      </c>
      <c r="AF189" s="140">
        <f>+_xlfn.XLOOKUP(PROYECTOS2[[#This Row],[MUNICIPIO]],'4.CAP_ENDMNT'!B:B,'4.CAP_ENDMNT'!M:M,0,0,1)</f>
        <v>4803063136.5323992</v>
      </c>
      <c r="AG189" s="134">
        <f>+_xlfn.XLOOKUP(PROYECTOS2[[#This Row],[MUNICIPIO]],'4.CAP_ENDMNT'!B:B,'4.CAP_ENDMNT'!N:N,0,0,1)</f>
        <v>0.89493497675639244</v>
      </c>
      <c r="AH189" s="134">
        <f>+_xlfn.XLOOKUP(PROYECTOS2[[#This Row],[MUNICIPIO]],'4.CAP_ENDMNT'!B:B,'4.CAP_ENDMNT'!O:O,0,0,1)</f>
        <v>0.64132957807138946</v>
      </c>
      <c r="AI189" s="134">
        <f>+_xlfn.XLOOKUP(PROYECTOS2[[#This Row],[MUNICIPIO]],'4.CAP_ENDMNT'!B:B,'4.CAP_ENDMNT'!P:P,0,0,1)</f>
        <v>0.8</v>
      </c>
      <c r="AJ189" s="44" t="str">
        <f>+_xlfn.XLOOKUP(PROYECTOS2[[#This Row],[MUNICIPIO]],'4.CAP_ENDMNT'!B:B,'4.CAP_ENDMNT'!Q:Q,0,0,1)</f>
        <v>Cumple</v>
      </c>
    </row>
    <row r="190" spans="1:36">
      <c r="A190" s="44">
        <v>212</v>
      </c>
      <c r="B190" s="37" t="s">
        <v>478</v>
      </c>
      <c r="C190" s="118">
        <v>45747</v>
      </c>
      <c r="D190" s="34" t="s">
        <v>138</v>
      </c>
      <c r="E190" s="47" t="str">
        <f>+_xlfn.XLOOKUP(PROYECTOS2[[#This Row],[MUNICIPIO]],MUNICIPIOS!A:A,MUNICIPIOS!E:E,0,0,1)</f>
        <v>Norte</v>
      </c>
      <c r="F190" s="44" t="e" cm="1">
        <f t="array" ref="F190">+_xlfn.XLOOKUP(PROYECTOS2[[#This Row],[MUNICIPIO]],Table1[Municipio],MUNICIPIOS!F:F,0,0,1)</f>
        <v>#VALUE!</v>
      </c>
      <c r="G190" s="44" t="str">
        <f>+LOOKUP(PROYECTOS2[[#This Row],[MUNICIPIO]],Table1[Municipio],Table1[Latitud])</f>
        <v>6,136871</v>
      </c>
      <c r="H190" s="44">
        <f>+LOOKUP(PROYECTOS2[[#This Row],[MUNICIPIO]],Table1[Municipio],Table1[PDET])</f>
        <v>0</v>
      </c>
      <c r="I190" s="44">
        <f>+LOOKUP(PROYECTOS2[[#This Row],[MUNICIPIO]],Table1[Municipio],Table1[ZOMAC])</f>
        <v>0</v>
      </c>
      <c r="J190" s="3" t="str" cm="1">
        <f t="array" ref="J190">_xlfn.TEXTJOIN(", ", TRUE, IF(radicados[ID PROYECTOS]=A190, radicados[RADICADO], ""))</f>
        <v/>
      </c>
      <c r="K190" s="128">
        <v>2</v>
      </c>
      <c r="L190" s="45"/>
      <c r="M190" s="43"/>
      <c r="N190" s="48">
        <v>16445000000</v>
      </c>
      <c r="O190" s="48"/>
      <c r="P190" s="48"/>
      <c r="Q190" s="148" t="s">
        <v>1067</v>
      </c>
      <c r="R190" s="34" t="s">
        <v>435</v>
      </c>
      <c r="S190" s="40" t="s">
        <v>397</v>
      </c>
      <c r="T190" s="40" t="s">
        <v>56</v>
      </c>
      <c r="U190" s="37" t="s">
        <v>479</v>
      </c>
      <c r="V190" s="44">
        <f>+_xlfn.XLOOKUP(PROYECTOS2[[#This Row],[MUNICIPIO]],'4.CAP_ENDMNT'!B:B,'4.CAP_ENDMNT'!C:C,0,0,1)</f>
        <v>6</v>
      </c>
      <c r="W190" s="139">
        <f>+_xlfn.XLOOKUP(PROYECTOS2[[#This Row],[MUNICIPIO]],'4.CAP_ENDMNT'!B:B,'4.CAP_ENDMNT'!D:D,0,0,1)</f>
        <v>12229746381.692001</v>
      </c>
      <c r="X190" s="140">
        <f>+_xlfn.XLOOKUP(PROYECTOS2[[#This Row],[MUNICIPIO]],'4.CAP_ENDMNT'!B:B,'4.CAP_ENDMNT'!E:E,0,0,1)</f>
        <v>3376878617.9000001</v>
      </c>
      <c r="Y190" s="140">
        <f>+_xlfn.XLOOKUP(PROYECTOS2[[#This Row],[MUNICIPIO]],'4.CAP_ENDMNT'!B:B,'4.CAP_ENDMNT'!F:F,0,0,1)</f>
        <v>8852867763.7920017</v>
      </c>
      <c r="Z190" s="140">
        <f>+_xlfn.XLOOKUP(PROYECTOS2[[#This Row],[MUNICIPIO]],'4.CAP_ENDMNT'!B:B,'4.CAP_ENDMNT'!G:G,0,0,1)</f>
        <v>1494526177.51</v>
      </c>
      <c r="AA190" s="140">
        <f>+_xlfn.XLOOKUP(PROYECTOS2[[#This Row],[MUNICIPIO]],'4.CAP_ENDMNT'!B:B,'4.CAP_ENDMNT'!H:H,0,0,1)</f>
        <v>880381975</v>
      </c>
      <c r="AB190" s="140">
        <f>+_xlfn.XLOOKUP(PROYECTOS2[[#This Row],[MUNICIPIO]],'4.CAP_ENDMNT'!B:B,'4.CAP_ENDMNT'!I:I,0,0,1)</f>
        <v>2374908152.5100002</v>
      </c>
      <c r="AC190" s="134">
        <f>+_xlfn.XLOOKUP(PROYECTOS2[[#This Row],[MUNICIPIO]],'4.CAP_ENDMNT'!B:B,'4.CAP_ENDMNT'!J:J,0,0,1)</f>
        <v>0.19419112043609105</v>
      </c>
      <c r="AD190" s="140">
        <f>+_xlfn.XLOOKUP(PROYECTOS2[[#This Row],[MUNICIPIO]],'4.CAP_ENDMNT'!B:B,'4.CAP_ENDMNT'!K:K,0,0,1)</f>
        <v>9854838229.1820011</v>
      </c>
      <c r="AE190" s="140">
        <f>+_xlfn.XLOOKUP(PROYECTOS2[[#This Row],[MUNICIPIO]],'4.CAP_ENDMNT'!B:B,'4.CAP_ENDMNT'!L:L,0,0,1)</f>
        <v>7883870583.3456011</v>
      </c>
      <c r="AF190" s="140">
        <f>+_xlfn.XLOOKUP(PROYECTOS2[[#This Row],[MUNICIPIO]],'4.CAP_ENDMNT'!B:B,'4.CAP_ENDMNT'!M:M,0,0,1)</f>
        <v>5912902937.5092001</v>
      </c>
      <c r="AG190" s="134">
        <f>+_xlfn.XLOOKUP(PROYECTOS2[[#This Row],[MUNICIPIO]],'4.CAP_ENDMNT'!B:B,'4.CAP_ENDMNT'!N:N,0,0,1)</f>
        <v>0.6292985166312477</v>
      </c>
      <c r="AH190" s="134">
        <f>+_xlfn.XLOOKUP(PROYECTOS2[[#This Row],[MUNICIPIO]],'4.CAP_ENDMNT'!B:B,'4.CAP_ENDMNT'!O:O,0,0,1)</f>
        <v>0.5600857997738885</v>
      </c>
      <c r="AI190" s="134">
        <f>+_xlfn.XLOOKUP(PROYECTOS2[[#This Row],[MUNICIPIO]],'4.CAP_ENDMNT'!B:B,'4.CAP_ENDMNT'!P:P,0,0,1)</f>
        <v>0.8</v>
      </c>
      <c r="AJ190" s="44" t="str">
        <f>+_xlfn.XLOOKUP(PROYECTOS2[[#This Row],[MUNICIPIO]],'4.CAP_ENDMNT'!B:B,'4.CAP_ENDMNT'!Q:Q,0,0,1)</f>
        <v>Cumple</v>
      </c>
    </row>
    <row r="191" spans="1:36">
      <c r="A191" s="44">
        <v>213</v>
      </c>
      <c r="B191" s="37" t="s">
        <v>480</v>
      </c>
      <c r="C191" s="118">
        <v>45747</v>
      </c>
      <c r="D191" s="34" t="s">
        <v>281</v>
      </c>
      <c r="E191" s="47" t="str">
        <f>+_xlfn.XLOOKUP(PROYECTOS2[[#This Row],[MUNICIPIO]],MUNICIPIOS!A:A,MUNICIPIOS!E:E,0,0,1)</f>
        <v>Suroeste</v>
      </c>
      <c r="F191" s="44" t="e" cm="1">
        <f t="array" ref="F191">+_xlfn.XLOOKUP(PROYECTOS2[[#This Row],[MUNICIPIO]],Table1[Municipio],MUNICIPIOS!F:F,0,0,1)</f>
        <v>#VALUE!</v>
      </c>
      <c r="G191" s="44" t="str">
        <f>+LOOKUP(PROYECTOS2[[#This Row],[MUNICIPIO]],Table1[Municipio],Table1[Latitud])</f>
        <v>6,149903</v>
      </c>
      <c r="H191" s="44">
        <f>+LOOKUP(PROYECTOS2[[#This Row],[MUNICIPIO]],Table1[Municipio],Table1[PDET])</f>
        <v>0</v>
      </c>
      <c r="I191" s="44">
        <f>+LOOKUP(PROYECTOS2[[#This Row],[MUNICIPIO]],Table1[Municipio],Table1[ZOMAC])</f>
        <v>0</v>
      </c>
      <c r="J191" s="3" t="str" cm="1">
        <f t="array" ref="J191">_xlfn.TEXTJOIN(", ", TRUE, IF(radicados[ID PROYECTOS]=A191, radicados[RADICADO], ""))</f>
        <v/>
      </c>
      <c r="K191" s="142">
        <v>2</v>
      </c>
      <c r="L191" s="45"/>
      <c r="M191" s="43"/>
      <c r="N191" s="48">
        <v>1739225600</v>
      </c>
      <c r="O191" s="48"/>
      <c r="P191" s="48"/>
      <c r="Q191" s="148" t="s">
        <v>1067</v>
      </c>
      <c r="R191" s="34" t="s">
        <v>435</v>
      </c>
      <c r="S191" s="40" t="s">
        <v>397</v>
      </c>
      <c r="T191" s="40" t="s">
        <v>56</v>
      </c>
      <c r="U191" s="37" t="s">
        <v>481</v>
      </c>
      <c r="V191" s="44">
        <f>+_xlfn.XLOOKUP(PROYECTOS2[[#This Row],[MUNICIPIO]],'4.CAP_ENDMNT'!B:B,'4.CAP_ENDMNT'!C:C,0,0,1)</f>
        <v>6</v>
      </c>
      <c r="W191" s="139">
        <f>+_xlfn.XLOOKUP(PROYECTOS2[[#This Row],[MUNICIPIO]],'4.CAP_ENDMNT'!B:B,'4.CAP_ENDMNT'!D:D,0,0,1)</f>
        <v>12522207884.799</v>
      </c>
      <c r="X191" s="140">
        <f>+_xlfn.XLOOKUP(PROYECTOS2[[#This Row],[MUNICIPIO]],'4.CAP_ENDMNT'!B:B,'4.CAP_ENDMNT'!E:E,0,0,1)</f>
        <v>6810462569.46</v>
      </c>
      <c r="Y191" s="140">
        <f>+_xlfn.XLOOKUP(PROYECTOS2[[#This Row],[MUNICIPIO]],'4.CAP_ENDMNT'!B:B,'4.CAP_ENDMNT'!F:F,0,0,1)</f>
        <v>5711745315.3389997</v>
      </c>
      <c r="Z191" s="140">
        <f>+_xlfn.XLOOKUP(PROYECTOS2[[#This Row],[MUNICIPIO]],'4.CAP_ENDMNT'!B:B,'4.CAP_ENDMNT'!G:G,0,0,1)</f>
        <v>0</v>
      </c>
      <c r="AA191" s="140">
        <f>+_xlfn.XLOOKUP(PROYECTOS2[[#This Row],[MUNICIPIO]],'4.CAP_ENDMNT'!B:B,'4.CAP_ENDMNT'!H:H,0,0,1)</f>
        <v>0</v>
      </c>
      <c r="AB191" s="140">
        <f>+_xlfn.XLOOKUP(PROYECTOS2[[#This Row],[MUNICIPIO]],'4.CAP_ENDMNT'!B:B,'4.CAP_ENDMNT'!I:I,0,0,1)</f>
        <v>0</v>
      </c>
      <c r="AC191" s="134">
        <f>+_xlfn.XLOOKUP(PROYECTOS2[[#This Row],[MUNICIPIO]],'4.CAP_ENDMNT'!B:B,'4.CAP_ENDMNT'!J:J,0,0,1)</f>
        <v>0</v>
      </c>
      <c r="AD191" s="140">
        <f>+_xlfn.XLOOKUP(PROYECTOS2[[#This Row],[MUNICIPIO]],'4.CAP_ENDMNT'!B:B,'4.CAP_ENDMNT'!K:K,0,0,1)</f>
        <v>12522207884.799</v>
      </c>
      <c r="AE191" s="140">
        <f>+_xlfn.XLOOKUP(PROYECTOS2[[#This Row],[MUNICIPIO]],'4.CAP_ENDMNT'!B:B,'4.CAP_ENDMNT'!L:L,0,0,1)</f>
        <v>10017766307.839201</v>
      </c>
      <c r="AF191" s="140">
        <f>+_xlfn.XLOOKUP(PROYECTOS2[[#This Row],[MUNICIPIO]],'4.CAP_ENDMNT'!B:B,'4.CAP_ENDMNT'!M:M,0,0,1)</f>
        <v>7513324730.8793993</v>
      </c>
      <c r="AG191" s="134">
        <f>+_xlfn.XLOOKUP(PROYECTOS2[[#This Row],[MUNICIPIO]],'4.CAP_ENDMNT'!B:B,'4.CAP_ENDMNT'!N:N,0,0,1)</f>
        <v>0</v>
      </c>
      <c r="AH191" s="134">
        <f>+_xlfn.XLOOKUP(PROYECTOS2[[#This Row],[MUNICIPIO]],'4.CAP_ENDMNT'!B:B,'4.CAP_ENDMNT'!O:O,0,0,1)</f>
        <v>0.68767493145996073</v>
      </c>
      <c r="AI191" s="134">
        <f>+_xlfn.XLOOKUP(PROYECTOS2[[#This Row],[MUNICIPIO]],'4.CAP_ENDMNT'!B:B,'4.CAP_ENDMNT'!P:P,0,0,1)</f>
        <v>0.8</v>
      </c>
      <c r="AJ191" s="44" t="str">
        <f>+_xlfn.XLOOKUP(PROYECTOS2[[#This Row],[MUNICIPIO]],'4.CAP_ENDMNT'!B:B,'4.CAP_ENDMNT'!Q:Q,0,0,1)</f>
        <v>Cumple</v>
      </c>
    </row>
    <row r="192" spans="1:36">
      <c r="A192" s="44">
        <v>214</v>
      </c>
      <c r="B192" s="37" t="s">
        <v>482</v>
      </c>
      <c r="C192" s="118">
        <v>45747</v>
      </c>
      <c r="D192" s="34" t="s">
        <v>52</v>
      </c>
      <c r="E192" s="47" t="str">
        <f>+_xlfn.XLOOKUP(PROYECTOS2[[#This Row],[MUNICIPIO]],MUNICIPIOS!A:A,MUNICIPIOS!E:E,0,0,1)</f>
        <v>Suroeste</v>
      </c>
      <c r="F192" s="44" t="e" cm="1">
        <f t="array" ref="F192">+_xlfn.XLOOKUP(PROYECTOS2[[#This Row],[MUNICIPIO]],Table1[Municipio],MUNICIPIOS!F:F,0,0,1)</f>
        <v>#VALUE!</v>
      </c>
      <c r="G192" s="44" t="str">
        <f>+LOOKUP(PROYECTOS2[[#This Row],[MUNICIPIO]],Table1[Municipio],Table1[Latitud])</f>
        <v>6,149903</v>
      </c>
      <c r="H192" s="44">
        <f>+LOOKUP(PROYECTOS2[[#This Row],[MUNICIPIO]],Table1[Municipio],Table1[PDET])</f>
        <v>0</v>
      </c>
      <c r="I192" s="44">
        <f>+LOOKUP(PROYECTOS2[[#This Row],[MUNICIPIO]],Table1[Municipio],Table1[ZOMAC])</f>
        <v>0</v>
      </c>
      <c r="J192" s="3" t="str" cm="1">
        <f t="array" ref="J192">_xlfn.TEXTJOIN(", ", TRUE, IF(radicados[ID PROYECTOS]=A192, radicados[RADICADO], ""))</f>
        <v/>
      </c>
      <c r="K192" s="45">
        <v>3</v>
      </c>
      <c r="L192" s="45"/>
      <c r="M192" s="43"/>
      <c r="N192" s="48">
        <v>5280800000</v>
      </c>
      <c r="O192" s="48"/>
      <c r="P192" s="48"/>
      <c r="Q192" s="148" t="s">
        <v>1067</v>
      </c>
      <c r="R192" s="34" t="s">
        <v>435</v>
      </c>
      <c r="S192" s="40" t="s">
        <v>397</v>
      </c>
      <c r="T192" s="40" t="s">
        <v>56</v>
      </c>
      <c r="U192" s="37" t="s">
        <v>483</v>
      </c>
      <c r="V192" s="44">
        <f>+_xlfn.XLOOKUP(PROYECTOS2[[#This Row],[MUNICIPIO]],'4.CAP_ENDMNT'!B:B,'4.CAP_ENDMNT'!C:C,0,0,1)</f>
        <v>6</v>
      </c>
      <c r="W192" s="139">
        <f>+_xlfn.XLOOKUP(PROYECTOS2[[#This Row],[MUNICIPIO]],'4.CAP_ENDMNT'!B:B,'4.CAP_ENDMNT'!D:D,0,0,1)</f>
        <v>13939577899.640499</v>
      </c>
      <c r="X192" s="140">
        <f>+_xlfn.XLOOKUP(PROYECTOS2[[#This Row],[MUNICIPIO]],'4.CAP_ENDMNT'!B:B,'4.CAP_ENDMNT'!E:E,0,0,1)</f>
        <v>5408645166.3600006</v>
      </c>
      <c r="Y192" s="140">
        <f>+_xlfn.XLOOKUP(PROYECTOS2[[#This Row],[MUNICIPIO]],'4.CAP_ENDMNT'!B:B,'4.CAP_ENDMNT'!F:F,0,0,1)</f>
        <v>8530932733.2804985</v>
      </c>
      <c r="Z192" s="140">
        <f>+_xlfn.XLOOKUP(PROYECTOS2[[#This Row],[MUNICIPIO]],'4.CAP_ENDMNT'!B:B,'4.CAP_ENDMNT'!G:G,0,0,1)</f>
        <v>2408239973</v>
      </c>
      <c r="AA192" s="140">
        <f>+_xlfn.XLOOKUP(PROYECTOS2[[#This Row],[MUNICIPIO]],'4.CAP_ENDMNT'!B:B,'4.CAP_ENDMNT'!H:H,0,0,1)</f>
        <v>812109375</v>
      </c>
      <c r="AB192" s="140">
        <f>+_xlfn.XLOOKUP(PROYECTOS2[[#This Row],[MUNICIPIO]],'4.CAP_ENDMNT'!B:B,'4.CAP_ENDMNT'!I:I,0,0,1)</f>
        <v>3220349348</v>
      </c>
      <c r="AC192" s="134">
        <f>+_xlfn.XLOOKUP(PROYECTOS2[[#This Row],[MUNICIPIO]],'4.CAP_ENDMNT'!B:B,'4.CAP_ENDMNT'!J:J,0,0,1)</f>
        <v>0.23102201309001277</v>
      </c>
      <c r="AD192" s="140">
        <f>+_xlfn.XLOOKUP(PROYECTOS2[[#This Row],[MUNICIPIO]],'4.CAP_ENDMNT'!B:B,'4.CAP_ENDMNT'!K:K,0,0,1)</f>
        <v>10719228551.640499</v>
      </c>
      <c r="AE192" s="140">
        <f>+_xlfn.XLOOKUP(PROYECTOS2[[#This Row],[MUNICIPIO]],'4.CAP_ENDMNT'!B:B,'4.CAP_ENDMNT'!L:L,0,0,1)</f>
        <v>8575382841.3123999</v>
      </c>
      <c r="AF192" s="140">
        <f>+_xlfn.XLOOKUP(PROYECTOS2[[#This Row],[MUNICIPIO]],'4.CAP_ENDMNT'!B:B,'4.CAP_ENDMNT'!M:M,0,0,1)</f>
        <v>6431537130.9842997</v>
      </c>
      <c r="AG192" s="134">
        <f>+_xlfn.XLOOKUP(PROYECTOS2[[#This Row],[MUNICIPIO]],'4.CAP_ENDMNT'!B:B,'4.CAP_ENDMNT'!N:N,0,0,1)</f>
        <v>0.74781947942872684</v>
      </c>
      <c r="AH192" s="134">
        <f>+_xlfn.XLOOKUP(PROYECTOS2[[#This Row],[MUNICIPIO]],'4.CAP_ENDMNT'!B:B,'4.CAP_ENDMNT'!O:O,0,0,1)</f>
        <v>0.48148969869574604</v>
      </c>
      <c r="AI192" s="134">
        <f>+_xlfn.XLOOKUP(PROYECTOS2[[#This Row],[MUNICIPIO]],'4.CAP_ENDMNT'!B:B,'4.CAP_ENDMNT'!P:P,0,0,1)</f>
        <v>0.8</v>
      </c>
      <c r="AJ192" s="44" t="str">
        <f>+_xlfn.XLOOKUP(PROYECTOS2[[#This Row],[MUNICIPIO]],'4.CAP_ENDMNT'!B:B,'4.CAP_ENDMNT'!Q:Q,0,0,1)</f>
        <v>Cumple</v>
      </c>
    </row>
    <row r="193" spans="1:36">
      <c r="A193" s="44">
        <v>215</v>
      </c>
      <c r="B193" s="37" t="s">
        <v>484</v>
      </c>
      <c r="C193" s="118">
        <v>45747</v>
      </c>
      <c r="D193" s="34" t="s">
        <v>244</v>
      </c>
      <c r="E193" s="47" t="str">
        <f>+_xlfn.XLOOKUP(PROYECTOS2[[#This Row],[MUNICIPIO]],MUNICIPIOS!A:A,MUNICIPIOS!E:E,0,0,1)</f>
        <v>Nordeste</v>
      </c>
      <c r="F193" s="44" t="e" cm="1">
        <f t="array" ref="F193">+_xlfn.XLOOKUP(PROYECTOS2[[#This Row],[MUNICIPIO]],Table1[Municipio],MUNICIPIOS!F:F,0,0,1)</f>
        <v>#VALUE!</v>
      </c>
      <c r="G193" s="44" t="str">
        <f>+LOOKUP(PROYECTOS2[[#This Row],[MUNICIPIO]],Table1[Municipio],Table1[Latitud])</f>
        <v>6,537829</v>
      </c>
      <c r="H193" s="44">
        <f>+LOOKUP(PROYECTOS2[[#This Row],[MUNICIPIO]],Table1[Municipio],Table1[PDET])</f>
        <v>0</v>
      </c>
      <c r="I193" s="44">
        <f>+LOOKUP(PROYECTOS2[[#This Row],[MUNICIPIO]],Table1[Municipio],Table1[ZOMAC])</f>
        <v>0</v>
      </c>
      <c r="J193" s="3" t="str" cm="1">
        <f t="array" ref="J193">_xlfn.TEXTJOIN(", ", TRUE, IF(radicados[ID PROYECTOS]=A193, radicados[RADICADO], ""))</f>
        <v/>
      </c>
      <c r="K193" s="128">
        <v>2</v>
      </c>
      <c r="L193" s="45"/>
      <c r="M193" s="43"/>
      <c r="N193" s="48">
        <v>5449275000</v>
      </c>
      <c r="O193" s="48"/>
      <c r="P193" s="48"/>
      <c r="Q193" s="148" t="s">
        <v>1067</v>
      </c>
      <c r="R193" s="34" t="s">
        <v>435</v>
      </c>
      <c r="S193" s="40" t="s">
        <v>394</v>
      </c>
      <c r="T193" s="40" t="s">
        <v>18</v>
      </c>
      <c r="U193" s="37"/>
      <c r="V193" s="44">
        <f>+_xlfn.XLOOKUP(PROYECTOS2[[#This Row],[MUNICIPIO]],'4.CAP_ENDMNT'!B:B,'4.CAP_ENDMNT'!C:C,0,0,1)</f>
        <v>6</v>
      </c>
      <c r="W193" s="139">
        <f>+_xlfn.XLOOKUP(PROYECTOS2[[#This Row],[MUNICIPIO]],'4.CAP_ENDMNT'!B:B,'4.CAP_ENDMNT'!D:D,0,0,1)</f>
        <v>11769915072.3085</v>
      </c>
      <c r="X193" s="140">
        <f>+_xlfn.XLOOKUP(PROYECTOS2[[#This Row],[MUNICIPIO]],'4.CAP_ENDMNT'!B:B,'4.CAP_ENDMNT'!E:E,0,0,1)</f>
        <v>4043512144.3800001</v>
      </c>
      <c r="Y193" s="140">
        <f>+_xlfn.XLOOKUP(PROYECTOS2[[#This Row],[MUNICIPIO]],'4.CAP_ENDMNT'!B:B,'4.CAP_ENDMNT'!F:F,0,0,1)</f>
        <v>7726402927.9285002</v>
      </c>
      <c r="Z193" s="140">
        <f>+_xlfn.XLOOKUP(PROYECTOS2[[#This Row],[MUNICIPIO]],'4.CAP_ENDMNT'!B:B,'4.CAP_ENDMNT'!G:G,0,0,1)</f>
        <v>3010151420</v>
      </c>
      <c r="AA193" s="140">
        <f>+_xlfn.XLOOKUP(PROYECTOS2[[#This Row],[MUNICIPIO]],'4.CAP_ENDMNT'!B:B,'4.CAP_ENDMNT'!H:H,0,0,1)</f>
        <v>0</v>
      </c>
      <c r="AB193" s="140">
        <f>+_xlfn.XLOOKUP(PROYECTOS2[[#This Row],[MUNICIPIO]],'4.CAP_ENDMNT'!B:B,'4.CAP_ENDMNT'!I:I,0,0,1)</f>
        <v>3010151420</v>
      </c>
      <c r="AC193" s="134">
        <f>+_xlfn.XLOOKUP(PROYECTOS2[[#This Row],[MUNICIPIO]],'4.CAP_ENDMNT'!B:B,'4.CAP_ENDMNT'!J:J,0,0,1)</f>
        <v>0.255749629585866</v>
      </c>
      <c r="AD193" s="140">
        <f>+_xlfn.XLOOKUP(PROYECTOS2[[#This Row],[MUNICIPIO]],'4.CAP_ENDMNT'!B:B,'4.CAP_ENDMNT'!K:K,0,0,1)</f>
        <v>8759763652.3085003</v>
      </c>
      <c r="AE193" s="140">
        <f>+_xlfn.XLOOKUP(PROYECTOS2[[#This Row],[MUNICIPIO]],'4.CAP_ENDMNT'!B:B,'4.CAP_ENDMNT'!L:L,0,0,1)</f>
        <v>7007810921.8468008</v>
      </c>
      <c r="AF193" s="140">
        <f>+_xlfn.XLOOKUP(PROYECTOS2[[#This Row],[MUNICIPIO]],'4.CAP_ENDMNT'!B:B,'4.CAP_ENDMNT'!M:M,0,0,1)</f>
        <v>5255858191.3851004</v>
      </c>
      <c r="AG193" s="134">
        <f>+_xlfn.XLOOKUP(PROYECTOS2[[#This Row],[MUNICIPIO]],'4.CAP_ENDMNT'!B:B,'4.CAP_ENDMNT'!N:N,0,0,1)</f>
        <v>1</v>
      </c>
      <c r="AH193" s="134">
        <f>+_xlfn.XLOOKUP(PROYECTOS2[[#This Row],[MUNICIPIO]],'4.CAP_ENDMNT'!B:B,'4.CAP_ENDMNT'!O:O,0,0,1)</f>
        <v>0.52320001604697897</v>
      </c>
      <c r="AI193" s="134">
        <f>+_xlfn.XLOOKUP(PROYECTOS2[[#This Row],[MUNICIPIO]],'4.CAP_ENDMNT'!B:B,'4.CAP_ENDMNT'!P:P,0,0,1)</f>
        <v>0.8</v>
      </c>
      <c r="AJ193" s="44" t="str">
        <f>+_xlfn.XLOOKUP(PROYECTOS2[[#This Row],[MUNICIPIO]],'4.CAP_ENDMNT'!B:B,'4.CAP_ENDMNT'!Q:Q,0,0,1)</f>
        <v>Cumple</v>
      </c>
    </row>
    <row r="194" spans="1:36">
      <c r="A194" s="44">
        <v>216</v>
      </c>
      <c r="B194" s="37" t="s">
        <v>485</v>
      </c>
      <c r="C194" s="118">
        <v>45747</v>
      </c>
      <c r="D194" s="34" t="s">
        <v>23</v>
      </c>
      <c r="E194" s="47" t="str">
        <f>+_xlfn.XLOOKUP(PROYECTOS2[[#This Row],[MUNICIPIO]],MUNICIPIOS!A:A,MUNICIPIOS!E:E,0,0,1)</f>
        <v>Suroeste</v>
      </c>
      <c r="F194" s="44" t="e" cm="1">
        <f t="array" ref="F194">+_xlfn.XLOOKUP(PROYECTOS2[[#This Row],[MUNICIPIO]],Table1[Municipio],MUNICIPIOS!F:F,0,0,1)</f>
        <v>#VALUE!</v>
      </c>
      <c r="G194" s="44" t="str">
        <f>+LOOKUP(PROYECTOS2[[#This Row],[MUNICIPIO]],Table1[Municipio],Table1[Latitud])</f>
        <v>6,149903</v>
      </c>
      <c r="H194" s="44">
        <f>+LOOKUP(PROYECTOS2[[#This Row],[MUNICIPIO]],Table1[Municipio],Table1[PDET])</f>
        <v>0</v>
      </c>
      <c r="I194" s="44">
        <f>+LOOKUP(PROYECTOS2[[#This Row],[MUNICIPIO]],Table1[Municipio],Table1[ZOMAC])</f>
        <v>0</v>
      </c>
      <c r="J194" s="3" t="str" cm="1">
        <f t="array" ref="J194">_xlfn.TEXTJOIN(", ", TRUE, IF(radicados[ID PROYECTOS]=A194, radicados[RADICADO], ""))</f>
        <v/>
      </c>
      <c r="K194" s="142">
        <v>2</v>
      </c>
      <c r="L194" s="45"/>
      <c r="M194" s="43"/>
      <c r="N194" s="48">
        <v>4647150000</v>
      </c>
      <c r="O194" s="48"/>
      <c r="P194" s="48"/>
      <c r="Q194" s="148" t="s">
        <v>1067</v>
      </c>
      <c r="R194" s="34" t="s">
        <v>435</v>
      </c>
      <c r="S194" s="40" t="s">
        <v>398</v>
      </c>
      <c r="T194" s="40" t="s">
        <v>25</v>
      </c>
      <c r="U194" s="37"/>
      <c r="V194" s="44">
        <f>+_xlfn.XLOOKUP(PROYECTOS2[[#This Row],[MUNICIPIO]],'4.CAP_ENDMNT'!B:B,'4.CAP_ENDMNT'!C:C,0,0,1)</f>
        <v>6</v>
      </c>
      <c r="W194" s="139">
        <f>+_xlfn.XLOOKUP(PROYECTOS2[[#This Row],[MUNICIPIO]],'4.CAP_ENDMNT'!B:B,'4.CAP_ENDMNT'!D:D,0,0,1)</f>
        <v>16589184003.816</v>
      </c>
      <c r="X194" s="140">
        <f>+_xlfn.XLOOKUP(PROYECTOS2[[#This Row],[MUNICIPIO]],'4.CAP_ENDMNT'!B:B,'4.CAP_ENDMNT'!E:E,0,0,1)</f>
        <v>7984390195.2300005</v>
      </c>
      <c r="Y194" s="140">
        <f>+_xlfn.XLOOKUP(PROYECTOS2[[#This Row],[MUNICIPIO]],'4.CAP_ENDMNT'!B:B,'4.CAP_ENDMNT'!F:F,0,0,1)</f>
        <v>8604793808.5859985</v>
      </c>
      <c r="Z194" s="140">
        <f>+_xlfn.XLOOKUP(PROYECTOS2[[#This Row],[MUNICIPIO]],'4.CAP_ENDMNT'!B:B,'4.CAP_ENDMNT'!G:G,0,0,1)</f>
        <v>1709535383</v>
      </c>
      <c r="AA194" s="140">
        <f>+_xlfn.XLOOKUP(PROYECTOS2[[#This Row],[MUNICIPIO]],'4.CAP_ENDMNT'!B:B,'4.CAP_ENDMNT'!H:H,0,0,1)</f>
        <v>1454838487</v>
      </c>
      <c r="AB194" s="140">
        <f>+_xlfn.XLOOKUP(PROYECTOS2[[#This Row],[MUNICIPIO]],'4.CAP_ENDMNT'!B:B,'4.CAP_ENDMNT'!I:I,0,0,1)</f>
        <v>3164373870</v>
      </c>
      <c r="AC194" s="134">
        <f>+_xlfn.XLOOKUP(PROYECTOS2[[#This Row],[MUNICIPIO]],'4.CAP_ENDMNT'!B:B,'4.CAP_ENDMNT'!J:J,0,0,1)</f>
        <v>0.19074921763916181</v>
      </c>
      <c r="AD194" s="140">
        <f>+_xlfn.XLOOKUP(PROYECTOS2[[#This Row],[MUNICIPIO]],'4.CAP_ENDMNT'!B:B,'4.CAP_ENDMNT'!K:K,0,0,1)</f>
        <v>13424810133.816</v>
      </c>
      <c r="AE194" s="140">
        <f>+_xlfn.XLOOKUP(PROYECTOS2[[#This Row],[MUNICIPIO]],'4.CAP_ENDMNT'!B:B,'4.CAP_ENDMNT'!L:L,0,0,1)</f>
        <v>10739848107.052801</v>
      </c>
      <c r="AF194" s="140">
        <f>+_xlfn.XLOOKUP(PROYECTOS2[[#This Row],[MUNICIPIO]],'4.CAP_ENDMNT'!B:B,'4.CAP_ENDMNT'!M:M,0,0,1)</f>
        <v>8054886080.2895994</v>
      </c>
      <c r="AG194" s="134">
        <f>+_xlfn.XLOOKUP(PROYECTOS2[[#This Row],[MUNICIPIO]],'4.CAP_ENDMNT'!B:B,'4.CAP_ENDMNT'!N:N,0,0,1)</f>
        <v>0.5402444379936685</v>
      </c>
      <c r="AH194" s="134">
        <f>+_xlfn.XLOOKUP(PROYECTOS2[[#This Row],[MUNICIPIO]],'4.CAP_ENDMNT'!B:B,'4.CAP_ENDMNT'!O:O,0,0,1)</f>
        <v>0.52370394920362784</v>
      </c>
      <c r="AI194" s="134">
        <f>+_xlfn.XLOOKUP(PROYECTOS2[[#This Row],[MUNICIPIO]],'4.CAP_ENDMNT'!B:B,'4.CAP_ENDMNT'!P:P,0,0,1)</f>
        <v>0.8</v>
      </c>
      <c r="AJ194" s="44" t="str">
        <f>+_xlfn.XLOOKUP(PROYECTOS2[[#This Row],[MUNICIPIO]],'4.CAP_ENDMNT'!B:B,'4.CAP_ENDMNT'!Q:Q,0,0,1)</f>
        <v>Cumple</v>
      </c>
    </row>
    <row r="195" spans="1:36">
      <c r="A195" s="44">
        <v>217</v>
      </c>
      <c r="B195" s="37" t="s">
        <v>486</v>
      </c>
      <c r="C195" s="118">
        <v>45747</v>
      </c>
      <c r="D195" s="34" t="s">
        <v>227</v>
      </c>
      <c r="E195" s="47" t="str">
        <f>+_xlfn.XLOOKUP(PROYECTOS2[[#This Row],[MUNICIPIO]],MUNICIPIOS!A:A,MUNICIPIOS!E:E,0,0,1)</f>
        <v>Oriente</v>
      </c>
      <c r="F195" s="44" t="e" cm="1">
        <f t="array" ref="F195">+_xlfn.XLOOKUP(PROYECTOS2[[#This Row],[MUNICIPIO]],Table1[Municipio],MUNICIPIOS!F:F,0,0,1)</f>
        <v>#VALUE!</v>
      </c>
      <c r="G195" s="44" t="str">
        <f>+LOOKUP(PROYECTOS2[[#This Row],[MUNICIPIO]],Table1[Municipio],Table1[Latitud])</f>
        <v>6,142892</v>
      </c>
      <c r="H195" s="44">
        <f>+LOOKUP(PROYECTOS2[[#This Row],[MUNICIPIO]],Table1[Municipio],Table1[PDET])</f>
        <v>0</v>
      </c>
      <c r="I195" s="44">
        <f>+LOOKUP(PROYECTOS2[[#This Row],[MUNICIPIO]],Table1[Municipio],Table1[ZOMAC])</f>
        <v>1</v>
      </c>
      <c r="J195" s="3" t="str" cm="1">
        <f t="array" ref="J195">_xlfn.TEXTJOIN(", ", TRUE, IF(radicados[ID PROYECTOS]=A195, radicados[RADICADO], ""))</f>
        <v/>
      </c>
      <c r="K195" s="45">
        <v>3</v>
      </c>
      <c r="L195" s="45"/>
      <c r="M195" s="43"/>
      <c r="N195" s="48">
        <v>402500000</v>
      </c>
      <c r="O195" s="48"/>
      <c r="P195" s="48"/>
      <c r="Q195" s="148" t="s">
        <v>1067</v>
      </c>
      <c r="R195" s="34" t="s">
        <v>435</v>
      </c>
      <c r="S195" s="40" t="s">
        <v>398</v>
      </c>
      <c r="T195" s="40" t="s">
        <v>25</v>
      </c>
      <c r="U195" s="37"/>
      <c r="V195" s="44">
        <f>+_xlfn.XLOOKUP(PROYECTOS2[[#This Row],[MUNICIPIO]],'4.CAP_ENDMNT'!B:B,'4.CAP_ENDMNT'!C:C,0,0,1)</f>
        <v>6</v>
      </c>
      <c r="W195" s="139">
        <f>+_xlfn.XLOOKUP(PROYECTOS2[[#This Row],[MUNICIPIO]],'4.CAP_ENDMNT'!B:B,'4.CAP_ENDMNT'!D:D,0,0,1)</f>
        <v>9100976268.0305004</v>
      </c>
      <c r="X195" s="140">
        <f>+_xlfn.XLOOKUP(PROYECTOS2[[#This Row],[MUNICIPIO]],'4.CAP_ENDMNT'!B:B,'4.CAP_ENDMNT'!E:E,0,0,1)</f>
        <v>3221460794.1700001</v>
      </c>
      <c r="Y195" s="140">
        <f>+_xlfn.XLOOKUP(PROYECTOS2[[#This Row],[MUNICIPIO]],'4.CAP_ENDMNT'!B:B,'4.CAP_ENDMNT'!F:F,0,0,1)</f>
        <v>5879515473.8605003</v>
      </c>
      <c r="Z195" s="140">
        <f>+_xlfn.XLOOKUP(PROYECTOS2[[#This Row],[MUNICIPIO]],'4.CAP_ENDMNT'!B:B,'4.CAP_ENDMNT'!G:G,0,0,1)</f>
        <v>1026722956</v>
      </c>
      <c r="AA195" s="140">
        <f>+_xlfn.XLOOKUP(PROYECTOS2[[#This Row],[MUNICIPIO]],'4.CAP_ENDMNT'!B:B,'4.CAP_ENDMNT'!H:H,0,0,1)</f>
        <v>190000000</v>
      </c>
      <c r="AB195" s="140">
        <f>+_xlfn.XLOOKUP(PROYECTOS2[[#This Row],[MUNICIPIO]],'4.CAP_ENDMNT'!B:B,'4.CAP_ENDMNT'!I:I,0,0,1)</f>
        <v>1216722956</v>
      </c>
      <c r="AC195" s="134">
        <f>+_xlfn.XLOOKUP(PROYECTOS2[[#This Row],[MUNICIPIO]],'4.CAP_ENDMNT'!B:B,'4.CAP_ENDMNT'!J:J,0,0,1)</f>
        <v>0.13369147662477152</v>
      </c>
      <c r="AD195" s="140">
        <f>+_xlfn.XLOOKUP(PROYECTOS2[[#This Row],[MUNICIPIO]],'4.CAP_ENDMNT'!B:B,'4.CAP_ENDMNT'!K:K,0,0,1)</f>
        <v>7884253312.0305004</v>
      </c>
      <c r="AE195" s="140">
        <f>+_xlfn.XLOOKUP(PROYECTOS2[[#This Row],[MUNICIPIO]],'4.CAP_ENDMNT'!B:B,'4.CAP_ENDMNT'!L:L,0,0,1)</f>
        <v>6307402649.6244011</v>
      </c>
      <c r="AF195" s="140">
        <f>+_xlfn.XLOOKUP(PROYECTOS2[[#This Row],[MUNICIPIO]],'4.CAP_ENDMNT'!B:B,'4.CAP_ENDMNT'!M:M,0,0,1)</f>
        <v>4730551987.2182999</v>
      </c>
      <c r="AG195" s="134">
        <f>+_xlfn.XLOOKUP(PROYECTOS2[[#This Row],[MUNICIPIO]],'4.CAP_ENDMNT'!B:B,'4.CAP_ENDMNT'!N:N,0,0,1)</f>
        <v>0.84384284108140062</v>
      </c>
      <c r="AH195" s="134">
        <f>+_xlfn.XLOOKUP(PROYECTOS2[[#This Row],[MUNICIPIO]],'4.CAP_ENDMNT'!B:B,'4.CAP_ENDMNT'!O:O,0,0,1)</f>
        <v>0.65864601932480682</v>
      </c>
      <c r="AI195" s="134">
        <f>+_xlfn.XLOOKUP(PROYECTOS2[[#This Row],[MUNICIPIO]],'4.CAP_ENDMNT'!B:B,'4.CAP_ENDMNT'!P:P,0,0,1)</f>
        <v>0.8</v>
      </c>
      <c r="AJ195" s="44" t="str">
        <f>+_xlfn.XLOOKUP(PROYECTOS2[[#This Row],[MUNICIPIO]],'4.CAP_ENDMNT'!B:B,'4.CAP_ENDMNT'!Q:Q,0,0,1)</f>
        <v>Cumple</v>
      </c>
    </row>
    <row r="196" spans="1:36">
      <c r="A196" s="44">
        <v>218</v>
      </c>
      <c r="B196" s="37" t="s">
        <v>487</v>
      </c>
      <c r="C196" s="118">
        <v>45747</v>
      </c>
      <c r="D196" s="34" t="s">
        <v>334</v>
      </c>
      <c r="E196" s="47" t="str">
        <f>+_xlfn.XLOOKUP(PROYECTOS2[[#This Row],[MUNICIPIO]],MUNICIPIOS!A:A,MUNICIPIOS!E:E,0,0,1)</f>
        <v>Occidente</v>
      </c>
      <c r="F196" s="44" t="e" cm="1">
        <f t="array" ref="F196">+_xlfn.XLOOKUP(PROYECTOS2[[#This Row],[MUNICIPIO]],Table1[Municipio],MUNICIPIOS!F:F,0,0,1)</f>
        <v>#VALUE!</v>
      </c>
      <c r="G196" s="44" t="str">
        <f>+LOOKUP(PROYECTOS2[[#This Row],[MUNICIPIO]],Table1[Municipio],Table1[Latitud])</f>
        <v>6,149903</v>
      </c>
      <c r="H196" s="44">
        <f>+LOOKUP(PROYECTOS2[[#This Row],[MUNICIPIO]],Table1[Municipio],Table1[PDET])</f>
        <v>0</v>
      </c>
      <c r="I196" s="44">
        <f>+LOOKUP(PROYECTOS2[[#This Row],[MUNICIPIO]],Table1[Municipio],Table1[ZOMAC])</f>
        <v>0</v>
      </c>
      <c r="J196" s="3" t="str" cm="1">
        <f t="array" ref="J196">_xlfn.TEXTJOIN(", ", TRUE, IF(radicados[ID PROYECTOS]=A196, radicados[RADICADO], ""))</f>
        <v>2025010508107</v>
      </c>
      <c r="K196" s="142">
        <v>2</v>
      </c>
      <c r="L196" s="45"/>
      <c r="M196" s="43"/>
      <c r="N196" s="48">
        <v>1210000000</v>
      </c>
      <c r="O196" s="48"/>
      <c r="P196" s="48"/>
      <c r="Q196" s="148" t="s">
        <v>1067</v>
      </c>
      <c r="R196" s="34" t="s">
        <v>435</v>
      </c>
      <c r="S196" s="40" t="s">
        <v>398</v>
      </c>
      <c r="T196" s="40" t="s">
        <v>25</v>
      </c>
      <c r="U196" s="37" t="s">
        <v>957</v>
      </c>
      <c r="V196" s="44">
        <f>+_xlfn.XLOOKUP(PROYECTOS2[[#This Row],[MUNICIPIO]],'4.CAP_ENDMNT'!B:B,'4.CAP_ENDMNT'!C:C,0,0,1)</f>
        <v>6</v>
      </c>
      <c r="W196" s="139">
        <f>+_xlfn.XLOOKUP(PROYECTOS2[[#This Row],[MUNICIPIO]],'4.CAP_ENDMNT'!B:B,'4.CAP_ENDMNT'!D:D,0,0,1)</f>
        <v>21865753958.964001</v>
      </c>
      <c r="X196" s="140">
        <f>+_xlfn.XLOOKUP(PROYECTOS2[[#This Row],[MUNICIPIO]],'4.CAP_ENDMNT'!B:B,'4.CAP_ENDMNT'!E:E,0,0,1)</f>
        <v>8371779870.6599998</v>
      </c>
      <c r="Y196" s="140">
        <f>+_xlfn.XLOOKUP(PROYECTOS2[[#This Row],[MUNICIPIO]],'4.CAP_ENDMNT'!B:B,'4.CAP_ENDMNT'!F:F,0,0,1)</f>
        <v>13493974088.304001</v>
      </c>
      <c r="Z196" s="140">
        <f>+_xlfn.XLOOKUP(PROYECTOS2[[#This Row],[MUNICIPIO]],'4.CAP_ENDMNT'!B:B,'4.CAP_ENDMNT'!G:G,0,0,1)</f>
        <v>851002641</v>
      </c>
      <c r="AA196" s="140">
        <f>+_xlfn.XLOOKUP(PROYECTOS2[[#This Row],[MUNICIPIO]],'4.CAP_ENDMNT'!B:B,'4.CAP_ENDMNT'!H:H,0,0,1)</f>
        <v>4636492005</v>
      </c>
      <c r="AB196" s="140">
        <f>+_xlfn.XLOOKUP(PROYECTOS2[[#This Row],[MUNICIPIO]],'4.CAP_ENDMNT'!B:B,'4.CAP_ENDMNT'!I:I,0,0,1)</f>
        <v>5487494646</v>
      </c>
      <c r="AC196" s="134">
        <f>+_xlfn.XLOOKUP(PROYECTOS2[[#This Row],[MUNICIPIO]],'4.CAP_ENDMNT'!B:B,'4.CAP_ENDMNT'!J:J,0,0,1)</f>
        <v>0.25096297416949431</v>
      </c>
      <c r="AD196" s="140">
        <f>+_xlfn.XLOOKUP(PROYECTOS2[[#This Row],[MUNICIPIO]],'4.CAP_ENDMNT'!B:B,'4.CAP_ENDMNT'!K:K,0,0,1)</f>
        <v>16378259312.964001</v>
      </c>
      <c r="AE196" s="140">
        <f>+_xlfn.XLOOKUP(PROYECTOS2[[#This Row],[MUNICIPIO]],'4.CAP_ENDMNT'!B:B,'4.CAP_ENDMNT'!L:L,0,0,1)</f>
        <v>13102607450.371201</v>
      </c>
      <c r="AF196" s="140">
        <f>+_xlfn.XLOOKUP(PROYECTOS2[[#This Row],[MUNICIPIO]],'4.CAP_ENDMNT'!B:B,'4.CAP_ENDMNT'!M:M,0,0,1)</f>
        <v>9826955587.7784004</v>
      </c>
      <c r="AG196" s="134">
        <f>+_xlfn.XLOOKUP(PROYECTOS2[[#This Row],[MUNICIPIO]],'4.CAP_ENDMNT'!B:B,'4.CAP_ENDMNT'!N:N,0,0,1)</f>
        <v>0.15508035923466848</v>
      </c>
      <c r="AH196" s="134">
        <f>+_xlfn.XLOOKUP(PROYECTOS2[[#This Row],[MUNICIPIO]],'4.CAP_ENDMNT'!B:B,'4.CAP_ENDMNT'!O:O,0,0,1)</f>
        <v>0.43479333121090752</v>
      </c>
      <c r="AI196" s="134">
        <f>+_xlfn.XLOOKUP(PROYECTOS2[[#This Row],[MUNICIPIO]],'4.CAP_ENDMNT'!B:B,'4.CAP_ENDMNT'!P:P,0,0,1)</f>
        <v>0.8</v>
      </c>
      <c r="AJ196" s="44" t="str">
        <f>+_xlfn.XLOOKUP(PROYECTOS2[[#This Row],[MUNICIPIO]],'4.CAP_ENDMNT'!B:B,'4.CAP_ENDMNT'!Q:Q,0,0,1)</f>
        <v>Cumple</v>
      </c>
    </row>
    <row r="197" spans="1:36">
      <c r="A197" s="44">
        <v>219</v>
      </c>
      <c r="B197" s="37" t="s">
        <v>488</v>
      </c>
      <c r="C197" s="118">
        <v>45747</v>
      </c>
      <c r="D197" s="34" t="s">
        <v>95</v>
      </c>
      <c r="E197" s="47" t="str">
        <f>+_xlfn.XLOOKUP(PROYECTOS2[[#This Row],[MUNICIPIO]],MUNICIPIOS!A:A,MUNICIPIOS!E:E,0,0,1)</f>
        <v>Occidente</v>
      </c>
      <c r="F197" s="44" t="e" cm="1">
        <f t="array" ref="F197">+_xlfn.XLOOKUP(PROYECTOS2[[#This Row],[MUNICIPIO]],Table1[Municipio],MUNICIPIOS!F:F,0,0,1)</f>
        <v>#VALUE!</v>
      </c>
      <c r="G197" s="44" t="str">
        <f>+LOOKUP(PROYECTOS2[[#This Row],[MUNICIPIO]],Table1[Municipio],Table1[Latitud])</f>
        <v>6,149903</v>
      </c>
      <c r="H197" s="44">
        <f>+LOOKUP(PROYECTOS2[[#This Row],[MUNICIPIO]],Table1[Municipio],Table1[PDET])</f>
        <v>0</v>
      </c>
      <c r="I197" s="44">
        <f>+LOOKUP(PROYECTOS2[[#This Row],[MUNICIPIO]],Table1[Municipio],Table1[ZOMAC])</f>
        <v>0</v>
      </c>
      <c r="J197" s="3" t="str" cm="1">
        <f t="array" ref="J197">_xlfn.TEXTJOIN(", ", TRUE, IF(radicados[ID PROYECTOS]=A197, radicados[RADICADO], ""))</f>
        <v/>
      </c>
      <c r="K197" s="142">
        <v>2</v>
      </c>
      <c r="L197" s="45"/>
      <c r="M197" s="43"/>
      <c r="N197" s="48">
        <v>6400000000</v>
      </c>
      <c r="O197" s="48"/>
      <c r="P197" s="48"/>
      <c r="Q197" s="148" t="s">
        <v>1067</v>
      </c>
      <c r="R197" s="34" t="s">
        <v>435</v>
      </c>
      <c r="S197" s="40" t="s">
        <v>398</v>
      </c>
      <c r="T197" s="40" t="s">
        <v>25</v>
      </c>
      <c r="U197" s="37" t="s">
        <v>961</v>
      </c>
      <c r="V197" s="44">
        <f>+_xlfn.XLOOKUP(PROYECTOS2[[#This Row],[MUNICIPIO]],'4.CAP_ENDMNT'!B:B,'4.CAP_ENDMNT'!C:C,0,0,1)</f>
        <v>6</v>
      </c>
      <c r="W197" s="139">
        <f>+_xlfn.XLOOKUP(PROYECTOS2[[#This Row],[MUNICIPIO]],'4.CAP_ENDMNT'!B:B,'4.CAP_ENDMNT'!D:D,0,0,1)</f>
        <v>16347842057.745998</v>
      </c>
      <c r="X197" s="140">
        <f>+_xlfn.XLOOKUP(PROYECTOS2[[#This Row],[MUNICIPIO]],'4.CAP_ENDMNT'!B:B,'4.CAP_ENDMNT'!E:E,0,0,1)</f>
        <v>7901643157.3299999</v>
      </c>
      <c r="Y197" s="140">
        <f>+_xlfn.XLOOKUP(PROYECTOS2[[#This Row],[MUNICIPIO]],'4.CAP_ENDMNT'!B:B,'4.CAP_ENDMNT'!F:F,0,0,1)</f>
        <v>8446198900.4159985</v>
      </c>
      <c r="Z197" s="140">
        <f>+_xlfn.XLOOKUP(PROYECTOS2[[#This Row],[MUNICIPIO]],'4.CAP_ENDMNT'!B:B,'4.CAP_ENDMNT'!G:G,0,0,1)</f>
        <v>1620905965.8499999</v>
      </c>
      <c r="AA197" s="140">
        <f>+_xlfn.XLOOKUP(PROYECTOS2[[#This Row],[MUNICIPIO]],'4.CAP_ENDMNT'!B:B,'4.CAP_ENDMNT'!H:H,0,0,1)</f>
        <v>2416666620</v>
      </c>
      <c r="AB197" s="140">
        <f>+_xlfn.XLOOKUP(PROYECTOS2[[#This Row],[MUNICIPIO]],'4.CAP_ENDMNT'!B:B,'4.CAP_ENDMNT'!I:I,0,0,1)</f>
        <v>4037572585.8499999</v>
      </c>
      <c r="AC197" s="134">
        <f>+_xlfn.XLOOKUP(PROYECTOS2[[#This Row],[MUNICIPIO]],'4.CAP_ENDMNT'!B:B,'4.CAP_ENDMNT'!J:J,0,0,1)</f>
        <v>0.24697893285168493</v>
      </c>
      <c r="AD197" s="140">
        <f>+_xlfn.XLOOKUP(PROYECTOS2[[#This Row],[MUNICIPIO]],'4.CAP_ENDMNT'!B:B,'4.CAP_ENDMNT'!K:K,0,0,1)</f>
        <v>12310269471.895998</v>
      </c>
      <c r="AE197" s="140">
        <f>+_xlfn.XLOOKUP(PROYECTOS2[[#This Row],[MUNICIPIO]],'4.CAP_ENDMNT'!B:B,'4.CAP_ENDMNT'!L:L,0,0,1)</f>
        <v>9848215577.516798</v>
      </c>
      <c r="AF197" s="140">
        <f>+_xlfn.XLOOKUP(PROYECTOS2[[#This Row],[MUNICIPIO]],'4.CAP_ENDMNT'!B:B,'4.CAP_ENDMNT'!M:M,0,0,1)</f>
        <v>7386161683.137599</v>
      </c>
      <c r="AG197" s="134">
        <f>+_xlfn.XLOOKUP(PROYECTOS2[[#This Row],[MUNICIPIO]],'4.CAP_ENDMNT'!B:B,'4.CAP_ENDMNT'!N:N,0,0,1)</f>
        <v>0.40145556058375176</v>
      </c>
      <c r="AH197" s="134">
        <f>+_xlfn.XLOOKUP(PROYECTOS2[[#This Row],[MUNICIPIO]],'4.CAP_ENDMNT'!B:B,'4.CAP_ENDMNT'!O:O,0,0,1)</f>
        <v>0.5852153455768756</v>
      </c>
      <c r="AI197" s="134">
        <f>+_xlfn.XLOOKUP(PROYECTOS2[[#This Row],[MUNICIPIO]],'4.CAP_ENDMNT'!B:B,'4.CAP_ENDMNT'!P:P,0,0,1)</f>
        <v>0.8</v>
      </c>
      <c r="AJ197" s="44" t="str">
        <f>+_xlfn.XLOOKUP(PROYECTOS2[[#This Row],[MUNICIPIO]],'4.CAP_ENDMNT'!B:B,'4.CAP_ENDMNT'!Q:Q,0,0,1)</f>
        <v>Cumple</v>
      </c>
    </row>
    <row r="198" spans="1:36">
      <c r="A198" s="44">
        <v>220</v>
      </c>
      <c r="B198" s="37" t="s">
        <v>489</v>
      </c>
      <c r="C198" s="118">
        <v>45747</v>
      </c>
      <c r="D198" s="34" t="s">
        <v>90</v>
      </c>
      <c r="E198" s="47" t="str">
        <f>+_xlfn.XLOOKUP(PROYECTOS2[[#This Row],[MUNICIPIO]],MUNICIPIOS!A:A,MUNICIPIOS!E:E,0,0,1)</f>
        <v>Suroeste</v>
      </c>
      <c r="F198" s="44" t="e" cm="1">
        <f t="array" ref="F198">+_xlfn.XLOOKUP(PROYECTOS2[[#This Row],[MUNICIPIO]],Table1[Municipio],MUNICIPIOS!F:F,0,0,1)</f>
        <v>#VALUE!</v>
      </c>
      <c r="G198" s="44" t="str">
        <f>+LOOKUP(PROYECTOS2[[#This Row],[MUNICIPIO]],Table1[Municipio],Table1[Latitud])</f>
        <v>6,149903</v>
      </c>
      <c r="H198" s="44">
        <f>+LOOKUP(PROYECTOS2[[#This Row],[MUNICIPIO]],Table1[Municipio],Table1[PDET])</f>
        <v>0</v>
      </c>
      <c r="I198" s="44">
        <f>+LOOKUP(PROYECTOS2[[#This Row],[MUNICIPIO]],Table1[Municipio],Table1[ZOMAC])</f>
        <v>0</v>
      </c>
      <c r="J198" s="3" t="str" cm="1">
        <f t="array" ref="J198">_xlfn.TEXTJOIN(", ", TRUE, IF(radicados[ID PROYECTOS]=A198, radicados[RADICADO], ""))</f>
        <v/>
      </c>
      <c r="K198" s="45">
        <v>1</v>
      </c>
      <c r="L198" s="45"/>
      <c r="M198" s="43"/>
      <c r="N198" s="48">
        <v>4336404000</v>
      </c>
      <c r="O198" s="48"/>
      <c r="P198" s="48"/>
      <c r="Q198" s="148" t="s">
        <v>1067</v>
      </c>
      <c r="R198" s="34" t="s">
        <v>435</v>
      </c>
      <c r="S198" s="40" t="s">
        <v>397</v>
      </c>
      <c r="T198" s="40" t="s">
        <v>56</v>
      </c>
      <c r="U198" s="37" t="s">
        <v>490</v>
      </c>
      <c r="V198" s="44">
        <f>+_xlfn.XLOOKUP(PROYECTOS2[[#This Row],[MUNICIPIO]],'4.CAP_ENDMNT'!B:B,'4.CAP_ENDMNT'!C:C,0,0,1)</f>
        <v>6</v>
      </c>
      <c r="W198" s="139">
        <f>+_xlfn.XLOOKUP(PROYECTOS2[[#This Row],[MUNICIPIO]],'4.CAP_ENDMNT'!B:B,'4.CAP_ENDMNT'!D:D,0,0,1)</f>
        <v>6485715716.868001</v>
      </c>
      <c r="X198" s="140">
        <f>+_xlfn.XLOOKUP(PROYECTOS2[[#This Row],[MUNICIPIO]],'4.CAP_ENDMNT'!B:B,'4.CAP_ENDMNT'!E:E,0,0,1)</f>
        <v>3717110032.7600002</v>
      </c>
      <c r="Y198" s="140">
        <f>+_xlfn.XLOOKUP(PROYECTOS2[[#This Row],[MUNICIPIO]],'4.CAP_ENDMNT'!B:B,'4.CAP_ENDMNT'!F:F,0,0,1)</f>
        <v>2768605684.1080008</v>
      </c>
      <c r="Z198" s="140">
        <f>+_xlfn.XLOOKUP(PROYECTOS2[[#This Row],[MUNICIPIO]],'4.CAP_ENDMNT'!B:B,'4.CAP_ENDMNT'!G:G,0,0,1)</f>
        <v>598561755.20000005</v>
      </c>
      <c r="AA198" s="140">
        <f>+_xlfn.XLOOKUP(PROYECTOS2[[#This Row],[MUNICIPIO]],'4.CAP_ENDMNT'!B:B,'4.CAP_ENDMNT'!H:H,0,0,1)</f>
        <v>823222224</v>
      </c>
      <c r="AB198" s="140">
        <f>+_xlfn.XLOOKUP(PROYECTOS2[[#This Row],[MUNICIPIO]],'4.CAP_ENDMNT'!B:B,'4.CAP_ENDMNT'!I:I,0,0,1)</f>
        <v>1421783979.2</v>
      </c>
      <c r="AC198" s="134">
        <f>+_xlfn.XLOOKUP(PROYECTOS2[[#This Row],[MUNICIPIO]],'4.CAP_ENDMNT'!B:B,'4.CAP_ENDMNT'!J:J,0,0,1)</f>
        <v>0.21921774577665112</v>
      </c>
      <c r="AD198" s="140">
        <f>+_xlfn.XLOOKUP(PROYECTOS2[[#This Row],[MUNICIPIO]],'4.CAP_ENDMNT'!B:B,'4.CAP_ENDMNT'!K:K,0,0,1)</f>
        <v>5063931737.6680012</v>
      </c>
      <c r="AE198" s="140">
        <f>+_xlfn.XLOOKUP(PROYECTOS2[[#This Row],[MUNICIPIO]],'4.CAP_ENDMNT'!B:B,'4.CAP_ENDMNT'!L:L,0,0,1)</f>
        <v>4051145390.1344013</v>
      </c>
      <c r="AF198" s="140">
        <f>+_xlfn.XLOOKUP(PROYECTOS2[[#This Row],[MUNICIPIO]],'4.CAP_ENDMNT'!B:B,'4.CAP_ENDMNT'!M:M,0,0,1)</f>
        <v>3038359042.6008005</v>
      </c>
      <c r="AG198" s="134">
        <f>+_xlfn.XLOOKUP(PROYECTOS2[[#This Row],[MUNICIPIO]],'4.CAP_ENDMNT'!B:B,'4.CAP_ENDMNT'!N:N,0,0,1)</f>
        <v>0.42099345889155032</v>
      </c>
      <c r="AH198" s="134">
        <f>+_xlfn.XLOOKUP(PROYECTOS2[[#This Row],[MUNICIPIO]],'4.CAP_ENDMNT'!B:B,'4.CAP_ENDMNT'!O:O,0,0,1)</f>
        <v>0.68598337343648785</v>
      </c>
      <c r="AI198" s="134">
        <f>+_xlfn.XLOOKUP(PROYECTOS2[[#This Row],[MUNICIPIO]],'4.CAP_ENDMNT'!B:B,'4.CAP_ENDMNT'!P:P,0,0,1)</f>
        <v>0.8</v>
      </c>
      <c r="AJ198" s="44" t="str">
        <f>+_xlfn.XLOOKUP(PROYECTOS2[[#This Row],[MUNICIPIO]],'4.CAP_ENDMNT'!B:B,'4.CAP_ENDMNT'!Q:Q,0,0,1)</f>
        <v>Cumple</v>
      </c>
    </row>
    <row r="199" spans="1:36">
      <c r="A199" s="44">
        <v>221</v>
      </c>
      <c r="B199" s="37" t="s">
        <v>491</v>
      </c>
      <c r="C199" s="118">
        <v>45747</v>
      </c>
      <c r="D199" s="34" t="s">
        <v>492</v>
      </c>
      <c r="E199" s="47" t="str">
        <f>+_xlfn.XLOOKUP(PROYECTOS2[[#This Row],[MUNICIPIO]],MUNICIPIOS!A:A,MUNICIPIOS!E:E,0,0,1)</f>
        <v>Suroeste</v>
      </c>
      <c r="F199" s="44" t="e" cm="1">
        <f t="array" ref="F199">+_xlfn.XLOOKUP(PROYECTOS2[[#This Row],[MUNICIPIO]],Table1[Municipio],MUNICIPIOS!F:F,0,0,1)</f>
        <v>#VALUE!</v>
      </c>
      <c r="G199" s="44" t="str">
        <f>+LOOKUP(PROYECTOS2[[#This Row],[MUNICIPIO]],Table1[Municipio],Table1[Latitud])</f>
        <v>6,149903</v>
      </c>
      <c r="H199" s="44">
        <f>+LOOKUP(PROYECTOS2[[#This Row],[MUNICIPIO]],Table1[Municipio],Table1[PDET])</f>
        <v>0</v>
      </c>
      <c r="I199" s="44">
        <f>+LOOKUP(PROYECTOS2[[#This Row],[MUNICIPIO]],Table1[Municipio],Table1[ZOMAC])</f>
        <v>0</v>
      </c>
      <c r="J199" s="3" t="str" cm="1">
        <f t="array" ref="J199">_xlfn.TEXTJOIN(", ", TRUE, IF(radicados[ID PROYECTOS]=A199, radicados[RADICADO], ""))</f>
        <v/>
      </c>
      <c r="K199" s="45">
        <v>1</v>
      </c>
      <c r="L199" s="45"/>
      <c r="M199" s="43"/>
      <c r="N199" s="48">
        <v>1980624000</v>
      </c>
      <c r="O199" s="48"/>
      <c r="P199" s="48"/>
      <c r="Q199" s="148" t="s">
        <v>1067</v>
      </c>
      <c r="R199" s="34" t="s">
        <v>435</v>
      </c>
      <c r="S199" s="40" t="s">
        <v>397</v>
      </c>
      <c r="T199" s="40" t="s">
        <v>56</v>
      </c>
      <c r="U199" s="37" t="s">
        <v>493</v>
      </c>
      <c r="V199" s="44">
        <f>+_xlfn.XLOOKUP(PROYECTOS2[[#This Row],[MUNICIPIO]],'4.CAP_ENDMNT'!B:B,'4.CAP_ENDMNT'!C:C,0,0,1)</f>
        <v>6</v>
      </c>
      <c r="W199" s="139">
        <f>+_xlfn.XLOOKUP(PROYECTOS2[[#This Row],[MUNICIPIO]],'4.CAP_ENDMNT'!B:B,'4.CAP_ENDMNT'!D:D,0,0,1)</f>
        <v>13308978307.0145</v>
      </c>
      <c r="X199" s="140">
        <f>+_xlfn.XLOOKUP(PROYECTOS2[[#This Row],[MUNICIPIO]],'4.CAP_ENDMNT'!B:B,'4.CAP_ENDMNT'!E:E,0,0,1)</f>
        <v>4910718349.54</v>
      </c>
      <c r="Y199" s="140">
        <f>+_xlfn.XLOOKUP(PROYECTOS2[[#This Row],[MUNICIPIO]],'4.CAP_ENDMNT'!B:B,'4.CAP_ENDMNT'!F:F,0,0,1)</f>
        <v>8398259957.4744997</v>
      </c>
      <c r="Z199" s="140">
        <f>+_xlfn.XLOOKUP(PROYECTOS2[[#This Row],[MUNICIPIO]],'4.CAP_ENDMNT'!B:B,'4.CAP_ENDMNT'!G:G,0,0,1)</f>
        <v>0</v>
      </c>
      <c r="AA199" s="140">
        <f>+_xlfn.XLOOKUP(PROYECTOS2[[#This Row],[MUNICIPIO]],'4.CAP_ENDMNT'!B:B,'4.CAP_ENDMNT'!H:H,0,0,1)</f>
        <v>3987177539</v>
      </c>
      <c r="AB199" s="140">
        <f>+_xlfn.XLOOKUP(PROYECTOS2[[#This Row],[MUNICIPIO]],'4.CAP_ENDMNT'!B:B,'4.CAP_ENDMNT'!I:I,0,0,1)</f>
        <v>3987177539</v>
      </c>
      <c r="AC199" s="134">
        <f>+_xlfn.XLOOKUP(PROYECTOS2[[#This Row],[MUNICIPIO]],'4.CAP_ENDMNT'!B:B,'4.CAP_ENDMNT'!J:J,0,0,1)</f>
        <v>0.29958554646516761</v>
      </c>
      <c r="AD199" s="140">
        <f>+_xlfn.XLOOKUP(PROYECTOS2[[#This Row],[MUNICIPIO]],'4.CAP_ENDMNT'!B:B,'4.CAP_ENDMNT'!K:K,0,0,1)</f>
        <v>9321800768.0144997</v>
      </c>
      <c r="AE199" s="140">
        <f>+_xlfn.XLOOKUP(PROYECTOS2[[#This Row],[MUNICIPIO]],'4.CAP_ENDMNT'!B:B,'4.CAP_ENDMNT'!L:L,0,0,1)</f>
        <v>7457440614.4116001</v>
      </c>
      <c r="AF199" s="140">
        <f>+_xlfn.XLOOKUP(PROYECTOS2[[#This Row],[MUNICIPIO]],'4.CAP_ENDMNT'!B:B,'4.CAP_ENDMNT'!M:M,0,0,1)</f>
        <v>5593080460.8086996</v>
      </c>
      <c r="AG199" s="134">
        <f>+_xlfn.XLOOKUP(PROYECTOS2[[#This Row],[MUNICIPIO]],'4.CAP_ENDMNT'!B:B,'4.CAP_ENDMNT'!N:N,0,0,1)</f>
        <v>0</v>
      </c>
      <c r="AH199" s="134">
        <f>+_xlfn.XLOOKUP(PROYECTOS2[[#This Row],[MUNICIPIO]],'4.CAP_ENDMNT'!B:B,'4.CAP_ENDMNT'!O:O,0,0,1)</f>
        <v>0.65348583125551507</v>
      </c>
      <c r="AI199" s="134">
        <f>+_xlfn.XLOOKUP(PROYECTOS2[[#This Row],[MUNICIPIO]],'4.CAP_ENDMNT'!B:B,'4.CAP_ENDMNT'!P:P,0,0,1)</f>
        <v>0.8</v>
      </c>
      <c r="AJ199" s="44" t="str">
        <f>+_xlfn.XLOOKUP(PROYECTOS2[[#This Row],[MUNICIPIO]],'4.CAP_ENDMNT'!B:B,'4.CAP_ENDMNT'!Q:Q,0,0,1)</f>
        <v>Cumple</v>
      </c>
    </row>
    <row r="200" spans="1:36">
      <c r="A200" s="44">
        <v>222</v>
      </c>
      <c r="B200" s="37" t="s">
        <v>494</v>
      </c>
      <c r="C200" s="118">
        <v>45747</v>
      </c>
      <c r="D200" s="34" t="s">
        <v>125</v>
      </c>
      <c r="E200" s="47" t="str">
        <f>+_xlfn.XLOOKUP(PROYECTOS2[[#This Row],[MUNICIPIO]],MUNICIPIOS!A:A,MUNICIPIOS!E:E,0,0,1)</f>
        <v>Oriente</v>
      </c>
      <c r="F200" s="44" t="e" cm="1">
        <f t="array" ref="F200">+_xlfn.XLOOKUP(PROYECTOS2[[#This Row],[MUNICIPIO]],Table1[Municipio],MUNICIPIOS!F:F,0,0,1)</f>
        <v>#VALUE!</v>
      </c>
      <c r="G200" s="44" t="str">
        <f>+LOOKUP(PROYECTOS2[[#This Row],[MUNICIPIO]],Table1[Municipio],Table1[Latitud])</f>
        <v>6,058295</v>
      </c>
      <c r="H200" s="44">
        <f>+LOOKUP(PROYECTOS2[[#This Row],[MUNICIPIO]],Table1[Municipio],Table1[PDET])</f>
        <v>0</v>
      </c>
      <c r="I200" s="44">
        <f>+LOOKUP(PROYECTOS2[[#This Row],[MUNICIPIO]],Table1[Municipio],Table1[ZOMAC])</f>
        <v>1</v>
      </c>
      <c r="J200" s="3" t="str" cm="1">
        <f t="array" ref="J200">_xlfn.TEXTJOIN(", ", TRUE, IF(radicados[ID PROYECTOS]=A200, radicados[RADICADO], ""))</f>
        <v/>
      </c>
      <c r="K200" s="142">
        <v>2</v>
      </c>
      <c r="L200" s="45">
        <v>1</v>
      </c>
      <c r="M200" s="49" t="s">
        <v>190</v>
      </c>
      <c r="N200" s="48"/>
      <c r="O200" s="48"/>
      <c r="P200" s="48"/>
      <c r="Q200" s="148" t="s">
        <v>1067</v>
      </c>
      <c r="R200" s="34" t="s">
        <v>435</v>
      </c>
      <c r="S200" s="40" t="s">
        <v>397</v>
      </c>
      <c r="T200" s="40" t="s">
        <v>56</v>
      </c>
      <c r="U200" s="37" t="s">
        <v>970</v>
      </c>
      <c r="V200" s="44">
        <f>+_xlfn.XLOOKUP(PROYECTOS2[[#This Row],[MUNICIPIO]],'4.CAP_ENDMNT'!B:B,'4.CAP_ENDMNT'!C:C,0,0,1)</f>
        <v>6</v>
      </c>
      <c r="W200" s="139">
        <f>+_xlfn.XLOOKUP(PROYECTOS2[[#This Row],[MUNICIPIO]],'4.CAP_ENDMNT'!B:B,'4.CAP_ENDMNT'!D:D,0,0,1)</f>
        <v>12327690626.8465</v>
      </c>
      <c r="X200" s="140">
        <f>+_xlfn.XLOOKUP(PROYECTOS2[[#This Row],[MUNICIPIO]],'4.CAP_ENDMNT'!B:B,'4.CAP_ENDMNT'!E:E,0,0,1)</f>
        <v>4723680091.2799997</v>
      </c>
      <c r="Y200" s="140">
        <f>+_xlfn.XLOOKUP(PROYECTOS2[[#This Row],[MUNICIPIO]],'4.CAP_ENDMNT'!B:B,'4.CAP_ENDMNT'!F:F,0,0,1)</f>
        <v>7604010535.5665007</v>
      </c>
      <c r="Z200" s="140">
        <f>+_xlfn.XLOOKUP(PROYECTOS2[[#This Row],[MUNICIPIO]],'4.CAP_ENDMNT'!B:B,'4.CAP_ENDMNT'!G:G,0,0,1)</f>
        <v>445297438</v>
      </c>
      <c r="AA200" s="140">
        <f>+_xlfn.XLOOKUP(PROYECTOS2[[#This Row],[MUNICIPIO]],'4.CAP_ENDMNT'!B:B,'4.CAP_ENDMNT'!H:H,0,0,1)</f>
        <v>33508702</v>
      </c>
      <c r="AB200" s="140">
        <f>+_xlfn.XLOOKUP(PROYECTOS2[[#This Row],[MUNICIPIO]],'4.CAP_ENDMNT'!B:B,'4.CAP_ENDMNT'!I:I,0,0,1)</f>
        <v>478806140</v>
      </c>
      <c r="AC200" s="134">
        <f>+_xlfn.XLOOKUP(PROYECTOS2[[#This Row],[MUNICIPIO]],'4.CAP_ENDMNT'!B:B,'4.CAP_ENDMNT'!J:J,0,0,1)</f>
        <v>3.8839889359105498E-2</v>
      </c>
      <c r="AD200" s="140">
        <f>+_xlfn.XLOOKUP(PROYECTOS2[[#This Row],[MUNICIPIO]],'4.CAP_ENDMNT'!B:B,'4.CAP_ENDMNT'!K:K,0,0,1)</f>
        <v>11848884486.8465</v>
      </c>
      <c r="AE200" s="140">
        <f>+_xlfn.XLOOKUP(PROYECTOS2[[#This Row],[MUNICIPIO]],'4.CAP_ENDMNT'!B:B,'4.CAP_ENDMNT'!L:L,0,0,1)</f>
        <v>9479107589.4772015</v>
      </c>
      <c r="AF200" s="140">
        <f>+_xlfn.XLOOKUP(PROYECTOS2[[#This Row],[MUNICIPIO]],'4.CAP_ENDMNT'!B:B,'4.CAP_ENDMNT'!M:M,0,0,1)</f>
        <v>7109330692.1078997</v>
      </c>
      <c r="AG200" s="134">
        <f>+_xlfn.XLOOKUP(PROYECTOS2[[#This Row],[MUNICIPIO]],'4.CAP_ENDMNT'!B:B,'4.CAP_ENDMNT'!N:N,0,0,1)</f>
        <v>0.93001613972619479</v>
      </c>
      <c r="AH200" s="134">
        <f>+_xlfn.XLOOKUP(PROYECTOS2[[#This Row],[MUNICIPIO]],'4.CAP_ENDMNT'!B:B,'4.CAP_ENDMNT'!O:O,0,0,1)</f>
        <v>0.63996045822337311</v>
      </c>
      <c r="AI200" s="134">
        <f>+_xlfn.XLOOKUP(PROYECTOS2[[#This Row],[MUNICIPIO]],'4.CAP_ENDMNT'!B:B,'4.CAP_ENDMNT'!P:P,0,0,1)</f>
        <v>0.8</v>
      </c>
      <c r="AJ200" s="44" t="str">
        <f>+_xlfn.XLOOKUP(PROYECTOS2[[#This Row],[MUNICIPIO]],'4.CAP_ENDMNT'!B:B,'4.CAP_ENDMNT'!Q:Q,0,0,1)</f>
        <v>Cumple</v>
      </c>
    </row>
    <row r="201" spans="1:36">
      <c r="A201" s="44">
        <v>223</v>
      </c>
      <c r="B201" s="37" t="s">
        <v>496</v>
      </c>
      <c r="C201" s="118">
        <v>45747</v>
      </c>
      <c r="D201" s="34" t="s">
        <v>166</v>
      </c>
      <c r="E201" s="47" t="str">
        <f>+_xlfn.XLOOKUP(PROYECTOS2[[#This Row],[MUNICIPIO]],MUNICIPIOS!A:A,MUNICIPIOS!E:E,0,0,1)</f>
        <v>Occidente</v>
      </c>
      <c r="F201" s="44" t="e" cm="1">
        <f t="array" ref="F201">+_xlfn.XLOOKUP(PROYECTOS2[[#This Row],[MUNICIPIO]],Table1[Municipio],MUNICIPIOS!F:F,0,0,1)</f>
        <v>#VALUE!</v>
      </c>
      <c r="G201" s="44" t="str">
        <f>+LOOKUP(PROYECTOS2[[#This Row],[MUNICIPIO]],Table1[Municipio],Table1[Latitud])</f>
        <v>6,149903</v>
      </c>
      <c r="H201" s="44">
        <f>+LOOKUP(PROYECTOS2[[#This Row],[MUNICIPIO]],Table1[Municipio],Table1[PDET])</f>
        <v>0</v>
      </c>
      <c r="I201" s="44">
        <f>+LOOKUP(PROYECTOS2[[#This Row],[MUNICIPIO]],Table1[Municipio],Table1[ZOMAC])</f>
        <v>0</v>
      </c>
      <c r="J201" s="3" t="str" cm="1">
        <f t="array" ref="J201">_xlfn.TEXTJOIN(", ", TRUE, IF(radicados[ID PROYECTOS]=A201, radicados[RADICADO], ""))</f>
        <v/>
      </c>
      <c r="K201" s="45">
        <v>1</v>
      </c>
      <c r="L201" s="45"/>
      <c r="M201" s="43"/>
      <c r="N201" s="48">
        <v>160000000</v>
      </c>
      <c r="O201" s="48"/>
      <c r="P201" s="48"/>
      <c r="Q201" s="148" t="s">
        <v>1067</v>
      </c>
      <c r="R201" s="34" t="s">
        <v>435</v>
      </c>
      <c r="S201" s="40" t="s">
        <v>397</v>
      </c>
      <c r="T201" s="40" t="s">
        <v>56</v>
      </c>
      <c r="U201" s="37" t="s">
        <v>497</v>
      </c>
      <c r="V201" s="44">
        <f>+_xlfn.XLOOKUP(PROYECTOS2[[#This Row],[MUNICIPIO]],'4.CAP_ENDMNT'!B:B,'4.CAP_ENDMNT'!C:C,0,0,1)</f>
        <v>5</v>
      </c>
      <c r="W201" s="139">
        <f>+_xlfn.XLOOKUP(PROYECTOS2[[#This Row],[MUNICIPIO]],'4.CAP_ENDMNT'!B:B,'4.CAP_ENDMNT'!D:D,0,0,1)</f>
        <v>40656193467.687004</v>
      </c>
      <c r="X201" s="140">
        <f>+_xlfn.XLOOKUP(PROYECTOS2[[#This Row],[MUNICIPIO]],'4.CAP_ENDMNT'!B:B,'4.CAP_ENDMNT'!E:E,0,0,1)</f>
        <v>18778286398.540001</v>
      </c>
      <c r="Y201" s="140">
        <f>+_xlfn.XLOOKUP(PROYECTOS2[[#This Row],[MUNICIPIO]],'4.CAP_ENDMNT'!B:B,'4.CAP_ENDMNT'!F:F,0,0,1)</f>
        <v>21877907069.147003</v>
      </c>
      <c r="Z201" s="140">
        <f>+_xlfn.XLOOKUP(PROYECTOS2[[#This Row],[MUNICIPIO]],'4.CAP_ENDMNT'!B:B,'4.CAP_ENDMNT'!G:G,0,0,1)</f>
        <v>5492975516</v>
      </c>
      <c r="AA201" s="140">
        <f>+_xlfn.XLOOKUP(PROYECTOS2[[#This Row],[MUNICIPIO]],'4.CAP_ENDMNT'!B:B,'4.CAP_ENDMNT'!H:H,0,0,1)</f>
        <v>2014055909</v>
      </c>
      <c r="AB201" s="140">
        <f>+_xlfn.XLOOKUP(PROYECTOS2[[#This Row],[MUNICIPIO]],'4.CAP_ENDMNT'!B:B,'4.CAP_ENDMNT'!I:I,0,0,1)</f>
        <v>7507031425</v>
      </c>
      <c r="AC201" s="134">
        <f>+_xlfn.XLOOKUP(PROYECTOS2[[#This Row],[MUNICIPIO]],'4.CAP_ENDMNT'!B:B,'4.CAP_ENDMNT'!J:J,0,0,1)</f>
        <v>0.18464668688096655</v>
      </c>
      <c r="AD201" s="140">
        <f>+_xlfn.XLOOKUP(PROYECTOS2[[#This Row],[MUNICIPIO]],'4.CAP_ENDMNT'!B:B,'4.CAP_ENDMNT'!K:K,0,0,1)</f>
        <v>33149162042.687004</v>
      </c>
      <c r="AE201" s="140">
        <f>+_xlfn.XLOOKUP(PROYECTOS2[[#This Row],[MUNICIPIO]],'4.CAP_ENDMNT'!B:B,'4.CAP_ENDMNT'!L:L,0,0,1)</f>
        <v>26519329634.149605</v>
      </c>
      <c r="AF201" s="140">
        <f>+_xlfn.XLOOKUP(PROYECTOS2[[#This Row],[MUNICIPIO]],'4.CAP_ENDMNT'!B:B,'4.CAP_ENDMNT'!M:M,0,0,1)</f>
        <v>19889497225.612202</v>
      </c>
      <c r="AG201" s="134">
        <f>+_xlfn.XLOOKUP(PROYECTOS2[[#This Row],[MUNICIPIO]],'4.CAP_ENDMNT'!B:B,'4.CAP_ENDMNT'!N:N,0,0,1)</f>
        <v>0.73171073957506449</v>
      </c>
      <c r="AH201" s="134">
        <f>+_xlfn.XLOOKUP(PROYECTOS2[[#This Row],[MUNICIPIO]],'4.CAP_ENDMNT'!B:B,'4.CAP_ENDMNT'!O:O,0,0,1)</f>
        <v>0.53391906125286837</v>
      </c>
      <c r="AI201" s="134">
        <f>+_xlfn.XLOOKUP(PROYECTOS2[[#This Row],[MUNICIPIO]],'4.CAP_ENDMNT'!B:B,'4.CAP_ENDMNT'!P:P,0,0,1)</f>
        <v>0.8</v>
      </c>
      <c r="AJ201" s="44" t="str">
        <f>+_xlfn.XLOOKUP(PROYECTOS2[[#This Row],[MUNICIPIO]],'4.CAP_ENDMNT'!B:B,'4.CAP_ENDMNT'!Q:Q,0,0,1)</f>
        <v>Cumple</v>
      </c>
    </row>
    <row r="202" spans="1:36">
      <c r="A202" s="44">
        <v>224</v>
      </c>
      <c r="B202" s="37" t="s">
        <v>498</v>
      </c>
      <c r="C202" s="118">
        <v>45747</v>
      </c>
      <c r="D202" s="34" t="s">
        <v>359</v>
      </c>
      <c r="E202" s="47" t="str">
        <f>+_xlfn.XLOOKUP(PROYECTOS2[[#This Row],[MUNICIPIO]],MUNICIPIOS!A:A,MUNICIPIOS!E:E,0,0,1)</f>
        <v>Suroeste</v>
      </c>
      <c r="F202" s="44" t="e" cm="1">
        <f t="array" ref="F202">+_xlfn.XLOOKUP(PROYECTOS2[[#This Row],[MUNICIPIO]],Table1[Municipio],MUNICIPIOS!F:F,0,0,1)</f>
        <v>#VALUE!</v>
      </c>
      <c r="G202" s="44" t="str">
        <f>+LOOKUP(PROYECTOS2[[#This Row],[MUNICIPIO]],Table1[Municipio],Table1[Latitud])</f>
        <v>7,074703</v>
      </c>
      <c r="H202" s="44">
        <f>+LOOKUP(PROYECTOS2[[#This Row],[MUNICIPIO]],Table1[Municipio],Table1[PDET])</f>
        <v>1</v>
      </c>
      <c r="I202" s="44">
        <f>+LOOKUP(PROYECTOS2[[#This Row],[MUNICIPIO]],Table1[Municipio],Table1[ZOMAC])</f>
        <v>1</v>
      </c>
      <c r="J202" s="3" t="str" cm="1">
        <f t="array" ref="J202">_xlfn.TEXTJOIN(", ", TRUE, IF(radicados[ID PROYECTOS]=A202, radicados[RADICADO], ""))</f>
        <v/>
      </c>
      <c r="K202" s="142">
        <v>2</v>
      </c>
      <c r="L202" s="45"/>
      <c r="M202" s="43"/>
      <c r="N202" s="48"/>
      <c r="O202" s="48"/>
      <c r="P202" s="48"/>
      <c r="Q202" s="148" t="s">
        <v>1067</v>
      </c>
      <c r="R202" s="34" t="s">
        <v>435</v>
      </c>
      <c r="S202" s="40" t="s">
        <v>397</v>
      </c>
      <c r="T202" s="40" t="s">
        <v>56</v>
      </c>
      <c r="U202" s="37" t="s">
        <v>499</v>
      </c>
      <c r="V202" s="44">
        <f>+_xlfn.XLOOKUP(PROYECTOS2[[#This Row],[MUNICIPIO]],'4.CAP_ENDMNT'!B:B,'4.CAP_ENDMNT'!C:C,0,0,1)</f>
        <v>6</v>
      </c>
      <c r="W202" s="139">
        <f>+_xlfn.XLOOKUP(PROYECTOS2[[#This Row],[MUNICIPIO]],'4.CAP_ENDMNT'!B:B,'4.CAP_ENDMNT'!D:D,0,0,1)</f>
        <v>4632250570.3755007</v>
      </c>
      <c r="X202" s="140">
        <f>+_xlfn.XLOOKUP(PROYECTOS2[[#This Row],[MUNICIPIO]],'4.CAP_ENDMNT'!B:B,'4.CAP_ENDMNT'!E:E,0,0,1)</f>
        <v>2678094476.75</v>
      </c>
      <c r="Y202" s="140">
        <f>+_xlfn.XLOOKUP(PROYECTOS2[[#This Row],[MUNICIPIO]],'4.CAP_ENDMNT'!B:B,'4.CAP_ENDMNT'!F:F,0,0,1)</f>
        <v>1954156093.6255007</v>
      </c>
      <c r="Z202" s="140">
        <f>+_xlfn.XLOOKUP(PROYECTOS2[[#This Row],[MUNICIPIO]],'4.CAP_ENDMNT'!B:B,'4.CAP_ENDMNT'!G:G,0,0,1)</f>
        <v>1940610936.6700001</v>
      </c>
      <c r="AA202" s="140">
        <f>+_xlfn.XLOOKUP(PROYECTOS2[[#This Row],[MUNICIPIO]],'4.CAP_ENDMNT'!B:B,'4.CAP_ENDMNT'!H:H,0,0,1)</f>
        <v>0</v>
      </c>
      <c r="AB202" s="140">
        <f>+_xlfn.XLOOKUP(PROYECTOS2[[#This Row],[MUNICIPIO]],'4.CAP_ENDMNT'!B:B,'4.CAP_ENDMNT'!I:I,0,0,1)</f>
        <v>1940610936.6700001</v>
      </c>
      <c r="AC202" s="134">
        <f>+_xlfn.XLOOKUP(PROYECTOS2[[#This Row],[MUNICIPIO]],'4.CAP_ENDMNT'!B:B,'4.CAP_ENDMNT'!J:J,0,0,1)</f>
        <v>0.41893479361430352</v>
      </c>
      <c r="AD202" s="140">
        <f>+_xlfn.XLOOKUP(PROYECTOS2[[#This Row],[MUNICIPIO]],'4.CAP_ENDMNT'!B:B,'4.CAP_ENDMNT'!K:K,0,0,1)</f>
        <v>2691639633.7055006</v>
      </c>
      <c r="AE202" s="140">
        <f>+_xlfn.XLOOKUP(PROYECTOS2[[#This Row],[MUNICIPIO]],'4.CAP_ENDMNT'!B:B,'4.CAP_ENDMNT'!L:L,0,0,1)</f>
        <v>2153311706.9644008</v>
      </c>
      <c r="AF202" s="140">
        <f>+_xlfn.XLOOKUP(PROYECTOS2[[#This Row],[MUNICIPIO]],'4.CAP_ENDMNT'!B:B,'4.CAP_ENDMNT'!M:M,0,0,1)</f>
        <v>1614983780.2233002</v>
      </c>
      <c r="AG202" s="134">
        <f>+_xlfn.XLOOKUP(PROYECTOS2[[#This Row],[MUNICIPIO]],'4.CAP_ENDMNT'!B:B,'4.CAP_ENDMNT'!N:N,0,0,1)</f>
        <v>1</v>
      </c>
      <c r="AH202" s="134">
        <f>+_xlfn.XLOOKUP(PROYECTOS2[[#This Row],[MUNICIPIO]],'4.CAP_ENDMNT'!B:B,'4.CAP_ENDMNT'!O:O,0,0,1)</f>
        <v>0.76459744811231467</v>
      </c>
      <c r="AI202" s="134">
        <f>+_xlfn.XLOOKUP(PROYECTOS2[[#This Row],[MUNICIPIO]],'4.CAP_ENDMNT'!B:B,'4.CAP_ENDMNT'!P:P,0,0,1)</f>
        <v>0.8</v>
      </c>
      <c r="AJ202" s="44" t="str">
        <f>+_xlfn.XLOOKUP(PROYECTOS2[[#This Row],[MUNICIPIO]],'4.CAP_ENDMNT'!B:B,'4.CAP_ENDMNT'!Q:Q,0,0,1)</f>
        <v>Riesgo</v>
      </c>
    </row>
    <row r="203" spans="1:36">
      <c r="A203" s="44">
        <v>225</v>
      </c>
      <c r="B203" s="37" t="s">
        <v>500</v>
      </c>
      <c r="C203" s="118">
        <v>45747</v>
      </c>
      <c r="D203" s="34" t="s">
        <v>470</v>
      </c>
      <c r="E203" s="47" t="str">
        <f>+_xlfn.XLOOKUP(PROYECTOS2[[#This Row],[MUNICIPIO]],MUNICIPIOS!A:A,MUNICIPIOS!E:E,0,0,1)</f>
        <v>Oriente</v>
      </c>
      <c r="F203" s="44" t="e" cm="1">
        <f t="array" ref="F203">+_xlfn.XLOOKUP(PROYECTOS2[[#This Row],[MUNICIPIO]],Table1[Municipio],MUNICIPIOS!F:F,0,0,1)</f>
        <v>#VALUE!</v>
      </c>
      <c r="G203" s="44" t="str">
        <f>+LOOKUP(PROYECTOS2[[#This Row],[MUNICIPIO]],Table1[Municipio],Table1[Latitud])</f>
        <v>6,149903</v>
      </c>
      <c r="H203" s="44">
        <f>+LOOKUP(PROYECTOS2[[#This Row],[MUNICIPIO]],Table1[Municipio],Table1[PDET])</f>
        <v>0</v>
      </c>
      <c r="I203" s="44">
        <f>+LOOKUP(PROYECTOS2[[#This Row],[MUNICIPIO]],Table1[Municipio],Table1[ZOMAC])</f>
        <v>0</v>
      </c>
      <c r="J203" s="3" t="str" cm="1">
        <f t="array" ref="J203">_xlfn.TEXTJOIN(", ", TRUE, IF(radicados[ID PROYECTOS]=A203, radicados[RADICADO], ""))</f>
        <v/>
      </c>
      <c r="K203" s="142">
        <v>2</v>
      </c>
      <c r="L203" s="45"/>
      <c r="M203" s="43"/>
      <c r="N203" s="48">
        <v>5450000000</v>
      </c>
      <c r="O203" s="48"/>
      <c r="P203" s="48"/>
      <c r="Q203" s="148" t="s">
        <v>1067</v>
      </c>
      <c r="R203" s="34" t="s">
        <v>435</v>
      </c>
      <c r="S203" s="40" t="s">
        <v>397</v>
      </c>
      <c r="T203" s="40" t="s">
        <v>56</v>
      </c>
      <c r="U203" s="37" t="s">
        <v>501</v>
      </c>
      <c r="V203" s="44">
        <f>+_xlfn.XLOOKUP(PROYECTOS2[[#This Row],[MUNICIPIO]],'4.CAP_ENDMNT'!B:B,'4.CAP_ENDMNT'!C:C,0,0,1)</f>
        <v>6</v>
      </c>
      <c r="W203" s="139">
        <f>+_xlfn.XLOOKUP(PROYECTOS2[[#This Row],[MUNICIPIO]],'4.CAP_ENDMNT'!B:B,'4.CAP_ENDMNT'!D:D,0,0,1)</f>
        <v>17565923370.843998</v>
      </c>
      <c r="X203" s="140">
        <f>+_xlfn.XLOOKUP(PROYECTOS2[[#This Row],[MUNICIPIO]],'4.CAP_ENDMNT'!B:B,'4.CAP_ENDMNT'!E:E,0,0,1)</f>
        <v>4463335582.5100002</v>
      </c>
      <c r="Y203" s="140">
        <f>+_xlfn.XLOOKUP(PROYECTOS2[[#This Row],[MUNICIPIO]],'4.CAP_ENDMNT'!B:B,'4.CAP_ENDMNT'!F:F,0,0,1)</f>
        <v>13102587788.333998</v>
      </c>
      <c r="Z203" s="140">
        <f>+_xlfn.XLOOKUP(PROYECTOS2[[#This Row],[MUNICIPIO]],'4.CAP_ENDMNT'!B:B,'4.CAP_ENDMNT'!G:G,0,0,1)</f>
        <v>2561424191</v>
      </c>
      <c r="AA203" s="140">
        <f>+_xlfn.XLOOKUP(PROYECTOS2[[#This Row],[MUNICIPIO]],'4.CAP_ENDMNT'!B:B,'4.CAP_ENDMNT'!H:H,0,0,1)</f>
        <v>0</v>
      </c>
      <c r="AB203" s="140">
        <f>+_xlfn.XLOOKUP(PROYECTOS2[[#This Row],[MUNICIPIO]],'4.CAP_ENDMNT'!B:B,'4.CAP_ENDMNT'!I:I,0,0,1)</f>
        <v>2561424191</v>
      </c>
      <c r="AC203" s="134">
        <f>+_xlfn.XLOOKUP(PROYECTOS2[[#This Row],[MUNICIPIO]],'4.CAP_ENDMNT'!B:B,'4.CAP_ENDMNT'!J:J,0,0,1)</f>
        <v>0.14581779374328047</v>
      </c>
      <c r="AD203" s="140">
        <f>+_xlfn.XLOOKUP(PROYECTOS2[[#This Row],[MUNICIPIO]],'4.CAP_ENDMNT'!B:B,'4.CAP_ENDMNT'!K:K,0,0,1)</f>
        <v>15004499179.843998</v>
      </c>
      <c r="AE203" s="140">
        <f>+_xlfn.XLOOKUP(PROYECTOS2[[#This Row],[MUNICIPIO]],'4.CAP_ENDMNT'!B:B,'4.CAP_ENDMNT'!L:L,0,0,1)</f>
        <v>12003599343.875198</v>
      </c>
      <c r="AF203" s="140">
        <f>+_xlfn.XLOOKUP(PROYECTOS2[[#This Row],[MUNICIPIO]],'4.CAP_ENDMNT'!B:B,'4.CAP_ENDMNT'!M:M,0,0,1)</f>
        <v>9002699507.9063988</v>
      </c>
      <c r="AG203" s="134">
        <f>+_xlfn.XLOOKUP(PROYECTOS2[[#This Row],[MUNICIPIO]],'4.CAP_ENDMNT'!B:B,'4.CAP_ENDMNT'!N:N,0,0,1)</f>
        <v>1</v>
      </c>
      <c r="AH203" s="134">
        <f>+_xlfn.XLOOKUP(PROYECTOS2[[#This Row],[MUNICIPIO]],'4.CAP_ENDMNT'!B:B,'4.CAP_ENDMNT'!O:O,0,0,1)</f>
        <v>0.64471709259563048</v>
      </c>
      <c r="AI203" s="134">
        <f>+_xlfn.XLOOKUP(PROYECTOS2[[#This Row],[MUNICIPIO]],'4.CAP_ENDMNT'!B:B,'4.CAP_ENDMNT'!P:P,0,0,1)</f>
        <v>0.8</v>
      </c>
      <c r="AJ203" s="44" t="str">
        <f>+_xlfn.XLOOKUP(PROYECTOS2[[#This Row],[MUNICIPIO]],'4.CAP_ENDMNT'!B:B,'4.CAP_ENDMNT'!Q:Q,0,0,1)</f>
        <v>Cumple</v>
      </c>
    </row>
    <row r="204" spans="1:36">
      <c r="A204" s="44">
        <v>226</v>
      </c>
      <c r="B204" s="37" t="s">
        <v>502</v>
      </c>
      <c r="C204" s="118">
        <v>45747</v>
      </c>
      <c r="D204" s="34" t="s">
        <v>270</v>
      </c>
      <c r="E204" s="47" t="str">
        <f>+_xlfn.XLOOKUP(PROYECTOS2[[#This Row],[MUNICIPIO]],MUNICIPIOS!A:A,MUNICIPIOS!E:E,0,0,1)</f>
        <v>Oriente</v>
      </c>
      <c r="F204" s="44" t="e" cm="1">
        <f t="array" ref="F204">+_xlfn.XLOOKUP(PROYECTOS2[[#This Row],[MUNICIPIO]],Table1[Municipio],MUNICIPIOS!F:F,0,0,1)</f>
        <v>#VALUE!</v>
      </c>
      <c r="G204" s="44" t="str">
        <f>+LOOKUP(PROYECTOS2[[#This Row],[MUNICIPIO]],Table1[Municipio],Table1[Latitud])</f>
        <v>6,149903</v>
      </c>
      <c r="H204" s="44">
        <f>+LOOKUP(PROYECTOS2[[#This Row],[MUNICIPIO]],Table1[Municipio],Table1[PDET])</f>
        <v>0</v>
      </c>
      <c r="I204" s="44">
        <f>+LOOKUP(PROYECTOS2[[#This Row],[MUNICIPIO]],Table1[Municipio],Table1[ZOMAC])</f>
        <v>0</v>
      </c>
      <c r="J204" s="3" t="str" cm="1">
        <f t="array" ref="J204">_xlfn.TEXTJOIN(", ", TRUE, IF(radicados[ID PROYECTOS]=A204, radicados[RADICADO], ""))</f>
        <v/>
      </c>
      <c r="K204" s="142">
        <v>2</v>
      </c>
      <c r="L204" s="45"/>
      <c r="M204" s="43"/>
      <c r="N204" s="48">
        <v>2391500000</v>
      </c>
      <c r="O204" s="48"/>
      <c r="P204" s="48"/>
      <c r="Q204" s="148" t="s">
        <v>1067</v>
      </c>
      <c r="R204" s="34" t="s">
        <v>435</v>
      </c>
      <c r="S204" s="40" t="s">
        <v>397</v>
      </c>
      <c r="T204" s="40" t="s">
        <v>56</v>
      </c>
      <c r="U204" s="37" t="s">
        <v>991</v>
      </c>
      <c r="V204" s="44">
        <f>+_xlfn.XLOOKUP(PROYECTOS2[[#This Row],[MUNICIPIO]],'4.CAP_ENDMNT'!B:B,'4.CAP_ENDMNT'!C:C,0,0,1)</f>
        <v>6</v>
      </c>
      <c r="W204" s="139">
        <f>+_xlfn.XLOOKUP(PROYECTOS2[[#This Row],[MUNICIPIO]],'4.CAP_ENDMNT'!B:B,'4.CAP_ENDMNT'!D:D,0,0,1)</f>
        <v>10860999220.161499</v>
      </c>
      <c r="X204" s="140">
        <f>+_xlfn.XLOOKUP(PROYECTOS2[[#This Row],[MUNICIPIO]],'4.CAP_ENDMNT'!B:B,'4.CAP_ENDMNT'!E:E,0,0,1)</f>
        <v>3903981787.4000001</v>
      </c>
      <c r="Y204" s="140">
        <f>+_xlfn.XLOOKUP(PROYECTOS2[[#This Row],[MUNICIPIO]],'4.CAP_ENDMNT'!B:B,'4.CAP_ENDMNT'!F:F,0,0,1)</f>
        <v>6957017432.7614994</v>
      </c>
      <c r="Z204" s="140">
        <f>+_xlfn.XLOOKUP(PROYECTOS2[[#This Row],[MUNICIPIO]],'4.CAP_ENDMNT'!B:B,'4.CAP_ENDMNT'!G:G,0,0,1)</f>
        <v>1425530293</v>
      </c>
      <c r="AA204" s="140">
        <f>+_xlfn.XLOOKUP(PROYECTOS2[[#This Row],[MUNICIPIO]],'4.CAP_ENDMNT'!B:B,'4.CAP_ENDMNT'!H:H,0,0,1)</f>
        <v>0</v>
      </c>
      <c r="AB204" s="140">
        <f>+_xlfn.XLOOKUP(PROYECTOS2[[#This Row],[MUNICIPIO]],'4.CAP_ENDMNT'!B:B,'4.CAP_ENDMNT'!I:I,0,0,1)</f>
        <v>1425530293</v>
      </c>
      <c r="AC204" s="134">
        <f>+_xlfn.XLOOKUP(PROYECTOS2[[#This Row],[MUNICIPIO]],'4.CAP_ENDMNT'!B:B,'4.CAP_ENDMNT'!J:J,0,0,1)</f>
        <v>0.13125222312453153</v>
      </c>
      <c r="AD204" s="140">
        <f>+_xlfn.XLOOKUP(PROYECTOS2[[#This Row],[MUNICIPIO]],'4.CAP_ENDMNT'!B:B,'4.CAP_ENDMNT'!K:K,0,0,1)</f>
        <v>9435468927.161499</v>
      </c>
      <c r="AE204" s="140">
        <f>+_xlfn.XLOOKUP(PROYECTOS2[[#This Row],[MUNICIPIO]],'4.CAP_ENDMNT'!B:B,'4.CAP_ENDMNT'!L:L,0,0,1)</f>
        <v>7548375141.7291994</v>
      </c>
      <c r="AF204" s="140">
        <f>+_xlfn.XLOOKUP(PROYECTOS2[[#This Row],[MUNICIPIO]],'4.CAP_ENDMNT'!B:B,'4.CAP_ENDMNT'!M:M,0,0,1)</f>
        <v>5661281356.2968988</v>
      </c>
      <c r="AG204" s="134">
        <f>+_xlfn.XLOOKUP(PROYECTOS2[[#This Row],[MUNICIPIO]],'4.CAP_ENDMNT'!B:B,'4.CAP_ENDMNT'!N:N,0,0,1)</f>
        <v>1</v>
      </c>
      <c r="AH204" s="134">
        <f>+_xlfn.XLOOKUP(PROYECTOS2[[#This Row],[MUNICIPIO]],'4.CAP_ENDMNT'!B:B,'4.CAP_ENDMNT'!O:O,0,0,1)</f>
        <v>0.63270124114427018</v>
      </c>
      <c r="AI204" s="134">
        <f>+_xlfn.XLOOKUP(PROYECTOS2[[#This Row],[MUNICIPIO]],'4.CAP_ENDMNT'!B:B,'4.CAP_ENDMNT'!P:P,0,0,1)</f>
        <v>0.8</v>
      </c>
      <c r="AJ204" s="44" t="str">
        <f>+_xlfn.XLOOKUP(PROYECTOS2[[#This Row],[MUNICIPIO]],'4.CAP_ENDMNT'!B:B,'4.CAP_ENDMNT'!Q:Q,0,0,1)</f>
        <v>Cumple</v>
      </c>
    </row>
    <row r="205" spans="1:36">
      <c r="A205" s="44">
        <v>227</v>
      </c>
      <c r="B205" s="37" t="s">
        <v>503</v>
      </c>
      <c r="C205" s="118">
        <v>45747</v>
      </c>
      <c r="D205" s="34" t="s">
        <v>15</v>
      </c>
      <c r="E205" s="47" t="str">
        <f>+_xlfn.XLOOKUP(PROYECTOS2[[#This Row],[MUNICIPIO]],MUNICIPIOS!A:A,MUNICIPIOS!E:E,0,0,1)</f>
        <v>Valle de Aburrá</v>
      </c>
      <c r="F205" s="44" t="e" cm="1">
        <f t="array" ref="F205">+_xlfn.XLOOKUP(PROYECTOS2[[#This Row],[MUNICIPIO]],Table1[Municipio],MUNICIPIOS!F:F,0,0,1)</f>
        <v>#VALUE!</v>
      </c>
      <c r="G205" s="44" t="str">
        <f>+LOOKUP(PROYECTOS2[[#This Row],[MUNICIPIO]],Table1[Municipio],Table1[Latitud])</f>
        <v>7,074703</v>
      </c>
      <c r="H205" s="44">
        <f>+LOOKUP(PROYECTOS2[[#This Row],[MUNICIPIO]],Table1[Municipio],Table1[PDET])</f>
        <v>1</v>
      </c>
      <c r="I205" s="44">
        <f>+LOOKUP(PROYECTOS2[[#This Row],[MUNICIPIO]],Table1[Municipio],Table1[ZOMAC])</f>
        <v>1</v>
      </c>
      <c r="J205" s="3" t="str" cm="1">
        <f t="array" ref="J205">_xlfn.TEXTJOIN(", ", TRUE, IF(radicados[ID PROYECTOS]=A205, radicados[RADICADO], ""))</f>
        <v/>
      </c>
      <c r="K205" s="142">
        <v>2</v>
      </c>
      <c r="L205" s="45"/>
      <c r="M205" s="43"/>
      <c r="N205" s="48"/>
      <c r="O205" s="48"/>
      <c r="P205" s="48"/>
      <c r="Q205" s="148" t="s">
        <v>1067</v>
      </c>
      <c r="R205" s="34" t="s">
        <v>435</v>
      </c>
      <c r="S205" s="40" t="s">
        <v>397</v>
      </c>
      <c r="T205" s="40" t="s">
        <v>56</v>
      </c>
      <c r="U205" s="37" t="s">
        <v>1113</v>
      </c>
      <c r="V205" s="44">
        <f>+_xlfn.XLOOKUP(PROYECTOS2[[#This Row],[MUNICIPIO]],'4.CAP_ENDMNT'!B:B,'4.CAP_ENDMNT'!C:C,0,0,1)</f>
        <v>4</v>
      </c>
      <c r="W205" s="139">
        <f>+_xlfn.XLOOKUP(PROYECTOS2[[#This Row],[MUNICIPIO]],'4.CAP_ENDMNT'!B:B,'4.CAP_ENDMNT'!D:D,0,0,1)</f>
        <v>56592203197.536499</v>
      </c>
      <c r="X205" s="140">
        <f>+_xlfn.XLOOKUP(PROYECTOS2[[#This Row],[MUNICIPIO]],'4.CAP_ENDMNT'!B:B,'4.CAP_ENDMNT'!E:E,0,0,1)</f>
        <v>24375972647.860001</v>
      </c>
      <c r="Y205" s="140">
        <f>+_xlfn.XLOOKUP(PROYECTOS2[[#This Row],[MUNICIPIO]],'4.CAP_ENDMNT'!B:B,'4.CAP_ENDMNT'!F:F,0,0,1)</f>
        <v>32216230549.676498</v>
      </c>
      <c r="Z205" s="140">
        <f>+_xlfn.XLOOKUP(PROYECTOS2[[#This Row],[MUNICIPIO]],'4.CAP_ENDMNT'!B:B,'4.CAP_ENDMNT'!G:G,0,0,1)</f>
        <v>0</v>
      </c>
      <c r="AA205" s="140">
        <f>+_xlfn.XLOOKUP(PROYECTOS2[[#This Row],[MUNICIPIO]],'4.CAP_ENDMNT'!B:B,'4.CAP_ENDMNT'!H:H,0,0,1)</f>
        <v>15044963334.42</v>
      </c>
      <c r="AB205" s="140">
        <f>+_xlfn.XLOOKUP(PROYECTOS2[[#This Row],[MUNICIPIO]],'4.CAP_ENDMNT'!B:B,'4.CAP_ENDMNT'!I:I,0,0,1)</f>
        <v>15044963334.42</v>
      </c>
      <c r="AC205" s="134">
        <f>+_xlfn.XLOOKUP(PROYECTOS2[[#This Row],[MUNICIPIO]],'4.CAP_ENDMNT'!B:B,'4.CAP_ENDMNT'!J:J,0,0,1)</f>
        <v>0.26584869442006315</v>
      </c>
      <c r="AD205" s="140">
        <f>+_xlfn.XLOOKUP(PROYECTOS2[[#This Row],[MUNICIPIO]],'4.CAP_ENDMNT'!B:B,'4.CAP_ENDMNT'!K:K,0,0,1)</f>
        <v>41547239863.116501</v>
      </c>
      <c r="AE205" s="140">
        <f>+_xlfn.XLOOKUP(PROYECTOS2[[#This Row],[MUNICIPIO]],'4.CAP_ENDMNT'!B:B,'4.CAP_ENDMNT'!L:L,0,0,1)</f>
        <v>33237791890.493202</v>
      </c>
      <c r="AF205" s="140">
        <f>+_xlfn.XLOOKUP(PROYECTOS2[[#This Row],[MUNICIPIO]],'4.CAP_ENDMNT'!B:B,'4.CAP_ENDMNT'!M:M,0,0,1)</f>
        <v>24928343917.8699</v>
      </c>
      <c r="AG205" s="134">
        <f>+_xlfn.XLOOKUP(PROYECTOS2[[#This Row],[MUNICIPIO]],'4.CAP_ENDMNT'!B:B,'4.CAP_ENDMNT'!N:N,0,0,1)</f>
        <v>0</v>
      </c>
      <c r="AH205" s="134">
        <f>+_xlfn.XLOOKUP(PROYECTOS2[[#This Row],[MUNICIPIO]],'4.CAP_ENDMNT'!B:B,'4.CAP_ENDMNT'!O:O,0,0,1)</f>
        <v>0.60385208261970102</v>
      </c>
      <c r="AI205" s="134">
        <f>+_xlfn.XLOOKUP(PROYECTOS2[[#This Row],[MUNICIPIO]],'4.CAP_ENDMNT'!B:B,'4.CAP_ENDMNT'!P:P,0,0,1)</f>
        <v>0.8</v>
      </c>
      <c r="AJ205" s="44" t="str">
        <f>+_xlfn.XLOOKUP(PROYECTOS2[[#This Row],[MUNICIPIO]],'4.CAP_ENDMNT'!B:B,'4.CAP_ENDMNT'!Q:Q,0,0,1)</f>
        <v>Cumple</v>
      </c>
    </row>
    <row r="206" spans="1:36">
      <c r="A206" s="44">
        <v>228</v>
      </c>
      <c r="B206" s="37" t="s">
        <v>504</v>
      </c>
      <c r="C206" s="118">
        <v>45747</v>
      </c>
      <c r="D206" s="34" t="s">
        <v>15</v>
      </c>
      <c r="E206" s="47" t="str">
        <f>+_xlfn.XLOOKUP(PROYECTOS2[[#This Row],[MUNICIPIO]],MUNICIPIOS!A:A,MUNICIPIOS!E:E,0,0,1)</f>
        <v>Valle de Aburrá</v>
      </c>
      <c r="F206" s="44" t="e" cm="1">
        <f t="array" ref="F206">+_xlfn.XLOOKUP(PROYECTOS2[[#This Row],[MUNICIPIO]],Table1[Municipio],MUNICIPIOS!F:F,0,0,1)</f>
        <v>#VALUE!</v>
      </c>
      <c r="G206" s="44" t="str">
        <f>+LOOKUP(PROYECTOS2[[#This Row],[MUNICIPIO]],Table1[Municipio],Table1[Latitud])</f>
        <v>7,074703</v>
      </c>
      <c r="H206" s="44">
        <f>+LOOKUP(PROYECTOS2[[#This Row],[MUNICIPIO]],Table1[Municipio],Table1[PDET])</f>
        <v>1</v>
      </c>
      <c r="I206" s="44">
        <f>+LOOKUP(PROYECTOS2[[#This Row],[MUNICIPIO]],Table1[Municipio],Table1[ZOMAC])</f>
        <v>1</v>
      </c>
      <c r="J206" s="3" t="str" cm="1">
        <f t="array" ref="J206">_xlfn.TEXTJOIN(", ", TRUE, IF(radicados[ID PROYECTOS]=A206, radicados[RADICADO], ""))</f>
        <v/>
      </c>
      <c r="K206" s="142">
        <v>2</v>
      </c>
      <c r="L206" s="45"/>
      <c r="M206" s="43"/>
      <c r="N206" s="48"/>
      <c r="O206" s="48"/>
      <c r="P206" s="48"/>
      <c r="Q206" s="148" t="s">
        <v>1067</v>
      </c>
      <c r="R206" s="34" t="s">
        <v>435</v>
      </c>
      <c r="S206" s="40" t="s">
        <v>397</v>
      </c>
      <c r="T206" s="40" t="s">
        <v>56</v>
      </c>
      <c r="U206" s="37" t="s">
        <v>1113</v>
      </c>
      <c r="V206" s="44">
        <f>+_xlfn.XLOOKUP(PROYECTOS2[[#This Row],[MUNICIPIO]],'4.CAP_ENDMNT'!B:B,'4.CAP_ENDMNT'!C:C,0,0,1)</f>
        <v>4</v>
      </c>
      <c r="W206" s="139">
        <f>+_xlfn.XLOOKUP(PROYECTOS2[[#This Row],[MUNICIPIO]],'4.CAP_ENDMNT'!B:B,'4.CAP_ENDMNT'!D:D,0,0,1)</f>
        <v>56592203197.536499</v>
      </c>
      <c r="X206" s="140">
        <f>+_xlfn.XLOOKUP(PROYECTOS2[[#This Row],[MUNICIPIO]],'4.CAP_ENDMNT'!B:B,'4.CAP_ENDMNT'!E:E,0,0,1)</f>
        <v>24375972647.860001</v>
      </c>
      <c r="Y206" s="140">
        <f>+_xlfn.XLOOKUP(PROYECTOS2[[#This Row],[MUNICIPIO]],'4.CAP_ENDMNT'!B:B,'4.CAP_ENDMNT'!F:F,0,0,1)</f>
        <v>32216230549.676498</v>
      </c>
      <c r="Z206" s="140">
        <f>+_xlfn.XLOOKUP(PROYECTOS2[[#This Row],[MUNICIPIO]],'4.CAP_ENDMNT'!B:B,'4.CAP_ENDMNT'!G:G,0,0,1)</f>
        <v>0</v>
      </c>
      <c r="AA206" s="140">
        <f>+_xlfn.XLOOKUP(PROYECTOS2[[#This Row],[MUNICIPIO]],'4.CAP_ENDMNT'!B:B,'4.CAP_ENDMNT'!H:H,0,0,1)</f>
        <v>15044963334.42</v>
      </c>
      <c r="AB206" s="140">
        <f>+_xlfn.XLOOKUP(PROYECTOS2[[#This Row],[MUNICIPIO]],'4.CAP_ENDMNT'!B:B,'4.CAP_ENDMNT'!I:I,0,0,1)</f>
        <v>15044963334.42</v>
      </c>
      <c r="AC206" s="134">
        <f>+_xlfn.XLOOKUP(PROYECTOS2[[#This Row],[MUNICIPIO]],'4.CAP_ENDMNT'!B:B,'4.CAP_ENDMNT'!J:J,0,0,1)</f>
        <v>0.26584869442006315</v>
      </c>
      <c r="AD206" s="140">
        <f>+_xlfn.XLOOKUP(PROYECTOS2[[#This Row],[MUNICIPIO]],'4.CAP_ENDMNT'!B:B,'4.CAP_ENDMNT'!K:K,0,0,1)</f>
        <v>41547239863.116501</v>
      </c>
      <c r="AE206" s="140">
        <f>+_xlfn.XLOOKUP(PROYECTOS2[[#This Row],[MUNICIPIO]],'4.CAP_ENDMNT'!B:B,'4.CAP_ENDMNT'!L:L,0,0,1)</f>
        <v>33237791890.493202</v>
      </c>
      <c r="AF206" s="140">
        <f>+_xlfn.XLOOKUP(PROYECTOS2[[#This Row],[MUNICIPIO]],'4.CAP_ENDMNT'!B:B,'4.CAP_ENDMNT'!M:M,0,0,1)</f>
        <v>24928343917.8699</v>
      </c>
      <c r="AG206" s="134">
        <f>+_xlfn.XLOOKUP(PROYECTOS2[[#This Row],[MUNICIPIO]],'4.CAP_ENDMNT'!B:B,'4.CAP_ENDMNT'!N:N,0,0,1)</f>
        <v>0</v>
      </c>
      <c r="AH206" s="134">
        <f>+_xlfn.XLOOKUP(PROYECTOS2[[#This Row],[MUNICIPIO]],'4.CAP_ENDMNT'!B:B,'4.CAP_ENDMNT'!O:O,0,0,1)</f>
        <v>0.60385208261970102</v>
      </c>
      <c r="AI206" s="134">
        <f>+_xlfn.XLOOKUP(PROYECTOS2[[#This Row],[MUNICIPIO]],'4.CAP_ENDMNT'!B:B,'4.CAP_ENDMNT'!P:P,0,0,1)</f>
        <v>0.8</v>
      </c>
      <c r="AJ206" s="44" t="str">
        <f>+_xlfn.XLOOKUP(PROYECTOS2[[#This Row],[MUNICIPIO]],'4.CAP_ENDMNT'!B:B,'4.CAP_ENDMNT'!Q:Q,0,0,1)</f>
        <v>Cumple</v>
      </c>
    </row>
    <row r="207" spans="1:36">
      <c r="A207" s="44">
        <v>229</v>
      </c>
      <c r="B207" s="37" t="s">
        <v>505</v>
      </c>
      <c r="C207" s="118">
        <v>45747</v>
      </c>
      <c r="D207" s="34" t="s">
        <v>227</v>
      </c>
      <c r="E207" s="47" t="str">
        <f>+_xlfn.XLOOKUP(PROYECTOS2[[#This Row],[MUNICIPIO]],MUNICIPIOS!A:A,MUNICIPIOS!E:E,0,0,1)</f>
        <v>Oriente</v>
      </c>
      <c r="F207" s="44" t="e" cm="1">
        <f t="array" ref="F207">+_xlfn.XLOOKUP(PROYECTOS2[[#This Row],[MUNICIPIO]],Table1[Municipio],MUNICIPIOS!F:F,0,0,1)</f>
        <v>#VALUE!</v>
      </c>
      <c r="G207" s="44" t="str">
        <f>+LOOKUP(PROYECTOS2[[#This Row],[MUNICIPIO]],Table1[Municipio],Table1[Latitud])</f>
        <v>6,142892</v>
      </c>
      <c r="H207" s="44">
        <f>+LOOKUP(PROYECTOS2[[#This Row],[MUNICIPIO]],Table1[Municipio],Table1[PDET])</f>
        <v>0</v>
      </c>
      <c r="I207" s="44">
        <f>+LOOKUP(PROYECTOS2[[#This Row],[MUNICIPIO]],Table1[Municipio],Table1[ZOMAC])</f>
        <v>1</v>
      </c>
      <c r="J207" s="3" t="str" cm="1">
        <f t="array" ref="J207">_xlfn.TEXTJOIN(", ", TRUE, IF(radicados[ID PROYECTOS]=A207, radicados[RADICADO], ""))</f>
        <v/>
      </c>
      <c r="K207" s="45">
        <v>1</v>
      </c>
      <c r="L207" s="45"/>
      <c r="M207" s="43"/>
      <c r="N207" s="48">
        <v>1950624000</v>
      </c>
      <c r="O207" s="48"/>
      <c r="P207" s="48"/>
      <c r="Q207" s="148" t="s">
        <v>1067</v>
      </c>
      <c r="R207" s="34" t="s">
        <v>435</v>
      </c>
      <c r="S207" s="40" t="s">
        <v>397</v>
      </c>
      <c r="T207" s="40" t="s">
        <v>56</v>
      </c>
      <c r="U207" s="37" t="s">
        <v>506</v>
      </c>
      <c r="V207" s="44">
        <f>+_xlfn.XLOOKUP(PROYECTOS2[[#This Row],[MUNICIPIO]],'4.CAP_ENDMNT'!B:B,'4.CAP_ENDMNT'!C:C,0,0,1)</f>
        <v>6</v>
      </c>
      <c r="W207" s="139">
        <f>+_xlfn.XLOOKUP(PROYECTOS2[[#This Row],[MUNICIPIO]],'4.CAP_ENDMNT'!B:B,'4.CAP_ENDMNT'!D:D,0,0,1)</f>
        <v>9100976268.0305004</v>
      </c>
      <c r="X207" s="140">
        <f>+_xlfn.XLOOKUP(PROYECTOS2[[#This Row],[MUNICIPIO]],'4.CAP_ENDMNT'!B:B,'4.CAP_ENDMNT'!E:E,0,0,1)</f>
        <v>3221460794.1700001</v>
      </c>
      <c r="Y207" s="140">
        <f>+_xlfn.XLOOKUP(PROYECTOS2[[#This Row],[MUNICIPIO]],'4.CAP_ENDMNT'!B:B,'4.CAP_ENDMNT'!F:F,0,0,1)</f>
        <v>5879515473.8605003</v>
      </c>
      <c r="Z207" s="140">
        <f>+_xlfn.XLOOKUP(PROYECTOS2[[#This Row],[MUNICIPIO]],'4.CAP_ENDMNT'!B:B,'4.CAP_ENDMNT'!G:G,0,0,1)</f>
        <v>1026722956</v>
      </c>
      <c r="AA207" s="140">
        <f>+_xlfn.XLOOKUP(PROYECTOS2[[#This Row],[MUNICIPIO]],'4.CAP_ENDMNT'!B:B,'4.CAP_ENDMNT'!H:H,0,0,1)</f>
        <v>190000000</v>
      </c>
      <c r="AB207" s="140">
        <f>+_xlfn.XLOOKUP(PROYECTOS2[[#This Row],[MUNICIPIO]],'4.CAP_ENDMNT'!B:B,'4.CAP_ENDMNT'!I:I,0,0,1)</f>
        <v>1216722956</v>
      </c>
      <c r="AC207" s="134">
        <f>+_xlfn.XLOOKUP(PROYECTOS2[[#This Row],[MUNICIPIO]],'4.CAP_ENDMNT'!B:B,'4.CAP_ENDMNT'!J:J,0,0,1)</f>
        <v>0.13369147662477152</v>
      </c>
      <c r="AD207" s="140">
        <f>+_xlfn.XLOOKUP(PROYECTOS2[[#This Row],[MUNICIPIO]],'4.CAP_ENDMNT'!B:B,'4.CAP_ENDMNT'!K:K,0,0,1)</f>
        <v>7884253312.0305004</v>
      </c>
      <c r="AE207" s="140">
        <f>+_xlfn.XLOOKUP(PROYECTOS2[[#This Row],[MUNICIPIO]],'4.CAP_ENDMNT'!B:B,'4.CAP_ENDMNT'!L:L,0,0,1)</f>
        <v>6307402649.6244011</v>
      </c>
      <c r="AF207" s="140">
        <f>+_xlfn.XLOOKUP(PROYECTOS2[[#This Row],[MUNICIPIO]],'4.CAP_ENDMNT'!B:B,'4.CAP_ENDMNT'!M:M,0,0,1)</f>
        <v>4730551987.2182999</v>
      </c>
      <c r="AG207" s="134">
        <f>+_xlfn.XLOOKUP(PROYECTOS2[[#This Row],[MUNICIPIO]],'4.CAP_ENDMNT'!B:B,'4.CAP_ENDMNT'!N:N,0,0,1)</f>
        <v>0.84384284108140062</v>
      </c>
      <c r="AH207" s="134">
        <f>+_xlfn.XLOOKUP(PROYECTOS2[[#This Row],[MUNICIPIO]],'4.CAP_ENDMNT'!B:B,'4.CAP_ENDMNT'!O:O,0,0,1)</f>
        <v>0.65864601932480682</v>
      </c>
      <c r="AI207" s="134">
        <f>+_xlfn.XLOOKUP(PROYECTOS2[[#This Row],[MUNICIPIO]],'4.CAP_ENDMNT'!B:B,'4.CAP_ENDMNT'!P:P,0,0,1)</f>
        <v>0.8</v>
      </c>
      <c r="AJ207" s="44" t="str">
        <f>+_xlfn.XLOOKUP(PROYECTOS2[[#This Row],[MUNICIPIO]],'4.CAP_ENDMNT'!B:B,'4.CAP_ENDMNT'!Q:Q,0,0,1)</f>
        <v>Cumple</v>
      </c>
    </row>
    <row r="208" spans="1:36">
      <c r="A208" s="44">
        <v>230</v>
      </c>
      <c r="B208" s="37" t="s">
        <v>507</v>
      </c>
      <c r="C208" s="118">
        <v>45747</v>
      </c>
      <c r="D208" s="34" t="s">
        <v>227</v>
      </c>
      <c r="E208" s="47" t="str">
        <f>+_xlfn.XLOOKUP(PROYECTOS2[[#This Row],[MUNICIPIO]],MUNICIPIOS!A:A,MUNICIPIOS!E:E,0,0,1)</f>
        <v>Oriente</v>
      </c>
      <c r="F208" s="44" t="e" cm="1">
        <f t="array" ref="F208">+_xlfn.XLOOKUP(PROYECTOS2[[#This Row],[MUNICIPIO]],Table1[Municipio],MUNICIPIOS!F:F,0,0,1)</f>
        <v>#VALUE!</v>
      </c>
      <c r="G208" s="44" t="str">
        <f>+LOOKUP(PROYECTOS2[[#This Row],[MUNICIPIO]],Table1[Municipio],Table1[Latitud])</f>
        <v>6,142892</v>
      </c>
      <c r="H208" s="44">
        <f>+LOOKUP(PROYECTOS2[[#This Row],[MUNICIPIO]],Table1[Municipio],Table1[PDET])</f>
        <v>0</v>
      </c>
      <c r="I208" s="44">
        <f>+LOOKUP(PROYECTOS2[[#This Row],[MUNICIPIO]],Table1[Municipio],Table1[ZOMAC])</f>
        <v>1</v>
      </c>
      <c r="J208" s="3" t="str" cm="1">
        <f t="array" ref="J208">_xlfn.TEXTJOIN(", ", TRUE, IF(radicados[ID PROYECTOS]=A208, radicados[RADICADO], ""))</f>
        <v/>
      </c>
      <c r="K208" s="45">
        <v>1</v>
      </c>
      <c r="L208" s="45"/>
      <c r="M208" s="43"/>
      <c r="N208" s="48">
        <v>1295960000</v>
      </c>
      <c r="O208" s="48"/>
      <c r="P208" s="48"/>
      <c r="Q208" s="148" t="s">
        <v>1067</v>
      </c>
      <c r="R208" s="34" t="s">
        <v>435</v>
      </c>
      <c r="S208" s="40" t="s">
        <v>397</v>
      </c>
      <c r="T208" s="40" t="s">
        <v>56</v>
      </c>
      <c r="U208" s="37" t="s">
        <v>508</v>
      </c>
      <c r="V208" s="44">
        <f>+_xlfn.XLOOKUP(PROYECTOS2[[#This Row],[MUNICIPIO]],'4.CAP_ENDMNT'!B:B,'4.CAP_ENDMNT'!C:C,0,0,1)</f>
        <v>6</v>
      </c>
      <c r="W208" s="139">
        <f>+_xlfn.XLOOKUP(PROYECTOS2[[#This Row],[MUNICIPIO]],'4.CAP_ENDMNT'!B:B,'4.CAP_ENDMNT'!D:D,0,0,1)</f>
        <v>9100976268.0305004</v>
      </c>
      <c r="X208" s="140">
        <f>+_xlfn.XLOOKUP(PROYECTOS2[[#This Row],[MUNICIPIO]],'4.CAP_ENDMNT'!B:B,'4.CAP_ENDMNT'!E:E,0,0,1)</f>
        <v>3221460794.1700001</v>
      </c>
      <c r="Y208" s="140">
        <f>+_xlfn.XLOOKUP(PROYECTOS2[[#This Row],[MUNICIPIO]],'4.CAP_ENDMNT'!B:B,'4.CAP_ENDMNT'!F:F,0,0,1)</f>
        <v>5879515473.8605003</v>
      </c>
      <c r="Z208" s="140">
        <f>+_xlfn.XLOOKUP(PROYECTOS2[[#This Row],[MUNICIPIO]],'4.CAP_ENDMNT'!B:B,'4.CAP_ENDMNT'!G:G,0,0,1)</f>
        <v>1026722956</v>
      </c>
      <c r="AA208" s="140">
        <f>+_xlfn.XLOOKUP(PROYECTOS2[[#This Row],[MUNICIPIO]],'4.CAP_ENDMNT'!B:B,'4.CAP_ENDMNT'!H:H,0,0,1)</f>
        <v>190000000</v>
      </c>
      <c r="AB208" s="140">
        <f>+_xlfn.XLOOKUP(PROYECTOS2[[#This Row],[MUNICIPIO]],'4.CAP_ENDMNT'!B:B,'4.CAP_ENDMNT'!I:I,0,0,1)</f>
        <v>1216722956</v>
      </c>
      <c r="AC208" s="134">
        <f>+_xlfn.XLOOKUP(PROYECTOS2[[#This Row],[MUNICIPIO]],'4.CAP_ENDMNT'!B:B,'4.CAP_ENDMNT'!J:J,0,0,1)</f>
        <v>0.13369147662477152</v>
      </c>
      <c r="AD208" s="140">
        <f>+_xlfn.XLOOKUP(PROYECTOS2[[#This Row],[MUNICIPIO]],'4.CAP_ENDMNT'!B:B,'4.CAP_ENDMNT'!K:K,0,0,1)</f>
        <v>7884253312.0305004</v>
      </c>
      <c r="AE208" s="140">
        <f>+_xlfn.XLOOKUP(PROYECTOS2[[#This Row],[MUNICIPIO]],'4.CAP_ENDMNT'!B:B,'4.CAP_ENDMNT'!L:L,0,0,1)</f>
        <v>6307402649.6244011</v>
      </c>
      <c r="AF208" s="140">
        <f>+_xlfn.XLOOKUP(PROYECTOS2[[#This Row],[MUNICIPIO]],'4.CAP_ENDMNT'!B:B,'4.CAP_ENDMNT'!M:M,0,0,1)</f>
        <v>4730551987.2182999</v>
      </c>
      <c r="AG208" s="134">
        <f>+_xlfn.XLOOKUP(PROYECTOS2[[#This Row],[MUNICIPIO]],'4.CAP_ENDMNT'!B:B,'4.CAP_ENDMNT'!N:N,0,0,1)</f>
        <v>0.84384284108140062</v>
      </c>
      <c r="AH208" s="134">
        <f>+_xlfn.XLOOKUP(PROYECTOS2[[#This Row],[MUNICIPIO]],'4.CAP_ENDMNT'!B:B,'4.CAP_ENDMNT'!O:O,0,0,1)</f>
        <v>0.65864601932480682</v>
      </c>
      <c r="AI208" s="134">
        <f>+_xlfn.XLOOKUP(PROYECTOS2[[#This Row],[MUNICIPIO]],'4.CAP_ENDMNT'!B:B,'4.CAP_ENDMNT'!P:P,0,0,1)</f>
        <v>0.8</v>
      </c>
      <c r="AJ208" s="44" t="str">
        <f>+_xlfn.XLOOKUP(PROYECTOS2[[#This Row],[MUNICIPIO]],'4.CAP_ENDMNT'!B:B,'4.CAP_ENDMNT'!Q:Q,0,0,1)</f>
        <v>Cumple</v>
      </c>
    </row>
    <row r="209" spans="1:36">
      <c r="A209" s="44">
        <v>231</v>
      </c>
      <c r="B209" s="37" t="s">
        <v>509</v>
      </c>
      <c r="C209" s="118">
        <v>45747</v>
      </c>
      <c r="D209" s="34" t="s">
        <v>38</v>
      </c>
      <c r="E209" s="47" t="str">
        <f>+_xlfn.XLOOKUP(PROYECTOS2[[#This Row],[MUNICIPIO]],MUNICIPIOS!A:A,MUNICIPIOS!E:E,0,0,1)</f>
        <v>Urabá</v>
      </c>
      <c r="F209" s="44" t="e" cm="1">
        <f t="array" ref="F209">+_xlfn.XLOOKUP(PROYECTOS2[[#This Row],[MUNICIPIO]],Table1[Municipio],MUNICIPIOS!F:F,0,0,1)</f>
        <v>#VALUE!</v>
      </c>
      <c r="G209" s="44" t="str">
        <f>+LOOKUP(PROYECTOS2[[#This Row],[MUNICIPIO]],Table1[Municipio],Table1[Latitud])</f>
        <v>7,074703</v>
      </c>
      <c r="H209" s="44">
        <f>+LOOKUP(PROYECTOS2[[#This Row],[MUNICIPIO]],Table1[Municipio],Table1[PDET])</f>
        <v>1</v>
      </c>
      <c r="I209" s="44">
        <f>+LOOKUP(PROYECTOS2[[#This Row],[MUNICIPIO]],Table1[Municipio],Table1[ZOMAC])</f>
        <v>1</v>
      </c>
      <c r="J209" s="3" t="str" cm="1">
        <f t="array" ref="J209">_xlfn.TEXTJOIN(", ", TRUE, IF(radicados[ID PROYECTOS]=A209, radicados[RADICADO], ""))</f>
        <v/>
      </c>
      <c r="K209" s="142">
        <v>2</v>
      </c>
      <c r="L209" s="45"/>
      <c r="M209" s="43"/>
      <c r="N209" s="48">
        <v>1971297600</v>
      </c>
      <c r="O209" s="48"/>
      <c r="P209" s="48"/>
      <c r="Q209" s="148" t="s">
        <v>1067</v>
      </c>
      <c r="R209" s="34" t="s">
        <v>435</v>
      </c>
      <c r="S209" s="40" t="s">
        <v>397</v>
      </c>
      <c r="T209" s="40" t="s">
        <v>56</v>
      </c>
      <c r="U209" s="37" t="s">
        <v>510</v>
      </c>
      <c r="V209" s="44">
        <f>+_xlfn.XLOOKUP(PROYECTOS2[[#This Row],[MUNICIPIO]],'4.CAP_ENDMNT'!B:B,'4.CAP_ENDMNT'!C:C,0,0,1)</f>
        <v>6</v>
      </c>
      <c r="W209" s="139">
        <f>+_xlfn.XLOOKUP(PROYECTOS2[[#This Row],[MUNICIPIO]],'4.CAP_ENDMNT'!B:B,'4.CAP_ENDMNT'!D:D,0,0,1)</f>
        <v>31551501799.776001</v>
      </c>
      <c r="X209" s="140">
        <f>+_xlfn.XLOOKUP(PROYECTOS2[[#This Row],[MUNICIPIO]],'4.CAP_ENDMNT'!B:B,'4.CAP_ENDMNT'!E:E,0,0,1)</f>
        <v>12896901947.809999</v>
      </c>
      <c r="Y209" s="140">
        <f>+_xlfn.XLOOKUP(PROYECTOS2[[#This Row],[MUNICIPIO]],'4.CAP_ENDMNT'!B:B,'4.CAP_ENDMNT'!F:F,0,0,1)</f>
        <v>18654599851.966003</v>
      </c>
      <c r="Z209" s="140">
        <f>+_xlfn.XLOOKUP(PROYECTOS2[[#This Row],[MUNICIPIO]],'4.CAP_ENDMNT'!B:B,'4.CAP_ENDMNT'!G:G,0,0,1)</f>
        <v>4320802475</v>
      </c>
      <c r="AA209" s="140">
        <f>+_xlfn.XLOOKUP(PROYECTOS2[[#This Row],[MUNICIPIO]],'4.CAP_ENDMNT'!B:B,'4.CAP_ENDMNT'!H:H,0,0,1)</f>
        <v>2118562934.45</v>
      </c>
      <c r="AB209" s="140">
        <f>+_xlfn.XLOOKUP(PROYECTOS2[[#This Row],[MUNICIPIO]],'4.CAP_ENDMNT'!B:B,'4.CAP_ENDMNT'!I:I,0,0,1)</f>
        <v>6439365409.4499998</v>
      </c>
      <c r="AC209" s="134">
        <f>+_xlfn.XLOOKUP(PROYECTOS2[[#This Row],[MUNICIPIO]],'4.CAP_ENDMNT'!B:B,'4.CAP_ENDMNT'!J:J,0,0,1)</f>
        <v>0.20409061509381832</v>
      </c>
      <c r="AD209" s="140">
        <f>+_xlfn.XLOOKUP(PROYECTOS2[[#This Row],[MUNICIPIO]],'4.CAP_ENDMNT'!B:B,'4.CAP_ENDMNT'!K:K,0,0,1)</f>
        <v>25112136390.326</v>
      </c>
      <c r="AE209" s="140">
        <f>+_xlfn.XLOOKUP(PROYECTOS2[[#This Row],[MUNICIPIO]],'4.CAP_ENDMNT'!B:B,'4.CAP_ENDMNT'!L:L,0,0,1)</f>
        <v>20089709112.260799</v>
      </c>
      <c r="AF209" s="140">
        <f>+_xlfn.XLOOKUP(PROYECTOS2[[#This Row],[MUNICIPIO]],'4.CAP_ENDMNT'!B:B,'4.CAP_ENDMNT'!M:M,0,0,1)</f>
        <v>15067281834.195601</v>
      </c>
      <c r="AG209" s="134">
        <f>+_xlfn.XLOOKUP(PROYECTOS2[[#This Row],[MUNICIPIO]],'4.CAP_ENDMNT'!B:B,'4.CAP_ENDMNT'!N:N,0,0,1)</f>
        <v>0.67099818076158058</v>
      </c>
      <c r="AH209" s="134">
        <f>+_xlfn.XLOOKUP(PROYECTOS2[[#This Row],[MUNICIPIO]],'4.CAP_ENDMNT'!B:B,'4.CAP_ENDMNT'!O:O,0,0,1)</f>
        <v>0.60103296352987046</v>
      </c>
      <c r="AI209" s="134">
        <f>+_xlfn.XLOOKUP(PROYECTOS2[[#This Row],[MUNICIPIO]],'4.CAP_ENDMNT'!B:B,'4.CAP_ENDMNT'!P:P,0,0,1)</f>
        <v>0.8</v>
      </c>
      <c r="AJ209" s="44" t="str">
        <f>+_xlfn.XLOOKUP(PROYECTOS2[[#This Row],[MUNICIPIO]],'4.CAP_ENDMNT'!B:B,'4.CAP_ENDMNT'!Q:Q,0,0,1)</f>
        <v>Cumple</v>
      </c>
    </row>
    <row r="210" spans="1:36">
      <c r="A210" s="44">
        <v>232</v>
      </c>
      <c r="B210" s="37" t="s">
        <v>511</v>
      </c>
      <c r="C210" s="118">
        <v>45747</v>
      </c>
      <c r="D210" s="34" t="s">
        <v>38</v>
      </c>
      <c r="E210" s="47" t="str">
        <f>+_xlfn.XLOOKUP(PROYECTOS2[[#This Row],[MUNICIPIO]],MUNICIPIOS!A:A,MUNICIPIOS!E:E,0,0,1)</f>
        <v>Urabá</v>
      </c>
      <c r="F210" s="44" t="e" cm="1">
        <f t="array" ref="F210">+_xlfn.XLOOKUP(PROYECTOS2[[#This Row],[MUNICIPIO]],Table1[Municipio],MUNICIPIOS!F:F,0,0,1)</f>
        <v>#VALUE!</v>
      </c>
      <c r="G210" s="44" t="str">
        <f>+LOOKUP(PROYECTOS2[[#This Row],[MUNICIPIO]],Table1[Municipio],Table1[Latitud])</f>
        <v>7,074703</v>
      </c>
      <c r="H210" s="44">
        <f>+LOOKUP(PROYECTOS2[[#This Row],[MUNICIPIO]],Table1[Municipio],Table1[PDET])</f>
        <v>1</v>
      </c>
      <c r="I210" s="44">
        <f>+LOOKUP(PROYECTOS2[[#This Row],[MUNICIPIO]],Table1[Municipio],Table1[ZOMAC])</f>
        <v>1</v>
      </c>
      <c r="J210" s="3" t="str" cm="1">
        <f t="array" ref="J210">_xlfn.TEXTJOIN(", ", TRUE, IF(radicados[ID PROYECTOS]=A210, radicados[RADICADO], ""))</f>
        <v/>
      </c>
      <c r="K210" s="142">
        <v>2</v>
      </c>
      <c r="L210" s="45"/>
      <c r="M210" s="43"/>
      <c r="N210" s="48">
        <v>1971297600</v>
      </c>
      <c r="O210" s="48"/>
      <c r="P210" s="48"/>
      <c r="Q210" s="148" t="s">
        <v>1067</v>
      </c>
      <c r="R210" s="34" t="s">
        <v>435</v>
      </c>
      <c r="S210" s="40" t="s">
        <v>397</v>
      </c>
      <c r="T210" s="40" t="s">
        <v>56</v>
      </c>
      <c r="U210" s="37" t="s">
        <v>512</v>
      </c>
      <c r="V210" s="44">
        <f>+_xlfn.XLOOKUP(PROYECTOS2[[#This Row],[MUNICIPIO]],'4.CAP_ENDMNT'!B:B,'4.CAP_ENDMNT'!C:C,0,0,1)</f>
        <v>6</v>
      </c>
      <c r="W210" s="139">
        <f>+_xlfn.XLOOKUP(PROYECTOS2[[#This Row],[MUNICIPIO]],'4.CAP_ENDMNT'!B:B,'4.CAP_ENDMNT'!D:D,0,0,1)</f>
        <v>31551501799.776001</v>
      </c>
      <c r="X210" s="140">
        <f>+_xlfn.XLOOKUP(PROYECTOS2[[#This Row],[MUNICIPIO]],'4.CAP_ENDMNT'!B:B,'4.CAP_ENDMNT'!E:E,0,0,1)</f>
        <v>12896901947.809999</v>
      </c>
      <c r="Y210" s="140">
        <f>+_xlfn.XLOOKUP(PROYECTOS2[[#This Row],[MUNICIPIO]],'4.CAP_ENDMNT'!B:B,'4.CAP_ENDMNT'!F:F,0,0,1)</f>
        <v>18654599851.966003</v>
      </c>
      <c r="Z210" s="140">
        <f>+_xlfn.XLOOKUP(PROYECTOS2[[#This Row],[MUNICIPIO]],'4.CAP_ENDMNT'!B:B,'4.CAP_ENDMNT'!G:G,0,0,1)</f>
        <v>4320802475</v>
      </c>
      <c r="AA210" s="140">
        <f>+_xlfn.XLOOKUP(PROYECTOS2[[#This Row],[MUNICIPIO]],'4.CAP_ENDMNT'!B:B,'4.CAP_ENDMNT'!H:H,0,0,1)</f>
        <v>2118562934.45</v>
      </c>
      <c r="AB210" s="140">
        <f>+_xlfn.XLOOKUP(PROYECTOS2[[#This Row],[MUNICIPIO]],'4.CAP_ENDMNT'!B:B,'4.CAP_ENDMNT'!I:I,0,0,1)</f>
        <v>6439365409.4499998</v>
      </c>
      <c r="AC210" s="134">
        <f>+_xlfn.XLOOKUP(PROYECTOS2[[#This Row],[MUNICIPIO]],'4.CAP_ENDMNT'!B:B,'4.CAP_ENDMNT'!J:J,0,0,1)</f>
        <v>0.20409061509381832</v>
      </c>
      <c r="AD210" s="140">
        <f>+_xlfn.XLOOKUP(PROYECTOS2[[#This Row],[MUNICIPIO]],'4.CAP_ENDMNT'!B:B,'4.CAP_ENDMNT'!K:K,0,0,1)</f>
        <v>25112136390.326</v>
      </c>
      <c r="AE210" s="140">
        <f>+_xlfn.XLOOKUP(PROYECTOS2[[#This Row],[MUNICIPIO]],'4.CAP_ENDMNT'!B:B,'4.CAP_ENDMNT'!L:L,0,0,1)</f>
        <v>20089709112.260799</v>
      </c>
      <c r="AF210" s="140">
        <f>+_xlfn.XLOOKUP(PROYECTOS2[[#This Row],[MUNICIPIO]],'4.CAP_ENDMNT'!B:B,'4.CAP_ENDMNT'!M:M,0,0,1)</f>
        <v>15067281834.195601</v>
      </c>
      <c r="AG210" s="134">
        <f>+_xlfn.XLOOKUP(PROYECTOS2[[#This Row],[MUNICIPIO]],'4.CAP_ENDMNT'!B:B,'4.CAP_ENDMNT'!N:N,0,0,1)</f>
        <v>0.67099818076158058</v>
      </c>
      <c r="AH210" s="134">
        <f>+_xlfn.XLOOKUP(PROYECTOS2[[#This Row],[MUNICIPIO]],'4.CAP_ENDMNT'!B:B,'4.CAP_ENDMNT'!O:O,0,0,1)</f>
        <v>0.60103296352987046</v>
      </c>
      <c r="AI210" s="134">
        <f>+_xlfn.XLOOKUP(PROYECTOS2[[#This Row],[MUNICIPIO]],'4.CAP_ENDMNT'!B:B,'4.CAP_ENDMNT'!P:P,0,0,1)</f>
        <v>0.8</v>
      </c>
      <c r="AJ210" s="44" t="str">
        <f>+_xlfn.XLOOKUP(PROYECTOS2[[#This Row],[MUNICIPIO]],'4.CAP_ENDMNT'!B:B,'4.CAP_ENDMNT'!Q:Q,0,0,1)</f>
        <v>Cumple</v>
      </c>
    </row>
    <row r="211" spans="1:36">
      <c r="A211" s="44">
        <v>233</v>
      </c>
      <c r="B211" s="37" t="s">
        <v>513</v>
      </c>
      <c r="C211" s="118">
        <v>45747</v>
      </c>
      <c r="D211" s="34" t="s">
        <v>38</v>
      </c>
      <c r="E211" s="47" t="str">
        <f>+_xlfn.XLOOKUP(PROYECTOS2[[#This Row],[MUNICIPIO]],MUNICIPIOS!A:A,MUNICIPIOS!E:E,0,0,1)</f>
        <v>Urabá</v>
      </c>
      <c r="F211" s="44" t="e" cm="1">
        <f t="array" ref="F211">+_xlfn.XLOOKUP(PROYECTOS2[[#This Row],[MUNICIPIO]],Table1[Municipio],MUNICIPIOS!F:F,0,0,1)</f>
        <v>#VALUE!</v>
      </c>
      <c r="G211" s="44" t="str">
        <f>+LOOKUP(PROYECTOS2[[#This Row],[MUNICIPIO]],Table1[Municipio],Table1[Latitud])</f>
        <v>7,074703</v>
      </c>
      <c r="H211" s="44">
        <f>+LOOKUP(PROYECTOS2[[#This Row],[MUNICIPIO]],Table1[Municipio],Table1[PDET])</f>
        <v>1</v>
      </c>
      <c r="I211" s="44">
        <f>+LOOKUP(PROYECTOS2[[#This Row],[MUNICIPIO]],Table1[Municipio],Table1[ZOMAC])</f>
        <v>1</v>
      </c>
      <c r="J211" s="3" t="str" cm="1">
        <f t="array" ref="J211">_xlfn.TEXTJOIN(", ", TRUE, IF(radicados[ID PROYECTOS]=A211, radicados[RADICADO], ""))</f>
        <v/>
      </c>
      <c r="K211" s="142">
        <v>2</v>
      </c>
      <c r="L211" s="45"/>
      <c r="M211" s="43"/>
      <c r="N211" s="48">
        <v>12200000000</v>
      </c>
      <c r="O211" s="48"/>
      <c r="P211" s="48"/>
      <c r="Q211" s="148" t="s">
        <v>1067</v>
      </c>
      <c r="R211" s="34" t="s">
        <v>435</v>
      </c>
      <c r="S211" s="40" t="s">
        <v>397</v>
      </c>
      <c r="T211" s="40" t="s">
        <v>56</v>
      </c>
      <c r="U211" s="37" t="s">
        <v>514</v>
      </c>
      <c r="V211" s="44">
        <f>+_xlfn.XLOOKUP(PROYECTOS2[[#This Row],[MUNICIPIO]],'4.CAP_ENDMNT'!B:B,'4.CAP_ENDMNT'!C:C,0,0,1)</f>
        <v>6</v>
      </c>
      <c r="W211" s="139">
        <f>+_xlfn.XLOOKUP(PROYECTOS2[[#This Row],[MUNICIPIO]],'4.CAP_ENDMNT'!B:B,'4.CAP_ENDMNT'!D:D,0,0,1)</f>
        <v>31551501799.776001</v>
      </c>
      <c r="X211" s="140">
        <f>+_xlfn.XLOOKUP(PROYECTOS2[[#This Row],[MUNICIPIO]],'4.CAP_ENDMNT'!B:B,'4.CAP_ENDMNT'!E:E,0,0,1)</f>
        <v>12896901947.809999</v>
      </c>
      <c r="Y211" s="140">
        <f>+_xlfn.XLOOKUP(PROYECTOS2[[#This Row],[MUNICIPIO]],'4.CAP_ENDMNT'!B:B,'4.CAP_ENDMNT'!F:F,0,0,1)</f>
        <v>18654599851.966003</v>
      </c>
      <c r="Z211" s="140">
        <f>+_xlfn.XLOOKUP(PROYECTOS2[[#This Row],[MUNICIPIO]],'4.CAP_ENDMNT'!B:B,'4.CAP_ENDMNT'!G:G,0,0,1)</f>
        <v>4320802475</v>
      </c>
      <c r="AA211" s="140">
        <f>+_xlfn.XLOOKUP(PROYECTOS2[[#This Row],[MUNICIPIO]],'4.CAP_ENDMNT'!B:B,'4.CAP_ENDMNT'!H:H,0,0,1)</f>
        <v>2118562934.45</v>
      </c>
      <c r="AB211" s="140">
        <f>+_xlfn.XLOOKUP(PROYECTOS2[[#This Row],[MUNICIPIO]],'4.CAP_ENDMNT'!B:B,'4.CAP_ENDMNT'!I:I,0,0,1)</f>
        <v>6439365409.4499998</v>
      </c>
      <c r="AC211" s="134">
        <f>+_xlfn.XLOOKUP(PROYECTOS2[[#This Row],[MUNICIPIO]],'4.CAP_ENDMNT'!B:B,'4.CAP_ENDMNT'!J:J,0,0,1)</f>
        <v>0.20409061509381832</v>
      </c>
      <c r="AD211" s="140">
        <f>+_xlfn.XLOOKUP(PROYECTOS2[[#This Row],[MUNICIPIO]],'4.CAP_ENDMNT'!B:B,'4.CAP_ENDMNT'!K:K,0,0,1)</f>
        <v>25112136390.326</v>
      </c>
      <c r="AE211" s="140">
        <f>+_xlfn.XLOOKUP(PROYECTOS2[[#This Row],[MUNICIPIO]],'4.CAP_ENDMNT'!B:B,'4.CAP_ENDMNT'!L:L,0,0,1)</f>
        <v>20089709112.260799</v>
      </c>
      <c r="AF211" s="140">
        <f>+_xlfn.XLOOKUP(PROYECTOS2[[#This Row],[MUNICIPIO]],'4.CAP_ENDMNT'!B:B,'4.CAP_ENDMNT'!M:M,0,0,1)</f>
        <v>15067281834.195601</v>
      </c>
      <c r="AG211" s="134">
        <f>+_xlfn.XLOOKUP(PROYECTOS2[[#This Row],[MUNICIPIO]],'4.CAP_ENDMNT'!B:B,'4.CAP_ENDMNT'!N:N,0,0,1)</f>
        <v>0.67099818076158058</v>
      </c>
      <c r="AH211" s="134">
        <f>+_xlfn.XLOOKUP(PROYECTOS2[[#This Row],[MUNICIPIO]],'4.CAP_ENDMNT'!B:B,'4.CAP_ENDMNT'!O:O,0,0,1)</f>
        <v>0.60103296352987046</v>
      </c>
      <c r="AI211" s="134">
        <f>+_xlfn.XLOOKUP(PROYECTOS2[[#This Row],[MUNICIPIO]],'4.CAP_ENDMNT'!B:B,'4.CAP_ENDMNT'!P:P,0,0,1)</f>
        <v>0.8</v>
      </c>
      <c r="AJ211" s="44" t="str">
        <f>+_xlfn.XLOOKUP(PROYECTOS2[[#This Row],[MUNICIPIO]],'4.CAP_ENDMNT'!B:B,'4.CAP_ENDMNT'!Q:Q,0,0,1)</f>
        <v>Cumple</v>
      </c>
    </row>
    <row r="212" spans="1:36">
      <c r="A212" s="44">
        <v>234</v>
      </c>
      <c r="B212" s="37" t="s">
        <v>515</v>
      </c>
      <c r="C212" s="118">
        <v>45747</v>
      </c>
      <c r="D212" s="34" t="s">
        <v>311</v>
      </c>
      <c r="E212" s="47" t="str">
        <f>+_xlfn.XLOOKUP(PROYECTOS2[[#This Row],[MUNICIPIO]],MUNICIPIOS!A:A,MUNICIPIOS!E:E,0,0,1)</f>
        <v>Magdalena Medio</v>
      </c>
      <c r="F212" s="44" t="e" cm="1">
        <f t="array" ref="F212">+_xlfn.XLOOKUP(PROYECTOS2[[#This Row],[MUNICIPIO]],Table1[Municipio],MUNICIPIOS!F:F,0,0,1)</f>
        <v>#VALUE!</v>
      </c>
      <c r="G212" s="44" t="str">
        <f>+LOOKUP(PROYECTOS2[[#This Row],[MUNICIPIO]],Table1[Municipio],Table1[Latitud])</f>
        <v>5,743808</v>
      </c>
      <c r="H212" s="44">
        <f>+LOOKUP(PROYECTOS2[[#This Row],[MUNICIPIO]],Table1[Municipio],Table1[PDET])</f>
        <v>0</v>
      </c>
      <c r="I212" s="44">
        <f>+LOOKUP(PROYECTOS2[[#This Row],[MUNICIPIO]],Table1[Municipio],Table1[ZOMAC])</f>
        <v>0</v>
      </c>
      <c r="J212" s="3" t="str" cm="1">
        <f t="array" ref="J212">_xlfn.TEXTJOIN(", ", TRUE, IF(radicados[ID PROYECTOS]=A212, radicados[RADICADO], ""))</f>
        <v/>
      </c>
      <c r="K212" s="45"/>
      <c r="L212" s="45"/>
      <c r="M212" s="43"/>
      <c r="N212" s="48"/>
      <c r="O212" s="48"/>
      <c r="P212" s="48"/>
      <c r="Q212" s="148" t="s">
        <v>1067</v>
      </c>
      <c r="R212" s="34" t="s">
        <v>435</v>
      </c>
      <c r="S212" s="40" t="s">
        <v>397</v>
      </c>
      <c r="T212" s="40" t="s">
        <v>56</v>
      </c>
      <c r="U212" s="37" t="s">
        <v>516</v>
      </c>
      <c r="V212" s="44">
        <f>+_xlfn.XLOOKUP(PROYECTOS2[[#This Row],[MUNICIPIO]],'4.CAP_ENDMNT'!B:B,'4.CAP_ENDMNT'!C:C,0,0,1)</f>
        <v>6</v>
      </c>
      <c r="W212" s="139">
        <f>+_xlfn.XLOOKUP(PROYECTOS2[[#This Row],[MUNICIPIO]],'4.CAP_ENDMNT'!B:B,'4.CAP_ENDMNT'!D:D,0,0,1)</f>
        <v>12443958135.744499</v>
      </c>
      <c r="X212" s="140">
        <f>+_xlfn.XLOOKUP(PROYECTOS2[[#This Row],[MUNICIPIO]],'4.CAP_ENDMNT'!B:B,'4.CAP_ENDMNT'!E:E,0,0,1)</f>
        <v>4756407219.6099997</v>
      </c>
      <c r="Y212" s="140">
        <f>+_xlfn.XLOOKUP(PROYECTOS2[[#This Row],[MUNICIPIO]],'4.CAP_ENDMNT'!B:B,'4.CAP_ENDMNT'!F:F,0,0,1)</f>
        <v>7687550916.1344995</v>
      </c>
      <c r="Z212" s="140">
        <f>+_xlfn.XLOOKUP(PROYECTOS2[[#This Row],[MUNICIPIO]],'4.CAP_ENDMNT'!B:B,'4.CAP_ENDMNT'!G:G,0,0,1)</f>
        <v>8000000000</v>
      </c>
      <c r="AA212" s="140">
        <f>+_xlfn.XLOOKUP(PROYECTOS2[[#This Row],[MUNICIPIO]],'4.CAP_ENDMNT'!B:B,'4.CAP_ENDMNT'!H:H,0,0,1)</f>
        <v>0</v>
      </c>
      <c r="AB212" s="140">
        <f>+_xlfn.XLOOKUP(PROYECTOS2[[#This Row],[MUNICIPIO]],'4.CAP_ENDMNT'!B:B,'4.CAP_ENDMNT'!I:I,0,0,1)</f>
        <v>8000000000</v>
      </c>
      <c r="AC212" s="134">
        <f>+_xlfn.XLOOKUP(PROYECTOS2[[#This Row],[MUNICIPIO]],'4.CAP_ENDMNT'!B:B,'4.CAP_ENDMNT'!J:J,0,0,1)</f>
        <v>0.64288226565312012</v>
      </c>
      <c r="AD212" s="140">
        <f>+_xlfn.XLOOKUP(PROYECTOS2[[#This Row],[MUNICIPIO]],'4.CAP_ENDMNT'!B:B,'4.CAP_ENDMNT'!K:K,0,0,1)</f>
        <v>4443958135.7444992</v>
      </c>
      <c r="AE212" s="140">
        <f>+_xlfn.XLOOKUP(PROYECTOS2[[#This Row],[MUNICIPIO]],'4.CAP_ENDMNT'!B:B,'4.CAP_ENDMNT'!L:L,0,0,1)</f>
        <v>3555166508.5955997</v>
      </c>
      <c r="AF212" s="140">
        <f>+_xlfn.XLOOKUP(PROYECTOS2[[#This Row],[MUNICIPIO]],'4.CAP_ENDMNT'!B:B,'4.CAP_ENDMNT'!M:M,0,0,1)</f>
        <v>2666374881.4466996</v>
      </c>
      <c r="AG212" s="134">
        <f>+_xlfn.XLOOKUP(PROYECTOS2[[#This Row],[MUNICIPIO]],'4.CAP_ENDMNT'!B:B,'4.CAP_ENDMNT'!N:N,0,0,1)</f>
        <v>1</v>
      </c>
      <c r="AH212" s="134">
        <f>+_xlfn.XLOOKUP(PROYECTOS2[[#This Row],[MUNICIPIO]],'4.CAP_ENDMNT'!B:B,'4.CAP_ENDMNT'!O:O,0,0,1)</f>
        <v>0.49448054880206244</v>
      </c>
      <c r="AI212" s="134">
        <f>+_xlfn.XLOOKUP(PROYECTOS2[[#This Row],[MUNICIPIO]],'4.CAP_ENDMNT'!B:B,'4.CAP_ENDMNT'!P:P,0,0,1)</f>
        <v>0.8</v>
      </c>
      <c r="AJ212" s="44" t="str">
        <f>+_xlfn.XLOOKUP(PROYECTOS2[[#This Row],[MUNICIPIO]],'4.CAP_ENDMNT'!B:B,'4.CAP_ENDMNT'!Q:Q,0,0,1)</f>
        <v>Cumple</v>
      </c>
    </row>
    <row r="213" spans="1:36">
      <c r="A213" s="44">
        <v>235</v>
      </c>
      <c r="B213" s="37" t="s">
        <v>517</v>
      </c>
      <c r="C213" s="118">
        <v>45747</v>
      </c>
      <c r="D213" s="34" t="s">
        <v>11</v>
      </c>
      <c r="E213" s="47" t="str">
        <f>+_xlfn.XLOOKUP(PROYECTOS2[[#This Row],[MUNICIPIO]],MUNICIPIOS!A:A,MUNICIPIOS!E:E,0,0,1)</f>
        <v>Magdalena Medio</v>
      </c>
      <c r="F213" s="44" t="e" cm="1">
        <f t="array" ref="F213">+_xlfn.XLOOKUP(PROYECTOS2[[#This Row],[MUNICIPIO]],Table1[Municipio],MUNICIPIOS!F:F,0,0,1)</f>
        <v>#VALUE!</v>
      </c>
      <c r="G213" s="44" t="str">
        <f>+LOOKUP(PROYECTOS2[[#This Row],[MUNICIPIO]],Table1[Municipio],Table1[Latitud])</f>
        <v>6,246631</v>
      </c>
      <c r="H213" s="44">
        <f>+LOOKUP(PROYECTOS2[[#This Row],[MUNICIPIO]],Table1[Municipio],Table1[PDET])</f>
        <v>0</v>
      </c>
      <c r="I213" s="44">
        <f>+LOOKUP(PROYECTOS2[[#This Row],[MUNICIPIO]],Table1[Municipio],Table1[ZOMAC])</f>
        <v>0</v>
      </c>
      <c r="J213" s="3" t="str" cm="1">
        <f t="array" ref="J213">_xlfn.TEXTJOIN(", ", TRUE, IF(radicados[ID PROYECTOS]=A213, radicados[RADICADO], ""))</f>
        <v/>
      </c>
      <c r="K213" s="45">
        <v>2</v>
      </c>
      <c r="L213" s="45"/>
      <c r="M213" s="43"/>
      <c r="N213" s="48"/>
      <c r="O213" s="48"/>
      <c r="P213" s="48"/>
      <c r="Q213" s="148" t="s">
        <v>1067</v>
      </c>
      <c r="R213" s="34" t="s">
        <v>435</v>
      </c>
      <c r="S213" s="40" t="s">
        <v>397</v>
      </c>
      <c r="T213" s="40" t="s">
        <v>56</v>
      </c>
      <c r="U213" s="71" t="s">
        <v>518</v>
      </c>
      <c r="V213" s="44">
        <f>+_xlfn.XLOOKUP(PROYECTOS2[[#This Row],[MUNICIPIO]],'4.CAP_ENDMNT'!B:B,'4.CAP_ENDMNT'!C:C,0,0,1)</f>
        <v>6</v>
      </c>
      <c r="W213" s="139">
        <f>+_xlfn.XLOOKUP(PROYECTOS2[[#This Row],[MUNICIPIO]],'4.CAP_ENDMNT'!B:B,'4.CAP_ENDMNT'!D:D,0,0,1)</f>
        <v>22896432570.9105</v>
      </c>
      <c r="X213" s="140">
        <f>+_xlfn.XLOOKUP(PROYECTOS2[[#This Row],[MUNICIPIO]],'4.CAP_ENDMNT'!B:B,'4.CAP_ENDMNT'!E:E,0,0,1)</f>
        <v>6514105665.9899998</v>
      </c>
      <c r="Y213" s="140">
        <f>+_xlfn.XLOOKUP(PROYECTOS2[[#This Row],[MUNICIPIO]],'4.CAP_ENDMNT'!B:B,'4.CAP_ENDMNT'!F:F,0,0,1)</f>
        <v>16382326904.9205</v>
      </c>
      <c r="Z213" s="140">
        <f>+_xlfn.XLOOKUP(PROYECTOS2[[#This Row],[MUNICIPIO]],'4.CAP_ENDMNT'!B:B,'4.CAP_ENDMNT'!G:G,0,0,1)</f>
        <v>15087488121</v>
      </c>
      <c r="AA213" s="140">
        <f>+_xlfn.XLOOKUP(PROYECTOS2[[#This Row],[MUNICIPIO]],'4.CAP_ENDMNT'!B:B,'4.CAP_ENDMNT'!H:H,0,0,1)</f>
        <v>152370595</v>
      </c>
      <c r="AB213" s="140">
        <f>+_xlfn.XLOOKUP(PROYECTOS2[[#This Row],[MUNICIPIO]],'4.CAP_ENDMNT'!B:B,'4.CAP_ENDMNT'!I:I,0,0,1)</f>
        <v>15239858716</v>
      </c>
      <c r="AC213" s="134">
        <f>+_xlfn.XLOOKUP(PROYECTOS2[[#This Row],[MUNICIPIO]],'4.CAP_ENDMNT'!B:B,'4.CAP_ENDMNT'!J:J,0,0,1)</f>
        <v>0.66559970287082904</v>
      </c>
      <c r="AD213" s="140">
        <f>+_xlfn.XLOOKUP(PROYECTOS2[[#This Row],[MUNICIPIO]],'4.CAP_ENDMNT'!B:B,'4.CAP_ENDMNT'!K:K,0,0,1)</f>
        <v>7656573854.9104996</v>
      </c>
      <c r="AE213" s="140">
        <f>+_xlfn.XLOOKUP(PROYECTOS2[[#This Row],[MUNICIPIO]],'4.CAP_ENDMNT'!B:B,'4.CAP_ENDMNT'!L:L,0,0,1)</f>
        <v>6125259083.9284</v>
      </c>
      <c r="AF213" s="140">
        <f>+_xlfn.XLOOKUP(PROYECTOS2[[#This Row],[MUNICIPIO]],'4.CAP_ENDMNT'!B:B,'4.CAP_ENDMNT'!M:M,0,0,1)</f>
        <v>4593944312.9462996</v>
      </c>
      <c r="AG213" s="134">
        <f>+_xlfn.XLOOKUP(PROYECTOS2[[#This Row],[MUNICIPIO]],'4.CAP_ENDMNT'!B:B,'4.CAP_ENDMNT'!N:N,0,0,1)</f>
        <v>0.99000183677293352</v>
      </c>
      <c r="AH213" s="134">
        <f>+_xlfn.XLOOKUP(PROYECTOS2[[#This Row],[MUNICIPIO]],'4.CAP_ENDMNT'!B:B,'4.CAP_ENDMNT'!O:O,0,0,1)</f>
        <v>0.53987925149269589</v>
      </c>
      <c r="AI213" s="134">
        <f>+_xlfn.XLOOKUP(PROYECTOS2[[#This Row],[MUNICIPIO]],'4.CAP_ENDMNT'!B:B,'4.CAP_ENDMNT'!P:P,0,0,1)</f>
        <v>0.8</v>
      </c>
      <c r="AJ213" s="44" t="str">
        <f>+_xlfn.XLOOKUP(PROYECTOS2[[#This Row],[MUNICIPIO]],'4.CAP_ENDMNT'!B:B,'4.CAP_ENDMNT'!Q:Q,0,0,1)</f>
        <v>Cumple</v>
      </c>
    </row>
    <row r="214" spans="1:36">
      <c r="A214" s="44">
        <v>236</v>
      </c>
      <c r="B214" s="37" t="s">
        <v>519</v>
      </c>
      <c r="C214" s="118">
        <v>45747</v>
      </c>
      <c r="D214" s="34" t="s">
        <v>334</v>
      </c>
      <c r="E214" s="47" t="str">
        <f>+_xlfn.XLOOKUP(PROYECTOS2[[#This Row],[MUNICIPIO]],MUNICIPIOS!A:A,MUNICIPIOS!E:E,0,0,1)</f>
        <v>Occidente</v>
      </c>
      <c r="F214" s="44" t="e" cm="1">
        <f t="array" ref="F214">+_xlfn.XLOOKUP(PROYECTOS2[[#This Row],[MUNICIPIO]],Table1[Municipio],MUNICIPIOS!F:F,0,0,1)</f>
        <v>#VALUE!</v>
      </c>
      <c r="G214" s="44" t="str">
        <f>+LOOKUP(PROYECTOS2[[#This Row],[MUNICIPIO]],Table1[Municipio],Table1[Latitud])</f>
        <v>6,149903</v>
      </c>
      <c r="H214" s="44">
        <f>+LOOKUP(PROYECTOS2[[#This Row],[MUNICIPIO]],Table1[Municipio],Table1[PDET])</f>
        <v>0</v>
      </c>
      <c r="I214" s="44">
        <f>+LOOKUP(PROYECTOS2[[#This Row],[MUNICIPIO]],Table1[Municipio],Table1[ZOMAC])</f>
        <v>0</v>
      </c>
      <c r="J214" s="3" t="str" cm="1">
        <f t="array" ref="J214">_xlfn.TEXTJOIN(", ", TRUE, IF(radicados[ID PROYECTOS]=A214, radicados[RADICADO], ""))</f>
        <v/>
      </c>
      <c r="K214" s="142">
        <v>2</v>
      </c>
      <c r="L214" s="45"/>
      <c r="M214" s="43"/>
      <c r="N214" s="48"/>
      <c r="O214" s="48"/>
      <c r="P214" s="48"/>
      <c r="Q214" s="148" t="s">
        <v>1067</v>
      </c>
      <c r="R214" s="34" t="s">
        <v>435</v>
      </c>
      <c r="S214" s="40" t="s">
        <v>397</v>
      </c>
      <c r="T214" s="40" t="s">
        <v>56</v>
      </c>
      <c r="U214" s="37" t="s">
        <v>520</v>
      </c>
      <c r="V214" s="44">
        <f>+_xlfn.XLOOKUP(PROYECTOS2[[#This Row],[MUNICIPIO]],'4.CAP_ENDMNT'!B:B,'4.CAP_ENDMNT'!C:C,0,0,1)</f>
        <v>6</v>
      </c>
      <c r="W214" s="139">
        <f>+_xlfn.XLOOKUP(PROYECTOS2[[#This Row],[MUNICIPIO]],'4.CAP_ENDMNT'!B:B,'4.CAP_ENDMNT'!D:D,0,0,1)</f>
        <v>21865753958.964001</v>
      </c>
      <c r="X214" s="140">
        <f>+_xlfn.XLOOKUP(PROYECTOS2[[#This Row],[MUNICIPIO]],'4.CAP_ENDMNT'!B:B,'4.CAP_ENDMNT'!E:E,0,0,1)</f>
        <v>8371779870.6599998</v>
      </c>
      <c r="Y214" s="140">
        <f>+_xlfn.XLOOKUP(PROYECTOS2[[#This Row],[MUNICIPIO]],'4.CAP_ENDMNT'!B:B,'4.CAP_ENDMNT'!F:F,0,0,1)</f>
        <v>13493974088.304001</v>
      </c>
      <c r="Z214" s="140">
        <f>+_xlfn.XLOOKUP(PROYECTOS2[[#This Row],[MUNICIPIO]],'4.CAP_ENDMNT'!B:B,'4.CAP_ENDMNT'!G:G,0,0,1)</f>
        <v>851002641</v>
      </c>
      <c r="AA214" s="140">
        <f>+_xlfn.XLOOKUP(PROYECTOS2[[#This Row],[MUNICIPIO]],'4.CAP_ENDMNT'!B:B,'4.CAP_ENDMNT'!H:H,0,0,1)</f>
        <v>4636492005</v>
      </c>
      <c r="AB214" s="140">
        <f>+_xlfn.XLOOKUP(PROYECTOS2[[#This Row],[MUNICIPIO]],'4.CAP_ENDMNT'!B:B,'4.CAP_ENDMNT'!I:I,0,0,1)</f>
        <v>5487494646</v>
      </c>
      <c r="AC214" s="134">
        <f>+_xlfn.XLOOKUP(PROYECTOS2[[#This Row],[MUNICIPIO]],'4.CAP_ENDMNT'!B:B,'4.CAP_ENDMNT'!J:J,0,0,1)</f>
        <v>0.25096297416949431</v>
      </c>
      <c r="AD214" s="140">
        <f>+_xlfn.XLOOKUP(PROYECTOS2[[#This Row],[MUNICIPIO]],'4.CAP_ENDMNT'!B:B,'4.CAP_ENDMNT'!K:K,0,0,1)</f>
        <v>16378259312.964001</v>
      </c>
      <c r="AE214" s="140">
        <f>+_xlfn.XLOOKUP(PROYECTOS2[[#This Row],[MUNICIPIO]],'4.CAP_ENDMNT'!B:B,'4.CAP_ENDMNT'!L:L,0,0,1)</f>
        <v>13102607450.371201</v>
      </c>
      <c r="AF214" s="140">
        <f>+_xlfn.XLOOKUP(PROYECTOS2[[#This Row],[MUNICIPIO]],'4.CAP_ENDMNT'!B:B,'4.CAP_ENDMNT'!M:M,0,0,1)</f>
        <v>9826955587.7784004</v>
      </c>
      <c r="AG214" s="134">
        <f>+_xlfn.XLOOKUP(PROYECTOS2[[#This Row],[MUNICIPIO]],'4.CAP_ENDMNT'!B:B,'4.CAP_ENDMNT'!N:N,0,0,1)</f>
        <v>0.15508035923466848</v>
      </c>
      <c r="AH214" s="134">
        <f>+_xlfn.XLOOKUP(PROYECTOS2[[#This Row],[MUNICIPIO]],'4.CAP_ENDMNT'!B:B,'4.CAP_ENDMNT'!O:O,0,0,1)</f>
        <v>0.43479333121090752</v>
      </c>
      <c r="AI214" s="134">
        <f>+_xlfn.XLOOKUP(PROYECTOS2[[#This Row],[MUNICIPIO]],'4.CAP_ENDMNT'!B:B,'4.CAP_ENDMNT'!P:P,0,0,1)</f>
        <v>0.8</v>
      </c>
      <c r="AJ214" s="44" t="str">
        <f>+_xlfn.XLOOKUP(PROYECTOS2[[#This Row],[MUNICIPIO]],'4.CAP_ENDMNT'!B:B,'4.CAP_ENDMNT'!Q:Q,0,0,1)</f>
        <v>Cumple</v>
      </c>
    </row>
    <row r="215" spans="1:36">
      <c r="A215" s="44">
        <v>237</v>
      </c>
      <c r="B215" s="37" t="s">
        <v>521</v>
      </c>
      <c r="C215" s="118">
        <v>45747</v>
      </c>
      <c r="D215" s="34" t="s">
        <v>136</v>
      </c>
      <c r="E215" s="47" t="str">
        <f>+_xlfn.XLOOKUP(PROYECTOS2[[#This Row],[MUNICIPIO]],MUNICIPIOS!A:A,MUNICIPIOS!E:E,0,0,1)</f>
        <v>Norte</v>
      </c>
      <c r="F215" s="44" t="e" cm="1">
        <f t="array" ref="F215">+_xlfn.XLOOKUP(PROYECTOS2[[#This Row],[MUNICIPIO]],Table1[Municipio],MUNICIPIOS!F:F,0,0,1)</f>
        <v>#VALUE!</v>
      </c>
      <c r="G215" s="44" t="str">
        <f>+LOOKUP(PROYECTOS2[[#This Row],[MUNICIPIO]],Table1[Municipio],Table1[Latitud])</f>
        <v>7,074703</v>
      </c>
      <c r="H215" s="44">
        <f>+LOOKUP(PROYECTOS2[[#This Row],[MUNICIPIO]],Table1[Municipio],Table1[PDET])</f>
        <v>1</v>
      </c>
      <c r="I215" s="44">
        <f>+LOOKUP(PROYECTOS2[[#This Row],[MUNICIPIO]],Table1[Municipio],Table1[ZOMAC])</f>
        <v>1</v>
      </c>
      <c r="J215" s="3" t="str" cm="1">
        <f t="array" ref="J215">_xlfn.TEXTJOIN(", ", TRUE, IF(radicados[ID PROYECTOS]=A215, radicados[RADICADO], ""))</f>
        <v/>
      </c>
      <c r="K215" s="45">
        <v>1</v>
      </c>
      <c r="L215" s="45"/>
      <c r="M215" s="43"/>
      <c r="N215" s="48">
        <v>1789257600</v>
      </c>
      <c r="O215" s="48"/>
      <c r="P215" s="48"/>
      <c r="Q215" s="148" t="s">
        <v>1067</v>
      </c>
      <c r="R215" s="34" t="s">
        <v>435</v>
      </c>
      <c r="S215" s="40" t="s">
        <v>397</v>
      </c>
      <c r="T215" s="40" t="s">
        <v>56</v>
      </c>
      <c r="U215" s="37" t="s">
        <v>522</v>
      </c>
      <c r="V215" s="44">
        <f>+_xlfn.XLOOKUP(PROYECTOS2[[#This Row],[MUNICIPIO]],'4.CAP_ENDMNT'!B:B,'4.CAP_ENDMNT'!C:C,0,0,1)</f>
        <v>6</v>
      </c>
      <c r="W215" s="139">
        <f>+_xlfn.XLOOKUP(PROYECTOS2[[#This Row],[MUNICIPIO]],'4.CAP_ENDMNT'!B:B,'4.CAP_ENDMNT'!D:D,0,0,1)</f>
        <v>15936675551.976999</v>
      </c>
      <c r="X215" s="140">
        <f>+_xlfn.XLOOKUP(PROYECTOS2[[#This Row],[MUNICIPIO]],'4.CAP_ENDMNT'!B:B,'4.CAP_ENDMNT'!E:E,0,0,1)</f>
        <v>6355203503.6700001</v>
      </c>
      <c r="Y215" s="140">
        <f>+_xlfn.XLOOKUP(PROYECTOS2[[#This Row],[MUNICIPIO]],'4.CAP_ENDMNT'!B:B,'4.CAP_ENDMNT'!F:F,0,0,1)</f>
        <v>9581472048.3069992</v>
      </c>
      <c r="Z215" s="140">
        <f>+_xlfn.XLOOKUP(PROYECTOS2[[#This Row],[MUNICIPIO]],'4.CAP_ENDMNT'!B:B,'4.CAP_ENDMNT'!G:G,0,0,1)</f>
        <v>166905356.59</v>
      </c>
      <c r="AA215" s="140">
        <f>+_xlfn.XLOOKUP(PROYECTOS2[[#This Row],[MUNICIPIO]],'4.CAP_ENDMNT'!B:B,'4.CAP_ENDMNT'!H:H,0,0,1)</f>
        <v>5064590198</v>
      </c>
      <c r="AB215" s="140">
        <f>+_xlfn.XLOOKUP(PROYECTOS2[[#This Row],[MUNICIPIO]],'4.CAP_ENDMNT'!B:B,'4.CAP_ENDMNT'!I:I,0,0,1)</f>
        <v>5231495554.5900002</v>
      </c>
      <c r="AC215" s="134">
        <f>+_xlfn.XLOOKUP(PROYECTOS2[[#This Row],[MUNICIPIO]],'4.CAP_ENDMNT'!B:B,'4.CAP_ENDMNT'!J:J,0,0,1)</f>
        <v>0.32826768277534613</v>
      </c>
      <c r="AD215" s="140">
        <f>+_xlfn.XLOOKUP(PROYECTOS2[[#This Row],[MUNICIPIO]],'4.CAP_ENDMNT'!B:B,'4.CAP_ENDMNT'!K:K,0,0,1)</f>
        <v>10705179997.386999</v>
      </c>
      <c r="AE215" s="140">
        <f>+_xlfn.XLOOKUP(PROYECTOS2[[#This Row],[MUNICIPIO]],'4.CAP_ENDMNT'!B:B,'4.CAP_ENDMNT'!L:L,0,0,1)</f>
        <v>8564143997.9095993</v>
      </c>
      <c r="AF215" s="140">
        <f>+_xlfn.XLOOKUP(PROYECTOS2[[#This Row],[MUNICIPIO]],'4.CAP_ENDMNT'!B:B,'4.CAP_ENDMNT'!M:M,0,0,1)</f>
        <v>6423107998.4321995</v>
      </c>
      <c r="AG215" s="134">
        <f>+_xlfn.XLOOKUP(PROYECTOS2[[#This Row],[MUNICIPIO]],'4.CAP_ENDMNT'!B:B,'4.CAP_ENDMNT'!N:N,0,0,1)</f>
        <v>3.1903946939907245E-2</v>
      </c>
      <c r="AH215" s="134">
        <f>+_xlfn.XLOOKUP(PROYECTOS2[[#This Row],[MUNICIPIO]],'4.CAP_ENDMNT'!B:B,'4.CAP_ENDMNT'!O:O,0,0,1)</f>
        <v>0.65192157878949775</v>
      </c>
      <c r="AI215" s="134">
        <f>+_xlfn.XLOOKUP(PROYECTOS2[[#This Row],[MUNICIPIO]],'4.CAP_ENDMNT'!B:B,'4.CAP_ENDMNT'!P:P,0,0,1)</f>
        <v>0.8</v>
      </c>
      <c r="AJ215" s="44" t="str">
        <f>+_xlfn.XLOOKUP(PROYECTOS2[[#This Row],[MUNICIPIO]],'4.CAP_ENDMNT'!B:B,'4.CAP_ENDMNT'!Q:Q,0,0,1)</f>
        <v>Cumple</v>
      </c>
    </row>
    <row r="216" spans="1:36">
      <c r="A216" s="44">
        <v>238</v>
      </c>
      <c r="B216" s="37" t="s">
        <v>523</v>
      </c>
      <c r="C216" s="118">
        <v>45747</v>
      </c>
      <c r="D216" s="34" t="s">
        <v>473</v>
      </c>
      <c r="E216" s="47" t="str">
        <f>+_xlfn.XLOOKUP(PROYECTOS2[[#This Row],[MUNICIPIO]],MUNICIPIOS!A:A,MUNICIPIOS!E:E,0,0,1)</f>
        <v>Magdalena Medio</v>
      </c>
      <c r="F216" s="44" t="e" cm="1">
        <f t="array" ref="F216">+_xlfn.XLOOKUP(PROYECTOS2[[#This Row],[MUNICIPIO]],Table1[Municipio],MUNICIPIOS!F:F,0,0,1)</f>
        <v>#VALUE!</v>
      </c>
      <c r="G216" s="44" t="str">
        <f>+LOOKUP(PROYECTOS2[[#This Row],[MUNICIPIO]],Table1[Municipio],Table1[Latitud])</f>
        <v>7,074703</v>
      </c>
      <c r="H216" s="44">
        <f>+LOOKUP(PROYECTOS2[[#This Row],[MUNICIPIO]],Table1[Municipio],Table1[PDET])</f>
        <v>1</v>
      </c>
      <c r="I216" s="44">
        <f>+LOOKUP(PROYECTOS2[[#This Row],[MUNICIPIO]],Table1[Municipio],Table1[ZOMAC])</f>
        <v>1</v>
      </c>
      <c r="J216" s="3" t="str" cm="1">
        <f t="array" ref="J216">_xlfn.TEXTJOIN(", ", TRUE, IF(radicados[ID PROYECTOS]=A216, radicados[RADICADO], ""))</f>
        <v/>
      </c>
      <c r="K216" s="45">
        <v>1</v>
      </c>
      <c r="L216" s="45"/>
      <c r="M216" s="43"/>
      <c r="N216" s="48"/>
      <c r="O216" s="48"/>
      <c r="P216" s="48"/>
      <c r="Q216" s="148" t="s">
        <v>1067</v>
      </c>
      <c r="R216" s="34" t="s">
        <v>435</v>
      </c>
      <c r="S216" s="40" t="s">
        <v>397</v>
      </c>
      <c r="T216" s="40" t="s">
        <v>56</v>
      </c>
      <c r="U216" s="71" t="s">
        <v>524</v>
      </c>
      <c r="V216" s="44">
        <f>+_xlfn.XLOOKUP(PROYECTOS2[[#This Row],[MUNICIPIO]],'4.CAP_ENDMNT'!B:B,'4.CAP_ENDMNT'!C:C,0,0,1)</f>
        <v>6</v>
      </c>
      <c r="W216" s="139">
        <f>+_xlfn.XLOOKUP(PROYECTOS2[[#This Row],[MUNICIPIO]],'4.CAP_ENDMNT'!B:B,'4.CAP_ENDMNT'!D:D,0,0,1)</f>
        <v>6287173903.2990007</v>
      </c>
      <c r="X216" s="140">
        <f>+_xlfn.XLOOKUP(PROYECTOS2[[#This Row],[MUNICIPIO]],'4.CAP_ENDMNT'!B:B,'4.CAP_ENDMNT'!E:E,0,0,1)</f>
        <v>2101889048.3700001</v>
      </c>
      <c r="Y216" s="140">
        <f>+_xlfn.XLOOKUP(PROYECTOS2[[#This Row],[MUNICIPIO]],'4.CAP_ENDMNT'!B:B,'4.CAP_ENDMNT'!F:F,0,0,1)</f>
        <v>4185284854.9290009</v>
      </c>
      <c r="Z216" s="140">
        <f>+_xlfn.XLOOKUP(PROYECTOS2[[#This Row],[MUNICIPIO]],'4.CAP_ENDMNT'!B:B,'4.CAP_ENDMNT'!G:G,0,0,1)</f>
        <v>1389004859</v>
      </c>
      <c r="AA216" s="140">
        <f>+_xlfn.XLOOKUP(PROYECTOS2[[#This Row],[MUNICIPIO]],'4.CAP_ENDMNT'!B:B,'4.CAP_ENDMNT'!H:H,0,0,1)</f>
        <v>1150000000</v>
      </c>
      <c r="AB216" s="140">
        <f>+_xlfn.XLOOKUP(PROYECTOS2[[#This Row],[MUNICIPIO]],'4.CAP_ENDMNT'!B:B,'4.CAP_ENDMNT'!I:I,0,0,1)</f>
        <v>2539004859</v>
      </c>
      <c r="AC216" s="134">
        <f>+_xlfn.XLOOKUP(PROYECTOS2[[#This Row],[MUNICIPIO]],'4.CAP_ENDMNT'!B:B,'4.CAP_ENDMNT'!J:J,0,0,1)</f>
        <v>0.40383881503066671</v>
      </c>
      <c r="AD216" s="140">
        <f>+_xlfn.XLOOKUP(PROYECTOS2[[#This Row],[MUNICIPIO]],'4.CAP_ENDMNT'!B:B,'4.CAP_ENDMNT'!K:K,0,0,1)</f>
        <v>3748169044.2990007</v>
      </c>
      <c r="AE216" s="140">
        <f>+_xlfn.XLOOKUP(PROYECTOS2[[#This Row],[MUNICIPIO]],'4.CAP_ENDMNT'!B:B,'4.CAP_ENDMNT'!L:L,0,0,1)</f>
        <v>2998535235.4392009</v>
      </c>
      <c r="AF216" s="140">
        <f>+_xlfn.XLOOKUP(PROYECTOS2[[#This Row],[MUNICIPIO]],'4.CAP_ENDMNT'!B:B,'4.CAP_ENDMNT'!M:M,0,0,1)</f>
        <v>2248901426.5794005</v>
      </c>
      <c r="AG216" s="134">
        <f>+_xlfn.XLOOKUP(PROYECTOS2[[#This Row],[MUNICIPIO]],'4.CAP_ENDMNT'!B:B,'4.CAP_ENDMNT'!N:N,0,0,1)</f>
        <v>0.54706664072595224</v>
      </c>
      <c r="AH216" s="134">
        <f>+_xlfn.XLOOKUP(PROYECTOS2[[#This Row],[MUNICIPIO]],'4.CAP_ENDMNT'!B:B,'4.CAP_ENDMNT'!O:O,0,0,1)</f>
        <v>0.5833393396108878</v>
      </c>
      <c r="AI216" s="134">
        <f>+_xlfn.XLOOKUP(PROYECTOS2[[#This Row],[MUNICIPIO]],'4.CAP_ENDMNT'!B:B,'4.CAP_ENDMNT'!P:P,0,0,1)</f>
        <v>0.8</v>
      </c>
      <c r="AJ216" s="44" t="str">
        <f>+_xlfn.XLOOKUP(PROYECTOS2[[#This Row],[MUNICIPIO]],'4.CAP_ENDMNT'!B:B,'4.CAP_ENDMNT'!Q:Q,0,0,1)</f>
        <v>Cumple</v>
      </c>
    </row>
    <row r="217" spans="1:36">
      <c r="A217" s="44">
        <v>239</v>
      </c>
      <c r="B217" s="37" t="s">
        <v>525</v>
      </c>
      <c r="C217" s="118">
        <v>45747</v>
      </c>
      <c r="D217" s="34" t="s">
        <v>11</v>
      </c>
      <c r="E217" s="47" t="str">
        <f>+_xlfn.XLOOKUP(PROYECTOS2[[#This Row],[MUNICIPIO]],MUNICIPIOS!A:A,MUNICIPIOS!E:E,0,0,1)</f>
        <v>Magdalena Medio</v>
      </c>
      <c r="F217" s="44" t="e" cm="1">
        <f t="array" ref="F217">+_xlfn.XLOOKUP(PROYECTOS2[[#This Row],[MUNICIPIO]],Table1[Municipio],MUNICIPIOS!F:F,0,0,1)</f>
        <v>#VALUE!</v>
      </c>
      <c r="G217" s="44" t="str">
        <f>+LOOKUP(PROYECTOS2[[#This Row],[MUNICIPIO]],Table1[Municipio],Table1[Latitud])</f>
        <v>6,246631</v>
      </c>
      <c r="H217" s="44">
        <f>+LOOKUP(PROYECTOS2[[#This Row],[MUNICIPIO]],Table1[Municipio],Table1[PDET])</f>
        <v>0</v>
      </c>
      <c r="I217" s="44">
        <f>+LOOKUP(PROYECTOS2[[#This Row],[MUNICIPIO]],Table1[Municipio],Table1[ZOMAC])</f>
        <v>0</v>
      </c>
      <c r="J217" s="3" t="str" cm="1">
        <f t="array" ref="J217">_xlfn.TEXTJOIN(", ", TRUE, IF(radicados[ID PROYECTOS]=A217, radicados[RADICADO], ""))</f>
        <v/>
      </c>
      <c r="K217" s="45">
        <v>2</v>
      </c>
      <c r="L217" s="45"/>
      <c r="M217" s="43"/>
      <c r="N217" s="48"/>
      <c r="O217" s="48"/>
      <c r="P217" s="48"/>
      <c r="Q217" s="148" t="s">
        <v>1067</v>
      </c>
      <c r="R217" s="34" t="s">
        <v>435</v>
      </c>
      <c r="S217" s="40" t="s">
        <v>397</v>
      </c>
      <c r="T217" s="40" t="s">
        <v>56</v>
      </c>
      <c r="U217" s="71" t="s">
        <v>526</v>
      </c>
      <c r="V217" s="44">
        <f>+_xlfn.XLOOKUP(PROYECTOS2[[#This Row],[MUNICIPIO]],'4.CAP_ENDMNT'!B:B,'4.CAP_ENDMNT'!C:C,0,0,1)</f>
        <v>6</v>
      </c>
      <c r="W217" s="139">
        <f>+_xlfn.XLOOKUP(PROYECTOS2[[#This Row],[MUNICIPIO]],'4.CAP_ENDMNT'!B:B,'4.CAP_ENDMNT'!D:D,0,0,1)</f>
        <v>22896432570.9105</v>
      </c>
      <c r="X217" s="140">
        <f>+_xlfn.XLOOKUP(PROYECTOS2[[#This Row],[MUNICIPIO]],'4.CAP_ENDMNT'!B:B,'4.CAP_ENDMNT'!E:E,0,0,1)</f>
        <v>6514105665.9899998</v>
      </c>
      <c r="Y217" s="140">
        <f>+_xlfn.XLOOKUP(PROYECTOS2[[#This Row],[MUNICIPIO]],'4.CAP_ENDMNT'!B:B,'4.CAP_ENDMNT'!F:F,0,0,1)</f>
        <v>16382326904.9205</v>
      </c>
      <c r="Z217" s="140">
        <f>+_xlfn.XLOOKUP(PROYECTOS2[[#This Row],[MUNICIPIO]],'4.CAP_ENDMNT'!B:B,'4.CAP_ENDMNT'!G:G,0,0,1)</f>
        <v>15087488121</v>
      </c>
      <c r="AA217" s="140">
        <f>+_xlfn.XLOOKUP(PROYECTOS2[[#This Row],[MUNICIPIO]],'4.CAP_ENDMNT'!B:B,'4.CAP_ENDMNT'!H:H,0,0,1)</f>
        <v>152370595</v>
      </c>
      <c r="AB217" s="140">
        <f>+_xlfn.XLOOKUP(PROYECTOS2[[#This Row],[MUNICIPIO]],'4.CAP_ENDMNT'!B:B,'4.CAP_ENDMNT'!I:I,0,0,1)</f>
        <v>15239858716</v>
      </c>
      <c r="AC217" s="134">
        <f>+_xlfn.XLOOKUP(PROYECTOS2[[#This Row],[MUNICIPIO]],'4.CAP_ENDMNT'!B:B,'4.CAP_ENDMNT'!J:J,0,0,1)</f>
        <v>0.66559970287082904</v>
      </c>
      <c r="AD217" s="140">
        <f>+_xlfn.XLOOKUP(PROYECTOS2[[#This Row],[MUNICIPIO]],'4.CAP_ENDMNT'!B:B,'4.CAP_ENDMNT'!K:K,0,0,1)</f>
        <v>7656573854.9104996</v>
      </c>
      <c r="AE217" s="140">
        <f>+_xlfn.XLOOKUP(PROYECTOS2[[#This Row],[MUNICIPIO]],'4.CAP_ENDMNT'!B:B,'4.CAP_ENDMNT'!L:L,0,0,1)</f>
        <v>6125259083.9284</v>
      </c>
      <c r="AF217" s="140">
        <f>+_xlfn.XLOOKUP(PROYECTOS2[[#This Row],[MUNICIPIO]],'4.CAP_ENDMNT'!B:B,'4.CAP_ENDMNT'!M:M,0,0,1)</f>
        <v>4593944312.9462996</v>
      </c>
      <c r="AG217" s="134">
        <f>+_xlfn.XLOOKUP(PROYECTOS2[[#This Row],[MUNICIPIO]],'4.CAP_ENDMNT'!B:B,'4.CAP_ENDMNT'!N:N,0,0,1)</f>
        <v>0.99000183677293352</v>
      </c>
      <c r="AH217" s="134">
        <f>+_xlfn.XLOOKUP(PROYECTOS2[[#This Row],[MUNICIPIO]],'4.CAP_ENDMNT'!B:B,'4.CAP_ENDMNT'!O:O,0,0,1)</f>
        <v>0.53987925149269589</v>
      </c>
      <c r="AI217" s="134">
        <f>+_xlfn.XLOOKUP(PROYECTOS2[[#This Row],[MUNICIPIO]],'4.CAP_ENDMNT'!B:B,'4.CAP_ENDMNT'!P:P,0,0,1)</f>
        <v>0.8</v>
      </c>
      <c r="AJ217" s="44" t="str">
        <f>+_xlfn.XLOOKUP(PROYECTOS2[[#This Row],[MUNICIPIO]],'4.CAP_ENDMNT'!B:B,'4.CAP_ENDMNT'!Q:Q,0,0,1)</f>
        <v>Cumple</v>
      </c>
    </row>
    <row r="218" spans="1:36">
      <c r="A218" s="44">
        <v>240</v>
      </c>
      <c r="B218" s="37" t="s">
        <v>527</v>
      </c>
      <c r="C218" s="118">
        <v>45747</v>
      </c>
      <c r="D218" s="34" t="s">
        <v>174</v>
      </c>
      <c r="E218" s="47" t="str">
        <f>+_xlfn.XLOOKUP(PROYECTOS2[[#This Row],[MUNICIPIO]],MUNICIPIOS!A:A,MUNICIPIOS!E:E,0,0,1)</f>
        <v>Norte</v>
      </c>
      <c r="F218" s="44" t="e" cm="1">
        <f t="array" ref="F218">+_xlfn.XLOOKUP(PROYECTOS2[[#This Row],[MUNICIPIO]],Table1[Municipio],MUNICIPIOS!F:F,0,0,1)</f>
        <v>#VALUE!</v>
      </c>
      <c r="G218" s="44" t="str">
        <f>+LOOKUP(PROYECTOS2[[#This Row],[MUNICIPIO]],Table1[Municipio],Table1[Latitud])</f>
        <v>6,149903</v>
      </c>
      <c r="H218" s="44">
        <f>+LOOKUP(PROYECTOS2[[#This Row],[MUNICIPIO]],Table1[Municipio],Table1[PDET])</f>
        <v>0</v>
      </c>
      <c r="I218" s="44">
        <f>+LOOKUP(PROYECTOS2[[#This Row],[MUNICIPIO]],Table1[Municipio],Table1[ZOMAC])</f>
        <v>0</v>
      </c>
      <c r="J218" s="3" t="str" cm="1">
        <f t="array" ref="J218">_xlfn.TEXTJOIN(", ", TRUE, IF(radicados[ID PROYECTOS]=A218, radicados[RADICADO], ""))</f>
        <v/>
      </c>
      <c r="K218" s="45">
        <v>3</v>
      </c>
      <c r="L218" s="45"/>
      <c r="M218" s="43"/>
      <c r="N218" s="48"/>
      <c r="O218" s="48"/>
      <c r="P218" s="48"/>
      <c r="Q218" s="148" t="s">
        <v>1067</v>
      </c>
      <c r="R218" s="34" t="s">
        <v>435</v>
      </c>
      <c r="S218" s="40" t="s">
        <v>397</v>
      </c>
      <c r="T218" s="40" t="s">
        <v>56</v>
      </c>
      <c r="U218" s="71" t="s">
        <v>528</v>
      </c>
      <c r="V218" s="44">
        <f>+_xlfn.XLOOKUP(PROYECTOS2[[#This Row],[MUNICIPIO]],'4.CAP_ENDMNT'!B:B,'4.CAP_ENDMNT'!C:C,0,0,1)</f>
        <v>6</v>
      </c>
      <c r="W218" s="139">
        <f>+_xlfn.XLOOKUP(PROYECTOS2[[#This Row],[MUNICIPIO]],'4.CAP_ENDMNT'!B:B,'4.CAP_ENDMNT'!D:D,0,0,1)</f>
        <v>31632055796.696003</v>
      </c>
      <c r="X218" s="140">
        <f>+_xlfn.XLOOKUP(PROYECTOS2[[#This Row],[MUNICIPIO]],'4.CAP_ENDMNT'!B:B,'4.CAP_ENDMNT'!E:E,0,0,1)</f>
        <v>14204097707.720001</v>
      </c>
      <c r="Y218" s="140">
        <f>+_xlfn.XLOOKUP(PROYECTOS2[[#This Row],[MUNICIPIO]],'4.CAP_ENDMNT'!B:B,'4.CAP_ENDMNT'!F:F,0,0,1)</f>
        <v>17427958088.976002</v>
      </c>
      <c r="Z218" s="140">
        <f>+_xlfn.XLOOKUP(PROYECTOS2[[#This Row],[MUNICIPIO]],'4.CAP_ENDMNT'!B:B,'4.CAP_ENDMNT'!G:G,0,0,1)</f>
        <v>6063106860</v>
      </c>
      <c r="AA218" s="140">
        <f>+_xlfn.XLOOKUP(PROYECTOS2[[#This Row],[MUNICIPIO]],'4.CAP_ENDMNT'!B:B,'4.CAP_ENDMNT'!H:H,0,0,1)</f>
        <v>5275762021</v>
      </c>
      <c r="AB218" s="140">
        <f>+_xlfn.XLOOKUP(PROYECTOS2[[#This Row],[MUNICIPIO]],'4.CAP_ENDMNT'!B:B,'4.CAP_ENDMNT'!I:I,0,0,1)</f>
        <v>11338868881</v>
      </c>
      <c r="AC218" s="134">
        <f>+_xlfn.XLOOKUP(PROYECTOS2[[#This Row],[MUNICIPIO]],'4.CAP_ENDMNT'!B:B,'4.CAP_ENDMNT'!J:J,0,0,1)</f>
        <v>0.35846133282884368</v>
      </c>
      <c r="AD218" s="140">
        <f>+_xlfn.XLOOKUP(PROYECTOS2[[#This Row],[MUNICIPIO]],'4.CAP_ENDMNT'!B:B,'4.CAP_ENDMNT'!K:K,0,0,1)</f>
        <v>20293186915.696003</v>
      </c>
      <c r="AE218" s="140">
        <f>+_xlfn.XLOOKUP(PROYECTOS2[[#This Row],[MUNICIPIO]],'4.CAP_ENDMNT'!B:B,'4.CAP_ENDMNT'!L:L,0,0,1)</f>
        <v>16234549532.556803</v>
      </c>
      <c r="AF218" s="140">
        <f>+_xlfn.XLOOKUP(PROYECTOS2[[#This Row],[MUNICIPIO]],'4.CAP_ENDMNT'!B:B,'4.CAP_ENDMNT'!M:M,0,0,1)</f>
        <v>12175912149.417601</v>
      </c>
      <c r="AG218" s="134">
        <f>+_xlfn.XLOOKUP(PROYECTOS2[[#This Row],[MUNICIPIO]],'4.CAP_ENDMNT'!B:B,'4.CAP_ENDMNT'!N:N,0,0,1)</f>
        <v>0.53471884397214064</v>
      </c>
      <c r="AH218" s="134">
        <f>+_xlfn.XLOOKUP(PROYECTOS2[[#This Row],[MUNICIPIO]],'4.CAP_ENDMNT'!B:B,'4.CAP_ENDMNT'!O:O,0,0,1)</f>
        <v>0.58208884880898415</v>
      </c>
      <c r="AI218" s="134">
        <f>+_xlfn.XLOOKUP(PROYECTOS2[[#This Row],[MUNICIPIO]],'4.CAP_ENDMNT'!B:B,'4.CAP_ENDMNT'!P:P,0,0,1)</f>
        <v>0.8</v>
      </c>
      <c r="AJ218" s="44" t="str">
        <f>+_xlfn.XLOOKUP(PROYECTOS2[[#This Row],[MUNICIPIO]],'4.CAP_ENDMNT'!B:B,'4.CAP_ENDMNT'!Q:Q,0,0,1)</f>
        <v>Cumple</v>
      </c>
    </row>
    <row r="219" spans="1:36">
      <c r="A219" s="44">
        <v>241</v>
      </c>
      <c r="B219" s="37" t="s">
        <v>529</v>
      </c>
      <c r="C219" s="118">
        <v>45747</v>
      </c>
      <c r="D219" s="34" t="s">
        <v>530</v>
      </c>
      <c r="E219" s="47" t="str">
        <f>+_xlfn.XLOOKUP(PROYECTOS2[[#This Row],[MUNICIPIO]],MUNICIPIOS!A:A,MUNICIPIOS!E:E,0,0,1)</f>
        <v>Occidente</v>
      </c>
      <c r="F219" s="44" t="e" cm="1">
        <f t="array" ref="F219">+_xlfn.XLOOKUP(PROYECTOS2[[#This Row],[MUNICIPIO]],Table1[Municipio],MUNICIPIOS!F:F,0,0,1)</f>
        <v>#VALUE!</v>
      </c>
      <c r="G219" s="44" t="e">
        <f>+LOOKUP(PROYECTOS2[[#This Row],[MUNICIPIO]],Table1[Municipio],Table1[Latitud])</f>
        <v>#N/A</v>
      </c>
      <c r="H219" s="44" t="e">
        <f>+LOOKUP(PROYECTOS2[[#This Row],[MUNICIPIO]],Table1[Municipio],Table1[PDET])</f>
        <v>#N/A</v>
      </c>
      <c r="I219" s="44" t="e">
        <f>+LOOKUP(PROYECTOS2[[#This Row],[MUNICIPIO]],Table1[Municipio],Table1[ZOMAC])</f>
        <v>#N/A</v>
      </c>
      <c r="J219" s="3" t="str" cm="1">
        <f t="array" ref="J219">_xlfn.TEXTJOIN(", ", TRUE, IF(radicados[ID PROYECTOS]=A219, radicados[RADICADO], ""))</f>
        <v/>
      </c>
      <c r="K219" s="45">
        <v>0</v>
      </c>
      <c r="L219" s="45"/>
      <c r="M219" s="43"/>
      <c r="N219" s="48"/>
      <c r="O219" s="48"/>
      <c r="P219" s="48"/>
      <c r="Q219" s="148" t="s">
        <v>1067</v>
      </c>
      <c r="R219" s="34" t="s">
        <v>435</v>
      </c>
      <c r="S219" s="40" t="s">
        <v>397</v>
      </c>
      <c r="T219" s="40" t="s">
        <v>56</v>
      </c>
      <c r="U219" s="52" t="s">
        <v>531</v>
      </c>
      <c r="V219" s="44">
        <f>+_xlfn.XLOOKUP(PROYECTOS2[[#This Row],[MUNICIPIO]],'4.CAP_ENDMNT'!B:B,'4.CAP_ENDMNT'!C:C,0,0,1)</f>
        <v>6</v>
      </c>
      <c r="W219" s="139">
        <f>+_xlfn.XLOOKUP(PROYECTOS2[[#This Row],[MUNICIPIO]],'4.CAP_ENDMNT'!B:B,'4.CAP_ENDMNT'!D:D,0,0,1)</f>
        <v>4751801726.2775002</v>
      </c>
      <c r="X219" s="140">
        <f>+_xlfn.XLOOKUP(PROYECTOS2[[#This Row],[MUNICIPIO]],'4.CAP_ENDMNT'!B:B,'4.CAP_ENDMNT'!E:E,0,0,1)</f>
        <v>1263292997.6800001</v>
      </c>
      <c r="Y219" s="140">
        <f>+_xlfn.XLOOKUP(PROYECTOS2[[#This Row],[MUNICIPIO]],'4.CAP_ENDMNT'!B:B,'4.CAP_ENDMNT'!F:F,0,0,1)</f>
        <v>3488508728.5974998</v>
      </c>
      <c r="Z219" s="140">
        <f>+_xlfn.XLOOKUP(PROYECTOS2[[#This Row],[MUNICIPIO]],'4.CAP_ENDMNT'!B:B,'4.CAP_ENDMNT'!G:G,0,0,1)</f>
        <v>691012966</v>
      </c>
      <c r="AA219" s="140">
        <f>+_xlfn.XLOOKUP(PROYECTOS2[[#This Row],[MUNICIPIO]],'4.CAP_ENDMNT'!B:B,'4.CAP_ENDMNT'!H:H,0,0,1)</f>
        <v>0</v>
      </c>
      <c r="AB219" s="140">
        <f>+_xlfn.XLOOKUP(PROYECTOS2[[#This Row],[MUNICIPIO]],'4.CAP_ENDMNT'!B:B,'4.CAP_ENDMNT'!I:I,0,0,1)</f>
        <v>691012966</v>
      </c>
      <c r="AC219" s="134">
        <f>+_xlfn.XLOOKUP(PROYECTOS2[[#This Row],[MUNICIPIO]],'4.CAP_ENDMNT'!B:B,'4.CAP_ENDMNT'!J:J,0,0,1)</f>
        <v>0.14542125404321754</v>
      </c>
      <c r="AD219" s="140">
        <f>+_xlfn.XLOOKUP(PROYECTOS2[[#This Row],[MUNICIPIO]],'4.CAP_ENDMNT'!B:B,'4.CAP_ENDMNT'!K:K,0,0,1)</f>
        <v>4060788760.2775002</v>
      </c>
      <c r="AE219" s="140">
        <f>+_xlfn.XLOOKUP(PROYECTOS2[[#This Row],[MUNICIPIO]],'4.CAP_ENDMNT'!B:B,'4.CAP_ENDMNT'!L:L,0,0,1)</f>
        <v>3248631008.2220001</v>
      </c>
      <c r="AF219" s="140">
        <f>+_xlfn.XLOOKUP(PROYECTOS2[[#This Row],[MUNICIPIO]],'4.CAP_ENDMNT'!B:B,'4.CAP_ENDMNT'!M:M,0,0,1)</f>
        <v>2436473256.1665001</v>
      </c>
      <c r="AG219" s="134">
        <f>+_xlfn.XLOOKUP(PROYECTOS2[[#This Row],[MUNICIPIO]],'4.CAP_ENDMNT'!B:B,'4.CAP_ENDMNT'!N:N,0,0,1)</f>
        <v>1</v>
      </c>
      <c r="AH219" s="134">
        <f>+_xlfn.XLOOKUP(PROYECTOS2[[#This Row],[MUNICIPIO]],'4.CAP_ENDMNT'!B:B,'4.CAP_ENDMNT'!O:O,0,0,1)</f>
        <v>0.49444669710295669</v>
      </c>
      <c r="AI219" s="134">
        <f>+_xlfn.XLOOKUP(PROYECTOS2[[#This Row],[MUNICIPIO]],'4.CAP_ENDMNT'!B:B,'4.CAP_ENDMNT'!P:P,0,0,1)</f>
        <v>0.8</v>
      </c>
      <c r="AJ219" s="44" t="str">
        <f>+_xlfn.XLOOKUP(PROYECTOS2[[#This Row],[MUNICIPIO]],'4.CAP_ENDMNT'!B:B,'4.CAP_ENDMNT'!Q:Q,0,0,1)</f>
        <v>Cumple</v>
      </c>
    </row>
    <row r="220" spans="1:36">
      <c r="A220" s="44">
        <v>242</v>
      </c>
      <c r="B220" s="37" t="s">
        <v>532</v>
      </c>
      <c r="C220" s="118">
        <v>45747</v>
      </c>
      <c r="D220" s="34" t="s">
        <v>63</v>
      </c>
      <c r="E220" s="47" t="str">
        <f>+_xlfn.XLOOKUP(PROYECTOS2[[#This Row],[MUNICIPIO]],MUNICIPIOS!A:A,MUNICIPIOS!E:E,0,0,1)</f>
        <v>Urabá</v>
      </c>
      <c r="F220" s="44" t="e" cm="1">
        <f t="array" ref="F220">+_xlfn.XLOOKUP(PROYECTOS2[[#This Row],[MUNICIPIO]],Table1[Municipio],MUNICIPIOS!F:F,0,0,1)</f>
        <v>#VALUE!</v>
      </c>
      <c r="G220" s="44" t="str">
        <f>+LOOKUP(PROYECTOS2[[#This Row],[MUNICIPIO]],Table1[Municipio],Table1[Latitud])</f>
        <v>6,149903</v>
      </c>
      <c r="H220" s="44">
        <f>+LOOKUP(PROYECTOS2[[#This Row],[MUNICIPIO]],Table1[Municipio],Table1[PDET])</f>
        <v>0</v>
      </c>
      <c r="I220" s="44">
        <f>+LOOKUP(PROYECTOS2[[#This Row],[MUNICIPIO]],Table1[Municipio],Table1[ZOMAC])</f>
        <v>0</v>
      </c>
      <c r="J220" s="3" t="str" cm="1">
        <f t="array" ref="J220">_xlfn.TEXTJOIN(", ", TRUE, IF(radicados[ID PROYECTOS]=A220, radicados[RADICADO], ""))</f>
        <v/>
      </c>
      <c r="K220" s="142">
        <v>2</v>
      </c>
      <c r="L220" s="45"/>
      <c r="M220" s="43"/>
      <c r="N220" s="48">
        <v>4365616499.999999</v>
      </c>
      <c r="O220" s="48"/>
      <c r="P220" s="48"/>
      <c r="Q220" s="148" t="s">
        <v>1067</v>
      </c>
      <c r="R220" s="34" t="s">
        <v>435</v>
      </c>
      <c r="S220" s="40" t="s">
        <v>397</v>
      </c>
      <c r="T220" s="40" t="s">
        <v>56</v>
      </c>
      <c r="U220" s="37" t="s">
        <v>1108</v>
      </c>
      <c r="V220" s="44">
        <f>+_xlfn.XLOOKUP(PROYECTOS2[[#This Row],[MUNICIPIO]],'4.CAP_ENDMNT'!B:B,'4.CAP_ENDMNT'!C:C,0,0,1)</f>
        <v>6</v>
      </c>
      <c r="W220" s="139">
        <f>+_xlfn.XLOOKUP(PROYECTOS2[[#This Row],[MUNICIPIO]],'4.CAP_ENDMNT'!B:B,'4.CAP_ENDMNT'!D:D,0,0,1)</f>
        <v>19508372714.52</v>
      </c>
      <c r="X220" s="140">
        <f>+_xlfn.XLOOKUP(PROYECTOS2[[#This Row],[MUNICIPIO]],'4.CAP_ENDMNT'!B:B,'4.CAP_ENDMNT'!E:E,0,0,1)</f>
        <v>5389834315.5</v>
      </c>
      <c r="Y220" s="140">
        <f>+_xlfn.XLOOKUP(PROYECTOS2[[#This Row],[MUNICIPIO]],'4.CAP_ENDMNT'!B:B,'4.CAP_ENDMNT'!F:F,0,0,1)</f>
        <v>14118538399.02</v>
      </c>
      <c r="Z220" s="140">
        <f>+_xlfn.XLOOKUP(PROYECTOS2[[#This Row],[MUNICIPIO]],'4.CAP_ENDMNT'!B:B,'4.CAP_ENDMNT'!G:G,0,0,1)</f>
        <v>2594281047</v>
      </c>
      <c r="AA220" s="140">
        <f>+_xlfn.XLOOKUP(PROYECTOS2[[#This Row],[MUNICIPIO]],'4.CAP_ENDMNT'!B:B,'4.CAP_ENDMNT'!H:H,0,0,1)</f>
        <v>1833333333</v>
      </c>
      <c r="AB220" s="140">
        <f>+_xlfn.XLOOKUP(PROYECTOS2[[#This Row],[MUNICIPIO]],'4.CAP_ENDMNT'!B:B,'4.CAP_ENDMNT'!I:I,0,0,1)</f>
        <v>4427614380</v>
      </c>
      <c r="AC220" s="134">
        <f>+_xlfn.XLOOKUP(PROYECTOS2[[#This Row],[MUNICIPIO]],'4.CAP_ENDMNT'!B:B,'4.CAP_ENDMNT'!J:J,0,0,1)</f>
        <v>0.22695969801235882</v>
      </c>
      <c r="AD220" s="140">
        <f>+_xlfn.XLOOKUP(PROYECTOS2[[#This Row],[MUNICIPIO]],'4.CAP_ENDMNT'!B:B,'4.CAP_ENDMNT'!K:K,0,0,1)</f>
        <v>15080758334.52</v>
      </c>
      <c r="AE220" s="140">
        <f>+_xlfn.XLOOKUP(PROYECTOS2[[#This Row],[MUNICIPIO]],'4.CAP_ENDMNT'!B:B,'4.CAP_ENDMNT'!L:L,0,0,1)</f>
        <v>12064606667.616001</v>
      </c>
      <c r="AF220" s="140">
        <f>+_xlfn.XLOOKUP(PROYECTOS2[[#This Row],[MUNICIPIO]],'4.CAP_ENDMNT'!B:B,'4.CAP_ENDMNT'!M:M,0,0,1)</f>
        <v>9048455000.7119999</v>
      </c>
      <c r="AG220" s="134">
        <f>+_xlfn.XLOOKUP(PROYECTOS2[[#This Row],[MUNICIPIO]],'4.CAP_ENDMNT'!B:B,'4.CAP_ENDMNT'!N:N,0,0,1)</f>
        <v>0.58593202215591322</v>
      </c>
      <c r="AH220" s="134">
        <f>+_xlfn.XLOOKUP(PROYECTOS2[[#This Row],[MUNICIPIO]],'4.CAP_ENDMNT'!B:B,'4.CAP_ENDMNT'!O:O,0,0,1)</f>
        <v>0.58851112900500024</v>
      </c>
      <c r="AI220" s="134">
        <f>+_xlfn.XLOOKUP(PROYECTOS2[[#This Row],[MUNICIPIO]],'4.CAP_ENDMNT'!B:B,'4.CAP_ENDMNT'!P:P,0,0,1)</f>
        <v>0.8</v>
      </c>
      <c r="AJ220" s="44" t="str">
        <f>+_xlfn.XLOOKUP(PROYECTOS2[[#This Row],[MUNICIPIO]],'4.CAP_ENDMNT'!B:B,'4.CAP_ENDMNT'!Q:Q,0,0,1)</f>
        <v>Cumple</v>
      </c>
    </row>
    <row r="221" spans="1:36">
      <c r="A221" s="44">
        <v>243</v>
      </c>
      <c r="B221" s="37" t="s">
        <v>533</v>
      </c>
      <c r="C221" s="118">
        <v>45747</v>
      </c>
      <c r="D221" s="34" t="s">
        <v>30</v>
      </c>
      <c r="E221" s="47" t="str">
        <f>+_xlfn.XLOOKUP(PROYECTOS2[[#This Row],[MUNICIPIO]],MUNICIPIOS!A:A,MUNICIPIOS!E:E,0,0,1)</f>
        <v>Suroeste</v>
      </c>
      <c r="F221" s="44" t="e" cm="1">
        <f t="array" ref="F221">+_xlfn.XLOOKUP(PROYECTOS2[[#This Row],[MUNICIPIO]],Table1[Municipio],MUNICIPIOS!F:F,0,0,1)</f>
        <v>#VALUE!</v>
      </c>
      <c r="G221" s="44" t="str">
        <f>+LOOKUP(PROYECTOS2[[#This Row],[MUNICIPIO]],Table1[Municipio],Table1[Latitud])</f>
        <v>6,149903</v>
      </c>
      <c r="H221" s="44">
        <f>+LOOKUP(PROYECTOS2[[#This Row],[MUNICIPIO]],Table1[Municipio],Table1[PDET])</f>
        <v>0</v>
      </c>
      <c r="I221" s="44">
        <f>+LOOKUP(PROYECTOS2[[#This Row],[MUNICIPIO]],Table1[Municipio],Table1[ZOMAC])</f>
        <v>0</v>
      </c>
      <c r="J221" s="3" t="str" cm="1">
        <f t="array" ref="J221">_xlfn.TEXTJOIN(", ", TRUE, IF(radicados[ID PROYECTOS]=A221, radicados[RADICADO], ""))</f>
        <v/>
      </c>
      <c r="K221" s="45">
        <v>1</v>
      </c>
      <c r="L221" s="45"/>
      <c r="M221" s="43"/>
      <c r="N221" s="48"/>
      <c r="O221" s="48"/>
      <c r="P221" s="48"/>
      <c r="Q221" s="148" t="s">
        <v>1067</v>
      </c>
      <c r="R221" s="34" t="s">
        <v>435</v>
      </c>
      <c r="S221" s="40" t="s">
        <v>397</v>
      </c>
      <c r="T221" s="40" t="s">
        <v>56</v>
      </c>
      <c r="U221" s="71" t="s">
        <v>534</v>
      </c>
      <c r="V221" s="44">
        <f>+_xlfn.XLOOKUP(PROYECTOS2[[#This Row],[MUNICIPIO]],'4.CAP_ENDMNT'!B:B,'4.CAP_ENDMNT'!C:C,0,0,1)</f>
        <v>6</v>
      </c>
      <c r="W221" s="139">
        <f>+_xlfn.XLOOKUP(PROYECTOS2[[#This Row],[MUNICIPIO]],'4.CAP_ENDMNT'!B:B,'4.CAP_ENDMNT'!D:D,0,0,1)</f>
        <v>12109127304.486</v>
      </c>
      <c r="X221" s="140">
        <f>+_xlfn.XLOOKUP(PROYECTOS2[[#This Row],[MUNICIPIO]],'4.CAP_ENDMNT'!B:B,'4.CAP_ENDMNT'!E:E,0,0,1)</f>
        <v>6485076277.8299999</v>
      </c>
      <c r="Y221" s="140">
        <f>+_xlfn.XLOOKUP(PROYECTOS2[[#This Row],[MUNICIPIO]],'4.CAP_ENDMNT'!B:B,'4.CAP_ENDMNT'!F:F,0,0,1)</f>
        <v>5624051026.6560001</v>
      </c>
      <c r="Z221" s="140">
        <f>+_xlfn.XLOOKUP(PROYECTOS2[[#This Row],[MUNICIPIO]],'4.CAP_ENDMNT'!B:B,'4.CAP_ENDMNT'!G:G,0,0,1)</f>
        <v>3662325591</v>
      </c>
      <c r="AA221" s="140">
        <f>+_xlfn.XLOOKUP(PROYECTOS2[[#This Row],[MUNICIPIO]],'4.CAP_ENDMNT'!B:B,'4.CAP_ENDMNT'!H:H,0,0,1)</f>
        <v>0</v>
      </c>
      <c r="AB221" s="140">
        <f>+_xlfn.XLOOKUP(PROYECTOS2[[#This Row],[MUNICIPIO]],'4.CAP_ENDMNT'!B:B,'4.CAP_ENDMNT'!I:I,0,0,1)</f>
        <v>3662325591</v>
      </c>
      <c r="AC221" s="134">
        <f>+_xlfn.XLOOKUP(PROYECTOS2[[#This Row],[MUNICIPIO]],'4.CAP_ENDMNT'!B:B,'4.CAP_ENDMNT'!J:J,0,0,1)</f>
        <v>0.30244339653141139</v>
      </c>
      <c r="AD221" s="140">
        <f>+_xlfn.XLOOKUP(PROYECTOS2[[#This Row],[MUNICIPIO]],'4.CAP_ENDMNT'!B:B,'4.CAP_ENDMNT'!K:K,0,0,1)</f>
        <v>8446801713.4860001</v>
      </c>
      <c r="AE221" s="140">
        <f>+_xlfn.XLOOKUP(PROYECTOS2[[#This Row],[MUNICIPIO]],'4.CAP_ENDMNT'!B:B,'4.CAP_ENDMNT'!L:L,0,0,1)</f>
        <v>6757441370.7888002</v>
      </c>
      <c r="AF221" s="140">
        <f>+_xlfn.XLOOKUP(PROYECTOS2[[#This Row],[MUNICIPIO]],'4.CAP_ENDMNT'!B:B,'4.CAP_ENDMNT'!M:M,0,0,1)</f>
        <v>5068081028.0915995</v>
      </c>
      <c r="AG221" s="134">
        <f>+_xlfn.XLOOKUP(PROYECTOS2[[#This Row],[MUNICIPIO]],'4.CAP_ENDMNT'!B:B,'4.CAP_ENDMNT'!N:N,0,0,1)</f>
        <v>1</v>
      </c>
      <c r="AH221" s="134">
        <f>+_xlfn.XLOOKUP(PROYECTOS2[[#This Row],[MUNICIPIO]],'4.CAP_ENDMNT'!B:B,'4.CAP_ENDMNT'!O:O,0,0,1)</f>
        <v>0.55253262293583549</v>
      </c>
      <c r="AI221" s="134">
        <f>+_xlfn.XLOOKUP(PROYECTOS2[[#This Row],[MUNICIPIO]],'4.CAP_ENDMNT'!B:B,'4.CAP_ENDMNT'!P:P,0,0,1)</f>
        <v>0.8</v>
      </c>
      <c r="AJ221" s="44" t="str">
        <f>+_xlfn.XLOOKUP(PROYECTOS2[[#This Row],[MUNICIPIO]],'4.CAP_ENDMNT'!B:B,'4.CAP_ENDMNT'!Q:Q,0,0,1)</f>
        <v>Cumple</v>
      </c>
    </row>
    <row r="222" spans="1:36">
      <c r="A222" s="44">
        <v>244</v>
      </c>
      <c r="B222" s="37" t="s">
        <v>535</v>
      </c>
      <c r="C222" s="118">
        <v>45747</v>
      </c>
      <c r="D222" s="34" t="s">
        <v>134</v>
      </c>
      <c r="E222" s="47" t="str">
        <f>+_xlfn.XLOOKUP(PROYECTOS2[[#This Row],[MUNICIPIO]],MUNICIPIOS!A:A,MUNICIPIOS!E:E,0,0,1)</f>
        <v>Magdalena Medio</v>
      </c>
      <c r="F222" s="44" t="e" cm="1">
        <f t="array" ref="F222">+_xlfn.XLOOKUP(PROYECTOS2[[#This Row],[MUNICIPIO]],Table1[Municipio],MUNICIPIOS!F:F,0,0,1)</f>
        <v>#VALUE!</v>
      </c>
      <c r="G222" s="44" t="str">
        <f>+LOOKUP(PROYECTOS2[[#This Row],[MUNICIPIO]],Table1[Municipio],Table1[Latitud])</f>
        <v>6,246631</v>
      </c>
      <c r="H222" s="44">
        <f>+LOOKUP(PROYECTOS2[[#This Row],[MUNICIPIO]],Table1[Municipio],Table1[PDET])</f>
        <v>0</v>
      </c>
      <c r="I222" s="44">
        <f>+LOOKUP(PROYECTOS2[[#This Row],[MUNICIPIO]],Table1[Municipio],Table1[ZOMAC])</f>
        <v>0</v>
      </c>
      <c r="J222" s="3" t="str" cm="1">
        <f t="array" ref="J222">_xlfn.TEXTJOIN(", ", TRUE, IF(radicados[ID PROYECTOS]=A222, radicados[RADICADO], ""))</f>
        <v/>
      </c>
      <c r="K222" s="45">
        <v>2</v>
      </c>
      <c r="L222" s="45"/>
      <c r="M222" s="43"/>
      <c r="N222" s="48"/>
      <c r="O222" s="48"/>
      <c r="P222" s="48"/>
      <c r="Q222" s="148" t="s">
        <v>1067</v>
      </c>
      <c r="R222" s="34" t="s">
        <v>435</v>
      </c>
      <c r="S222" s="40" t="s">
        <v>397</v>
      </c>
      <c r="T222" s="40" t="s">
        <v>56</v>
      </c>
      <c r="U222" s="52" t="s">
        <v>536</v>
      </c>
      <c r="V222" s="44">
        <f>+_xlfn.XLOOKUP(PROYECTOS2[[#This Row],[MUNICIPIO]],'4.CAP_ENDMNT'!B:B,'4.CAP_ENDMNT'!C:C,0,0,1)</f>
        <v>6</v>
      </c>
      <c r="W222" s="139">
        <f>+_xlfn.XLOOKUP(PROYECTOS2[[#This Row],[MUNICIPIO]],'4.CAP_ENDMNT'!B:B,'4.CAP_ENDMNT'!D:D,0,0,1)</f>
        <v>17406090503.82</v>
      </c>
      <c r="X222" s="140">
        <f>+_xlfn.XLOOKUP(PROYECTOS2[[#This Row],[MUNICIPIO]],'4.CAP_ENDMNT'!B:B,'4.CAP_ENDMNT'!E:E,0,0,1)</f>
        <v>8490973725.3299999</v>
      </c>
      <c r="Y222" s="140">
        <f>+_xlfn.XLOOKUP(PROYECTOS2[[#This Row],[MUNICIPIO]],'4.CAP_ENDMNT'!B:B,'4.CAP_ENDMNT'!F:F,0,0,1)</f>
        <v>8915116778.4899998</v>
      </c>
      <c r="Z222" s="140">
        <f>+_xlfn.XLOOKUP(PROYECTOS2[[#This Row],[MUNICIPIO]],'4.CAP_ENDMNT'!B:B,'4.CAP_ENDMNT'!G:G,0,0,1)</f>
        <v>6695063584</v>
      </c>
      <c r="AA222" s="140">
        <f>+_xlfn.XLOOKUP(PROYECTOS2[[#This Row],[MUNICIPIO]],'4.CAP_ENDMNT'!B:B,'4.CAP_ENDMNT'!H:H,0,0,1)</f>
        <v>0</v>
      </c>
      <c r="AB222" s="140">
        <f>+_xlfn.XLOOKUP(PROYECTOS2[[#This Row],[MUNICIPIO]],'4.CAP_ENDMNT'!B:B,'4.CAP_ENDMNT'!I:I,0,0,1)</f>
        <v>6695063584</v>
      </c>
      <c r="AC222" s="134">
        <f>+_xlfn.XLOOKUP(PROYECTOS2[[#This Row],[MUNICIPIO]],'4.CAP_ENDMNT'!B:B,'4.CAP_ENDMNT'!J:J,0,0,1)</f>
        <v>0.38463913436108349</v>
      </c>
      <c r="AD222" s="140">
        <f>+_xlfn.XLOOKUP(PROYECTOS2[[#This Row],[MUNICIPIO]],'4.CAP_ENDMNT'!B:B,'4.CAP_ENDMNT'!K:K,0,0,1)</f>
        <v>10711026919.82</v>
      </c>
      <c r="AE222" s="140">
        <f>+_xlfn.XLOOKUP(PROYECTOS2[[#This Row],[MUNICIPIO]],'4.CAP_ENDMNT'!B:B,'4.CAP_ENDMNT'!L:L,0,0,1)</f>
        <v>8568821535.8559999</v>
      </c>
      <c r="AF222" s="140">
        <f>+_xlfn.XLOOKUP(PROYECTOS2[[#This Row],[MUNICIPIO]],'4.CAP_ENDMNT'!B:B,'4.CAP_ENDMNT'!M:M,0,0,1)</f>
        <v>6426616151.8919992</v>
      </c>
      <c r="AG222" s="134">
        <f>+_xlfn.XLOOKUP(PROYECTOS2[[#This Row],[MUNICIPIO]],'4.CAP_ENDMNT'!B:B,'4.CAP_ENDMNT'!N:N,0,0,1)</f>
        <v>1</v>
      </c>
      <c r="AH222" s="134">
        <f>+_xlfn.XLOOKUP(PROYECTOS2[[#This Row],[MUNICIPIO]],'4.CAP_ENDMNT'!B:B,'4.CAP_ENDMNT'!O:O,0,0,1)</f>
        <v>0.75913384232200265</v>
      </c>
      <c r="AI222" s="134">
        <f>+_xlfn.XLOOKUP(PROYECTOS2[[#This Row],[MUNICIPIO]],'4.CAP_ENDMNT'!B:B,'4.CAP_ENDMNT'!P:P,0,0,1)</f>
        <v>0.8</v>
      </c>
      <c r="AJ222" s="44" t="str">
        <f>+_xlfn.XLOOKUP(PROYECTOS2[[#This Row],[MUNICIPIO]],'4.CAP_ENDMNT'!B:B,'4.CAP_ENDMNT'!Q:Q,0,0,1)</f>
        <v>Riesgo</v>
      </c>
    </row>
    <row r="223" spans="1:36">
      <c r="A223" s="44">
        <v>245</v>
      </c>
      <c r="B223" s="37" t="s">
        <v>537</v>
      </c>
      <c r="C223" s="118">
        <v>45747</v>
      </c>
      <c r="D223" s="34" t="s">
        <v>281</v>
      </c>
      <c r="E223" s="47" t="str">
        <f>+_xlfn.XLOOKUP(PROYECTOS2[[#This Row],[MUNICIPIO]],MUNICIPIOS!A:A,MUNICIPIOS!E:E,0,0,1)</f>
        <v>Suroeste</v>
      </c>
      <c r="F223" s="44" t="e" cm="1">
        <f t="array" ref="F223">+_xlfn.XLOOKUP(PROYECTOS2[[#This Row],[MUNICIPIO]],Table1[Municipio],MUNICIPIOS!F:F,0,0,1)</f>
        <v>#VALUE!</v>
      </c>
      <c r="G223" s="44" t="str">
        <f>+LOOKUP(PROYECTOS2[[#This Row],[MUNICIPIO]],Table1[Municipio],Table1[Latitud])</f>
        <v>6,149903</v>
      </c>
      <c r="H223" s="44">
        <f>+LOOKUP(PROYECTOS2[[#This Row],[MUNICIPIO]],Table1[Municipio],Table1[PDET])</f>
        <v>0</v>
      </c>
      <c r="I223" s="44">
        <f>+LOOKUP(PROYECTOS2[[#This Row],[MUNICIPIO]],Table1[Municipio],Table1[ZOMAC])</f>
        <v>0</v>
      </c>
      <c r="J223" s="3" t="str" cm="1">
        <f t="array" ref="J223">_xlfn.TEXTJOIN(", ", TRUE, IF(radicados[ID PROYECTOS]=A223, radicados[RADICADO], ""))</f>
        <v/>
      </c>
      <c r="K223" s="45">
        <v>2</v>
      </c>
      <c r="L223" s="45"/>
      <c r="M223" s="43"/>
      <c r="N223" s="48"/>
      <c r="O223" s="48"/>
      <c r="P223" s="48"/>
      <c r="Q223" s="148" t="s">
        <v>1067</v>
      </c>
      <c r="R223" s="34" t="s">
        <v>435</v>
      </c>
      <c r="S223" s="40" t="s">
        <v>397</v>
      </c>
      <c r="T223" s="40" t="s">
        <v>56</v>
      </c>
      <c r="U223" s="52" t="s">
        <v>536</v>
      </c>
      <c r="V223" s="44">
        <f>+_xlfn.XLOOKUP(PROYECTOS2[[#This Row],[MUNICIPIO]],'4.CAP_ENDMNT'!B:B,'4.CAP_ENDMNT'!C:C,0,0,1)</f>
        <v>6</v>
      </c>
      <c r="W223" s="139">
        <f>+_xlfn.XLOOKUP(PROYECTOS2[[#This Row],[MUNICIPIO]],'4.CAP_ENDMNT'!B:B,'4.CAP_ENDMNT'!D:D,0,0,1)</f>
        <v>12522207884.799</v>
      </c>
      <c r="X223" s="140">
        <f>+_xlfn.XLOOKUP(PROYECTOS2[[#This Row],[MUNICIPIO]],'4.CAP_ENDMNT'!B:B,'4.CAP_ENDMNT'!E:E,0,0,1)</f>
        <v>6810462569.46</v>
      </c>
      <c r="Y223" s="140">
        <f>+_xlfn.XLOOKUP(PROYECTOS2[[#This Row],[MUNICIPIO]],'4.CAP_ENDMNT'!B:B,'4.CAP_ENDMNT'!F:F,0,0,1)</f>
        <v>5711745315.3389997</v>
      </c>
      <c r="Z223" s="140">
        <f>+_xlfn.XLOOKUP(PROYECTOS2[[#This Row],[MUNICIPIO]],'4.CAP_ENDMNT'!B:B,'4.CAP_ENDMNT'!G:G,0,0,1)</f>
        <v>0</v>
      </c>
      <c r="AA223" s="140">
        <f>+_xlfn.XLOOKUP(PROYECTOS2[[#This Row],[MUNICIPIO]],'4.CAP_ENDMNT'!B:B,'4.CAP_ENDMNT'!H:H,0,0,1)</f>
        <v>0</v>
      </c>
      <c r="AB223" s="140">
        <f>+_xlfn.XLOOKUP(PROYECTOS2[[#This Row],[MUNICIPIO]],'4.CAP_ENDMNT'!B:B,'4.CAP_ENDMNT'!I:I,0,0,1)</f>
        <v>0</v>
      </c>
      <c r="AC223" s="134">
        <f>+_xlfn.XLOOKUP(PROYECTOS2[[#This Row],[MUNICIPIO]],'4.CAP_ENDMNT'!B:B,'4.CAP_ENDMNT'!J:J,0,0,1)</f>
        <v>0</v>
      </c>
      <c r="AD223" s="140">
        <f>+_xlfn.XLOOKUP(PROYECTOS2[[#This Row],[MUNICIPIO]],'4.CAP_ENDMNT'!B:B,'4.CAP_ENDMNT'!K:K,0,0,1)</f>
        <v>12522207884.799</v>
      </c>
      <c r="AE223" s="140">
        <f>+_xlfn.XLOOKUP(PROYECTOS2[[#This Row],[MUNICIPIO]],'4.CAP_ENDMNT'!B:B,'4.CAP_ENDMNT'!L:L,0,0,1)</f>
        <v>10017766307.839201</v>
      </c>
      <c r="AF223" s="140">
        <f>+_xlfn.XLOOKUP(PROYECTOS2[[#This Row],[MUNICIPIO]],'4.CAP_ENDMNT'!B:B,'4.CAP_ENDMNT'!M:M,0,0,1)</f>
        <v>7513324730.8793993</v>
      </c>
      <c r="AG223" s="134">
        <f>+_xlfn.XLOOKUP(PROYECTOS2[[#This Row],[MUNICIPIO]],'4.CAP_ENDMNT'!B:B,'4.CAP_ENDMNT'!N:N,0,0,1)</f>
        <v>0</v>
      </c>
      <c r="AH223" s="134">
        <f>+_xlfn.XLOOKUP(PROYECTOS2[[#This Row],[MUNICIPIO]],'4.CAP_ENDMNT'!B:B,'4.CAP_ENDMNT'!O:O,0,0,1)</f>
        <v>0.68767493145996073</v>
      </c>
      <c r="AI223" s="134">
        <f>+_xlfn.XLOOKUP(PROYECTOS2[[#This Row],[MUNICIPIO]],'4.CAP_ENDMNT'!B:B,'4.CAP_ENDMNT'!P:P,0,0,1)</f>
        <v>0.8</v>
      </c>
      <c r="AJ223" s="44" t="str">
        <f>+_xlfn.XLOOKUP(PROYECTOS2[[#This Row],[MUNICIPIO]],'4.CAP_ENDMNT'!B:B,'4.CAP_ENDMNT'!Q:Q,0,0,1)</f>
        <v>Cumple</v>
      </c>
    </row>
    <row r="224" spans="1:36">
      <c r="A224" s="44">
        <v>247</v>
      </c>
      <c r="B224" s="37" t="s">
        <v>538</v>
      </c>
      <c r="C224" s="118">
        <f>+_xlfn.XLOOKUP(PROYECTOS2[[#This Row],[ID_NECESIDAD]],'1.RADICADOS'!G:G,'1.RADICADOS'!C:C,0,0,1)*1</f>
        <v>45705</v>
      </c>
      <c r="D224" s="46" t="s">
        <v>63</v>
      </c>
      <c r="E224" s="47" t="str">
        <f>+_xlfn.XLOOKUP(PROYECTOS2[[#This Row],[MUNICIPIO]],MUNICIPIOS!A:A,MUNICIPIOS!E:E,0,0,1)</f>
        <v>Urabá</v>
      </c>
      <c r="F224" s="44" t="e" cm="1">
        <f t="array" ref="F224">+_xlfn.XLOOKUP(PROYECTOS2[[#This Row],[MUNICIPIO]],Table1[Municipio],MUNICIPIOS!F:F,0,0,1)</f>
        <v>#VALUE!</v>
      </c>
      <c r="G224" s="44" t="str">
        <f>+LOOKUP(PROYECTOS2[[#This Row],[MUNICIPIO]],Table1[Municipio],Table1[Latitud])</f>
        <v>6,149903</v>
      </c>
      <c r="H224" s="44">
        <f>+LOOKUP(PROYECTOS2[[#This Row],[MUNICIPIO]],Table1[Municipio],Table1[PDET])</f>
        <v>0</v>
      </c>
      <c r="I224" s="44">
        <f>+LOOKUP(PROYECTOS2[[#This Row],[MUNICIPIO]],Table1[Municipio],Table1[ZOMAC])</f>
        <v>0</v>
      </c>
      <c r="J224" s="3" t="str" cm="1">
        <f t="array" ref="J224">_xlfn.TEXTJOIN(", ", TRUE, IF(radicados[ID PROYECTOS]=A224, radicados[RADICADO], ""))</f>
        <v>2025010072501</v>
      </c>
      <c r="K224" s="142">
        <v>2</v>
      </c>
      <c r="L224" s="45"/>
      <c r="M224" s="43"/>
      <c r="N224" s="48">
        <v>2172528822</v>
      </c>
      <c r="O224" s="48"/>
      <c r="P224" s="48"/>
      <c r="Q224" s="148" t="s">
        <v>1067</v>
      </c>
      <c r="R224" s="34" t="s">
        <v>435</v>
      </c>
      <c r="S224" s="40" t="s">
        <v>398</v>
      </c>
      <c r="T224" s="40" t="s">
        <v>25</v>
      </c>
      <c r="U224" s="37" t="s">
        <v>1109</v>
      </c>
      <c r="V224" s="44">
        <f>+_xlfn.XLOOKUP(PROYECTOS2[[#This Row],[MUNICIPIO]],'4.CAP_ENDMNT'!B:B,'4.CAP_ENDMNT'!C:C,0,0,1)</f>
        <v>6</v>
      </c>
      <c r="W224" s="139">
        <f>+_xlfn.XLOOKUP(PROYECTOS2[[#This Row],[MUNICIPIO]],'4.CAP_ENDMNT'!B:B,'4.CAP_ENDMNT'!D:D,0,0,1)</f>
        <v>19508372714.52</v>
      </c>
      <c r="X224" s="140">
        <f>+_xlfn.XLOOKUP(PROYECTOS2[[#This Row],[MUNICIPIO]],'4.CAP_ENDMNT'!B:B,'4.CAP_ENDMNT'!E:E,0,0,1)</f>
        <v>5389834315.5</v>
      </c>
      <c r="Y224" s="140">
        <f>+_xlfn.XLOOKUP(PROYECTOS2[[#This Row],[MUNICIPIO]],'4.CAP_ENDMNT'!B:B,'4.CAP_ENDMNT'!F:F,0,0,1)</f>
        <v>14118538399.02</v>
      </c>
      <c r="Z224" s="140">
        <f>+_xlfn.XLOOKUP(PROYECTOS2[[#This Row],[MUNICIPIO]],'4.CAP_ENDMNT'!B:B,'4.CAP_ENDMNT'!G:G,0,0,1)</f>
        <v>2594281047</v>
      </c>
      <c r="AA224" s="140">
        <f>+_xlfn.XLOOKUP(PROYECTOS2[[#This Row],[MUNICIPIO]],'4.CAP_ENDMNT'!B:B,'4.CAP_ENDMNT'!H:H,0,0,1)</f>
        <v>1833333333</v>
      </c>
      <c r="AB224" s="140">
        <f>+_xlfn.XLOOKUP(PROYECTOS2[[#This Row],[MUNICIPIO]],'4.CAP_ENDMNT'!B:B,'4.CAP_ENDMNT'!I:I,0,0,1)</f>
        <v>4427614380</v>
      </c>
      <c r="AC224" s="134">
        <f>+_xlfn.XLOOKUP(PROYECTOS2[[#This Row],[MUNICIPIO]],'4.CAP_ENDMNT'!B:B,'4.CAP_ENDMNT'!J:J,0,0,1)</f>
        <v>0.22695969801235882</v>
      </c>
      <c r="AD224" s="140">
        <f>+_xlfn.XLOOKUP(PROYECTOS2[[#This Row],[MUNICIPIO]],'4.CAP_ENDMNT'!B:B,'4.CAP_ENDMNT'!K:K,0,0,1)</f>
        <v>15080758334.52</v>
      </c>
      <c r="AE224" s="140">
        <f>+_xlfn.XLOOKUP(PROYECTOS2[[#This Row],[MUNICIPIO]],'4.CAP_ENDMNT'!B:B,'4.CAP_ENDMNT'!L:L,0,0,1)</f>
        <v>12064606667.616001</v>
      </c>
      <c r="AF224" s="140">
        <f>+_xlfn.XLOOKUP(PROYECTOS2[[#This Row],[MUNICIPIO]],'4.CAP_ENDMNT'!B:B,'4.CAP_ENDMNT'!M:M,0,0,1)</f>
        <v>9048455000.7119999</v>
      </c>
      <c r="AG224" s="134">
        <f>+_xlfn.XLOOKUP(PROYECTOS2[[#This Row],[MUNICIPIO]],'4.CAP_ENDMNT'!B:B,'4.CAP_ENDMNT'!N:N,0,0,1)</f>
        <v>0.58593202215591322</v>
      </c>
      <c r="AH224" s="134">
        <f>+_xlfn.XLOOKUP(PROYECTOS2[[#This Row],[MUNICIPIO]],'4.CAP_ENDMNT'!B:B,'4.CAP_ENDMNT'!O:O,0,0,1)</f>
        <v>0.58851112900500024</v>
      </c>
      <c r="AI224" s="134">
        <f>+_xlfn.XLOOKUP(PROYECTOS2[[#This Row],[MUNICIPIO]],'4.CAP_ENDMNT'!B:B,'4.CAP_ENDMNT'!P:P,0,0,1)</f>
        <v>0.8</v>
      </c>
      <c r="AJ224" s="44" t="str">
        <f>+_xlfn.XLOOKUP(PROYECTOS2[[#This Row],[MUNICIPIO]],'4.CAP_ENDMNT'!B:B,'4.CAP_ENDMNT'!Q:Q,0,0,1)</f>
        <v>Cumple</v>
      </c>
    </row>
    <row r="225" spans="1:36">
      <c r="A225" s="44">
        <v>248</v>
      </c>
      <c r="B225" s="37" t="s">
        <v>539</v>
      </c>
      <c r="C225" s="118">
        <f>+_xlfn.XLOOKUP(PROYECTOS2[[#This Row],[ID_NECESIDAD]],'1.RADICADOS'!G:G,'1.RADICADOS'!C:C,0,0,1)*1</f>
        <v>45706</v>
      </c>
      <c r="D225" s="46" t="s">
        <v>186</v>
      </c>
      <c r="E225" s="47" t="str">
        <f>+_xlfn.XLOOKUP(PROYECTOS2[[#This Row],[MUNICIPIO]],MUNICIPIOS!A:A,MUNICIPIOS!E:E,0,0,1)</f>
        <v>Oriente</v>
      </c>
      <c r="F225" s="44" t="e" cm="1">
        <f t="array" ref="F225">+_xlfn.XLOOKUP(PROYECTOS2[[#This Row],[MUNICIPIO]],Table1[Municipio],MUNICIPIOS!F:F,0,0,1)</f>
        <v>#VALUE!</v>
      </c>
      <c r="G225" s="44" t="str">
        <f>+LOOKUP(PROYECTOS2[[#This Row],[MUNICIPIO]],Table1[Municipio],Table1[Latitud])</f>
        <v>5,743808</v>
      </c>
      <c r="H225" s="44">
        <f>+LOOKUP(PROYECTOS2[[#This Row],[MUNICIPIO]],Table1[Municipio],Table1[PDET])</f>
        <v>0</v>
      </c>
      <c r="I225" s="44">
        <f>+LOOKUP(PROYECTOS2[[#This Row],[MUNICIPIO]],Table1[Municipio],Table1[ZOMAC])</f>
        <v>0</v>
      </c>
      <c r="J225" s="3" t="str" cm="1">
        <f t="array" ref="J225">_xlfn.TEXTJOIN(", ", TRUE, IF(radicados[ID PROYECTOS]=A225, radicados[RADICADO], ""))</f>
        <v>2025010076176</v>
      </c>
      <c r="K225" s="45">
        <v>3</v>
      </c>
      <c r="L225" s="45"/>
      <c r="M225" s="43"/>
      <c r="N225" s="48">
        <v>4853481778.4499998</v>
      </c>
      <c r="O225" s="48"/>
      <c r="P225" s="48"/>
      <c r="Q225" s="148" t="s">
        <v>1067</v>
      </c>
      <c r="R225" s="34" t="s">
        <v>288</v>
      </c>
      <c r="S225" s="40" t="s">
        <v>398</v>
      </c>
      <c r="T225" s="40" t="s">
        <v>25</v>
      </c>
      <c r="U225" s="37"/>
      <c r="V225" s="44">
        <f>+_xlfn.XLOOKUP(PROYECTOS2[[#This Row],[MUNICIPIO]],'4.CAP_ENDMNT'!B:B,'4.CAP_ENDMNT'!C:C,0,0,1)</f>
        <v>6</v>
      </c>
      <c r="W225" s="139">
        <f>+_xlfn.XLOOKUP(PROYECTOS2[[#This Row],[MUNICIPIO]],'4.CAP_ENDMNT'!B:B,'4.CAP_ENDMNT'!D:D,0,0,1)</f>
        <v>22781121123.307999</v>
      </c>
      <c r="X225" s="140">
        <f>+_xlfn.XLOOKUP(PROYECTOS2[[#This Row],[MUNICIPIO]],'4.CAP_ENDMNT'!B:B,'4.CAP_ENDMNT'!E:E,0,0,1)</f>
        <v>7460247261.1800003</v>
      </c>
      <c r="Y225" s="140">
        <f>+_xlfn.XLOOKUP(PROYECTOS2[[#This Row],[MUNICIPIO]],'4.CAP_ENDMNT'!B:B,'4.CAP_ENDMNT'!F:F,0,0,1)</f>
        <v>15320873862.127998</v>
      </c>
      <c r="Z225" s="140">
        <f>+_xlfn.XLOOKUP(PROYECTOS2[[#This Row],[MUNICIPIO]],'4.CAP_ENDMNT'!B:B,'4.CAP_ENDMNT'!G:G,0,0,1)</f>
        <v>8372353142.5600004</v>
      </c>
      <c r="AA225" s="140">
        <f>+_xlfn.XLOOKUP(PROYECTOS2[[#This Row],[MUNICIPIO]],'4.CAP_ENDMNT'!B:B,'4.CAP_ENDMNT'!H:H,0,0,1)</f>
        <v>142113074</v>
      </c>
      <c r="AB225" s="140">
        <f>+_xlfn.XLOOKUP(PROYECTOS2[[#This Row],[MUNICIPIO]],'4.CAP_ENDMNT'!B:B,'4.CAP_ENDMNT'!I:I,0,0,1)</f>
        <v>8514466216.5600004</v>
      </c>
      <c r="AC225" s="134">
        <f>+_xlfn.XLOOKUP(PROYECTOS2[[#This Row],[MUNICIPIO]],'4.CAP_ENDMNT'!B:B,'4.CAP_ENDMNT'!J:J,0,0,1)</f>
        <v>0.37375097434729027</v>
      </c>
      <c r="AD225" s="140">
        <f>+_xlfn.XLOOKUP(PROYECTOS2[[#This Row],[MUNICIPIO]],'4.CAP_ENDMNT'!B:B,'4.CAP_ENDMNT'!K:K,0,0,1)</f>
        <v>14266654906.747997</v>
      </c>
      <c r="AE225" s="140">
        <f>+_xlfn.XLOOKUP(PROYECTOS2[[#This Row],[MUNICIPIO]],'4.CAP_ENDMNT'!B:B,'4.CAP_ENDMNT'!L:L,0,0,1)</f>
        <v>11413323925.398399</v>
      </c>
      <c r="AF225" s="140">
        <f>+_xlfn.XLOOKUP(PROYECTOS2[[#This Row],[MUNICIPIO]],'4.CAP_ENDMNT'!B:B,'4.CAP_ENDMNT'!M:M,0,0,1)</f>
        <v>8559992944.0487976</v>
      </c>
      <c r="AG225" s="134">
        <f>+_xlfn.XLOOKUP(PROYECTOS2[[#This Row],[MUNICIPIO]],'4.CAP_ENDMNT'!B:B,'4.CAP_ENDMNT'!N:N,0,0,1)</f>
        <v>0.98330922099102336</v>
      </c>
      <c r="AH225" s="134">
        <f>+_xlfn.XLOOKUP(PROYECTOS2[[#This Row],[MUNICIPIO]],'4.CAP_ENDMNT'!B:B,'4.CAP_ENDMNT'!O:O,0,0,1)</f>
        <v>0.47573857187041646</v>
      </c>
      <c r="AI225" s="134">
        <f>+_xlfn.XLOOKUP(PROYECTOS2[[#This Row],[MUNICIPIO]],'4.CAP_ENDMNT'!B:B,'4.CAP_ENDMNT'!P:P,0,0,1)</f>
        <v>0.8</v>
      </c>
      <c r="AJ225" s="44" t="str">
        <f>+_xlfn.XLOOKUP(PROYECTOS2[[#This Row],[MUNICIPIO]],'4.CAP_ENDMNT'!B:B,'4.CAP_ENDMNT'!Q:Q,0,0,1)</f>
        <v>Cumple</v>
      </c>
    </row>
    <row r="226" spans="1:36">
      <c r="A226" s="44">
        <v>249</v>
      </c>
      <c r="B226" s="37" t="s">
        <v>338</v>
      </c>
      <c r="C226" s="118">
        <f>+_xlfn.XLOOKUP(PROYECTOS2[[#This Row],[ID_NECESIDAD]],'1.RADICADOS'!G:G,'1.RADICADOS'!C:C,0,0,1)*1</f>
        <v>45700</v>
      </c>
      <c r="D226" s="46" t="s">
        <v>337</v>
      </c>
      <c r="E226" s="47" t="str">
        <f>+_xlfn.XLOOKUP(PROYECTOS2[[#This Row],[MUNICIPIO]],MUNICIPIOS!A:A,MUNICIPIOS!E:E,0,0,1)</f>
        <v>Suroeste</v>
      </c>
      <c r="F226" s="44" t="e" cm="1">
        <f t="array" ref="F226">+_xlfn.XLOOKUP(PROYECTOS2[[#This Row],[MUNICIPIO]],Table1[Municipio],MUNICIPIOS!F:F,0,0,1)</f>
        <v>#VALUE!</v>
      </c>
      <c r="G226" s="44" t="str">
        <f>+LOOKUP(PROYECTOS2[[#This Row],[MUNICIPIO]],Table1[Municipio],Table1[Latitud])</f>
        <v>7,074703</v>
      </c>
      <c r="H226" s="44">
        <f>+LOOKUP(PROYECTOS2[[#This Row],[MUNICIPIO]],Table1[Municipio],Table1[PDET])</f>
        <v>1</v>
      </c>
      <c r="I226" s="44">
        <f>+LOOKUP(PROYECTOS2[[#This Row],[MUNICIPIO]],Table1[Municipio],Table1[ZOMAC])</f>
        <v>1</v>
      </c>
      <c r="J226" s="3" t="str" cm="1">
        <f t="array" ref="J226">_xlfn.TEXTJOIN(", ", TRUE, IF(radicados[ID PROYECTOS]=A226, radicados[RADICADO], ""))</f>
        <v>2025010067007</v>
      </c>
      <c r="K226" s="45">
        <v>3</v>
      </c>
      <c r="L226" s="45"/>
      <c r="M226" s="43"/>
      <c r="N226" s="48">
        <v>126398173</v>
      </c>
      <c r="O226" s="48"/>
      <c r="P226" s="48"/>
      <c r="Q226" s="148" t="s">
        <v>1067</v>
      </c>
      <c r="R226" s="34" t="s">
        <v>40</v>
      </c>
      <c r="S226" s="40"/>
      <c r="T226" s="40" t="s">
        <v>40</v>
      </c>
      <c r="U226" s="37" t="s">
        <v>1093</v>
      </c>
      <c r="V226" s="44">
        <f>+_xlfn.XLOOKUP(PROYECTOS2[[#This Row],[MUNICIPIO]],'4.CAP_ENDMNT'!B:B,'4.CAP_ENDMNT'!C:C,0,0,1)</f>
        <v>6</v>
      </c>
      <c r="W226" s="139">
        <f>+_xlfn.XLOOKUP(PROYECTOS2[[#This Row],[MUNICIPIO]],'4.CAP_ENDMNT'!B:B,'4.CAP_ENDMNT'!D:D,0,0,1)</f>
        <v>12058979368.9545</v>
      </c>
      <c r="X226" s="140">
        <f>+_xlfn.XLOOKUP(PROYECTOS2[[#This Row],[MUNICIPIO]],'4.CAP_ENDMNT'!B:B,'4.CAP_ENDMNT'!E:E,0,0,1)</f>
        <v>3567680920.52</v>
      </c>
      <c r="Y226" s="140">
        <f>+_xlfn.XLOOKUP(PROYECTOS2[[#This Row],[MUNICIPIO]],'4.CAP_ENDMNT'!B:B,'4.CAP_ENDMNT'!F:F,0,0,1)</f>
        <v>8491298448.4344997</v>
      </c>
      <c r="Z226" s="140">
        <f>+_xlfn.XLOOKUP(PROYECTOS2[[#This Row],[MUNICIPIO]],'4.CAP_ENDMNT'!B:B,'4.CAP_ENDMNT'!G:G,0,0,1)</f>
        <v>914830553</v>
      </c>
      <c r="AA226" s="140">
        <f>+_xlfn.XLOOKUP(PROYECTOS2[[#This Row],[MUNICIPIO]],'4.CAP_ENDMNT'!B:B,'4.CAP_ENDMNT'!H:H,0,0,1)</f>
        <v>0</v>
      </c>
      <c r="AB226" s="140">
        <f>+_xlfn.XLOOKUP(PROYECTOS2[[#This Row],[MUNICIPIO]],'4.CAP_ENDMNT'!B:B,'4.CAP_ENDMNT'!I:I,0,0,1)</f>
        <v>914830553</v>
      </c>
      <c r="AC226" s="134">
        <f>+_xlfn.XLOOKUP(PROYECTOS2[[#This Row],[MUNICIPIO]],'4.CAP_ENDMNT'!B:B,'4.CAP_ENDMNT'!J:J,0,0,1)</f>
        <v>7.586301667910679E-2</v>
      </c>
      <c r="AD226" s="140">
        <f>+_xlfn.XLOOKUP(PROYECTOS2[[#This Row],[MUNICIPIO]],'4.CAP_ENDMNT'!B:B,'4.CAP_ENDMNT'!K:K,0,0,1)</f>
        <v>11144148815.9545</v>
      </c>
      <c r="AE226" s="140">
        <f>+_xlfn.XLOOKUP(PROYECTOS2[[#This Row],[MUNICIPIO]],'4.CAP_ENDMNT'!B:B,'4.CAP_ENDMNT'!L:L,0,0,1)</f>
        <v>8915319052.7636013</v>
      </c>
      <c r="AF226" s="140">
        <f>+_xlfn.XLOOKUP(PROYECTOS2[[#This Row],[MUNICIPIO]],'4.CAP_ENDMNT'!B:B,'4.CAP_ENDMNT'!M:M,0,0,1)</f>
        <v>6686489289.5726995</v>
      </c>
      <c r="AG226" s="134">
        <f>+_xlfn.XLOOKUP(PROYECTOS2[[#This Row],[MUNICIPIO]],'4.CAP_ENDMNT'!B:B,'4.CAP_ENDMNT'!N:N,0,0,1)</f>
        <v>1</v>
      </c>
      <c r="AH226" s="134">
        <f>+_xlfn.XLOOKUP(PROYECTOS2[[#This Row],[MUNICIPIO]],'4.CAP_ENDMNT'!B:B,'4.CAP_ENDMNT'!O:O,0,0,1)</f>
        <v>0.60206976758564179</v>
      </c>
      <c r="AI226" s="134">
        <f>+_xlfn.XLOOKUP(PROYECTOS2[[#This Row],[MUNICIPIO]],'4.CAP_ENDMNT'!B:B,'4.CAP_ENDMNT'!P:P,0,0,1)</f>
        <v>0.8</v>
      </c>
      <c r="AJ226" s="44" t="str">
        <f>+_xlfn.XLOOKUP(PROYECTOS2[[#This Row],[MUNICIPIO]],'4.CAP_ENDMNT'!B:B,'4.CAP_ENDMNT'!Q:Q,0,0,1)</f>
        <v>Cumple</v>
      </c>
    </row>
    <row r="227" spans="1:36">
      <c r="A227" s="44">
        <v>250</v>
      </c>
      <c r="B227" s="37" t="s">
        <v>540</v>
      </c>
      <c r="C227" s="118">
        <v>45747</v>
      </c>
      <c r="D227" s="46" t="s">
        <v>286</v>
      </c>
      <c r="E227" s="47" t="str">
        <f>+_xlfn.XLOOKUP(PROYECTOS2[[#This Row],[MUNICIPIO]],MUNICIPIOS!A:A,MUNICIPIOS!E:E,0,0,1)</f>
        <v>Norte</v>
      </c>
      <c r="F227" s="44" t="e" cm="1">
        <f t="array" ref="F227">+_xlfn.XLOOKUP(PROYECTOS2[[#This Row],[MUNICIPIO]],Table1[Municipio],MUNICIPIOS!F:F,0,0,1)</f>
        <v>#VALUE!</v>
      </c>
      <c r="G227" s="44" t="str">
        <f>+LOOKUP(PROYECTOS2[[#This Row],[MUNICIPIO]],Table1[Municipio],Table1[Latitud])</f>
        <v>7,074703</v>
      </c>
      <c r="H227" s="44">
        <f>+LOOKUP(PROYECTOS2[[#This Row],[MUNICIPIO]],Table1[Municipio],Table1[PDET])</f>
        <v>1</v>
      </c>
      <c r="I227" s="44">
        <f>+LOOKUP(PROYECTOS2[[#This Row],[MUNICIPIO]],Table1[Municipio],Table1[ZOMAC])</f>
        <v>1</v>
      </c>
      <c r="J227" s="3" t="str" cm="1">
        <f t="array" ref="J227">_xlfn.TEXTJOIN(", ", TRUE, IF(radicados[ID PROYECTOS]=A227, radicados[RADICADO], ""))</f>
        <v/>
      </c>
      <c r="K227" s="45">
        <v>1</v>
      </c>
      <c r="L227" s="45"/>
      <c r="M227" s="43"/>
      <c r="N227" s="48">
        <v>710000000</v>
      </c>
      <c r="O227" s="48"/>
      <c r="P227" s="48"/>
      <c r="Q227" s="148" t="s">
        <v>1067</v>
      </c>
      <c r="R227" s="34" t="s">
        <v>407</v>
      </c>
      <c r="S227" s="40" t="s">
        <v>397</v>
      </c>
      <c r="T227" s="40" t="s">
        <v>56</v>
      </c>
      <c r="U227" s="37" t="s">
        <v>541</v>
      </c>
      <c r="V227" s="44">
        <f>+_xlfn.XLOOKUP(PROYECTOS2[[#This Row],[MUNICIPIO]],'4.CAP_ENDMNT'!B:B,'4.CAP_ENDMNT'!C:C,0,0,1)</f>
        <v>6</v>
      </c>
      <c r="W227" s="139">
        <f>+_xlfn.XLOOKUP(PROYECTOS2[[#This Row],[MUNICIPIO]],'4.CAP_ENDMNT'!B:B,'4.CAP_ENDMNT'!D:D,0,0,1)</f>
        <v>8809287720.75</v>
      </c>
      <c r="X227" s="140">
        <f>+_xlfn.XLOOKUP(PROYECTOS2[[#This Row],[MUNICIPIO]],'4.CAP_ENDMNT'!B:B,'4.CAP_ENDMNT'!E:E,0,0,1)</f>
        <v>2669441983.3800001</v>
      </c>
      <c r="Y227" s="140">
        <f>+_xlfn.XLOOKUP(PROYECTOS2[[#This Row],[MUNICIPIO]],'4.CAP_ENDMNT'!B:B,'4.CAP_ENDMNT'!F:F,0,0,1)</f>
        <v>6139845737.3699999</v>
      </c>
      <c r="Z227" s="140">
        <f>+_xlfn.XLOOKUP(PROYECTOS2[[#This Row],[MUNICIPIO]],'4.CAP_ENDMNT'!B:B,'4.CAP_ENDMNT'!G:G,0,0,1)</f>
        <v>3083047525</v>
      </c>
      <c r="AA227" s="140">
        <f>+_xlfn.XLOOKUP(PROYECTOS2[[#This Row],[MUNICIPIO]],'4.CAP_ENDMNT'!B:B,'4.CAP_ENDMNT'!H:H,0,0,1)</f>
        <v>0</v>
      </c>
      <c r="AB227" s="140">
        <f>+_xlfn.XLOOKUP(PROYECTOS2[[#This Row],[MUNICIPIO]],'4.CAP_ENDMNT'!B:B,'4.CAP_ENDMNT'!I:I,0,0,1)</f>
        <v>3083047525</v>
      </c>
      <c r="AC227" s="134">
        <f>+_xlfn.XLOOKUP(PROYECTOS2[[#This Row],[MUNICIPIO]],'4.CAP_ENDMNT'!B:B,'4.CAP_ENDMNT'!J:J,0,0,1)</f>
        <v>0.34997693601696972</v>
      </c>
      <c r="AD227" s="140">
        <f>+_xlfn.XLOOKUP(PROYECTOS2[[#This Row],[MUNICIPIO]],'4.CAP_ENDMNT'!B:B,'4.CAP_ENDMNT'!K:K,0,0,1)</f>
        <v>5726240195.75</v>
      </c>
      <c r="AE227" s="140">
        <f>+_xlfn.XLOOKUP(PROYECTOS2[[#This Row],[MUNICIPIO]],'4.CAP_ENDMNT'!B:B,'4.CAP_ENDMNT'!L:L,0,0,1)</f>
        <v>4580992156.6000004</v>
      </c>
      <c r="AF227" s="140">
        <f>+_xlfn.XLOOKUP(PROYECTOS2[[#This Row],[MUNICIPIO]],'4.CAP_ENDMNT'!B:B,'4.CAP_ENDMNT'!M:M,0,0,1)</f>
        <v>3435744117.4499998</v>
      </c>
      <c r="AG227" s="134">
        <f>+_xlfn.XLOOKUP(PROYECTOS2[[#This Row],[MUNICIPIO]],'4.CAP_ENDMNT'!B:B,'4.CAP_ENDMNT'!N:N,0,0,1)</f>
        <v>1</v>
      </c>
      <c r="AH227" s="134">
        <f>+_xlfn.XLOOKUP(PROYECTOS2[[#This Row],[MUNICIPIO]],'4.CAP_ENDMNT'!B:B,'4.CAP_ENDMNT'!O:O,0,0,1)</f>
        <v>0.72230003829506451</v>
      </c>
      <c r="AI227" s="134">
        <f>+_xlfn.XLOOKUP(PROYECTOS2[[#This Row],[MUNICIPIO]],'4.CAP_ENDMNT'!B:B,'4.CAP_ENDMNT'!P:P,0,0,1)</f>
        <v>0.8</v>
      </c>
      <c r="AJ227" s="44" t="str">
        <f>+_xlfn.XLOOKUP(PROYECTOS2[[#This Row],[MUNICIPIO]],'4.CAP_ENDMNT'!B:B,'4.CAP_ENDMNT'!Q:Q,0,0,1)</f>
        <v>Cumple</v>
      </c>
    </row>
    <row r="228" spans="1:36">
      <c r="A228" s="44">
        <v>251</v>
      </c>
      <c r="B228" s="37" t="s">
        <v>542</v>
      </c>
      <c r="C228" s="118">
        <v>45747</v>
      </c>
      <c r="D228" s="46" t="s">
        <v>468</v>
      </c>
      <c r="E228" s="47" t="str">
        <f>+_xlfn.XLOOKUP(PROYECTOS2[[#This Row],[MUNICIPIO]],MUNICIPIOS!A:A,MUNICIPIOS!E:E,0,0,1)</f>
        <v>Nordeste</v>
      </c>
      <c r="F228" s="44" t="e" cm="1">
        <f t="array" ref="F228">+_xlfn.XLOOKUP(PROYECTOS2[[#This Row],[MUNICIPIO]],Table1[Municipio],MUNICIPIOS!F:F,0,0,1)</f>
        <v>#VALUE!</v>
      </c>
      <c r="G228" s="44" t="str">
        <f>+LOOKUP(PROYECTOS2[[#This Row],[MUNICIPIO]],Table1[Municipio],Table1[Latitud])</f>
        <v>7,074703</v>
      </c>
      <c r="H228" s="44">
        <f>+LOOKUP(PROYECTOS2[[#This Row],[MUNICIPIO]],Table1[Municipio],Table1[PDET])</f>
        <v>1</v>
      </c>
      <c r="I228" s="44">
        <f>+LOOKUP(PROYECTOS2[[#This Row],[MUNICIPIO]],Table1[Municipio],Table1[ZOMAC])</f>
        <v>1</v>
      </c>
      <c r="J228" s="3" t="str" cm="1">
        <f t="array" ref="J228">_xlfn.TEXTJOIN(", ", TRUE, IF(radicados[ID PROYECTOS]=A228, radicados[RADICADO], ""))</f>
        <v/>
      </c>
      <c r="K228" s="45">
        <v>1</v>
      </c>
      <c r="L228" s="45"/>
      <c r="M228" s="43"/>
      <c r="N228" s="48">
        <v>340000000</v>
      </c>
      <c r="O228" s="48"/>
      <c r="P228" s="48"/>
      <c r="Q228" s="148" t="s">
        <v>1067</v>
      </c>
      <c r="R228" s="34" t="s">
        <v>407</v>
      </c>
      <c r="S228" s="40" t="s">
        <v>397</v>
      </c>
      <c r="T228" s="40" t="s">
        <v>56</v>
      </c>
      <c r="U228" s="37" t="s">
        <v>541</v>
      </c>
      <c r="V228" s="44">
        <f>+_xlfn.XLOOKUP(PROYECTOS2[[#This Row],[MUNICIPIO]],'4.CAP_ENDMNT'!B:B,'4.CAP_ENDMNT'!C:C,0,0,1)</f>
        <v>6</v>
      </c>
      <c r="W228" s="139">
        <f>+_xlfn.XLOOKUP(PROYECTOS2[[#This Row],[MUNICIPIO]],'4.CAP_ENDMNT'!B:B,'4.CAP_ENDMNT'!D:D,0,0,1)</f>
        <v>16148449667.859503</v>
      </c>
      <c r="X228" s="140">
        <f>+_xlfn.XLOOKUP(PROYECTOS2[[#This Row],[MUNICIPIO]],'4.CAP_ENDMNT'!B:B,'4.CAP_ENDMNT'!E:E,0,0,1)</f>
        <v>5168319228.7700005</v>
      </c>
      <c r="Y228" s="140">
        <f>+_xlfn.XLOOKUP(PROYECTOS2[[#This Row],[MUNICIPIO]],'4.CAP_ENDMNT'!B:B,'4.CAP_ENDMNT'!F:F,0,0,1)</f>
        <v>10980130439.089502</v>
      </c>
      <c r="Z228" s="140">
        <f>+_xlfn.XLOOKUP(PROYECTOS2[[#This Row],[MUNICIPIO]],'4.CAP_ENDMNT'!B:B,'4.CAP_ENDMNT'!G:G,0,0,1)</f>
        <v>943947740</v>
      </c>
      <c r="AA228" s="140">
        <f>+_xlfn.XLOOKUP(PROYECTOS2[[#This Row],[MUNICIPIO]],'4.CAP_ENDMNT'!B:B,'4.CAP_ENDMNT'!H:H,0,0,1)</f>
        <v>680000000</v>
      </c>
      <c r="AB228" s="140">
        <f>+_xlfn.XLOOKUP(PROYECTOS2[[#This Row],[MUNICIPIO]],'4.CAP_ENDMNT'!B:B,'4.CAP_ENDMNT'!I:I,0,0,1)</f>
        <v>1623947740</v>
      </c>
      <c r="AC228" s="134">
        <f>+_xlfn.XLOOKUP(PROYECTOS2[[#This Row],[MUNICIPIO]],'4.CAP_ENDMNT'!B:B,'4.CAP_ENDMNT'!J:J,0,0,1)</f>
        <v>0.10056369332049052</v>
      </c>
      <c r="AD228" s="140">
        <f>+_xlfn.XLOOKUP(PROYECTOS2[[#This Row],[MUNICIPIO]],'4.CAP_ENDMNT'!B:B,'4.CAP_ENDMNT'!K:K,0,0,1)</f>
        <v>14524501927.859503</v>
      </c>
      <c r="AE228" s="140">
        <f>+_xlfn.XLOOKUP(PROYECTOS2[[#This Row],[MUNICIPIO]],'4.CAP_ENDMNT'!B:B,'4.CAP_ENDMNT'!L:L,0,0,1)</f>
        <v>11619601542.287603</v>
      </c>
      <c r="AF228" s="140">
        <f>+_xlfn.XLOOKUP(PROYECTOS2[[#This Row],[MUNICIPIO]],'4.CAP_ENDMNT'!B:B,'4.CAP_ENDMNT'!M:M,0,0,1)</f>
        <v>8714701156.7157021</v>
      </c>
      <c r="AG228" s="134">
        <f>+_xlfn.XLOOKUP(PROYECTOS2[[#This Row],[MUNICIPIO]],'4.CAP_ENDMNT'!B:B,'4.CAP_ENDMNT'!N:N,0,0,1)</f>
        <v>0.58126731344199534</v>
      </c>
      <c r="AH228" s="134">
        <f>+_xlfn.XLOOKUP(PROYECTOS2[[#This Row],[MUNICIPIO]],'4.CAP_ENDMNT'!B:B,'4.CAP_ENDMNT'!O:O,0,0,1)</f>
        <v>0.64090582782582184</v>
      </c>
      <c r="AI228" s="134">
        <f>+_xlfn.XLOOKUP(PROYECTOS2[[#This Row],[MUNICIPIO]],'4.CAP_ENDMNT'!B:B,'4.CAP_ENDMNT'!P:P,0,0,1)</f>
        <v>0.8</v>
      </c>
      <c r="AJ228" s="44" t="str">
        <f>+_xlfn.XLOOKUP(PROYECTOS2[[#This Row],[MUNICIPIO]],'4.CAP_ENDMNT'!B:B,'4.CAP_ENDMNT'!Q:Q,0,0,1)</f>
        <v>Cumple</v>
      </c>
    </row>
    <row r="229" spans="1:36">
      <c r="A229" s="44">
        <v>252</v>
      </c>
      <c r="B229" s="37" t="s">
        <v>543</v>
      </c>
      <c r="C229" s="118">
        <v>45747</v>
      </c>
      <c r="D229" s="46" t="s">
        <v>67</v>
      </c>
      <c r="E229" s="47" t="str">
        <f>+_xlfn.XLOOKUP(PROYECTOS2[[#This Row],[MUNICIPIO]],MUNICIPIOS!A:A,MUNICIPIOS!E:E,0,0,1)</f>
        <v>Nordeste</v>
      </c>
      <c r="F229" s="44" t="e" cm="1">
        <f t="array" ref="F229">+_xlfn.XLOOKUP(PROYECTOS2[[#This Row],[MUNICIPIO]],Table1[Municipio],MUNICIPIOS!F:F,0,0,1)</f>
        <v>#VALUE!</v>
      </c>
      <c r="G229" s="44" t="str">
        <f>+LOOKUP(PROYECTOS2[[#This Row],[MUNICIPIO]],Table1[Municipio],Table1[Latitud])</f>
        <v>6,149903</v>
      </c>
      <c r="H229" s="44">
        <f>+LOOKUP(PROYECTOS2[[#This Row],[MUNICIPIO]],Table1[Municipio],Table1[PDET])</f>
        <v>0</v>
      </c>
      <c r="I229" s="44">
        <f>+LOOKUP(PROYECTOS2[[#This Row],[MUNICIPIO]],Table1[Municipio],Table1[ZOMAC])</f>
        <v>0</v>
      </c>
      <c r="J229" s="3" t="str" cm="1">
        <f t="array" ref="J229">_xlfn.TEXTJOIN(", ", TRUE, IF(radicados[ID PROYECTOS]=A229, radicados[RADICADO], ""))</f>
        <v/>
      </c>
      <c r="K229" s="45">
        <v>1</v>
      </c>
      <c r="L229" s="45"/>
      <c r="M229" s="43"/>
      <c r="N229" s="48">
        <v>230000000</v>
      </c>
      <c r="O229" s="48"/>
      <c r="P229" s="48"/>
      <c r="Q229" s="148" t="s">
        <v>1067</v>
      </c>
      <c r="R229" s="34" t="s">
        <v>407</v>
      </c>
      <c r="S229" s="40" t="s">
        <v>397</v>
      </c>
      <c r="T229" s="40" t="s">
        <v>56</v>
      </c>
      <c r="U229" s="37" t="s">
        <v>541</v>
      </c>
      <c r="V229" s="44">
        <f>+_xlfn.XLOOKUP(PROYECTOS2[[#This Row],[MUNICIPIO]],'4.CAP_ENDMNT'!B:B,'4.CAP_ENDMNT'!C:C,0,0,1)</f>
        <v>6</v>
      </c>
      <c r="W229" s="139">
        <f>+_xlfn.XLOOKUP(PROYECTOS2[[#This Row],[MUNICIPIO]],'4.CAP_ENDMNT'!B:B,'4.CAP_ENDMNT'!D:D,0,0,1)</f>
        <v>18632663202.9925</v>
      </c>
      <c r="X229" s="140">
        <f>+_xlfn.XLOOKUP(PROYECTOS2[[#This Row],[MUNICIPIO]],'4.CAP_ENDMNT'!B:B,'4.CAP_ENDMNT'!E:E,0,0,1)</f>
        <v>4332293517.3299999</v>
      </c>
      <c r="Y229" s="140">
        <f>+_xlfn.XLOOKUP(PROYECTOS2[[#This Row],[MUNICIPIO]],'4.CAP_ENDMNT'!B:B,'4.CAP_ENDMNT'!F:F,0,0,1)</f>
        <v>14300369685.6625</v>
      </c>
      <c r="Z229" s="140">
        <f>+_xlfn.XLOOKUP(PROYECTOS2[[#This Row],[MUNICIPIO]],'4.CAP_ENDMNT'!B:B,'4.CAP_ENDMNT'!G:G,0,0,1)</f>
        <v>3970281006</v>
      </c>
      <c r="AA229" s="140">
        <f>+_xlfn.XLOOKUP(PROYECTOS2[[#This Row],[MUNICIPIO]],'4.CAP_ENDMNT'!B:B,'4.CAP_ENDMNT'!H:H,0,0,1)</f>
        <v>1500000000</v>
      </c>
      <c r="AB229" s="140">
        <f>+_xlfn.XLOOKUP(PROYECTOS2[[#This Row],[MUNICIPIO]],'4.CAP_ENDMNT'!B:B,'4.CAP_ENDMNT'!I:I,0,0,1)</f>
        <v>5470281006</v>
      </c>
      <c r="AC229" s="134">
        <f>+_xlfn.XLOOKUP(PROYECTOS2[[#This Row],[MUNICIPIO]],'4.CAP_ENDMNT'!B:B,'4.CAP_ENDMNT'!J:J,0,0,1)</f>
        <v>0.29358556779588252</v>
      </c>
      <c r="AD229" s="140">
        <f>+_xlfn.XLOOKUP(PROYECTOS2[[#This Row],[MUNICIPIO]],'4.CAP_ENDMNT'!B:B,'4.CAP_ENDMNT'!K:K,0,0,1)</f>
        <v>13162382196.9925</v>
      </c>
      <c r="AE229" s="140">
        <f>+_xlfn.XLOOKUP(PROYECTOS2[[#This Row],[MUNICIPIO]],'4.CAP_ENDMNT'!B:B,'4.CAP_ENDMNT'!L:L,0,0,1)</f>
        <v>10529905757.594002</v>
      </c>
      <c r="AF229" s="140">
        <f>+_xlfn.XLOOKUP(PROYECTOS2[[#This Row],[MUNICIPIO]],'4.CAP_ENDMNT'!B:B,'4.CAP_ENDMNT'!M:M,0,0,1)</f>
        <v>7897429318.1954994</v>
      </c>
      <c r="AG229" s="134">
        <f>+_xlfn.XLOOKUP(PROYECTOS2[[#This Row],[MUNICIPIO]],'4.CAP_ENDMNT'!B:B,'4.CAP_ENDMNT'!N:N,0,0,1)</f>
        <v>0.72579105198531002</v>
      </c>
      <c r="AH229" s="134">
        <f>+_xlfn.XLOOKUP(PROYECTOS2[[#This Row],[MUNICIPIO]],'4.CAP_ENDMNT'!B:B,'4.CAP_ENDMNT'!O:O,0,0,1)</f>
        <v>0.44683077557401057</v>
      </c>
      <c r="AI229" s="134">
        <f>+_xlfn.XLOOKUP(PROYECTOS2[[#This Row],[MUNICIPIO]],'4.CAP_ENDMNT'!B:B,'4.CAP_ENDMNT'!P:P,0,0,1)</f>
        <v>0.8</v>
      </c>
      <c r="AJ229" s="44" t="str">
        <f>+_xlfn.XLOOKUP(PROYECTOS2[[#This Row],[MUNICIPIO]],'4.CAP_ENDMNT'!B:B,'4.CAP_ENDMNT'!Q:Q,0,0,1)</f>
        <v>Cumple</v>
      </c>
    </row>
    <row r="230" spans="1:36">
      <c r="A230" s="44">
        <v>253</v>
      </c>
      <c r="B230" s="37" t="s">
        <v>544</v>
      </c>
      <c r="C230" s="118">
        <v>45747</v>
      </c>
      <c r="D230" s="46" t="s">
        <v>67</v>
      </c>
      <c r="E230" s="47" t="str">
        <f>+_xlfn.XLOOKUP(PROYECTOS2[[#This Row],[MUNICIPIO]],MUNICIPIOS!A:A,MUNICIPIOS!E:E,0,0,1)</f>
        <v>Nordeste</v>
      </c>
      <c r="F230" s="44" t="e" cm="1">
        <f t="array" ref="F230">+_xlfn.XLOOKUP(PROYECTOS2[[#This Row],[MUNICIPIO]],Table1[Municipio],MUNICIPIOS!F:F,0,0,1)</f>
        <v>#VALUE!</v>
      </c>
      <c r="G230" s="44" t="str">
        <f>+LOOKUP(PROYECTOS2[[#This Row],[MUNICIPIO]],Table1[Municipio],Table1[Latitud])</f>
        <v>6,149903</v>
      </c>
      <c r="H230" s="44">
        <f>+LOOKUP(PROYECTOS2[[#This Row],[MUNICIPIO]],Table1[Municipio],Table1[PDET])</f>
        <v>0</v>
      </c>
      <c r="I230" s="44">
        <f>+LOOKUP(PROYECTOS2[[#This Row],[MUNICIPIO]],Table1[Municipio],Table1[ZOMAC])</f>
        <v>0</v>
      </c>
      <c r="J230" s="3" t="str" cm="1">
        <f t="array" ref="J230">_xlfn.TEXTJOIN(", ", TRUE, IF(radicados[ID PROYECTOS]=A230, radicados[RADICADO], ""))</f>
        <v/>
      </c>
      <c r="K230" s="45">
        <v>1</v>
      </c>
      <c r="L230" s="45"/>
      <c r="M230" s="43"/>
      <c r="N230" s="48">
        <f>2735072135+110000000</f>
        <v>2845072135</v>
      </c>
      <c r="O230" s="48"/>
      <c r="P230" s="48"/>
      <c r="Q230" s="148" t="s">
        <v>1067</v>
      </c>
      <c r="R230" s="34" t="s">
        <v>407</v>
      </c>
      <c r="S230" s="40" t="s">
        <v>397</v>
      </c>
      <c r="T230" s="40" t="s">
        <v>56</v>
      </c>
      <c r="U230" s="37" t="s">
        <v>541</v>
      </c>
      <c r="V230" s="44">
        <f>+_xlfn.XLOOKUP(PROYECTOS2[[#This Row],[MUNICIPIO]],'4.CAP_ENDMNT'!B:B,'4.CAP_ENDMNT'!C:C,0,0,1)</f>
        <v>6</v>
      </c>
      <c r="W230" s="139">
        <f>+_xlfn.XLOOKUP(PROYECTOS2[[#This Row],[MUNICIPIO]],'4.CAP_ENDMNT'!B:B,'4.CAP_ENDMNT'!D:D,0,0,1)</f>
        <v>18632663202.9925</v>
      </c>
      <c r="X230" s="140">
        <f>+_xlfn.XLOOKUP(PROYECTOS2[[#This Row],[MUNICIPIO]],'4.CAP_ENDMNT'!B:B,'4.CAP_ENDMNT'!E:E,0,0,1)</f>
        <v>4332293517.3299999</v>
      </c>
      <c r="Y230" s="140">
        <f>+_xlfn.XLOOKUP(PROYECTOS2[[#This Row],[MUNICIPIO]],'4.CAP_ENDMNT'!B:B,'4.CAP_ENDMNT'!F:F,0,0,1)</f>
        <v>14300369685.6625</v>
      </c>
      <c r="Z230" s="140">
        <f>+_xlfn.XLOOKUP(PROYECTOS2[[#This Row],[MUNICIPIO]],'4.CAP_ENDMNT'!B:B,'4.CAP_ENDMNT'!G:G,0,0,1)</f>
        <v>3970281006</v>
      </c>
      <c r="AA230" s="140">
        <f>+_xlfn.XLOOKUP(PROYECTOS2[[#This Row],[MUNICIPIO]],'4.CAP_ENDMNT'!B:B,'4.CAP_ENDMNT'!H:H,0,0,1)</f>
        <v>1500000000</v>
      </c>
      <c r="AB230" s="140">
        <f>+_xlfn.XLOOKUP(PROYECTOS2[[#This Row],[MUNICIPIO]],'4.CAP_ENDMNT'!B:B,'4.CAP_ENDMNT'!I:I,0,0,1)</f>
        <v>5470281006</v>
      </c>
      <c r="AC230" s="134">
        <f>+_xlfn.XLOOKUP(PROYECTOS2[[#This Row],[MUNICIPIO]],'4.CAP_ENDMNT'!B:B,'4.CAP_ENDMNT'!J:J,0,0,1)</f>
        <v>0.29358556779588252</v>
      </c>
      <c r="AD230" s="140">
        <f>+_xlfn.XLOOKUP(PROYECTOS2[[#This Row],[MUNICIPIO]],'4.CAP_ENDMNT'!B:B,'4.CAP_ENDMNT'!K:K,0,0,1)</f>
        <v>13162382196.9925</v>
      </c>
      <c r="AE230" s="140">
        <f>+_xlfn.XLOOKUP(PROYECTOS2[[#This Row],[MUNICIPIO]],'4.CAP_ENDMNT'!B:B,'4.CAP_ENDMNT'!L:L,0,0,1)</f>
        <v>10529905757.594002</v>
      </c>
      <c r="AF230" s="140">
        <f>+_xlfn.XLOOKUP(PROYECTOS2[[#This Row],[MUNICIPIO]],'4.CAP_ENDMNT'!B:B,'4.CAP_ENDMNT'!M:M,0,0,1)</f>
        <v>7897429318.1954994</v>
      </c>
      <c r="AG230" s="134">
        <f>+_xlfn.XLOOKUP(PROYECTOS2[[#This Row],[MUNICIPIO]],'4.CAP_ENDMNT'!B:B,'4.CAP_ENDMNT'!N:N,0,0,1)</f>
        <v>0.72579105198531002</v>
      </c>
      <c r="AH230" s="134">
        <f>+_xlfn.XLOOKUP(PROYECTOS2[[#This Row],[MUNICIPIO]],'4.CAP_ENDMNT'!B:B,'4.CAP_ENDMNT'!O:O,0,0,1)</f>
        <v>0.44683077557401057</v>
      </c>
      <c r="AI230" s="134">
        <f>+_xlfn.XLOOKUP(PROYECTOS2[[#This Row],[MUNICIPIO]],'4.CAP_ENDMNT'!B:B,'4.CAP_ENDMNT'!P:P,0,0,1)</f>
        <v>0.8</v>
      </c>
      <c r="AJ230" s="44" t="str">
        <f>+_xlfn.XLOOKUP(PROYECTOS2[[#This Row],[MUNICIPIO]],'4.CAP_ENDMNT'!B:B,'4.CAP_ENDMNT'!Q:Q,0,0,1)</f>
        <v>Cumple</v>
      </c>
    </row>
    <row r="231" spans="1:36">
      <c r="A231" s="44">
        <v>254</v>
      </c>
      <c r="B231" s="37" t="s">
        <v>545</v>
      </c>
      <c r="C231" s="118">
        <v>45747</v>
      </c>
      <c r="D231" s="46" t="s">
        <v>546</v>
      </c>
      <c r="E231" s="47" t="str">
        <f>+_xlfn.XLOOKUP(PROYECTOS2[[#This Row],[MUNICIPIO]],MUNICIPIOS!A:A,MUNICIPIOS!E:E,0,0,1)</f>
        <v>Nordeste</v>
      </c>
      <c r="F231" s="44" t="e" cm="1">
        <f t="array" ref="F231">+_xlfn.XLOOKUP(PROYECTOS2[[#This Row],[MUNICIPIO]],Table1[Municipio],MUNICIPIOS!F:F,0,0,1)</f>
        <v>#VALUE!</v>
      </c>
      <c r="G231" s="44" t="e">
        <f>+LOOKUP(PROYECTOS2[[#This Row],[MUNICIPIO]],Table1[Municipio],Table1[Latitud])</f>
        <v>#N/A</v>
      </c>
      <c r="H231" s="44" t="e">
        <f>+LOOKUP(PROYECTOS2[[#This Row],[MUNICIPIO]],Table1[Municipio],Table1[PDET])</f>
        <v>#N/A</v>
      </c>
      <c r="I231" s="44" t="e">
        <f>+LOOKUP(PROYECTOS2[[#This Row],[MUNICIPIO]],Table1[Municipio],Table1[ZOMAC])</f>
        <v>#N/A</v>
      </c>
      <c r="J231" s="3" t="str" cm="1">
        <f t="array" ref="J231">_xlfn.TEXTJOIN(", ", TRUE, IF(radicados[ID PROYECTOS]=A231, radicados[RADICADO], ""))</f>
        <v/>
      </c>
      <c r="K231" s="45">
        <v>1</v>
      </c>
      <c r="L231" s="45"/>
      <c r="M231" s="43"/>
      <c r="N231" s="48">
        <v>240000000</v>
      </c>
      <c r="O231" s="48"/>
      <c r="P231" s="48"/>
      <c r="Q231" s="148" t="s">
        <v>1067</v>
      </c>
      <c r="R231" s="34" t="s">
        <v>407</v>
      </c>
      <c r="S231" s="40" t="s">
        <v>397</v>
      </c>
      <c r="T231" s="40" t="s">
        <v>56</v>
      </c>
      <c r="U231" s="37" t="s">
        <v>541</v>
      </c>
      <c r="V231" s="44">
        <f>+_xlfn.XLOOKUP(PROYECTOS2[[#This Row],[MUNICIPIO]],'4.CAP_ENDMNT'!B:B,'4.CAP_ENDMNT'!C:C,0,0,1)</f>
        <v>6</v>
      </c>
      <c r="W231" s="139">
        <f>+_xlfn.XLOOKUP(PROYECTOS2[[#This Row],[MUNICIPIO]],'4.CAP_ENDMNT'!B:B,'4.CAP_ENDMNT'!D:D,0,0,1)</f>
        <v>15844230778.251999</v>
      </c>
      <c r="X231" s="140">
        <f>+_xlfn.XLOOKUP(PROYECTOS2[[#This Row],[MUNICIPIO]],'4.CAP_ENDMNT'!B:B,'4.CAP_ENDMNT'!E:E,0,0,1)</f>
        <v>8497967637.5100002</v>
      </c>
      <c r="Y231" s="140">
        <f>+_xlfn.XLOOKUP(PROYECTOS2[[#This Row],[MUNICIPIO]],'4.CAP_ENDMNT'!B:B,'4.CAP_ENDMNT'!F:F,0,0,1)</f>
        <v>7346263140.7419987</v>
      </c>
      <c r="Z231" s="140">
        <f>+_xlfn.XLOOKUP(PROYECTOS2[[#This Row],[MUNICIPIO]],'4.CAP_ENDMNT'!B:B,'4.CAP_ENDMNT'!G:G,0,0,1)</f>
        <v>0</v>
      </c>
      <c r="AA231" s="140">
        <f>+_xlfn.XLOOKUP(PROYECTOS2[[#This Row],[MUNICIPIO]],'4.CAP_ENDMNT'!B:B,'4.CAP_ENDMNT'!H:H,0,0,1)</f>
        <v>7918633450</v>
      </c>
      <c r="AB231" s="140">
        <f>+_xlfn.XLOOKUP(PROYECTOS2[[#This Row],[MUNICIPIO]],'4.CAP_ENDMNT'!B:B,'4.CAP_ENDMNT'!I:I,0,0,1)</f>
        <v>7918633450</v>
      </c>
      <c r="AC231" s="134">
        <f>+_xlfn.XLOOKUP(PROYECTOS2[[#This Row],[MUNICIPIO]],'4.CAP_ENDMNT'!B:B,'4.CAP_ENDMNT'!J:J,0,0,1)</f>
        <v>0.49978023930762366</v>
      </c>
      <c r="AD231" s="140">
        <f>+_xlfn.XLOOKUP(PROYECTOS2[[#This Row],[MUNICIPIO]],'4.CAP_ENDMNT'!B:B,'4.CAP_ENDMNT'!K:K,0,0,1)</f>
        <v>7925597328.2519989</v>
      </c>
      <c r="AE231" s="140">
        <f>+_xlfn.XLOOKUP(PROYECTOS2[[#This Row],[MUNICIPIO]],'4.CAP_ENDMNT'!B:B,'4.CAP_ENDMNT'!L:L,0,0,1)</f>
        <v>6340477862.6015997</v>
      </c>
      <c r="AF231" s="140">
        <f>+_xlfn.XLOOKUP(PROYECTOS2[[#This Row],[MUNICIPIO]],'4.CAP_ENDMNT'!B:B,'4.CAP_ENDMNT'!M:M,0,0,1)</f>
        <v>4755358396.9511995</v>
      </c>
      <c r="AG231" s="134">
        <f>+_xlfn.XLOOKUP(PROYECTOS2[[#This Row],[MUNICIPIO]],'4.CAP_ENDMNT'!B:B,'4.CAP_ENDMNT'!N:N,0,0,1)</f>
        <v>0</v>
      </c>
      <c r="AH231" s="134">
        <f>+_xlfn.XLOOKUP(PROYECTOS2[[#This Row],[MUNICIPIO]],'4.CAP_ENDMNT'!B:B,'4.CAP_ENDMNT'!O:O,0,0,1)</f>
        <v>0.78459127310588017</v>
      </c>
      <c r="AI231" s="134">
        <f>+_xlfn.XLOOKUP(PROYECTOS2[[#This Row],[MUNICIPIO]],'4.CAP_ENDMNT'!B:B,'4.CAP_ENDMNT'!P:P,0,0,1)</f>
        <v>0.8</v>
      </c>
      <c r="AJ231" s="44" t="str">
        <f>+_xlfn.XLOOKUP(PROYECTOS2[[#This Row],[MUNICIPIO]],'4.CAP_ENDMNT'!B:B,'4.CAP_ENDMNT'!Q:Q,0,0,1)</f>
        <v>Riesgo</v>
      </c>
    </row>
    <row r="232" spans="1:36">
      <c r="A232" s="44">
        <v>255</v>
      </c>
      <c r="B232" s="37" t="s">
        <v>547</v>
      </c>
      <c r="C232" s="118">
        <v>45747</v>
      </c>
      <c r="D232" s="3" t="s">
        <v>327</v>
      </c>
      <c r="E232" s="47" t="str">
        <f>+_xlfn.XLOOKUP(PROYECTOS2[[#This Row],[MUNICIPIO]],MUNICIPIOS!A:A,MUNICIPIOS!E:E,0,0,1)</f>
        <v>Nordeste</v>
      </c>
      <c r="F232" s="44" t="e" cm="1">
        <f t="array" ref="F232">+_xlfn.XLOOKUP(PROYECTOS2[[#This Row],[MUNICIPIO]],Table1[Municipio],MUNICIPIOS!F:F,0,0,1)</f>
        <v>#VALUE!</v>
      </c>
      <c r="G232" s="44" t="str">
        <f>+LOOKUP(PROYECTOS2[[#This Row],[MUNICIPIO]],Table1[Municipio],Table1[Latitud])</f>
        <v>6,149903</v>
      </c>
      <c r="H232" s="44">
        <f>+LOOKUP(PROYECTOS2[[#This Row],[MUNICIPIO]],Table1[Municipio],Table1[PDET])</f>
        <v>0</v>
      </c>
      <c r="I232" s="44">
        <f>+LOOKUP(PROYECTOS2[[#This Row],[MUNICIPIO]],Table1[Municipio],Table1[ZOMAC])</f>
        <v>0</v>
      </c>
      <c r="J232" s="3" t="str" cm="1">
        <f t="array" ref="J232">_xlfn.TEXTJOIN(", ", TRUE, IF(radicados[ID PROYECTOS]=A232, radicados[RADICADO], ""))</f>
        <v/>
      </c>
      <c r="K232" s="45">
        <v>1</v>
      </c>
      <c r="L232" s="45"/>
      <c r="M232" s="43"/>
      <c r="N232" s="48">
        <v>2250000000</v>
      </c>
      <c r="O232" s="48"/>
      <c r="P232" s="48"/>
      <c r="Q232" s="148" t="s">
        <v>1067</v>
      </c>
      <c r="R232" s="34" t="s">
        <v>407</v>
      </c>
      <c r="S232" s="40" t="s">
        <v>397</v>
      </c>
      <c r="T232" s="40" t="s">
        <v>56</v>
      </c>
      <c r="U232" s="37" t="s">
        <v>541</v>
      </c>
      <c r="V232" s="44">
        <f>+_xlfn.XLOOKUP(PROYECTOS2[[#This Row],[MUNICIPIO]],'4.CAP_ENDMNT'!B:B,'4.CAP_ENDMNT'!C:C,0,0,1)</f>
        <v>6</v>
      </c>
      <c r="W232" s="139">
        <f>+_xlfn.XLOOKUP(PROYECTOS2[[#This Row],[MUNICIPIO]],'4.CAP_ENDMNT'!B:B,'4.CAP_ENDMNT'!D:D,0,0,1)</f>
        <v>13645854382.4415</v>
      </c>
      <c r="X232" s="140">
        <f>+_xlfn.XLOOKUP(PROYECTOS2[[#This Row],[MUNICIPIO]],'4.CAP_ENDMNT'!B:B,'4.CAP_ENDMNT'!E:E,0,0,1)</f>
        <v>5036095672.2200003</v>
      </c>
      <c r="Y232" s="140">
        <f>+_xlfn.XLOOKUP(PROYECTOS2[[#This Row],[MUNICIPIO]],'4.CAP_ENDMNT'!B:B,'4.CAP_ENDMNT'!F:F,0,0,1)</f>
        <v>8609758710.2215004</v>
      </c>
      <c r="Z232" s="140">
        <f>+_xlfn.XLOOKUP(PROYECTOS2[[#This Row],[MUNICIPIO]],'4.CAP_ENDMNT'!B:B,'4.CAP_ENDMNT'!G:G,0,0,1)</f>
        <v>2357809963</v>
      </c>
      <c r="AA232" s="140">
        <f>+_xlfn.XLOOKUP(PROYECTOS2[[#This Row],[MUNICIPIO]],'4.CAP_ENDMNT'!B:B,'4.CAP_ENDMNT'!H:H,0,0,1)</f>
        <v>1093248488</v>
      </c>
      <c r="AB232" s="140">
        <f>+_xlfn.XLOOKUP(PROYECTOS2[[#This Row],[MUNICIPIO]],'4.CAP_ENDMNT'!B:B,'4.CAP_ENDMNT'!I:I,0,0,1)</f>
        <v>3451058451</v>
      </c>
      <c r="AC232" s="134">
        <f>+_xlfn.XLOOKUP(PROYECTOS2[[#This Row],[MUNICIPIO]],'4.CAP_ENDMNT'!B:B,'4.CAP_ENDMNT'!J:J,0,0,1)</f>
        <v>0.25290160324739891</v>
      </c>
      <c r="AD232" s="140">
        <f>+_xlfn.XLOOKUP(PROYECTOS2[[#This Row],[MUNICIPIO]],'4.CAP_ENDMNT'!B:B,'4.CAP_ENDMNT'!K:K,0,0,1)</f>
        <v>10194795931.4415</v>
      </c>
      <c r="AE232" s="140">
        <f>+_xlfn.XLOOKUP(PROYECTOS2[[#This Row],[MUNICIPIO]],'4.CAP_ENDMNT'!B:B,'4.CAP_ENDMNT'!L:L,0,0,1)</f>
        <v>8155836745.1532001</v>
      </c>
      <c r="AF232" s="140">
        <f>+_xlfn.XLOOKUP(PROYECTOS2[[#This Row],[MUNICIPIO]],'4.CAP_ENDMNT'!B:B,'4.CAP_ENDMNT'!M:M,0,0,1)</f>
        <v>6116877558.8648996</v>
      </c>
      <c r="AG232" s="134">
        <f>+_xlfn.XLOOKUP(PROYECTOS2[[#This Row],[MUNICIPIO]],'4.CAP_ENDMNT'!B:B,'4.CAP_ENDMNT'!N:N,0,0,1)</f>
        <v>0.68321356954032075</v>
      </c>
      <c r="AH232" s="134">
        <f>+_xlfn.XLOOKUP(PROYECTOS2[[#This Row],[MUNICIPIO]],'4.CAP_ENDMNT'!B:B,'4.CAP_ENDMNT'!O:O,0,0,1)</f>
        <v>0.58815143933117542</v>
      </c>
      <c r="AI232" s="134">
        <f>+_xlfn.XLOOKUP(PROYECTOS2[[#This Row],[MUNICIPIO]],'4.CAP_ENDMNT'!B:B,'4.CAP_ENDMNT'!P:P,0,0,1)</f>
        <v>0.8</v>
      </c>
      <c r="AJ232" s="44" t="str">
        <f>+_xlfn.XLOOKUP(PROYECTOS2[[#This Row],[MUNICIPIO]],'4.CAP_ENDMNT'!B:B,'4.CAP_ENDMNT'!Q:Q,0,0,1)</f>
        <v>Cumple</v>
      </c>
    </row>
    <row r="233" spans="1:36">
      <c r="A233" s="44">
        <v>256</v>
      </c>
      <c r="B233" s="37" t="s">
        <v>548</v>
      </c>
      <c r="C233" s="118">
        <v>45747</v>
      </c>
      <c r="D233" s="46" t="s">
        <v>477</v>
      </c>
      <c r="E233" s="47" t="str">
        <f>+_xlfn.XLOOKUP(PROYECTOS2[[#This Row],[MUNICIPIO]],MUNICIPIOS!A:A,MUNICIPIOS!E:E,0,0,1)</f>
        <v>Norte</v>
      </c>
      <c r="F233" s="44" t="e" cm="1">
        <f t="array" ref="F233">+_xlfn.XLOOKUP(PROYECTOS2[[#This Row],[MUNICIPIO]],Table1[Municipio],MUNICIPIOS!F:F,0,0,1)</f>
        <v>#VALUE!</v>
      </c>
      <c r="G233" s="44" t="e">
        <f>+LOOKUP(PROYECTOS2[[#This Row],[MUNICIPIO]],Table1[Municipio],Table1[Latitud])</f>
        <v>#N/A</v>
      </c>
      <c r="H233" s="44" t="e">
        <f>+LOOKUP(PROYECTOS2[[#This Row],[MUNICIPIO]],Table1[Municipio],Table1[PDET])</f>
        <v>#N/A</v>
      </c>
      <c r="I233" s="44" t="e">
        <f>+LOOKUP(PROYECTOS2[[#This Row],[MUNICIPIO]],Table1[Municipio],Table1[ZOMAC])</f>
        <v>#N/A</v>
      </c>
      <c r="J233" s="3" t="str" cm="1">
        <f t="array" ref="J233">_xlfn.TEXTJOIN(", ", TRUE, IF(radicados[ID PROYECTOS]=A233, radicados[RADICADO], ""))</f>
        <v/>
      </c>
      <c r="K233" s="45">
        <v>1</v>
      </c>
      <c r="L233" s="45"/>
      <c r="M233" s="43"/>
      <c r="N233" s="48">
        <v>3140000000</v>
      </c>
      <c r="O233" s="48"/>
      <c r="P233" s="48"/>
      <c r="Q233" s="148" t="s">
        <v>1067</v>
      </c>
      <c r="R233" s="34" t="s">
        <v>407</v>
      </c>
      <c r="S233" s="40" t="s">
        <v>397</v>
      </c>
      <c r="T233" s="40" t="s">
        <v>56</v>
      </c>
      <c r="U233" s="37" t="s">
        <v>541</v>
      </c>
      <c r="V233" s="44">
        <f>+_xlfn.XLOOKUP(PROYECTOS2[[#This Row],[MUNICIPIO]],'4.CAP_ENDMNT'!B:B,'4.CAP_ENDMNT'!C:C,0,0,1)</f>
        <v>6</v>
      </c>
      <c r="W233" s="139">
        <f>+_xlfn.XLOOKUP(PROYECTOS2[[#This Row],[MUNICIPIO]],'4.CAP_ENDMNT'!B:B,'4.CAP_ENDMNT'!D:D,0,0,1)</f>
        <v>12764062914.553999</v>
      </c>
      <c r="X233" s="140">
        <f>+_xlfn.XLOOKUP(PROYECTOS2[[#This Row],[MUNICIPIO]],'4.CAP_ENDMNT'!B:B,'4.CAP_ENDMNT'!E:E,0,0,1)</f>
        <v>4266060462.2200003</v>
      </c>
      <c r="Y233" s="140">
        <f>+_xlfn.XLOOKUP(PROYECTOS2[[#This Row],[MUNICIPIO]],'4.CAP_ENDMNT'!B:B,'4.CAP_ENDMNT'!F:F,0,0,1)</f>
        <v>8498002452.3339987</v>
      </c>
      <c r="Z233" s="140">
        <f>+_xlfn.XLOOKUP(PROYECTOS2[[#This Row],[MUNICIPIO]],'4.CAP_ENDMNT'!B:B,'4.CAP_ENDMNT'!G:G,0,0,1)</f>
        <v>4258957687</v>
      </c>
      <c r="AA233" s="140">
        <f>+_xlfn.XLOOKUP(PROYECTOS2[[#This Row],[MUNICIPIO]],'4.CAP_ENDMNT'!B:B,'4.CAP_ENDMNT'!H:H,0,0,1)</f>
        <v>500000000</v>
      </c>
      <c r="AB233" s="140">
        <f>+_xlfn.XLOOKUP(PROYECTOS2[[#This Row],[MUNICIPIO]],'4.CAP_ENDMNT'!B:B,'4.CAP_ENDMNT'!I:I,0,0,1)</f>
        <v>4758957687</v>
      </c>
      <c r="AC233" s="134">
        <f>+_xlfn.XLOOKUP(PROYECTOS2[[#This Row],[MUNICIPIO]],'4.CAP_ENDMNT'!B:B,'4.CAP_ENDMNT'!J:J,0,0,1)</f>
        <v>0.37284035019708983</v>
      </c>
      <c r="AD233" s="140">
        <f>+_xlfn.XLOOKUP(PROYECTOS2[[#This Row],[MUNICIPIO]],'4.CAP_ENDMNT'!B:B,'4.CAP_ENDMNT'!K:K,0,0,1)</f>
        <v>8005105227.5539989</v>
      </c>
      <c r="AE233" s="140">
        <f>+_xlfn.XLOOKUP(PROYECTOS2[[#This Row],[MUNICIPIO]],'4.CAP_ENDMNT'!B:B,'4.CAP_ENDMNT'!L:L,0,0,1)</f>
        <v>6404084182.0431995</v>
      </c>
      <c r="AF233" s="140">
        <f>+_xlfn.XLOOKUP(PROYECTOS2[[#This Row],[MUNICIPIO]],'4.CAP_ENDMNT'!B:B,'4.CAP_ENDMNT'!M:M,0,0,1)</f>
        <v>4803063136.5323992</v>
      </c>
      <c r="AG233" s="134">
        <f>+_xlfn.XLOOKUP(PROYECTOS2[[#This Row],[MUNICIPIO]],'4.CAP_ENDMNT'!B:B,'4.CAP_ENDMNT'!N:N,0,0,1)</f>
        <v>0.89493497675639244</v>
      </c>
      <c r="AH233" s="134">
        <f>+_xlfn.XLOOKUP(PROYECTOS2[[#This Row],[MUNICIPIO]],'4.CAP_ENDMNT'!B:B,'4.CAP_ENDMNT'!O:O,0,0,1)</f>
        <v>0.64132957807138946</v>
      </c>
      <c r="AI233" s="134">
        <f>+_xlfn.XLOOKUP(PROYECTOS2[[#This Row],[MUNICIPIO]],'4.CAP_ENDMNT'!B:B,'4.CAP_ENDMNT'!P:P,0,0,1)</f>
        <v>0.8</v>
      </c>
      <c r="AJ233" s="44" t="str">
        <f>+_xlfn.XLOOKUP(PROYECTOS2[[#This Row],[MUNICIPIO]],'4.CAP_ENDMNT'!B:B,'4.CAP_ENDMNT'!Q:Q,0,0,1)</f>
        <v>Cumple</v>
      </c>
    </row>
    <row r="234" spans="1:36">
      <c r="A234" s="44">
        <v>257</v>
      </c>
      <c r="B234" s="37" t="s">
        <v>549</v>
      </c>
      <c r="C234" s="118">
        <v>45747</v>
      </c>
      <c r="D234" s="46" t="s">
        <v>57</v>
      </c>
      <c r="E234" s="47" t="str">
        <f>+_xlfn.XLOOKUP(PROYECTOS2[[#This Row],[MUNICIPIO]],MUNICIPIOS!A:A,MUNICIPIOS!E:E,0,0,1)</f>
        <v>Norte</v>
      </c>
      <c r="F234" s="44" t="e" cm="1">
        <f t="array" ref="F234">+_xlfn.XLOOKUP(PROYECTOS2[[#This Row],[MUNICIPIO]],Table1[Municipio],MUNICIPIOS!F:F,0,0,1)</f>
        <v>#VALUE!</v>
      </c>
      <c r="G234" s="44" t="str">
        <f>+LOOKUP(PROYECTOS2[[#This Row],[MUNICIPIO]],Table1[Municipio],Table1[Latitud])</f>
        <v>6,149903</v>
      </c>
      <c r="H234" s="44">
        <f>+LOOKUP(PROYECTOS2[[#This Row],[MUNICIPIO]],Table1[Municipio],Table1[PDET])</f>
        <v>0</v>
      </c>
      <c r="I234" s="44">
        <f>+LOOKUP(PROYECTOS2[[#This Row],[MUNICIPIO]],Table1[Municipio],Table1[ZOMAC])</f>
        <v>0</v>
      </c>
      <c r="J234" s="3" t="str" cm="1">
        <f t="array" ref="J234">_xlfn.TEXTJOIN(", ", TRUE, IF(radicados[ID PROYECTOS]=A234, radicados[RADICADO], ""))</f>
        <v/>
      </c>
      <c r="K234" s="45">
        <v>1</v>
      </c>
      <c r="L234" s="45"/>
      <c r="M234" s="43"/>
      <c r="N234" s="48">
        <v>670000000</v>
      </c>
      <c r="O234" s="48"/>
      <c r="P234" s="48"/>
      <c r="Q234" s="148" t="s">
        <v>1067</v>
      </c>
      <c r="R234" s="34" t="s">
        <v>407</v>
      </c>
      <c r="S234" s="40" t="s">
        <v>397</v>
      </c>
      <c r="T234" s="40" t="s">
        <v>56</v>
      </c>
      <c r="U234" s="37" t="s">
        <v>541</v>
      </c>
      <c r="V234" s="44">
        <f>+_xlfn.XLOOKUP(PROYECTOS2[[#This Row],[MUNICIPIO]],'4.CAP_ENDMNT'!B:B,'4.CAP_ENDMNT'!C:C,0,0,1)</f>
        <v>6</v>
      </c>
      <c r="W234" s="139">
        <f>+_xlfn.XLOOKUP(PROYECTOS2[[#This Row],[MUNICIPIO]],'4.CAP_ENDMNT'!B:B,'4.CAP_ENDMNT'!D:D,0,0,1)</f>
        <v>5437802568.3275003</v>
      </c>
      <c r="X234" s="140">
        <f>+_xlfn.XLOOKUP(PROYECTOS2[[#This Row],[MUNICIPIO]],'4.CAP_ENDMNT'!B:B,'4.CAP_ENDMNT'!E:E,0,0,1)</f>
        <v>2195257843.8499999</v>
      </c>
      <c r="Y234" s="140">
        <f>+_xlfn.XLOOKUP(PROYECTOS2[[#This Row],[MUNICIPIO]],'4.CAP_ENDMNT'!B:B,'4.CAP_ENDMNT'!F:F,0,0,1)</f>
        <v>3242544724.4775004</v>
      </c>
      <c r="Z234" s="140">
        <f>+_xlfn.XLOOKUP(PROYECTOS2[[#This Row],[MUNICIPIO]],'4.CAP_ENDMNT'!B:B,'4.CAP_ENDMNT'!G:G,0,0,1)</f>
        <v>1389038990</v>
      </c>
      <c r="AA234" s="140">
        <f>+_xlfn.XLOOKUP(PROYECTOS2[[#This Row],[MUNICIPIO]],'4.CAP_ENDMNT'!B:B,'4.CAP_ENDMNT'!H:H,0,0,1)</f>
        <v>0</v>
      </c>
      <c r="AB234" s="140">
        <f>+_xlfn.XLOOKUP(PROYECTOS2[[#This Row],[MUNICIPIO]],'4.CAP_ENDMNT'!B:B,'4.CAP_ENDMNT'!I:I,0,0,1)</f>
        <v>1389038990</v>
      </c>
      <c r="AC234" s="134">
        <f>+_xlfn.XLOOKUP(PROYECTOS2[[#This Row],[MUNICIPIO]],'4.CAP_ENDMNT'!B:B,'4.CAP_ENDMNT'!J:J,0,0,1)</f>
        <v>0.25544123247329026</v>
      </c>
      <c r="AD234" s="140">
        <f>+_xlfn.XLOOKUP(PROYECTOS2[[#This Row],[MUNICIPIO]],'4.CAP_ENDMNT'!B:B,'4.CAP_ENDMNT'!K:K,0,0,1)</f>
        <v>4048763578.3275003</v>
      </c>
      <c r="AE234" s="140">
        <f>+_xlfn.XLOOKUP(PROYECTOS2[[#This Row],[MUNICIPIO]],'4.CAP_ENDMNT'!B:B,'4.CAP_ENDMNT'!L:L,0,0,1)</f>
        <v>3239010862.6620007</v>
      </c>
      <c r="AF234" s="140">
        <f>+_xlfn.XLOOKUP(PROYECTOS2[[#This Row],[MUNICIPIO]],'4.CAP_ENDMNT'!B:B,'4.CAP_ENDMNT'!M:M,0,0,1)</f>
        <v>2429258146.9965</v>
      </c>
      <c r="AG234" s="134">
        <f>+_xlfn.XLOOKUP(PROYECTOS2[[#This Row],[MUNICIPIO]],'4.CAP_ENDMNT'!B:B,'4.CAP_ENDMNT'!N:N,0,0,1)</f>
        <v>1</v>
      </c>
      <c r="AH234" s="134">
        <f>+_xlfn.XLOOKUP(PROYECTOS2[[#This Row],[MUNICIPIO]],'4.CAP_ENDMNT'!B:B,'4.CAP_ENDMNT'!O:O,0,0,1)</f>
        <v>0.74230580339650343</v>
      </c>
      <c r="AI234" s="134">
        <f>+_xlfn.XLOOKUP(PROYECTOS2[[#This Row],[MUNICIPIO]],'4.CAP_ENDMNT'!B:B,'4.CAP_ENDMNT'!P:P,0,0,1)</f>
        <v>0.8</v>
      </c>
      <c r="AJ234" s="44" t="str">
        <f>+_xlfn.XLOOKUP(PROYECTOS2[[#This Row],[MUNICIPIO]],'4.CAP_ENDMNT'!B:B,'4.CAP_ENDMNT'!Q:Q,0,0,1)</f>
        <v>Cumple</v>
      </c>
    </row>
    <row r="235" spans="1:36">
      <c r="A235" s="44">
        <v>258</v>
      </c>
      <c r="B235" s="37" t="s">
        <v>550</v>
      </c>
      <c r="C235" s="118">
        <v>45747</v>
      </c>
      <c r="D235" s="46" t="s">
        <v>57</v>
      </c>
      <c r="E235" s="47" t="str">
        <f>+_xlfn.XLOOKUP(PROYECTOS2[[#This Row],[MUNICIPIO]],MUNICIPIOS!A:A,MUNICIPIOS!E:E,0,0,1)</f>
        <v>Norte</v>
      </c>
      <c r="F235" s="44" t="e" cm="1">
        <f t="array" ref="F235">+_xlfn.XLOOKUP(PROYECTOS2[[#This Row],[MUNICIPIO]],Table1[Municipio],MUNICIPIOS!F:F,0,0,1)</f>
        <v>#VALUE!</v>
      </c>
      <c r="G235" s="44" t="str">
        <f>+LOOKUP(PROYECTOS2[[#This Row],[MUNICIPIO]],Table1[Municipio],Table1[Latitud])</f>
        <v>6,149903</v>
      </c>
      <c r="H235" s="44">
        <f>+LOOKUP(PROYECTOS2[[#This Row],[MUNICIPIO]],Table1[Municipio],Table1[PDET])</f>
        <v>0</v>
      </c>
      <c r="I235" s="44">
        <f>+LOOKUP(PROYECTOS2[[#This Row],[MUNICIPIO]],Table1[Municipio],Table1[ZOMAC])</f>
        <v>0</v>
      </c>
      <c r="J235" s="3" t="str" cm="1">
        <f t="array" ref="J235">_xlfn.TEXTJOIN(", ", TRUE, IF(radicados[ID PROYECTOS]=A235, radicados[RADICADO], ""))</f>
        <v/>
      </c>
      <c r="K235" s="45">
        <v>1</v>
      </c>
      <c r="L235" s="45"/>
      <c r="M235" s="43"/>
      <c r="N235" s="48">
        <v>3374000000</v>
      </c>
      <c r="O235" s="48"/>
      <c r="P235" s="48"/>
      <c r="Q235" s="148" t="s">
        <v>1067</v>
      </c>
      <c r="R235" s="34" t="s">
        <v>407</v>
      </c>
      <c r="S235" s="40" t="s">
        <v>397</v>
      </c>
      <c r="T235" s="40" t="s">
        <v>56</v>
      </c>
      <c r="U235" s="71" t="s">
        <v>551</v>
      </c>
      <c r="V235" s="44">
        <f>+_xlfn.XLOOKUP(PROYECTOS2[[#This Row],[MUNICIPIO]],'4.CAP_ENDMNT'!B:B,'4.CAP_ENDMNT'!C:C,0,0,1)</f>
        <v>6</v>
      </c>
      <c r="W235" s="139">
        <f>+_xlfn.XLOOKUP(PROYECTOS2[[#This Row],[MUNICIPIO]],'4.CAP_ENDMNT'!B:B,'4.CAP_ENDMNT'!D:D,0,0,1)</f>
        <v>5437802568.3275003</v>
      </c>
      <c r="X235" s="140">
        <f>+_xlfn.XLOOKUP(PROYECTOS2[[#This Row],[MUNICIPIO]],'4.CAP_ENDMNT'!B:B,'4.CAP_ENDMNT'!E:E,0,0,1)</f>
        <v>2195257843.8499999</v>
      </c>
      <c r="Y235" s="140">
        <f>+_xlfn.XLOOKUP(PROYECTOS2[[#This Row],[MUNICIPIO]],'4.CAP_ENDMNT'!B:B,'4.CAP_ENDMNT'!F:F,0,0,1)</f>
        <v>3242544724.4775004</v>
      </c>
      <c r="Z235" s="140">
        <f>+_xlfn.XLOOKUP(PROYECTOS2[[#This Row],[MUNICIPIO]],'4.CAP_ENDMNT'!B:B,'4.CAP_ENDMNT'!G:G,0,0,1)</f>
        <v>1389038990</v>
      </c>
      <c r="AA235" s="140">
        <f>+_xlfn.XLOOKUP(PROYECTOS2[[#This Row],[MUNICIPIO]],'4.CAP_ENDMNT'!B:B,'4.CAP_ENDMNT'!H:H,0,0,1)</f>
        <v>0</v>
      </c>
      <c r="AB235" s="140">
        <f>+_xlfn.XLOOKUP(PROYECTOS2[[#This Row],[MUNICIPIO]],'4.CAP_ENDMNT'!B:B,'4.CAP_ENDMNT'!I:I,0,0,1)</f>
        <v>1389038990</v>
      </c>
      <c r="AC235" s="134">
        <f>+_xlfn.XLOOKUP(PROYECTOS2[[#This Row],[MUNICIPIO]],'4.CAP_ENDMNT'!B:B,'4.CAP_ENDMNT'!J:J,0,0,1)</f>
        <v>0.25544123247329026</v>
      </c>
      <c r="AD235" s="140">
        <f>+_xlfn.XLOOKUP(PROYECTOS2[[#This Row],[MUNICIPIO]],'4.CAP_ENDMNT'!B:B,'4.CAP_ENDMNT'!K:K,0,0,1)</f>
        <v>4048763578.3275003</v>
      </c>
      <c r="AE235" s="140">
        <f>+_xlfn.XLOOKUP(PROYECTOS2[[#This Row],[MUNICIPIO]],'4.CAP_ENDMNT'!B:B,'4.CAP_ENDMNT'!L:L,0,0,1)</f>
        <v>3239010862.6620007</v>
      </c>
      <c r="AF235" s="140">
        <f>+_xlfn.XLOOKUP(PROYECTOS2[[#This Row],[MUNICIPIO]],'4.CAP_ENDMNT'!B:B,'4.CAP_ENDMNT'!M:M,0,0,1)</f>
        <v>2429258146.9965</v>
      </c>
      <c r="AG235" s="134">
        <f>+_xlfn.XLOOKUP(PROYECTOS2[[#This Row],[MUNICIPIO]],'4.CAP_ENDMNT'!B:B,'4.CAP_ENDMNT'!N:N,0,0,1)</f>
        <v>1</v>
      </c>
      <c r="AH235" s="134">
        <f>+_xlfn.XLOOKUP(PROYECTOS2[[#This Row],[MUNICIPIO]],'4.CAP_ENDMNT'!B:B,'4.CAP_ENDMNT'!O:O,0,0,1)</f>
        <v>0.74230580339650343</v>
      </c>
      <c r="AI235" s="134">
        <f>+_xlfn.XLOOKUP(PROYECTOS2[[#This Row],[MUNICIPIO]],'4.CAP_ENDMNT'!B:B,'4.CAP_ENDMNT'!P:P,0,0,1)</f>
        <v>0.8</v>
      </c>
      <c r="AJ235" s="44" t="str">
        <f>+_xlfn.XLOOKUP(PROYECTOS2[[#This Row],[MUNICIPIO]],'4.CAP_ENDMNT'!B:B,'4.CAP_ENDMNT'!Q:Q,0,0,1)</f>
        <v>Cumple</v>
      </c>
    </row>
    <row r="236" spans="1:36">
      <c r="A236" s="44">
        <v>259</v>
      </c>
      <c r="B236" s="37" t="s">
        <v>552</v>
      </c>
      <c r="C236" s="118">
        <v>45747</v>
      </c>
      <c r="D236" s="46" t="s">
        <v>120</v>
      </c>
      <c r="E236" s="47" t="str">
        <f>+_xlfn.XLOOKUP(PROYECTOS2[[#This Row],[MUNICIPIO]],MUNICIPIOS!A:A,MUNICIPIOS!E:E,0,0,1)</f>
        <v>Norte</v>
      </c>
      <c r="F236" s="44" t="e" cm="1">
        <f t="array" ref="F236">+_xlfn.XLOOKUP(PROYECTOS2[[#This Row],[MUNICIPIO]],Table1[Municipio],MUNICIPIOS!F:F,0,0,1)</f>
        <v>#VALUE!</v>
      </c>
      <c r="G236" s="44" t="str">
        <f>+LOOKUP(PROYECTOS2[[#This Row],[MUNICIPIO]],Table1[Municipio],Table1[Latitud])</f>
        <v>6,149903</v>
      </c>
      <c r="H236" s="44">
        <f>+LOOKUP(PROYECTOS2[[#This Row],[MUNICIPIO]],Table1[Municipio],Table1[PDET])</f>
        <v>0</v>
      </c>
      <c r="I236" s="44">
        <f>+LOOKUP(PROYECTOS2[[#This Row],[MUNICIPIO]],Table1[Municipio],Table1[ZOMAC])</f>
        <v>0</v>
      </c>
      <c r="J236" s="3" t="str" cm="1">
        <f t="array" ref="J236">_xlfn.TEXTJOIN(", ", TRUE, IF(radicados[ID PROYECTOS]=A236, radicados[RADICADO], ""))</f>
        <v/>
      </c>
      <c r="K236" s="45">
        <v>1</v>
      </c>
      <c r="L236" s="45"/>
      <c r="M236" s="43"/>
      <c r="N236" s="48">
        <v>340000000</v>
      </c>
      <c r="O236" s="48"/>
      <c r="P236" s="48"/>
      <c r="Q236" s="148" t="s">
        <v>1067</v>
      </c>
      <c r="R236" s="34" t="s">
        <v>407</v>
      </c>
      <c r="S236" s="40" t="s">
        <v>397</v>
      </c>
      <c r="T236" s="40" t="s">
        <v>56</v>
      </c>
      <c r="U236" s="37" t="s">
        <v>541</v>
      </c>
      <c r="V236" s="44">
        <f>+_xlfn.XLOOKUP(PROYECTOS2[[#This Row],[MUNICIPIO]],'4.CAP_ENDMNT'!B:B,'4.CAP_ENDMNT'!C:C,0,0,1)</f>
        <v>5</v>
      </c>
      <c r="W236" s="139">
        <f>+_xlfn.XLOOKUP(PROYECTOS2[[#This Row],[MUNICIPIO]],'4.CAP_ENDMNT'!B:B,'4.CAP_ENDMNT'!D:D,0,0,1)</f>
        <v>36204719778.619003</v>
      </c>
      <c r="X236" s="140">
        <f>+_xlfn.XLOOKUP(PROYECTOS2[[#This Row],[MUNICIPIO]],'4.CAP_ENDMNT'!B:B,'4.CAP_ENDMNT'!E:E,0,0,1)</f>
        <v>11082623753.610001</v>
      </c>
      <c r="Y236" s="140">
        <f>+_xlfn.XLOOKUP(PROYECTOS2[[#This Row],[MUNICIPIO]],'4.CAP_ENDMNT'!B:B,'4.CAP_ENDMNT'!F:F,0,0,1)</f>
        <v>25122096025.009003</v>
      </c>
      <c r="Z236" s="140">
        <f>+_xlfn.XLOOKUP(PROYECTOS2[[#This Row],[MUNICIPIO]],'4.CAP_ENDMNT'!B:B,'4.CAP_ENDMNT'!G:G,0,0,1)</f>
        <v>1291156679</v>
      </c>
      <c r="AA236" s="140">
        <f>+_xlfn.XLOOKUP(PROYECTOS2[[#This Row],[MUNICIPIO]],'4.CAP_ENDMNT'!B:B,'4.CAP_ENDMNT'!H:H,0,0,1)</f>
        <v>12320355879.07</v>
      </c>
      <c r="AB236" s="140">
        <f>+_xlfn.XLOOKUP(PROYECTOS2[[#This Row],[MUNICIPIO]],'4.CAP_ENDMNT'!B:B,'4.CAP_ENDMNT'!I:I,0,0,1)</f>
        <v>13611512558.07</v>
      </c>
      <c r="AC236" s="134">
        <f>+_xlfn.XLOOKUP(PROYECTOS2[[#This Row],[MUNICIPIO]],'4.CAP_ENDMNT'!B:B,'4.CAP_ENDMNT'!J:J,0,0,1)</f>
        <v>0.37595961635113639</v>
      </c>
      <c r="AD236" s="140">
        <f>+_xlfn.XLOOKUP(PROYECTOS2[[#This Row],[MUNICIPIO]],'4.CAP_ENDMNT'!B:B,'4.CAP_ENDMNT'!K:K,0,0,1)</f>
        <v>22593207220.549004</v>
      </c>
      <c r="AE236" s="140">
        <f>+_xlfn.XLOOKUP(PROYECTOS2[[#This Row],[MUNICIPIO]],'4.CAP_ENDMNT'!B:B,'4.CAP_ENDMNT'!L:L,0,0,1)</f>
        <v>18074565776.439205</v>
      </c>
      <c r="AF236" s="140">
        <f>+_xlfn.XLOOKUP(PROYECTOS2[[#This Row],[MUNICIPIO]],'4.CAP_ENDMNT'!B:B,'4.CAP_ENDMNT'!M:M,0,0,1)</f>
        <v>13555924332.329401</v>
      </c>
      <c r="AG236" s="134">
        <f>+_xlfn.XLOOKUP(PROYECTOS2[[#This Row],[MUNICIPIO]],'4.CAP_ENDMNT'!B:B,'4.CAP_ENDMNT'!N:N,0,0,1)</f>
        <v>9.4857692963336279E-2</v>
      </c>
      <c r="AH236" s="134">
        <f>+_xlfn.XLOOKUP(PROYECTOS2[[#This Row],[MUNICIPIO]],'4.CAP_ENDMNT'!B:B,'4.CAP_ENDMNT'!O:O,0,0,1)</f>
        <v>0.39053077044629697</v>
      </c>
      <c r="AI236" s="134">
        <f>+_xlfn.XLOOKUP(PROYECTOS2[[#This Row],[MUNICIPIO]],'4.CAP_ENDMNT'!B:B,'4.CAP_ENDMNT'!P:P,0,0,1)</f>
        <v>0.8</v>
      </c>
      <c r="AJ236" s="44" t="str">
        <f>+_xlfn.XLOOKUP(PROYECTOS2[[#This Row],[MUNICIPIO]],'4.CAP_ENDMNT'!B:B,'4.CAP_ENDMNT'!Q:Q,0,0,1)</f>
        <v>Cumple</v>
      </c>
    </row>
    <row r="237" spans="1:36">
      <c r="A237" s="44">
        <v>260</v>
      </c>
      <c r="B237" s="37" t="s">
        <v>553</v>
      </c>
      <c r="C237" s="118">
        <v>45747</v>
      </c>
      <c r="D237" s="46" t="s">
        <v>136</v>
      </c>
      <c r="E237" s="47" t="str">
        <f>+_xlfn.XLOOKUP(PROYECTOS2[[#This Row],[MUNICIPIO]],MUNICIPIOS!A:A,MUNICIPIOS!E:E,0,0,1)</f>
        <v>Norte</v>
      </c>
      <c r="F237" s="44" t="e" cm="1">
        <f t="array" ref="F237">+_xlfn.XLOOKUP(PROYECTOS2[[#This Row],[MUNICIPIO]],Table1[Municipio],MUNICIPIOS!F:F,0,0,1)</f>
        <v>#VALUE!</v>
      </c>
      <c r="G237" s="44" t="str">
        <f>+LOOKUP(PROYECTOS2[[#This Row],[MUNICIPIO]],Table1[Municipio],Table1[Latitud])</f>
        <v>7,074703</v>
      </c>
      <c r="H237" s="44">
        <f>+LOOKUP(PROYECTOS2[[#This Row],[MUNICIPIO]],Table1[Municipio],Table1[PDET])</f>
        <v>1</v>
      </c>
      <c r="I237" s="44">
        <f>+LOOKUP(PROYECTOS2[[#This Row],[MUNICIPIO]],Table1[Municipio],Table1[ZOMAC])</f>
        <v>1</v>
      </c>
      <c r="J237" s="3" t="str" cm="1">
        <f t="array" ref="J237">_xlfn.TEXTJOIN(", ", TRUE, IF(radicados[ID PROYECTOS]=A237, radicados[RADICADO], ""))</f>
        <v/>
      </c>
      <c r="K237" s="45">
        <v>1</v>
      </c>
      <c r="L237" s="45"/>
      <c r="M237" s="43"/>
      <c r="N237" s="48">
        <v>2780000000</v>
      </c>
      <c r="O237" s="48"/>
      <c r="P237" s="48"/>
      <c r="Q237" s="148" t="s">
        <v>1067</v>
      </c>
      <c r="R237" s="34" t="s">
        <v>407</v>
      </c>
      <c r="S237" s="40" t="s">
        <v>397</v>
      </c>
      <c r="T237" s="40" t="s">
        <v>56</v>
      </c>
      <c r="U237" s="37" t="s">
        <v>541</v>
      </c>
      <c r="V237" s="44">
        <f>+_xlfn.XLOOKUP(PROYECTOS2[[#This Row],[MUNICIPIO]],'4.CAP_ENDMNT'!B:B,'4.CAP_ENDMNT'!C:C,0,0,1)</f>
        <v>6</v>
      </c>
      <c r="W237" s="139">
        <f>+_xlfn.XLOOKUP(PROYECTOS2[[#This Row],[MUNICIPIO]],'4.CAP_ENDMNT'!B:B,'4.CAP_ENDMNT'!D:D,0,0,1)</f>
        <v>15936675551.976999</v>
      </c>
      <c r="X237" s="140">
        <f>+_xlfn.XLOOKUP(PROYECTOS2[[#This Row],[MUNICIPIO]],'4.CAP_ENDMNT'!B:B,'4.CAP_ENDMNT'!E:E,0,0,1)</f>
        <v>6355203503.6700001</v>
      </c>
      <c r="Y237" s="140">
        <f>+_xlfn.XLOOKUP(PROYECTOS2[[#This Row],[MUNICIPIO]],'4.CAP_ENDMNT'!B:B,'4.CAP_ENDMNT'!F:F,0,0,1)</f>
        <v>9581472048.3069992</v>
      </c>
      <c r="Z237" s="140">
        <f>+_xlfn.XLOOKUP(PROYECTOS2[[#This Row],[MUNICIPIO]],'4.CAP_ENDMNT'!B:B,'4.CAP_ENDMNT'!G:G,0,0,1)</f>
        <v>166905356.59</v>
      </c>
      <c r="AA237" s="140">
        <f>+_xlfn.XLOOKUP(PROYECTOS2[[#This Row],[MUNICIPIO]],'4.CAP_ENDMNT'!B:B,'4.CAP_ENDMNT'!H:H,0,0,1)</f>
        <v>5064590198</v>
      </c>
      <c r="AB237" s="140">
        <f>+_xlfn.XLOOKUP(PROYECTOS2[[#This Row],[MUNICIPIO]],'4.CAP_ENDMNT'!B:B,'4.CAP_ENDMNT'!I:I,0,0,1)</f>
        <v>5231495554.5900002</v>
      </c>
      <c r="AC237" s="134">
        <f>+_xlfn.XLOOKUP(PROYECTOS2[[#This Row],[MUNICIPIO]],'4.CAP_ENDMNT'!B:B,'4.CAP_ENDMNT'!J:J,0,0,1)</f>
        <v>0.32826768277534613</v>
      </c>
      <c r="AD237" s="140">
        <f>+_xlfn.XLOOKUP(PROYECTOS2[[#This Row],[MUNICIPIO]],'4.CAP_ENDMNT'!B:B,'4.CAP_ENDMNT'!K:K,0,0,1)</f>
        <v>10705179997.386999</v>
      </c>
      <c r="AE237" s="140">
        <f>+_xlfn.XLOOKUP(PROYECTOS2[[#This Row],[MUNICIPIO]],'4.CAP_ENDMNT'!B:B,'4.CAP_ENDMNT'!L:L,0,0,1)</f>
        <v>8564143997.9095993</v>
      </c>
      <c r="AF237" s="140">
        <f>+_xlfn.XLOOKUP(PROYECTOS2[[#This Row],[MUNICIPIO]],'4.CAP_ENDMNT'!B:B,'4.CAP_ENDMNT'!M:M,0,0,1)</f>
        <v>6423107998.4321995</v>
      </c>
      <c r="AG237" s="134">
        <f>+_xlfn.XLOOKUP(PROYECTOS2[[#This Row],[MUNICIPIO]],'4.CAP_ENDMNT'!B:B,'4.CAP_ENDMNT'!N:N,0,0,1)</f>
        <v>3.1903946939907245E-2</v>
      </c>
      <c r="AH237" s="134">
        <f>+_xlfn.XLOOKUP(PROYECTOS2[[#This Row],[MUNICIPIO]],'4.CAP_ENDMNT'!B:B,'4.CAP_ENDMNT'!O:O,0,0,1)</f>
        <v>0.65192157878949775</v>
      </c>
      <c r="AI237" s="134">
        <f>+_xlfn.XLOOKUP(PROYECTOS2[[#This Row],[MUNICIPIO]],'4.CAP_ENDMNT'!B:B,'4.CAP_ENDMNT'!P:P,0,0,1)</f>
        <v>0.8</v>
      </c>
      <c r="AJ237" s="44" t="str">
        <f>+_xlfn.XLOOKUP(PROYECTOS2[[#This Row],[MUNICIPIO]],'4.CAP_ENDMNT'!B:B,'4.CAP_ENDMNT'!Q:Q,0,0,1)</f>
        <v>Cumple</v>
      </c>
    </row>
    <row r="238" spans="1:36">
      <c r="A238" s="44">
        <v>261</v>
      </c>
      <c r="B238" s="37" t="s">
        <v>554</v>
      </c>
      <c r="C238" s="118">
        <v>45747</v>
      </c>
      <c r="D238" s="46" t="s">
        <v>209</v>
      </c>
      <c r="E238" s="47" t="str">
        <f>+_xlfn.XLOOKUP(PROYECTOS2[[#This Row],[MUNICIPIO]],MUNICIPIOS!A:A,MUNICIPIOS!E:E,0,0,1)</f>
        <v>Norte</v>
      </c>
      <c r="F238" s="44" t="e" cm="1">
        <f t="array" ref="F238">+_xlfn.XLOOKUP(PROYECTOS2[[#This Row],[MUNICIPIO]],Table1[Municipio],MUNICIPIOS!F:F,0,0,1)</f>
        <v>#VALUE!</v>
      </c>
      <c r="G238" s="44" t="str">
        <f>+LOOKUP(PROYECTOS2[[#This Row],[MUNICIPIO]],Table1[Municipio],Table1[Latitud])</f>
        <v>6,149903</v>
      </c>
      <c r="H238" s="44">
        <f>+LOOKUP(PROYECTOS2[[#This Row],[MUNICIPIO]],Table1[Municipio],Table1[PDET])</f>
        <v>0</v>
      </c>
      <c r="I238" s="44">
        <f>+LOOKUP(PROYECTOS2[[#This Row],[MUNICIPIO]],Table1[Municipio],Table1[ZOMAC])</f>
        <v>0</v>
      </c>
      <c r="J238" s="3" t="str" cm="1">
        <f t="array" ref="J238">_xlfn.TEXTJOIN(", ", TRUE, IF(radicados[ID PROYECTOS]=A238, radicados[RADICADO], ""))</f>
        <v/>
      </c>
      <c r="K238" s="45">
        <v>1</v>
      </c>
      <c r="L238" s="45"/>
      <c r="M238" s="43"/>
      <c r="N238" s="48">
        <v>3379406574</v>
      </c>
      <c r="O238" s="48"/>
      <c r="P238" s="48"/>
      <c r="Q238" s="148" t="s">
        <v>1067</v>
      </c>
      <c r="R238" s="34" t="s">
        <v>407</v>
      </c>
      <c r="S238" s="40" t="s">
        <v>397</v>
      </c>
      <c r="T238" s="40" t="s">
        <v>56</v>
      </c>
      <c r="U238" s="37" t="s">
        <v>541</v>
      </c>
      <c r="V238" s="44">
        <f>+_xlfn.XLOOKUP(PROYECTOS2[[#This Row],[MUNICIPIO]],'4.CAP_ENDMNT'!B:B,'4.CAP_ENDMNT'!C:C,0,0,1)</f>
        <v>6</v>
      </c>
      <c r="W238" s="139">
        <f>+_xlfn.XLOOKUP(PROYECTOS2[[#This Row],[MUNICIPIO]],'4.CAP_ENDMNT'!B:B,'4.CAP_ENDMNT'!D:D,0,0,1)</f>
        <v>13037566833.207003</v>
      </c>
      <c r="X238" s="140">
        <f>+_xlfn.XLOOKUP(PROYECTOS2[[#This Row],[MUNICIPIO]],'4.CAP_ENDMNT'!B:B,'4.CAP_ENDMNT'!E:E,0,0,1)</f>
        <v>3869989518.3099999</v>
      </c>
      <c r="Y238" s="140">
        <f>+_xlfn.XLOOKUP(PROYECTOS2[[#This Row],[MUNICIPIO]],'4.CAP_ENDMNT'!B:B,'4.CAP_ENDMNT'!F:F,0,0,1)</f>
        <v>9167577314.8970032</v>
      </c>
      <c r="Z238" s="140">
        <f>+_xlfn.XLOOKUP(PROYECTOS2[[#This Row],[MUNICIPIO]],'4.CAP_ENDMNT'!B:B,'4.CAP_ENDMNT'!G:G,0,0,1)</f>
        <v>3761583922</v>
      </c>
      <c r="AA238" s="140">
        <f>+_xlfn.XLOOKUP(PROYECTOS2[[#This Row],[MUNICIPIO]],'4.CAP_ENDMNT'!B:B,'4.CAP_ENDMNT'!H:H,0,0,1)</f>
        <v>0</v>
      </c>
      <c r="AB238" s="140">
        <f>+_xlfn.XLOOKUP(PROYECTOS2[[#This Row],[MUNICIPIO]],'4.CAP_ENDMNT'!B:B,'4.CAP_ENDMNT'!I:I,0,0,1)</f>
        <v>3761583922</v>
      </c>
      <c r="AC238" s="134">
        <f>+_xlfn.XLOOKUP(PROYECTOS2[[#This Row],[MUNICIPIO]],'4.CAP_ENDMNT'!B:B,'4.CAP_ENDMNT'!J:J,0,0,1)</f>
        <v>0.28851886016178674</v>
      </c>
      <c r="AD238" s="140">
        <f>+_xlfn.XLOOKUP(PROYECTOS2[[#This Row],[MUNICIPIO]],'4.CAP_ENDMNT'!B:B,'4.CAP_ENDMNT'!K:K,0,0,1)</f>
        <v>9275982911.2070026</v>
      </c>
      <c r="AE238" s="140">
        <f>+_xlfn.XLOOKUP(PROYECTOS2[[#This Row],[MUNICIPIO]],'4.CAP_ENDMNT'!B:B,'4.CAP_ENDMNT'!L:L,0,0,1)</f>
        <v>7420786328.9656029</v>
      </c>
      <c r="AF238" s="140">
        <f>+_xlfn.XLOOKUP(PROYECTOS2[[#This Row],[MUNICIPIO]],'4.CAP_ENDMNT'!B:B,'4.CAP_ENDMNT'!M:M,0,0,1)</f>
        <v>5565589746.7242012</v>
      </c>
      <c r="AG238" s="134">
        <f>+_xlfn.XLOOKUP(PROYECTOS2[[#This Row],[MUNICIPIO]],'4.CAP_ENDMNT'!B:B,'4.CAP_ENDMNT'!N:N,0,0,1)</f>
        <v>1</v>
      </c>
      <c r="AH238" s="134">
        <f>+_xlfn.XLOOKUP(PROYECTOS2[[#This Row],[MUNICIPIO]],'4.CAP_ENDMNT'!B:B,'4.CAP_ENDMNT'!O:O,0,0,1)</f>
        <v>0.55776534569064784</v>
      </c>
      <c r="AI238" s="134">
        <f>+_xlfn.XLOOKUP(PROYECTOS2[[#This Row],[MUNICIPIO]],'4.CAP_ENDMNT'!B:B,'4.CAP_ENDMNT'!P:P,0,0,1)</f>
        <v>0.8</v>
      </c>
      <c r="AJ238" s="44" t="str">
        <f>+_xlfn.XLOOKUP(PROYECTOS2[[#This Row],[MUNICIPIO]],'4.CAP_ENDMNT'!B:B,'4.CAP_ENDMNT'!Q:Q,0,0,1)</f>
        <v>Cumple</v>
      </c>
    </row>
    <row r="239" spans="1:36">
      <c r="A239" s="44">
        <v>262</v>
      </c>
      <c r="B239" s="37" t="s">
        <v>555</v>
      </c>
      <c r="C239" s="118">
        <v>45747</v>
      </c>
      <c r="D239" s="46" t="s">
        <v>57</v>
      </c>
      <c r="E239" s="47" t="str">
        <f>+_xlfn.XLOOKUP(PROYECTOS2[[#This Row],[MUNICIPIO]],MUNICIPIOS!A:A,MUNICIPIOS!E:E,0,0,1)</f>
        <v>Norte</v>
      </c>
      <c r="F239" s="44" t="e" cm="1">
        <f t="array" ref="F239">+_xlfn.XLOOKUP(PROYECTOS2[[#This Row],[MUNICIPIO]],Table1[Municipio],MUNICIPIOS!F:F,0,0,1)</f>
        <v>#VALUE!</v>
      </c>
      <c r="G239" s="44" t="str">
        <f>+LOOKUP(PROYECTOS2[[#This Row],[MUNICIPIO]],Table1[Municipio],Table1[Latitud])</f>
        <v>6,149903</v>
      </c>
      <c r="H239" s="44">
        <f>+LOOKUP(PROYECTOS2[[#This Row],[MUNICIPIO]],Table1[Municipio],Table1[PDET])</f>
        <v>0</v>
      </c>
      <c r="I239" s="44">
        <f>+LOOKUP(PROYECTOS2[[#This Row],[MUNICIPIO]],Table1[Municipio],Table1[ZOMAC])</f>
        <v>0</v>
      </c>
      <c r="J239" s="3" t="str" cm="1">
        <f t="array" ref="J239">_xlfn.TEXTJOIN(", ", TRUE, IF(radicados[ID PROYECTOS]=A239, radicados[RADICADO], ""))</f>
        <v/>
      </c>
      <c r="K239" s="45">
        <v>1</v>
      </c>
      <c r="L239" s="45"/>
      <c r="M239" s="43"/>
      <c r="N239" s="48">
        <v>17835906882</v>
      </c>
      <c r="O239" s="48"/>
      <c r="P239" s="48"/>
      <c r="Q239" s="148" t="s">
        <v>1067</v>
      </c>
      <c r="R239" s="34" t="s">
        <v>407</v>
      </c>
      <c r="S239" s="40" t="s">
        <v>397</v>
      </c>
      <c r="T239" s="40" t="s">
        <v>56</v>
      </c>
      <c r="U239" s="37" t="s">
        <v>541</v>
      </c>
      <c r="V239" s="44">
        <f>+_xlfn.XLOOKUP(PROYECTOS2[[#This Row],[MUNICIPIO]],'4.CAP_ENDMNT'!B:B,'4.CAP_ENDMNT'!C:C,0,0,1)</f>
        <v>6</v>
      </c>
      <c r="W239" s="139">
        <f>+_xlfn.XLOOKUP(PROYECTOS2[[#This Row],[MUNICIPIO]],'4.CAP_ENDMNT'!B:B,'4.CAP_ENDMNT'!D:D,0,0,1)</f>
        <v>5437802568.3275003</v>
      </c>
      <c r="X239" s="140">
        <f>+_xlfn.XLOOKUP(PROYECTOS2[[#This Row],[MUNICIPIO]],'4.CAP_ENDMNT'!B:B,'4.CAP_ENDMNT'!E:E,0,0,1)</f>
        <v>2195257843.8499999</v>
      </c>
      <c r="Y239" s="140">
        <f>+_xlfn.XLOOKUP(PROYECTOS2[[#This Row],[MUNICIPIO]],'4.CAP_ENDMNT'!B:B,'4.CAP_ENDMNT'!F:F,0,0,1)</f>
        <v>3242544724.4775004</v>
      </c>
      <c r="Z239" s="140">
        <f>+_xlfn.XLOOKUP(PROYECTOS2[[#This Row],[MUNICIPIO]],'4.CAP_ENDMNT'!B:B,'4.CAP_ENDMNT'!G:G,0,0,1)</f>
        <v>1389038990</v>
      </c>
      <c r="AA239" s="140">
        <f>+_xlfn.XLOOKUP(PROYECTOS2[[#This Row],[MUNICIPIO]],'4.CAP_ENDMNT'!B:B,'4.CAP_ENDMNT'!H:H,0,0,1)</f>
        <v>0</v>
      </c>
      <c r="AB239" s="140">
        <f>+_xlfn.XLOOKUP(PROYECTOS2[[#This Row],[MUNICIPIO]],'4.CAP_ENDMNT'!B:B,'4.CAP_ENDMNT'!I:I,0,0,1)</f>
        <v>1389038990</v>
      </c>
      <c r="AC239" s="134">
        <f>+_xlfn.XLOOKUP(PROYECTOS2[[#This Row],[MUNICIPIO]],'4.CAP_ENDMNT'!B:B,'4.CAP_ENDMNT'!J:J,0,0,1)</f>
        <v>0.25544123247329026</v>
      </c>
      <c r="AD239" s="140">
        <f>+_xlfn.XLOOKUP(PROYECTOS2[[#This Row],[MUNICIPIO]],'4.CAP_ENDMNT'!B:B,'4.CAP_ENDMNT'!K:K,0,0,1)</f>
        <v>4048763578.3275003</v>
      </c>
      <c r="AE239" s="140">
        <f>+_xlfn.XLOOKUP(PROYECTOS2[[#This Row],[MUNICIPIO]],'4.CAP_ENDMNT'!B:B,'4.CAP_ENDMNT'!L:L,0,0,1)</f>
        <v>3239010862.6620007</v>
      </c>
      <c r="AF239" s="140">
        <f>+_xlfn.XLOOKUP(PROYECTOS2[[#This Row],[MUNICIPIO]],'4.CAP_ENDMNT'!B:B,'4.CAP_ENDMNT'!M:M,0,0,1)</f>
        <v>2429258146.9965</v>
      </c>
      <c r="AG239" s="134">
        <f>+_xlfn.XLOOKUP(PROYECTOS2[[#This Row],[MUNICIPIO]],'4.CAP_ENDMNT'!B:B,'4.CAP_ENDMNT'!N:N,0,0,1)</f>
        <v>1</v>
      </c>
      <c r="AH239" s="134">
        <f>+_xlfn.XLOOKUP(PROYECTOS2[[#This Row],[MUNICIPIO]],'4.CAP_ENDMNT'!B:B,'4.CAP_ENDMNT'!O:O,0,0,1)</f>
        <v>0.74230580339650343</v>
      </c>
      <c r="AI239" s="134">
        <f>+_xlfn.XLOOKUP(PROYECTOS2[[#This Row],[MUNICIPIO]],'4.CAP_ENDMNT'!B:B,'4.CAP_ENDMNT'!P:P,0,0,1)</f>
        <v>0.8</v>
      </c>
      <c r="AJ239" s="44" t="str">
        <f>+_xlfn.XLOOKUP(PROYECTOS2[[#This Row],[MUNICIPIO]],'4.CAP_ENDMNT'!B:B,'4.CAP_ENDMNT'!Q:Q,0,0,1)</f>
        <v>Cumple</v>
      </c>
    </row>
    <row r="240" spans="1:36">
      <c r="A240" s="44">
        <v>263</v>
      </c>
      <c r="B240" s="37" t="s">
        <v>556</v>
      </c>
      <c r="C240" s="118">
        <v>45747</v>
      </c>
      <c r="D240" s="46" t="s">
        <v>138</v>
      </c>
      <c r="E240" s="47" t="str">
        <f>+_xlfn.XLOOKUP(PROYECTOS2[[#This Row],[MUNICIPIO]],MUNICIPIOS!A:A,MUNICIPIOS!E:E,0,0,1)</f>
        <v>Norte</v>
      </c>
      <c r="F240" s="44" t="e" cm="1">
        <f t="array" ref="F240">+_xlfn.XLOOKUP(PROYECTOS2[[#This Row],[MUNICIPIO]],Table1[Municipio],MUNICIPIOS!F:F,0,0,1)</f>
        <v>#VALUE!</v>
      </c>
      <c r="G240" s="44" t="str">
        <f>+LOOKUP(PROYECTOS2[[#This Row],[MUNICIPIO]],Table1[Municipio],Table1[Latitud])</f>
        <v>6,136871</v>
      </c>
      <c r="H240" s="44">
        <f>+LOOKUP(PROYECTOS2[[#This Row],[MUNICIPIO]],Table1[Municipio],Table1[PDET])</f>
        <v>0</v>
      </c>
      <c r="I240" s="44">
        <f>+LOOKUP(PROYECTOS2[[#This Row],[MUNICIPIO]],Table1[Municipio],Table1[ZOMAC])</f>
        <v>0</v>
      </c>
      <c r="J240" s="3" t="str" cm="1">
        <f t="array" ref="J240">_xlfn.TEXTJOIN(", ", TRUE, IF(radicados[ID PROYECTOS]=A240, radicados[RADICADO], ""))</f>
        <v/>
      </c>
      <c r="K240" s="45">
        <v>1</v>
      </c>
      <c r="L240" s="45"/>
      <c r="M240" s="43"/>
      <c r="N240" s="48">
        <v>2387451524</v>
      </c>
      <c r="O240" s="48"/>
      <c r="P240" s="48"/>
      <c r="Q240" s="148" t="s">
        <v>1067</v>
      </c>
      <c r="R240" s="34" t="s">
        <v>407</v>
      </c>
      <c r="S240" s="40" t="s">
        <v>397</v>
      </c>
      <c r="T240" s="40" t="s">
        <v>56</v>
      </c>
      <c r="U240" s="71" t="s">
        <v>557</v>
      </c>
      <c r="V240" s="44">
        <f>+_xlfn.XLOOKUP(PROYECTOS2[[#This Row],[MUNICIPIO]],'4.CAP_ENDMNT'!B:B,'4.CAP_ENDMNT'!C:C,0,0,1)</f>
        <v>6</v>
      </c>
      <c r="W240" s="139">
        <f>+_xlfn.XLOOKUP(PROYECTOS2[[#This Row],[MUNICIPIO]],'4.CAP_ENDMNT'!B:B,'4.CAP_ENDMNT'!D:D,0,0,1)</f>
        <v>12229746381.692001</v>
      </c>
      <c r="X240" s="140">
        <f>+_xlfn.XLOOKUP(PROYECTOS2[[#This Row],[MUNICIPIO]],'4.CAP_ENDMNT'!B:B,'4.CAP_ENDMNT'!E:E,0,0,1)</f>
        <v>3376878617.9000001</v>
      </c>
      <c r="Y240" s="140">
        <f>+_xlfn.XLOOKUP(PROYECTOS2[[#This Row],[MUNICIPIO]],'4.CAP_ENDMNT'!B:B,'4.CAP_ENDMNT'!F:F,0,0,1)</f>
        <v>8852867763.7920017</v>
      </c>
      <c r="Z240" s="140">
        <f>+_xlfn.XLOOKUP(PROYECTOS2[[#This Row],[MUNICIPIO]],'4.CAP_ENDMNT'!B:B,'4.CAP_ENDMNT'!G:G,0,0,1)</f>
        <v>1494526177.51</v>
      </c>
      <c r="AA240" s="140">
        <f>+_xlfn.XLOOKUP(PROYECTOS2[[#This Row],[MUNICIPIO]],'4.CAP_ENDMNT'!B:B,'4.CAP_ENDMNT'!H:H,0,0,1)</f>
        <v>880381975</v>
      </c>
      <c r="AB240" s="140">
        <f>+_xlfn.XLOOKUP(PROYECTOS2[[#This Row],[MUNICIPIO]],'4.CAP_ENDMNT'!B:B,'4.CAP_ENDMNT'!I:I,0,0,1)</f>
        <v>2374908152.5100002</v>
      </c>
      <c r="AC240" s="134">
        <f>+_xlfn.XLOOKUP(PROYECTOS2[[#This Row],[MUNICIPIO]],'4.CAP_ENDMNT'!B:B,'4.CAP_ENDMNT'!J:J,0,0,1)</f>
        <v>0.19419112043609105</v>
      </c>
      <c r="AD240" s="140">
        <f>+_xlfn.XLOOKUP(PROYECTOS2[[#This Row],[MUNICIPIO]],'4.CAP_ENDMNT'!B:B,'4.CAP_ENDMNT'!K:K,0,0,1)</f>
        <v>9854838229.1820011</v>
      </c>
      <c r="AE240" s="140">
        <f>+_xlfn.XLOOKUP(PROYECTOS2[[#This Row],[MUNICIPIO]],'4.CAP_ENDMNT'!B:B,'4.CAP_ENDMNT'!L:L,0,0,1)</f>
        <v>7883870583.3456011</v>
      </c>
      <c r="AF240" s="140">
        <f>+_xlfn.XLOOKUP(PROYECTOS2[[#This Row],[MUNICIPIO]],'4.CAP_ENDMNT'!B:B,'4.CAP_ENDMNT'!M:M,0,0,1)</f>
        <v>5912902937.5092001</v>
      </c>
      <c r="AG240" s="134">
        <f>+_xlfn.XLOOKUP(PROYECTOS2[[#This Row],[MUNICIPIO]],'4.CAP_ENDMNT'!B:B,'4.CAP_ENDMNT'!N:N,0,0,1)</f>
        <v>0.6292985166312477</v>
      </c>
      <c r="AH240" s="134">
        <f>+_xlfn.XLOOKUP(PROYECTOS2[[#This Row],[MUNICIPIO]],'4.CAP_ENDMNT'!B:B,'4.CAP_ENDMNT'!O:O,0,0,1)</f>
        <v>0.5600857997738885</v>
      </c>
      <c r="AI240" s="134">
        <f>+_xlfn.XLOOKUP(PROYECTOS2[[#This Row],[MUNICIPIO]],'4.CAP_ENDMNT'!B:B,'4.CAP_ENDMNT'!P:P,0,0,1)</f>
        <v>0.8</v>
      </c>
      <c r="AJ240" s="44" t="str">
        <f>+_xlfn.XLOOKUP(PROYECTOS2[[#This Row],[MUNICIPIO]],'4.CAP_ENDMNT'!B:B,'4.CAP_ENDMNT'!Q:Q,0,0,1)</f>
        <v>Cumple</v>
      </c>
    </row>
    <row r="241" spans="1:36">
      <c r="A241" s="44">
        <v>264</v>
      </c>
      <c r="B241" s="37" t="s">
        <v>558</v>
      </c>
      <c r="C241" s="118">
        <v>45747</v>
      </c>
      <c r="D241" s="46" t="s">
        <v>191</v>
      </c>
      <c r="E241" s="47" t="str">
        <f>+_xlfn.XLOOKUP(PROYECTOS2[[#This Row],[MUNICIPIO]],MUNICIPIOS!A:A,MUNICIPIOS!E:E,0,0,1)</f>
        <v>Bajo Cauca</v>
      </c>
      <c r="F241" s="44" t="e" cm="1">
        <f t="array" ref="F241">+_xlfn.XLOOKUP(PROYECTOS2[[#This Row],[MUNICIPIO]],Table1[Municipio],MUNICIPIOS!F:F,0,0,1)</f>
        <v>#VALUE!</v>
      </c>
      <c r="G241" s="44" t="str">
        <f>+LOOKUP(PROYECTOS2[[#This Row],[MUNICIPIO]],Table1[Municipio],Table1[Latitud])</f>
        <v>7,074703</v>
      </c>
      <c r="H241" s="44">
        <f>+LOOKUP(PROYECTOS2[[#This Row],[MUNICIPIO]],Table1[Municipio],Table1[PDET])</f>
        <v>1</v>
      </c>
      <c r="I241" s="44">
        <f>+LOOKUP(PROYECTOS2[[#This Row],[MUNICIPIO]],Table1[Municipio],Table1[ZOMAC])</f>
        <v>1</v>
      </c>
      <c r="J241" s="3" t="str" cm="1">
        <f t="array" ref="J241">_xlfn.TEXTJOIN(", ", TRUE, IF(radicados[ID PROYECTOS]=A241, radicados[RADICADO], ""))</f>
        <v/>
      </c>
      <c r="K241" s="45">
        <v>1</v>
      </c>
      <c r="L241" s="45"/>
      <c r="M241" s="43"/>
      <c r="N241" s="48">
        <v>3755000000</v>
      </c>
      <c r="O241" s="48"/>
      <c r="P241" s="48"/>
      <c r="Q241" s="148" t="s">
        <v>1067</v>
      </c>
      <c r="R241" s="34" t="s">
        <v>407</v>
      </c>
      <c r="S241" s="40" t="s">
        <v>397</v>
      </c>
      <c r="T241" s="40" t="s">
        <v>56</v>
      </c>
      <c r="U241" s="37" t="s">
        <v>541</v>
      </c>
      <c r="V241" s="44">
        <f>+_xlfn.XLOOKUP(PROYECTOS2[[#This Row],[MUNICIPIO]],'4.CAP_ENDMNT'!B:B,'4.CAP_ENDMNT'!C:C,0,0,1)</f>
        <v>6</v>
      </c>
      <c r="W241" s="139">
        <f>+_xlfn.XLOOKUP(PROYECTOS2[[#This Row],[MUNICIPIO]],'4.CAP_ENDMNT'!B:B,'4.CAP_ENDMNT'!D:D,0,0,1)</f>
        <v>16341381522.362501</v>
      </c>
      <c r="X241" s="140">
        <f>+_xlfn.XLOOKUP(PROYECTOS2[[#This Row],[MUNICIPIO]],'4.CAP_ENDMNT'!B:B,'4.CAP_ENDMNT'!E:E,0,0,1)</f>
        <v>6183321664.5100002</v>
      </c>
      <c r="Y241" s="140">
        <f>+_xlfn.XLOOKUP(PROYECTOS2[[#This Row],[MUNICIPIO]],'4.CAP_ENDMNT'!B:B,'4.CAP_ENDMNT'!F:F,0,0,1)</f>
        <v>10158059857.852501</v>
      </c>
      <c r="Z241" s="140">
        <f>+_xlfn.XLOOKUP(PROYECTOS2[[#This Row],[MUNICIPIO]],'4.CAP_ENDMNT'!B:B,'4.CAP_ENDMNT'!G:G,0,0,1)</f>
        <v>3504148016</v>
      </c>
      <c r="AA241" s="140">
        <f>+_xlfn.XLOOKUP(PROYECTOS2[[#This Row],[MUNICIPIO]],'4.CAP_ENDMNT'!B:B,'4.CAP_ENDMNT'!H:H,0,0,1)</f>
        <v>5476192157</v>
      </c>
      <c r="AB241" s="140">
        <f>+_xlfn.XLOOKUP(PROYECTOS2[[#This Row],[MUNICIPIO]],'4.CAP_ENDMNT'!B:B,'4.CAP_ENDMNT'!I:I,0,0,1)</f>
        <v>8980340173</v>
      </c>
      <c r="AC241" s="134">
        <f>+_xlfn.XLOOKUP(PROYECTOS2[[#This Row],[MUNICIPIO]],'4.CAP_ENDMNT'!B:B,'4.CAP_ENDMNT'!J:J,0,0,1)</f>
        <v>0.54954595856603539</v>
      </c>
      <c r="AD241" s="140">
        <f>+_xlfn.XLOOKUP(PROYECTOS2[[#This Row],[MUNICIPIO]],'4.CAP_ENDMNT'!B:B,'4.CAP_ENDMNT'!K:K,0,0,1)</f>
        <v>7361041349.3625011</v>
      </c>
      <c r="AE241" s="140">
        <f>+_xlfn.XLOOKUP(PROYECTOS2[[#This Row],[MUNICIPIO]],'4.CAP_ENDMNT'!B:B,'4.CAP_ENDMNT'!L:L,0,0,1)</f>
        <v>5888833079.4900017</v>
      </c>
      <c r="AF241" s="140">
        <f>+_xlfn.XLOOKUP(PROYECTOS2[[#This Row],[MUNICIPIO]],'4.CAP_ENDMNT'!B:B,'4.CAP_ENDMNT'!M:M,0,0,1)</f>
        <v>4416624809.6175003</v>
      </c>
      <c r="AG241" s="134">
        <f>+_xlfn.XLOOKUP(PROYECTOS2[[#This Row],[MUNICIPIO]],'4.CAP_ENDMNT'!B:B,'4.CAP_ENDMNT'!N:N,0,0,1)</f>
        <v>0.39020214696715588</v>
      </c>
      <c r="AH241" s="134">
        <f>+_xlfn.XLOOKUP(PROYECTOS2[[#This Row],[MUNICIPIO]],'4.CAP_ENDMNT'!B:B,'4.CAP_ENDMNT'!O:O,0,0,1)</f>
        <v>0.6661172152696142</v>
      </c>
      <c r="AI241" s="134">
        <f>+_xlfn.XLOOKUP(PROYECTOS2[[#This Row],[MUNICIPIO]],'4.CAP_ENDMNT'!B:B,'4.CAP_ENDMNT'!P:P,0,0,1)</f>
        <v>0.8</v>
      </c>
      <c r="AJ241" s="44" t="str">
        <f>+_xlfn.XLOOKUP(PROYECTOS2[[#This Row],[MUNICIPIO]],'4.CAP_ENDMNT'!B:B,'4.CAP_ENDMNT'!Q:Q,0,0,1)</f>
        <v>Cumple</v>
      </c>
    </row>
    <row r="242" spans="1:36">
      <c r="A242" s="44">
        <v>265</v>
      </c>
      <c r="B242" s="37" t="s">
        <v>559</v>
      </c>
      <c r="C242" s="118">
        <v>45747</v>
      </c>
      <c r="D242" s="46" t="s">
        <v>329</v>
      </c>
      <c r="E242" s="47" t="str">
        <f>+_xlfn.XLOOKUP(PROYECTOS2[[#This Row],[MUNICIPIO]],MUNICIPIOS!A:A,MUNICIPIOS!E:E,0,0,1)</f>
        <v>Bajo Cauca</v>
      </c>
      <c r="F242" s="44" t="e" cm="1">
        <f t="array" ref="F242">+_xlfn.XLOOKUP(PROYECTOS2[[#This Row],[MUNICIPIO]],Table1[Municipio],MUNICIPIOS!F:F,0,0,1)</f>
        <v>#VALUE!</v>
      </c>
      <c r="G242" s="44" t="str">
        <f>+LOOKUP(PROYECTOS2[[#This Row],[MUNICIPIO]],Table1[Municipio],Table1[Latitud])</f>
        <v>6,246631</v>
      </c>
      <c r="H242" s="44">
        <f>+LOOKUP(PROYECTOS2[[#This Row],[MUNICIPIO]],Table1[Municipio],Table1[PDET])</f>
        <v>0</v>
      </c>
      <c r="I242" s="44">
        <f>+LOOKUP(PROYECTOS2[[#This Row],[MUNICIPIO]],Table1[Municipio],Table1[ZOMAC])</f>
        <v>0</v>
      </c>
      <c r="J242" s="3" t="str" cm="1">
        <f t="array" ref="J242">_xlfn.TEXTJOIN(", ", TRUE, IF(radicados[ID PROYECTOS]=A242, radicados[RADICADO], ""))</f>
        <v/>
      </c>
      <c r="K242" s="45">
        <v>1</v>
      </c>
      <c r="L242" s="45"/>
      <c r="M242" s="43"/>
      <c r="N242" s="48">
        <v>200000000</v>
      </c>
      <c r="O242" s="48"/>
      <c r="P242" s="48"/>
      <c r="Q242" s="148" t="s">
        <v>1067</v>
      </c>
      <c r="R242" s="34" t="s">
        <v>407</v>
      </c>
      <c r="S242" s="40" t="s">
        <v>397</v>
      </c>
      <c r="T242" s="40" t="s">
        <v>56</v>
      </c>
      <c r="U242" s="37" t="s">
        <v>541</v>
      </c>
      <c r="V242" s="44">
        <f>+_xlfn.XLOOKUP(PROYECTOS2[[#This Row],[MUNICIPIO]],'4.CAP_ENDMNT'!B:B,'4.CAP_ENDMNT'!C:C,0,0,1)</f>
        <v>6</v>
      </c>
      <c r="W242" s="139">
        <f>+_xlfn.XLOOKUP(PROYECTOS2[[#This Row],[MUNICIPIO]],'4.CAP_ENDMNT'!B:B,'4.CAP_ENDMNT'!D:D,0,0,1)</f>
        <v>17207529181.433002</v>
      </c>
      <c r="X242" s="140">
        <f>+_xlfn.XLOOKUP(PROYECTOS2[[#This Row],[MUNICIPIO]],'4.CAP_ENDMNT'!B:B,'4.CAP_ENDMNT'!E:E,0,0,1)</f>
        <v>3556882387.1300001</v>
      </c>
      <c r="Y242" s="140">
        <f>+_xlfn.XLOOKUP(PROYECTOS2[[#This Row],[MUNICIPIO]],'4.CAP_ENDMNT'!B:B,'4.CAP_ENDMNT'!F:F,0,0,1)</f>
        <v>13650646794.303001</v>
      </c>
      <c r="Z242" s="140">
        <f>+_xlfn.XLOOKUP(PROYECTOS2[[#This Row],[MUNICIPIO]],'4.CAP_ENDMNT'!B:B,'4.CAP_ENDMNT'!G:G,0,0,1)</f>
        <v>2981910160</v>
      </c>
      <c r="AA242" s="140">
        <f>+_xlfn.XLOOKUP(PROYECTOS2[[#This Row],[MUNICIPIO]],'4.CAP_ENDMNT'!B:B,'4.CAP_ENDMNT'!H:H,0,0,1)</f>
        <v>5898924731</v>
      </c>
      <c r="AB242" s="140">
        <f>+_xlfn.XLOOKUP(PROYECTOS2[[#This Row],[MUNICIPIO]],'4.CAP_ENDMNT'!B:B,'4.CAP_ENDMNT'!I:I,0,0,1)</f>
        <v>8880834891</v>
      </c>
      <c r="AC242" s="134">
        <f>+_xlfn.XLOOKUP(PROYECTOS2[[#This Row],[MUNICIPIO]],'4.CAP_ENDMNT'!B:B,'4.CAP_ENDMNT'!J:J,0,0,1)</f>
        <v>0.51610168998478057</v>
      </c>
      <c r="AD242" s="140">
        <f>+_xlfn.XLOOKUP(PROYECTOS2[[#This Row],[MUNICIPIO]],'4.CAP_ENDMNT'!B:B,'4.CAP_ENDMNT'!K:K,0,0,1)</f>
        <v>8326694290.4330025</v>
      </c>
      <c r="AE242" s="140">
        <f>+_xlfn.XLOOKUP(PROYECTOS2[[#This Row],[MUNICIPIO]],'4.CAP_ENDMNT'!B:B,'4.CAP_ENDMNT'!L:L,0,0,1)</f>
        <v>6661355432.3464022</v>
      </c>
      <c r="AF242" s="140">
        <f>+_xlfn.XLOOKUP(PROYECTOS2[[#This Row],[MUNICIPIO]],'4.CAP_ENDMNT'!B:B,'4.CAP_ENDMNT'!M:M,0,0,1)</f>
        <v>4996016574.2598009</v>
      </c>
      <c r="AG242" s="134">
        <f>+_xlfn.XLOOKUP(PROYECTOS2[[#This Row],[MUNICIPIO]],'4.CAP_ENDMNT'!B:B,'4.CAP_ENDMNT'!N:N,0,0,1)</f>
        <v>0.3357691249301259</v>
      </c>
      <c r="AH242" s="134">
        <f>+_xlfn.XLOOKUP(PROYECTOS2[[#This Row],[MUNICIPIO]],'4.CAP_ENDMNT'!B:B,'4.CAP_ENDMNT'!O:O,0,0,1)</f>
        <v>0.46603493316730282</v>
      </c>
      <c r="AI242" s="134">
        <f>+_xlfn.XLOOKUP(PROYECTOS2[[#This Row],[MUNICIPIO]],'4.CAP_ENDMNT'!B:B,'4.CAP_ENDMNT'!P:P,0,0,1)</f>
        <v>0.8</v>
      </c>
      <c r="AJ242" s="44" t="str">
        <f>+_xlfn.XLOOKUP(PROYECTOS2[[#This Row],[MUNICIPIO]],'4.CAP_ENDMNT'!B:B,'4.CAP_ENDMNT'!Q:Q,0,0,1)</f>
        <v>Cumple</v>
      </c>
    </row>
    <row r="243" spans="1:36">
      <c r="A243" s="44">
        <v>266</v>
      </c>
      <c r="B243" s="37" t="s">
        <v>560</v>
      </c>
      <c r="C243" s="118">
        <v>45747</v>
      </c>
      <c r="D243" s="46" t="s">
        <v>63</v>
      </c>
      <c r="E243" s="47" t="str">
        <f>+_xlfn.XLOOKUP(PROYECTOS2[[#This Row],[MUNICIPIO]],MUNICIPIOS!A:A,MUNICIPIOS!E:E,0,0,1)</f>
        <v>Urabá</v>
      </c>
      <c r="F243" s="44" t="e" cm="1">
        <f t="array" ref="F243">+_xlfn.XLOOKUP(PROYECTOS2[[#This Row],[MUNICIPIO]],Table1[Municipio],MUNICIPIOS!F:F,0,0,1)</f>
        <v>#VALUE!</v>
      </c>
      <c r="G243" s="44" t="str">
        <f>+LOOKUP(PROYECTOS2[[#This Row],[MUNICIPIO]],Table1[Municipio],Table1[Latitud])</f>
        <v>6,149903</v>
      </c>
      <c r="H243" s="44">
        <f>+LOOKUP(PROYECTOS2[[#This Row],[MUNICIPIO]],Table1[Municipio],Table1[PDET])</f>
        <v>0</v>
      </c>
      <c r="I243" s="44">
        <f>+LOOKUP(PROYECTOS2[[#This Row],[MUNICIPIO]],Table1[Municipio],Table1[ZOMAC])</f>
        <v>0</v>
      </c>
      <c r="J243" s="3" t="str" cm="1">
        <f t="array" ref="J243">_xlfn.TEXTJOIN(", ", TRUE, IF(radicados[ID PROYECTOS]=A243, radicados[RADICADO], ""))</f>
        <v/>
      </c>
      <c r="K243" s="45">
        <v>1</v>
      </c>
      <c r="L243" s="45"/>
      <c r="M243" s="43"/>
      <c r="N243" s="48">
        <v>1095043649</v>
      </c>
      <c r="O243" s="48"/>
      <c r="P243" s="48"/>
      <c r="Q243" s="148" t="s">
        <v>1067</v>
      </c>
      <c r="R243" s="34" t="s">
        <v>407</v>
      </c>
      <c r="S243" s="40" t="s">
        <v>397</v>
      </c>
      <c r="T243" s="40" t="s">
        <v>56</v>
      </c>
      <c r="U243" s="37" t="s">
        <v>541</v>
      </c>
      <c r="V243" s="44">
        <f>+_xlfn.XLOOKUP(PROYECTOS2[[#This Row],[MUNICIPIO]],'4.CAP_ENDMNT'!B:B,'4.CAP_ENDMNT'!C:C,0,0,1)</f>
        <v>6</v>
      </c>
      <c r="W243" s="139">
        <f>+_xlfn.XLOOKUP(PROYECTOS2[[#This Row],[MUNICIPIO]],'4.CAP_ENDMNT'!B:B,'4.CAP_ENDMNT'!D:D,0,0,1)</f>
        <v>19508372714.52</v>
      </c>
      <c r="X243" s="140">
        <f>+_xlfn.XLOOKUP(PROYECTOS2[[#This Row],[MUNICIPIO]],'4.CAP_ENDMNT'!B:B,'4.CAP_ENDMNT'!E:E,0,0,1)</f>
        <v>5389834315.5</v>
      </c>
      <c r="Y243" s="140">
        <f>+_xlfn.XLOOKUP(PROYECTOS2[[#This Row],[MUNICIPIO]],'4.CAP_ENDMNT'!B:B,'4.CAP_ENDMNT'!F:F,0,0,1)</f>
        <v>14118538399.02</v>
      </c>
      <c r="Z243" s="140">
        <f>+_xlfn.XLOOKUP(PROYECTOS2[[#This Row],[MUNICIPIO]],'4.CAP_ENDMNT'!B:B,'4.CAP_ENDMNT'!G:G,0,0,1)</f>
        <v>2594281047</v>
      </c>
      <c r="AA243" s="140">
        <f>+_xlfn.XLOOKUP(PROYECTOS2[[#This Row],[MUNICIPIO]],'4.CAP_ENDMNT'!B:B,'4.CAP_ENDMNT'!H:H,0,0,1)</f>
        <v>1833333333</v>
      </c>
      <c r="AB243" s="140">
        <f>+_xlfn.XLOOKUP(PROYECTOS2[[#This Row],[MUNICIPIO]],'4.CAP_ENDMNT'!B:B,'4.CAP_ENDMNT'!I:I,0,0,1)</f>
        <v>4427614380</v>
      </c>
      <c r="AC243" s="134">
        <f>+_xlfn.XLOOKUP(PROYECTOS2[[#This Row],[MUNICIPIO]],'4.CAP_ENDMNT'!B:B,'4.CAP_ENDMNT'!J:J,0,0,1)</f>
        <v>0.22695969801235882</v>
      </c>
      <c r="AD243" s="140">
        <f>+_xlfn.XLOOKUP(PROYECTOS2[[#This Row],[MUNICIPIO]],'4.CAP_ENDMNT'!B:B,'4.CAP_ENDMNT'!K:K,0,0,1)</f>
        <v>15080758334.52</v>
      </c>
      <c r="AE243" s="140">
        <f>+_xlfn.XLOOKUP(PROYECTOS2[[#This Row],[MUNICIPIO]],'4.CAP_ENDMNT'!B:B,'4.CAP_ENDMNT'!L:L,0,0,1)</f>
        <v>12064606667.616001</v>
      </c>
      <c r="AF243" s="140">
        <f>+_xlfn.XLOOKUP(PROYECTOS2[[#This Row],[MUNICIPIO]],'4.CAP_ENDMNT'!B:B,'4.CAP_ENDMNT'!M:M,0,0,1)</f>
        <v>9048455000.7119999</v>
      </c>
      <c r="AG243" s="134">
        <f>+_xlfn.XLOOKUP(PROYECTOS2[[#This Row],[MUNICIPIO]],'4.CAP_ENDMNT'!B:B,'4.CAP_ENDMNT'!N:N,0,0,1)</f>
        <v>0.58593202215591322</v>
      </c>
      <c r="AH243" s="134">
        <f>+_xlfn.XLOOKUP(PROYECTOS2[[#This Row],[MUNICIPIO]],'4.CAP_ENDMNT'!B:B,'4.CAP_ENDMNT'!O:O,0,0,1)</f>
        <v>0.58851112900500024</v>
      </c>
      <c r="AI243" s="134">
        <f>+_xlfn.XLOOKUP(PROYECTOS2[[#This Row],[MUNICIPIO]],'4.CAP_ENDMNT'!B:B,'4.CAP_ENDMNT'!P:P,0,0,1)</f>
        <v>0.8</v>
      </c>
      <c r="AJ243" s="44" t="str">
        <f>+_xlfn.XLOOKUP(PROYECTOS2[[#This Row],[MUNICIPIO]],'4.CAP_ENDMNT'!B:B,'4.CAP_ENDMNT'!Q:Q,0,0,1)</f>
        <v>Cumple</v>
      </c>
    </row>
    <row r="244" spans="1:36">
      <c r="A244" s="44">
        <v>267</v>
      </c>
      <c r="B244" s="37" t="s">
        <v>561</v>
      </c>
      <c r="C244" s="118">
        <v>45747</v>
      </c>
      <c r="D244" s="46" t="s">
        <v>38</v>
      </c>
      <c r="E244" s="47" t="str">
        <f>+_xlfn.XLOOKUP(PROYECTOS2[[#This Row],[MUNICIPIO]],MUNICIPIOS!A:A,MUNICIPIOS!E:E,0,0,1)</f>
        <v>Urabá</v>
      </c>
      <c r="F244" s="44" t="e" cm="1">
        <f t="array" ref="F244">+_xlfn.XLOOKUP(PROYECTOS2[[#This Row],[MUNICIPIO]],Table1[Municipio],MUNICIPIOS!F:F,0,0,1)</f>
        <v>#VALUE!</v>
      </c>
      <c r="G244" s="44" t="str">
        <f>+LOOKUP(PROYECTOS2[[#This Row],[MUNICIPIO]],Table1[Municipio],Table1[Latitud])</f>
        <v>7,074703</v>
      </c>
      <c r="H244" s="44">
        <f>+LOOKUP(PROYECTOS2[[#This Row],[MUNICIPIO]],Table1[Municipio],Table1[PDET])</f>
        <v>1</v>
      </c>
      <c r="I244" s="44">
        <f>+LOOKUP(PROYECTOS2[[#This Row],[MUNICIPIO]],Table1[Municipio],Table1[ZOMAC])</f>
        <v>1</v>
      </c>
      <c r="J244" s="3" t="str" cm="1">
        <f t="array" ref="J244">_xlfn.TEXTJOIN(", ", TRUE, IF(radicados[ID PROYECTOS]=A244, radicados[RADICADO], ""))</f>
        <v/>
      </c>
      <c r="K244" s="45">
        <v>1</v>
      </c>
      <c r="L244" s="45"/>
      <c r="M244" s="43"/>
      <c r="N244" s="48">
        <v>665043649</v>
      </c>
      <c r="O244" s="48"/>
      <c r="P244" s="48"/>
      <c r="Q244" s="148" t="s">
        <v>1067</v>
      </c>
      <c r="R244" s="34" t="s">
        <v>407</v>
      </c>
      <c r="S244" s="40" t="s">
        <v>397</v>
      </c>
      <c r="T244" s="40" t="s">
        <v>56</v>
      </c>
      <c r="U244" s="37" t="s">
        <v>541</v>
      </c>
      <c r="V244" s="44">
        <f>+_xlfn.XLOOKUP(PROYECTOS2[[#This Row],[MUNICIPIO]],'4.CAP_ENDMNT'!B:B,'4.CAP_ENDMNT'!C:C,0,0,1)</f>
        <v>6</v>
      </c>
      <c r="W244" s="139">
        <f>+_xlfn.XLOOKUP(PROYECTOS2[[#This Row],[MUNICIPIO]],'4.CAP_ENDMNT'!B:B,'4.CAP_ENDMNT'!D:D,0,0,1)</f>
        <v>31551501799.776001</v>
      </c>
      <c r="X244" s="140">
        <f>+_xlfn.XLOOKUP(PROYECTOS2[[#This Row],[MUNICIPIO]],'4.CAP_ENDMNT'!B:B,'4.CAP_ENDMNT'!E:E,0,0,1)</f>
        <v>12896901947.809999</v>
      </c>
      <c r="Y244" s="140">
        <f>+_xlfn.XLOOKUP(PROYECTOS2[[#This Row],[MUNICIPIO]],'4.CAP_ENDMNT'!B:B,'4.CAP_ENDMNT'!F:F,0,0,1)</f>
        <v>18654599851.966003</v>
      </c>
      <c r="Z244" s="140">
        <f>+_xlfn.XLOOKUP(PROYECTOS2[[#This Row],[MUNICIPIO]],'4.CAP_ENDMNT'!B:B,'4.CAP_ENDMNT'!G:G,0,0,1)</f>
        <v>4320802475</v>
      </c>
      <c r="AA244" s="140">
        <f>+_xlfn.XLOOKUP(PROYECTOS2[[#This Row],[MUNICIPIO]],'4.CAP_ENDMNT'!B:B,'4.CAP_ENDMNT'!H:H,0,0,1)</f>
        <v>2118562934.45</v>
      </c>
      <c r="AB244" s="140">
        <f>+_xlfn.XLOOKUP(PROYECTOS2[[#This Row],[MUNICIPIO]],'4.CAP_ENDMNT'!B:B,'4.CAP_ENDMNT'!I:I,0,0,1)</f>
        <v>6439365409.4499998</v>
      </c>
      <c r="AC244" s="134">
        <f>+_xlfn.XLOOKUP(PROYECTOS2[[#This Row],[MUNICIPIO]],'4.CAP_ENDMNT'!B:B,'4.CAP_ENDMNT'!J:J,0,0,1)</f>
        <v>0.20409061509381832</v>
      </c>
      <c r="AD244" s="140">
        <f>+_xlfn.XLOOKUP(PROYECTOS2[[#This Row],[MUNICIPIO]],'4.CAP_ENDMNT'!B:B,'4.CAP_ENDMNT'!K:K,0,0,1)</f>
        <v>25112136390.326</v>
      </c>
      <c r="AE244" s="140">
        <f>+_xlfn.XLOOKUP(PROYECTOS2[[#This Row],[MUNICIPIO]],'4.CAP_ENDMNT'!B:B,'4.CAP_ENDMNT'!L:L,0,0,1)</f>
        <v>20089709112.260799</v>
      </c>
      <c r="AF244" s="140">
        <f>+_xlfn.XLOOKUP(PROYECTOS2[[#This Row],[MUNICIPIO]],'4.CAP_ENDMNT'!B:B,'4.CAP_ENDMNT'!M:M,0,0,1)</f>
        <v>15067281834.195601</v>
      </c>
      <c r="AG244" s="134">
        <f>+_xlfn.XLOOKUP(PROYECTOS2[[#This Row],[MUNICIPIO]],'4.CAP_ENDMNT'!B:B,'4.CAP_ENDMNT'!N:N,0,0,1)</f>
        <v>0.67099818076158058</v>
      </c>
      <c r="AH244" s="134">
        <f>+_xlfn.XLOOKUP(PROYECTOS2[[#This Row],[MUNICIPIO]],'4.CAP_ENDMNT'!B:B,'4.CAP_ENDMNT'!O:O,0,0,1)</f>
        <v>0.60103296352987046</v>
      </c>
      <c r="AI244" s="134">
        <f>+_xlfn.XLOOKUP(PROYECTOS2[[#This Row],[MUNICIPIO]],'4.CAP_ENDMNT'!B:B,'4.CAP_ENDMNT'!P:P,0,0,1)</f>
        <v>0.8</v>
      </c>
      <c r="AJ244" s="44" t="str">
        <f>+_xlfn.XLOOKUP(PROYECTOS2[[#This Row],[MUNICIPIO]],'4.CAP_ENDMNT'!B:B,'4.CAP_ENDMNT'!Q:Q,0,0,1)</f>
        <v>Cumple</v>
      </c>
    </row>
    <row r="245" spans="1:36">
      <c r="A245" s="44">
        <v>268</v>
      </c>
      <c r="B245" s="37" t="s">
        <v>562</v>
      </c>
      <c r="C245" s="118">
        <v>45747</v>
      </c>
      <c r="D245" s="46" t="s">
        <v>193</v>
      </c>
      <c r="E245" s="47" t="str">
        <f>+_xlfn.XLOOKUP(PROYECTOS2[[#This Row],[MUNICIPIO]],MUNICIPIOS!A:A,MUNICIPIOS!E:E,0,0,1)</f>
        <v>Urabá</v>
      </c>
      <c r="F245" s="44" t="e" cm="1">
        <f t="array" ref="F245">+_xlfn.XLOOKUP(PROYECTOS2[[#This Row],[MUNICIPIO]],Table1[Municipio],MUNICIPIOS!F:F,0,0,1)</f>
        <v>#VALUE!</v>
      </c>
      <c r="G245" s="44" t="str">
        <f>+LOOKUP(PROYECTOS2[[#This Row],[MUNICIPIO]],Table1[Municipio],Table1[Latitud])</f>
        <v>7,074703</v>
      </c>
      <c r="H245" s="44">
        <f>+LOOKUP(PROYECTOS2[[#This Row],[MUNICIPIO]],Table1[Municipio],Table1[PDET])</f>
        <v>1</v>
      </c>
      <c r="I245" s="44">
        <f>+LOOKUP(PROYECTOS2[[#This Row],[MUNICIPIO]],Table1[Municipio],Table1[ZOMAC])</f>
        <v>1</v>
      </c>
      <c r="J245" s="3" t="str" cm="1">
        <f t="array" ref="J245">_xlfn.TEXTJOIN(", ", TRUE, IF(radicados[ID PROYECTOS]=A245, radicados[RADICADO], ""))</f>
        <v/>
      </c>
      <c r="K245" s="45">
        <v>1</v>
      </c>
      <c r="L245" s="45"/>
      <c r="M245" s="43"/>
      <c r="N245" s="48">
        <v>428320808</v>
      </c>
      <c r="O245" s="48"/>
      <c r="P245" s="48"/>
      <c r="Q245" s="148" t="s">
        <v>1067</v>
      </c>
      <c r="R245" s="34" t="s">
        <v>407</v>
      </c>
      <c r="S245" s="40" t="s">
        <v>397</v>
      </c>
      <c r="T245" s="40" t="s">
        <v>56</v>
      </c>
      <c r="U245" s="37" t="s">
        <v>541</v>
      </c>
      <c r="V245" s="44">
        <f>+_xlfn.XLOOKUP(PROYECTOS2[[#This Row],[MUNICIPIO]],'4.CAP_ENDMNT'!B:B,'4.CAP_ENDMNT'!C:C,0,0,1)</f>
        <v>6</v>
      </c>
      <c r="W245" s="139">
        <f>+_xlfn.XLOOKUP(PROYECTOS2[[#This Row],[MUNICIPIO]],'4.CAP_ENDMNT'!B:B,'4.CAP_ENDMNT'!D:D,0,0,1)</f>
        <v>19782037469.424</v>
      </c>
      <c r="X245" s="140">
        <f>+_xlfn.XLOOKUP(PROYECTOS2[[#This Row],[MUNICIPIO]],'4.CAP_ENDMNT'!B:B,'4.CAP_ENDMNT'!E:E,0,0,1)</f>
        <v>6224691780.3400002</v>
      </c>
      <c r="Y245" s="140">
        <f>+_xlfn.XLOOKUP(PROYECTOS2[[#This Row],[MUNICIPIO]],'4.CAP_ENDMNT'!B:B,'4.CAP_ENDMNT'!F:F,0,0,1)</f>
        <v>13557345689.084</v>
      </c>
      <c r="Z245" s="140">
        <f>+_xlfn.XLOOKUP(PROYECTOS2[[#This Row],[MUNICIPIO]],'4.CAP_ENDMNT'!B:B,'4.CAP_ENDMNT'!G:G,0,0,1)</f>
        <v>5530076291</v>
      </c>
      <c r="AA245" s="140">
        <f>+_xlfn.XLOOKUP(PROYECTOS2[[#This Row],[MUNICIPIO]],'4.CAP_ENDMNT'!B:B,'4.CAP_ENDMNT'!H:H,0,0,1)</f>
        <v>135075758</v>
      </c>
      <c r="AB245" s="140">
        <f>+_xlfn.XLOOKUP(PROYECTOS2[[#This Row],[MUNICIPIO]],'4.CAP_ENDMNT'!B:B,'4.CAP_ENDMNT'!I:I,0,0,1)</f>
        <v>5665152049</v>
      </c>
      <c r="AC245" s="134">
        <f>+_xlfn.XLOOKUP(PROYECTOS2[[#This Row],[MUNICIPIO]],'4.CAP_ENDMNT'!B:B,'4.CAP_ENDMNT'!J:J,0,0,1)</f>
        <v>0.28637859258715448</v>
      </c>
      <c r="AD245" s="140">
        <f>+_xlfn.XLOOKUP(PROYECTOS2[[#This Row],[MUNICIPIO]],'4.CAP_ENDMNT'!B:B,'4.CAP_ENDMNT'!K:K,0,0,1)</f>
        <v>14116885420.424</v>
      </c>
      <c r="AE245" s="140">
        <f>+_xlfn.XLOOKUP(PROYECTOS2[[#This Row],[MUNICIPIO]],'4.CAP_ENDMNT'!B:B,'4.CAP_ENDMNT'!L:L,0,0,1)</f>
        <v>11293508336.339201</v>
      </c>
      <c r="AF245" s="140">
        <f>+_xlfn.XLOOKUP(PROYECTOS2[[#This Row],[MUNICIPIO]],'4.CAP_ENDMNT'!B:B,'4.CAP_ENDMNT'!M:M,0,0,1)</f>
        <v>8470131252.2543993</v>
      </c>
      <c r="AG245" s="134">
        <f>+_xlfn.XLOOKUP(PROYECTOS2[[#This Row],[MUNICIPIO]],'4.CAP_ENDMNT'!B:B,'4.CAP_ENDMNT'!N:N,0,0,1)</f>
        <v>0.97615672856938707</v>
      </c>
      <c r="AH245" s="134">
        <f>+_xlfn.XLOOKUP(PROYECTOS2[[#This Row],[MUNICIPIO]],'4.CAP_ENDMNT'!B:B,'4.CAP_ENDMNT'!O:O,0,0,1)</f>
        <v>0.63121490876418529</v>
      </c>
      <c r="AI245" s="134">
        <f>+_xlfn.XLOOKUP(PROYECTOS2[[#This Row],[MUNICIPIO]],'4.CAP_ENDMNT'!B:B,'4.CAP_ENDMNT'!P:P,0,0,1)</f>
        <v>0.8</v>
      </c>
      <c r="AJ245" s="44" t="str">
        <f>+_xlfn.XLOOKUP(PROYECTOS2[[#This Row],[MUNICIPIO]],'4.CAP_ENDMNT'!B:B,'4.CAP_ENDMNT'!Q:Q,0,0,1)</f>
        <v>Cumple</v>
      </c>
    </row>
    <row r="246" spans="1:36">
      <c r="A246" s="44">
        <v>269</v>
      </c>
      <c r="B246" s="37" t="s">
        <v>563</v>
      </c>
      <c r="C246" s="118">
        <v>45747</v>
      </c>
      <c r="D246" s="46" t="s">
        <v>193</v>
      </c>
      <c r="E246" s="47" t="str">
        <f>+_xlfn.XLOOKUP(PROYECTOS2[[#This Row],[MUNICIPIO]],MUNICIPIOS!A:A,MUNICIPIOS!E:E,0,0,1)</f>
        <v>Urabá</v>
      </c>
      <c r="F246" s="44" t="e" cm="1">
        <f t="array" ref="F246">+_xlfn.XLOOKUP(PROYECTOS2[[#This Row],[MUNICIPIO]],Table1[Municipio],MUNICIPIOS!F:F,0,0,1)</f>
        <v>#VALUE!</v>
      </c>
      <c r="G246" s="44" t="str">
        <f>+LOOKUP(PROYECTOS2[[#This Row],[MUNICIPIO]],Table1[Municipio],Table1[Latitud])</f>
        <v>7,074703</v>
      </c>
      <c r="H246" s="44">
        <f>+LOOKUP(PROYECTOS2[[#This Row],[MUNICIPIO]],Table1[Municipio],Table1[PDET])</f>
        <v>1</v>
      </c>
      <c r="I246" s="44">
        <f>+LOOKUP(PROYECTOS2[[#This Row],[MUNICIPIO]],Table1[Municipio],Table1[ZOMAC])</f>
        <v>1</v>
      </c>
      <c r="J246" s="3" t="str" cm="1">
        <f t="array" ref="J246">_xlfn.TEXTJOIN(", ", TRUE, IF(radicados[ID PROYECTOS]=A246, radicados[RADICADO], ""))</f>
        <v/>
      </c>
      <c r="K246" s="45">
        <v>1</v>
      </c>
      <c r="L246" s="45"/>
      <c r="M246" s="43"/>
      <c r="N246" s="48">
        <v>794935392</v>
      </c>
      <c r="O246" s="48"/>
      <c r="P246" s="48"/>
      <c r="Q246" s="148" t="s">
        <v>1067</v>
      </c>
      <c r="R246" s="34" t="s">
        <v>407</v>
      </c>
      <c r="S246" s="40" t="s">
        <v>397</v>
      </c>
      <c r="T246" s="40" t="s">
        <v>56</v>
      </c>
      <c r="U246" s="37" t="s">
        <v>541</v>
      </c>
      <c r="V246" s="44">
        <f>+_xlfn.XLOOKUP(PROYECTOS2[[#This Row],[MUNICIPIO]],'4.CAP_ENDMNT'!B:B,'4.CAP_ENDMNT'!C:C,0,0,1)</f>
        <v>6</v>
      </c>
      <c r="W246" s="139">
        <f>+_xlfn.XLOOKUP(PROYECTOS2[[#This Row],[MUNICIPIO]],'4.CAP_ENDMNT'!B:B,'4.CAP_ENDMNT'!D:D,0,0,1)</f>
        <v>19782037469.424</v>
      </c>
      <c r="X246" s="140">
        <f>+_xlfn.XLOOKUP(PROYECTOS2[[#This Row],[MUNICIPIO]],'4.CAP_ENDMNT'!B:B,'4.CAP_ENDMNT'!E:E,0,0,1)</f>
        <v>6224691780.3400002</v>
      </c>
      <c r="Y246" s="140">
        <f>+_xlfn.XLOOKUP(PROYECTOS2[[#This Row],[MUNICIPIO]],'4.CAP_ENDMNT'!B:B,'4.CAP_ENDMNT'!F:F,0,0,1)</f>
        <v>13557345689.084</v>
      </c>
      <c r="Z246" s="140">
        <f>+_xlfn.XLOOKUP(PROYECTOS2[[#This Row],[MUNICIPIO]],'4.CAP_ENDMNT'!B:B,'4.CAP_ENDMNT'!G:G,0,0,1)</f>
        <v>5530076291</v>
      </c>
      <c r="AA246" s="140">
        <f>+_xlfn.XLOOKUP(PROYECTOS2[[#This Row],[MUNICIPIO]],'4.CAP_ENDMNT'!B:B,'4.CAP_ENDMNT'!H:H,0,0,1)</f>
        <v>135075758</v>
      </c>
      <c r="AB246" s="140">
        <f>+_xlfn.XLOOKUP(PROYECTOS2[[#This Row],[MUNICIPIO]],'4.CAP_ENDMNT'!B:B,'4.CAP_ENDMNT'!I:I,0,0,1)</f>
        <v>5665152049</v>
      </c>
      <c r="AC246" s="134">
        <f>+_xlfn.XLOOKUP(PROYECTOS2[[#This Row],[MUNICIPIO]],'4.CAP_ENDMNT'!B:B,'4.CAP_ENDMNT'!J:J,0,0,1)</f>
        <v>0.28637859258715448</v>
      </c>
      <c r="AD246" s="140">
        <f>+_xlfn.XLOOKUP(PROYECTOS2[[#This Row],[MUNICIPIO]],'4.CAP_ENDMNT'!B:B,'4.CAP_ENDMNT'!K:K,0,0,1)</f>
        <v>14116885420.424</v>
      </c>
      <c r="AE246" s="140">
        <f>+_xlfn.XLOOKUP(PROYECTOS2[[#This Row],[MUNICIPIO]],'4.CAP_ENDMNT'!B:B,'4.CAP_ENDMNT'!L:L,0,0,1)</f>
        <v>11293508336.339201</v>
      </c>
      <c r="AF246" s="140">
        <f>+_xlfn.XLOOKUP(PROYECTOS2[[#This Row],[MUNICIPIO]],'4.CAP_ENDMNT'!B:B,'4.CAP_ENDMNT'!M:M,0,0,1)</f>
        <v>8470131252.2543993</v>
      </c>
      <c r="AG246" s="134">
        <f>+_xlfn.XLOOKUP(PROYECTOS2[[#This Row],[MUNICIPIO]],'4.CAP_ENDMNT'!B:B,'4.CAP_ENDMNT'!N:N,0,0,1)</f>
        <v>0.97615672856938707</v>
      </c>
      <c r="AH246" s="134">
        <f>+_xlfn.XLOOKUP(PROYECTOS2[[#This Row],[MUNICIPIO]],'4.CAP_ENDMNT'!B:B,'4.CAP_ENDMNT'!O:O,0,0,1)</f>
        <v>0.63121490876418529</v>
      </c>
      <c r="AI246" s="134">
        <f>+_xlfn.XLOOKUP(PROYECTOS2[[#This Row],[MUNICIPIO]],'4.CAP_ENDMNT'!B:B,'4.CAP_ENDMNT'!P:P,0,0,1)</f>
        <v>0.8</v>
      </c>
      <c r="AJ246" s="44" t="str">
        <f>+_xlfn.XLOOKUP(PROYECTOS2[[#This Row],[MUNICIPIO]],'4.CAP_ENDMNT'!B:B,'4.CAP_ENDMNT'!Q:Q,0,0,1)</f>
        <v>Cumple</v>
      </c>
    </row>
    <row r="247" spans="1:36">
      <c r="A247" s="44">
        <v>270</v>
      </c>
      <c r="B247" s="37" t="s">
        <v>564</v>
      </c>
      <c r="C247" s="118">
        <f>+_xlfn.XLOOKUP(PROYECTOS2[[#This Row],[ID_NECESIDAD]],'1.RADICADOS'!G:G,'1.RADICADOS'!C:C,0,0,1)*1</f>
        <v>45516</v>
      </c>
      <c r="D247" s="46" t="s">
        <v>339</v>
      </c>
      <c r="E247" s="47" t="str">
        <f>+_xlfn.XLOOKUP(PROYECTOS2[[#This Row],[MUNICIPIO]],MUNICIPIOS!A:A,MUNICIPIOS!E:E,0,0,1)</f>
        <v>Magdalena Medio</v>
      </c>
      <c r="F247" s="44" t="e" cm="1">
        <f t="array" ref="F247">+_xlfn.XLOOKUP(PROYECTOS2[[#This Row],[MUNICIPIO]],Table1[Municipio],MUNICIPIOS!F:F,0,0,1)</f>
        <v>#VALUE!</v>
      </c>
      <c r="G247" s="47" t="str">
        <f>+LOOKUP(PROYECTOS2[[#This Row],[MUNICIPIO]],Table1[Municipio],Table1[Latitud])</f>
        <v>6,149903</v>
      </c>
      <c r="H247" s="47">
        <f>+LOOKUP(PROYECTOS2[[#This Row],[MUNICIPIO]],Table1[Municipio],Table1[PDET])</f>
        <v>0</v>
      </c>
      <c r="I247" s="44">
        <f>+LOOKUP(PROYECTOS2[[#This Row],[MUNICIPIO]],Table1[Municipio],Table1[ZOMAC])</f>
        <v>0</v>
      </c>
      <c r="J247" s="3" t="str" cm="1">
        <f t="array" ref="J247">_xlfn.TEXTJOIN(", ", TRUE, IF(radicados[ID PROYECTOS]=A247, radicados[RADICADO], ""))</f>
        <v>2024010363244</v>
      </c>
      <c r="K247" s="45">
        <v>2</v>
      </c>
      <c r="L247" s="45"/>
      <c r="M247" s="43"/>
      <c r="N247" s="48"/>
      <c r="O247" s="48"/>
      <c r="P247" s="48"/>
      <c r="Q247" s="148" t="s">
        <v>1067</v>
      </c>
      <c r="R247" s="34" t="s">
        <v>396</v>
      </c>
      <c r="S247" s="40" t="s">
        <v>397</v>
      </c>
      <c r="T247" s="40" t="s">
        <v>56</v>
      </c>
      <c r="U247" s="37" t="s">
        <v>941</v>
      </c>
      <c r="V247" s="44">
        <f>+_xlfn.XLOOKUP(PROYECTOS2[[#This Row],[MUNICIPIO]],'4.CAP_ENDMNT'!B:B,'4.CAP_ENDMNT'!C:C,0,0,1)</f>
        <v>6</v>
      </c>
      <c r="W247" s="139">
        <f>+_xlfn.XLOOKUP(PROYECTOS2[[#This Row],[MUNICIPIO]],'4.CAP_ENDMNT'!B:B,'4.CAP_ENDMNT'!D:D,0,0,1)</f>
        <v>30235702409.850498</v>
      </c>
      <c r="X247" s="140">
        <f>+_xlfn.XLOOKUP(PROYECTOS2[[#This Row],[MUNICIPIO]],'4.CAP_ENDMNT'!B:B,'4.CAP_ENDMNT'!E:E,0,0,1)</f>
        <v>8068276995.0799999</v>
      </c>
      <c r="Y247" s="140">
        <f>+_xlfn.XLOOKUP(PROYECTOS2[[#This Row],[MUNICIPIO]],'4.CAP_ENDMNT'!B:B,'4.CAP_ENDMNT'!F:F,0,0,1)</f>
        <v>22167425414.7705</v>
      </c>
      <c r="Z247" s="140">
        <f>+_xlfn.XLOOKUP(PROYECTOS2[[#This Row],[MUNICIPIO]],'4.CAP_ENDMNT'!B:B,'4.CAP_ENDMNT'!G:G,0,0,1)</f>
        <v>0</v>
      </c>
      <c r="AA247" s="140">
        <f>+_xlfn.XLOOKUP(PROYECTOS2[[#This Row],[MUNICIPIO]],'4.CAP_ENDMNT'!B:B,'4.CAP_ENDMNT'!H:H,0,0,1)</f>
        <v>0</v>
      </c>
      <c r="AB247" s="140">
        <f>+_xlfn.XLOOKUP(PROYECTOS2[[#This Row],[MUNICIPIO]],'4.CAP_ENDMNT'!B:B,'4.CAP_ENDMNT'!I:I,0,0,1)</f>
        <v>0</v>
      </c>
      <c r="AC247" s="134">
        <f>+_xlfn.XLOOKUP(PROYECTOS2[[#This Row],[MUNICIPIO]],'4.CAP_ENDMNT'!B:B,'4.CAP_ENDMNT'!J:J,0,0,1)</f>
        <v>0</v>
      </c>
      <c r="AD247" s="140">
        <f>+_xlfn.XLOOKUP(PROYECTOS2[[#This Row],[MUNICIPIO]],'4.CAP_ENDMNT'!B:B,'4.CAP_ENDMNT'!K:K,0,0,1)</f>
        <v>30235702409.850498</v>
      </c>
      <c r="AE247" s="140">
        <f>+_xlfn.XLOOKUP(PROYECTOS2[[#This Row],[MUNICIPIO]],'4.CAP_ENDMNT'!B:B,'4.CAP_ENDMNT'!L:L,0,0,1)</f>
        <v>24188561927.880402</v>
      </c>
      <c r="AF247" s="140">
        <f>+_xlfn.XLOOKUP(PROYECTOS2[[#This Row],[MUNICIPIO]],'4.CAP_ENDMNT'!B:B,'4.CAP_ENDMNT'!M:M,0,0,1)</f>
        <v>18141421445.910297</v>
      </c>
      <c r="AG247" s="134">
        <f>+_xlfn.XLOOKUP(PROYECTOS2[[#This Row],[MUNICIPIO]],'4.CAP_ENDMNT'!B:B,'4.CAP_ENDMNT'!N:N,0,0,1)</f>
        <v>0</v>
      </c>
      <c r="AH247" s="134">
        <f>+_xlfn.XLOOKUP(PROYECTOS2[[#This Row],[MUNICIPIO]],'4.CAP_ENDMNT'!B:B,'4.CAP_ENDMNT'!O:O,0,0,1)</f>
        <v>0.48110149713114325</v>
      </c>
      <c r="AI247" s="134">
        <f>+_xlfn.XLOOKUP(PROYECTOS2[[#This Row],[MUNICIPIO]],'4.CAP_ENDMNT'!B:B,'4.CAP_ENDMNT'!P:P,0,0,1)</f>
        <v>0.8</v>
      </c>
      <c r="AJ247" s="44" t="str">
        <f>+_xlfn.XLOOKUP(PROYECTOS2[[#This Row],[MUNICIPIO]],'4.CAP_ENDMNT'!B:B,'4.CAP_ENDMNT'!Q:Q,0,0,1)</f>
        <v>Cumple</v>
      </c>
    </row>
    <row r="248" spans="1:36">
      <c r="A248" s="44">
        <v>271</v>
      </c>
      <c r="B248" s="37" t="s">
        <v>565</v>
      </c>
      <c r="C248" s="118">
        <v>45747</v>
      </c>
      <c r="D248" s="46" t="s">
        <v>473</v>
      </c>
      <c r="E248" s="47" t="str">
        <f>+_xlfn.XLOOKUP(PROYECTOS2[[#This Row],[MUNICIPIO]],MUNICIPIOS!A:A,MUNICIPIOS!E:E,0,0,1)</f>
        <v>Magdalena Medio</v>
      </c>
      <c r="F248" s="44" t="e" cm="1">
        <f t="array" ref="F248">+_xlfn.XLOOKUP(PROYECTOS2[[#This Row],[MUNICIPIO]],Table1[Municipio],MUNICIPIOS!F:F,0,0,1)</f>
        <v>#VALUE!</v>
      </c>
      <c r="G248" s="44" t="str">
        <f>+LOOKUP(PROYECTOS2[[#This Row],[MUNICIPIO]],Table1[Municipio],Table1[Latitud])</f>
        <v>7,074703</v>
      </c>
      <c r="H248" s="44">
        <f>+LOOKUP(PROYECTOS2[[#This Row],[MUNICIPIO]],Table1[Municipio],Table1[PDET])</f>
        <v>1</v>
      </c>
      <c r="I248" s="44">
        <f>+LOOKUP(PROYECTOS2[[#This Row],[MUNICIPIO]],Table1[Municipio],Table1[ZOMAC])</f>
        <v>1</v>
      </c>
      <c r="J248" s="3" t="str" cm="1">
        <f t="array" ref="J248">_xlfn.TEXTJOIN(", ", TRUE, IF(radicados[ID PROYECTOS]=A248, radicados[RADICADO], ""))</f>
        <v/>
      </c>
      <c r="K248" s="45">
        <v>1</v>
      </c>
      <c r="L248" s="45"/>
      <c r="M248" s="43"/>
      <c r="N248" s="48">
        <v>237600000</v>
      </c>
      <c r="O248" s="48"/>
      <c r="P248" s="48"/>
      <c r="Q248" s="148" t="s">
        <v>1067</v>
      </c>
      <c r="R248" s="34" t="s">
        <v>407</v>
      </c>
      <c r="S248" s="40" t="s">
        <v>397</v>
      </c>
      <c r="T248" s="40" t="s">
        <v>56</v>
      </c>
      <c r="U248" s="37" t="s">
        <v>541</v>
      </c>
      <c r="V248" s="44">
        <f>+_xlfn.XLOOKUP(PROYECTOS2[[#This Row],[MUNICIPIO]],'4.CAP_ENDMNT'!B:B,'4.CAP_ENDMNT'!C:C,0,0,1)</f>
        <v>6</v>
      </c>
      <c r="W248" s="139">
        <f>+_xlfn.XLOOKUP(PROYECTOS2[[#This Row],[MUNICIPIO]],'4.CAP_ENDMNT'!B:B,'4.CAP_ENDMNT'!D:D,0,0,1)</f>
        <v>6287173903.2990007</v>
      </c>
      <c r="X248" s="140">
        <f>+_xlfn.XLOOKUP(PROYECTOS2[[#This Row],[MUNICIPIO]],'4.CAP_ENDMNT'!B:B,'4.CAP_ENDMNT'!E:E,0,0,1)</f>
        <v>2101889048.3700001</v>
      </c>
      <c r="Y248" s="140">
        <f>+_xlfn.XLOOKUP(PROYECTOS2[[#This Row],[MUNICIPIO]],'4.CAP_ENDMNT'!B:B,'4.CAP_ENDMNT'!F:F,0,0,1)</f>
        <v>4185284854.9290009</v>
      </c>
      <c r="Z248" s="140">
        <f>+_xlfn.XLOOKUP(PROYECTOS2[[#This Row],[MUNICIPIO]],'4.CAP_ENDMNT'!B:B,'4.CAP_ENDMNT'!G:G,0,0,1)</f>
        <v>1389004859</v>
      </c>
      <c r="AA248" s="140">
        <f>+_xlfn.XLOOKUP(PROYECTOS2[[#This Row],[MUNICIPIO]],'4.CAP_ENDMNT'!B:B,'4.CAP_ENDMNT'!H:H,0,0,1)</f>
        <v>1150000000</v>
      </c>
      <c r="AB248" s="140">
        <f>+_xlfn.XLOOKUP(PROYECTOS2[[#This Row],[MUNICIPIO]],'4.CAP_ENDMNT'!B:B,'4.CAP_ENDMNT'!I:I,0,0,1)</f>
        <v>2539004859</v>
      </c>
      <c r="AC248" s="134">
        <f>+_xlfn.XLOOKUP(PROYECTOS2[[#This Row],[MUNICIPIO]],'4.CAP_ENDMNT'!B:B,'4.CAP_ENDMNT'!J:J,0,0,1)</f>
        <v>0.40383881503066671</v>
      </c>
      <c r="AD248" s="140">
        <f>+_xlfn.XLOOKUP(PROYECTOS2[[#This Row],[MUNICIPIO]],'4.CAP_ENDMNT'!B:B,'4.CAP_ENDMNT'!K:K,0,0,1)</f>
        <v>3748169044.2990007</v>
      </c>
      <c r="AE248" s="140">
        <f>+_xlfn.XLOOKUP(PROYECTOS2[[#This Row],[MUNICIPIO]],'4.CAP_ENDMNT'!B:B,'4.CAP_ENDMNT'!L:L,0,0,1)</f>
        <v>2998535235.4392009</v>
      </c>
      <c r="AF248" s="140">
        <f>+_xlfn.XLOOKUP(PROYECTOS2[[#This Row],[MUNICIPIO]],'4.CAP_ENDMNT'!B:B,'4.CAP_ENDMNT'!M:M,0,0,1)</f>
        <v>2248901426.5794005</v>
      </c>
      <c r="AG248" s="134">
        <f>+_xlfn.XLOOKUP(PROYECTOS2[[#This Row],[MUNICIPIO]],'4.CAP_ENDMNT'!B:B,'4.CAP_ENDMNT'!N:N,0,0,1)</f>
        <v>0.54706664072595224</v>
      </c>
      <c r="AH248" s="134">
        <f>+_xlfn.XLOOKUP(PROYECTOS2[[#This Row],[MUNICIPIO]],'4.CAP_ENDMNT'!B:B,'4.CAP_ENDMNT'!O:O,0,0,1)</f>
        <v>0.5833393396108878</v>
      </c>
      <c r="AI248" s="134">
        <f>+_xlfn.XLOOKUP(PROYECTOS2[[#This Row],[MUNICIPIO]],'4.CAP_ENDMNT'!B:B,'4.CAP_ENDMNT'!P:P,0,0,1)</f>
        <v>0.8</v>
      </c>
      <c r="AJ248" s="44" t="str">
        <f>+_xlfn.XLOOKUP(PROYECTOS2[[#This Row],[MUNICIPIO]],'4.CAP_ENDMNT'!B:B,'4.CAP_ENDMNT'!Q:Q,0,0,1)</f>
        <v>Cumple</v>
      </c>
    </row>
    <row r="249" spans="1:36">
      <c r="A249" s="44">
        <v>272</v>
      </c>
      <c r="B249" s="37" t="s">
        <v>566</v>
      </c>
      <c r="C249" s="118">
        <v>45747</v>
      </c>
      <c r="D249" s="46" t="s">
        <v>311</v>
      </c>
      <c r="E249" s="47" t="str">
        <f>+_xlfn.XLOOKUP(PROYECTOS2[[#This Row],[MUNICIPIO]],MUNICIPIOS!A:A,MUNICIPIOS!E:E,0,0,1)</f>
        <v>Magdalena Medio</v>
      </c>
      <c r="F249" s="44" t="e" cm="1">
        <f t="array" ref="F249">+_xlfn.XLOOKUP(PROYECTOS2[[#This Row],[MUNICIPIO]],Table1[Municipio],MUNICIPIOS!F:F,0,0,1)</f>
        <v>#VALUE!</v>
      </c>
      <c r="G249" s="44" t="str">
        <f>+LOOKUP(PROYECTOS2[[#This Row],[MUNICIPIO]],Table1[Municipio],Table1[Latitud])</f>
        <v>5,743808</v>
      </c>
      <c r="H249" s="44">
        <f>+LOOKUP(PROYECTOS2[[#This Row],[MUNICIPIO]],Table1[Municipio],Table1[PDET])</f>
        <v>0</v>
      </c>
      <c r="I249" s="44">
        <f>+LOOKUP(PROYECTOS2[[#This Row],[MUNICIPIO]],Table1[Municipio],Table1[ZOMAC])</f>
        <v>0</v>
      </c>
      <c r="J249" s="3" t="str" cm="1">
        <f t="array" ref="J249">_xlfn.TEXTJOIN(", ", TRUE, IF(radicados[ID PROYECTOS]=A249, radicados[RADICADO], ""))</f>
        <v/>
      </c>
      <c r="K249" s="45">
        <v>1</v>
      </c>
      <c r="L249" s="45"/>
      <c r="M249" s="43"/>
      <c r="N249" s="48">
        <v>270000000</v>
      </c>
      <c r="O249" s="48"/>
      <c r="P249" s="48"/>
      <c r="Q249" s="148" t="s">
        <v>1067</v>
      </c>
      <c r="R249" s="34" t="s">
        <v>407</v>
      </c>
      <c r="S249" s="40" t="s">
        <v>397</v>
      </c>
      <c r="T249" s="40" t="s">
        <v>56</v>
      </c>
      <c r="U249" s="37" t="s">
        <v>541</v>
      </c>
      <c r="V249" s="44">
        <f>+_xlfn.XLOOKUP(PROYECTOS2[[#This Row],[MUNICIPIO]],'4.CAP_ENDMNT'!B:B,'4.CAP_ENDMNT'!C:C,0,0,1)</f>
        <v>6</v>
      </c>
      <c r="W249" s="139">
        <f>+_xlfn.XLOOKUP(PROYECTOS2[[#This Row],[MUNICIPIO]],'4.CAP_ENDMNT'!B:B,'4.CAP_ENDMNT'!D:D,0,0,1)</f>
        <v>12443958135.744499</v>
      </c>
      <c r="X249" s="140">
        <f>+_xlfn.XLOOKUP(PROYECTOS2[[#This Row],[MUNICIPIO]],'4.CAP_ENDMNT'!B:B,'4.CAP_ENDMNT'!E:E,0,0,1)</f>
        <v>4756407219.6099997</v>
      </c>
      <c r="Y249" s="140">
        <f>+_xlfn.XLOOKUP(PROYECTOS2[[#This Row],[MUNICIPIO]],'4.CAP_ENDMNT'!B:B,'4.CAP_ENDMNT'!F:F,0,0,1)</f>
        <v>7687550916.1344995</v>
      </c>
      <c r="Z249" s="140">
        <f>+_xlfn.XLOOKUP(PROYECTOS2[[#This Row],[MUNICIPIO]],'4.CAP_ENDMNT'!B:B,'4.CAP_ENDMNT'!G:G,0,0,1)</f>
        <v>8000000000</v>
      </c>
      <c r="AA249" s="140">
        <f>+_xlfn.XLOOKUP(PROYECTOS2[[#This Row],[MUNICIPIO]],'4.CAP_ENDMNT'!B:B,'4.CAP_ENDMNT'!H:H,0,0,1)</f>
        <v>0</v>
      </c>
      <c r="AB249" s="140">
        <f>+_xlfn.XLOOKUP(PROYECTOS2[[#This Row],[MUNICIPIO]],'4.CAP_ENDMNT'!B:B,'4.CAP_ENDMNT'!I:I,0,0,1)</f>
        <v>8000000000</v>
      </c>
      <c r="AC249" s="134">
        <f>+_xlfn.XLOOKUP(PROYECTOS2[[#This Row],[MUNICIPIO]],'4.CAP_ENDMNT'!B:B,'4.CAP_ENDMNT'!J:J,0,0,1)</f>
        <v>0.64288226565312012</v>
      </c>
      <c r="AD249" s="140">
        <f>+_xlfn.XLOOKUP(PROYECTOS2[[#This Row],[MUNICIPIO]],'4.CAP_ENDMNT'!B:B,'4.CAP_ENDMNT'!K:K,0,0,1)</f>
        <v>4443958135.7444992</v>
      </c>
      <c r="AE249" s="140">
        <f>+_xlfn.XLOOKUP(PROYECTOS2[[#This Row],[MUNICIPIO]],'4.CAP_ENDMNT'!B:B,'4.CAP_ENDMNT'!L:L,0,0,1)</f>
        <v>3555166508.5955997</v>
      </c>
      <c r="AF249" s="140">
        <f>+_xlfn.XLOOKUP(PROYECTOS2[[#This Row],[MUNICIPIO]],'4.CAP_ENDMNT'!B:B,'4.CAP_ENDMNT'!M:M,0,0,1)</f>
        <v>2666374881.4466996</v>
      </c>
      <c r="AG249" s="134">
        <f>+_xlfn.XLOOKUP(PROYECTOS2[[#This Row],[MUNICIPIO]],'4.CAP_ENDMNT'!B:B,'4.CAP_ENDMNT'!N:N,0,0,1)</f>
        <v>1</v>
      </c>
      <c r="AH249" s="134">
        <f>+_xlfn.XLOOKUP(PROYECTOS2[[#This Row],[MUNICIPIO]],'4.CAP_ENDMNT'!B:B,'4.CAP_ENDMNT'!O:O,0,0,1)</f>
        <v>0.49448054880206244</v>
      </c>
      <c r="AI249" s="134">
        <f>+_xlfn.XLOOKUP(PROYECTOS2[[#This Row],[MUNICIPIO]],'4.CAP_ENDMNT'!B:B,'4.CAP_ENDMNT'!P:P,0,0,1)</f>
        <v>0.8</v>
      </c>
      <c r="AJ249" s="44" t="str">
        <f>+_xlfn.XLOOKUP(PROYECTOS2[[#This Row],[MUNICIPIO]],'4.CAP_ENDMNT'!B:B,'4.CAP_ENDMNT'!Q:Q,0,0,1)</f>
        <v>Cumple</v>
      </c>
    </row>
    <row r="250" spans="1:36">
      <c r="A250" s="44">
        <v>273</v>
      </c>
      <c r="B250" s="37" t="s">
        <v>567</v>
      </c>
      <c r="C250" s="118">
        <v>45747</v>
      </c>
      <c r="D250" s="46" t="s">
        <v>473</v>
      </c>
      <c r="E250" s="47" t="str">
        <f>+_xlfn.XLOOKUP(PROYECTOS2[[#This Row],[MUNICIPIO]],MUNICIPIOS!A:A,MUNICIPIOS!E:E,0,0,1)</f>
        <v>Magdalena Medio</v>
      </c>
      <c r="F250" s="44" t="e" cm="1">
        <f t="array" ref="F250">+_xlfn.XLOOKUP(PROYECTOS2[[#This Row],[MUNICIPIO]],Table1[Municipio],MUNICIPIOS!F:F,0,0,1)</f>
        <v>#VALUE!</v>
      </c>
      <c r="G250" s="44" t="str">
        <f>+LOOKUP(PROYECTOS2[[#This Row],[MUNICIPIO]],Table1[Municipio],Table1[Latitud])</f>
        <v>7,074703</v>
      </c>
      <c r="H250" s="44">
        <f>+LOOKUP(PROYECTOS2[[#This Row],[MUNICIPIO]],Table1[Municipio],Table1[PDET])</f>
        <v>1</v>
      </c>
      <c r="I250" s="44">
        <f>+LOOKUP(PROYECTOS2[[#This Row],[MUNICIPIO]],Table1[Municipio],Table1[ZOMAC])</f>
        <v>1</v>
      </c>
      <c r="J250" s="3" t="str" cm="1">
        <f t="array" ref="J250">_xlfn.TEXTJOIN(", ", TRUE, IF(radicados[ID PROYECTOS]=A250, radicados[RADICADO], ""))</f>
        <v/>
      </c>
      <c r="K250" s="45">
        <v>1</v>
      </c>
      <c r="L250" s="45"/>
      <c r="M250" s="43"/>
      <c r="N250" s="48">
        <v>1480000000</v>
      </c>
      <c r="O250" s="48"/>
      <c r="P250" s="48"/>
      <c r="Q250" s="148" t="s">
        <v>1067</v>
      </c>
      <c r="R250" s="34" t="s">
        <v>407</v>
      </c>
      <c r="S250" s="40" t="s">
        <v>397</v>
      </c>
      <c r="T250" s="40" t="s">
        <v>56</v>
      </c>
      <c r="U250" s="37" t="s">
        <v>541</v>
      </c>
      <c r="V250" s="44">
        <f>+_xlfn.XLOOKUP(PROYECTOS2[[#This Row],[MUNICIPIO]],'4.CAP_ENDMNT'!B:B,'4.CAP_ENDMNT'!C:C,0,0,1)</f>
        <v>6</v>
      </c>
      <c r="W250" s="139">
        <f>+_xlfn.XLOOKUP(PROYECTOS2[[#This Row],[MUNICIPIO]],'4.CAP_ENDMNT'!B:B,'4.CAP_ENDMNT'!D:D,0,0,1)</f>
        <v>6287173903.2990007</v>
      </c>
      <c r="X250" s="140">
        <f>+_xlfn.XLOOKUP(PROYECTOS2[[#This Row],[MUNICIPIO]],'4.CAP_ENDMNT'!B:B,'4.CAP_ENDMNT'!E:E,0,0,1)</f>
        <v>2101889048.3700001</v>
      </c>
      <c r="Y250" s="140">
        <f>+_xlfn.XLOOKUP(PROYECTOS2[[#This Row],[MUNICIPIO]],'4.CAP_ENDMNT'!B:B,'4.CAP_ENDMNT'!F:F,0,0,1)</f>
        <v>4185284854.9290009</v>
      </c>
      <c r="Z250" s="140">
        <f>+_xlfn.XLOOKUP(PROYECTOS2[[#This Row],[MUNICIPIO]],'4.CAP_ENDMNT'!B:B,'4.CAP_ENDMNT'!G:G,0,0,1)</f>
        <v>1389004859</v>
      </c>
      <c r="AA250" s="140">
        <f>+_xlfn.XLOOKUP(PROYECTOS2[[#This Row],[MUNICIPIO]],'4.CAP_ENDMNT'!B:B,'4.CAP_ENDMNT'!H:H,0,0,1)</f>
        <v>1150000000</v>
      </c>
      <c r="AB250" s="140">
        <f>+_xlfn.XLOOKUP(PROYECTOS2[[#This Row],[MUNICIPIO]],'4.CAP_ENDMNT'!B:B,'4.CAP_ENDMNT'!I:I,0,0,1)</f>
        <v>2539004859</v>
      </c>
      <c r="AC250" s="134">
        <f>+_xlfn.XLOOKUP(PROYECTOS2[[#This Row],[MUNICIPIO]],'4.CAP_ENDMNT'!B:B,'4.CAP_ENDMNT'!J:J,0,0,1)</f>
        <v>0.40383881503066671</v>
      </c>
      <c r="AD250" s="140">
        <f>+_xlfn.XLOOKUP(PROYECTOS2[[#This Row],[MUNICIPIO]],'4.CAP_ENDMNT'!B:B,'4.CAP_ENDMNT'!K:K,0,0,1)</f>
        <v>3748169044.2990007</v>
      </c>
      <c r="AE250" s="140">
        <f>+_xlfn.XLOOKUP(PROYECTOS2[[#This Row],[MUNICIPIO]],'4.CAP_ENDMNT'!B:B,'4.CAP_ENDMNT'!L:L,0,0,1)</f>
        <v>2998535235.4392009</v>
      </c>
      <c r="AF250" s="140">
        <f>+_xlfn.XLOOKUP(PROYECTOS2[[#This Row],[MUNICIPIO]],'4.CAP_ENDMNT'!B:B,'4.CAP_ENDMNT'!M:M,0,0,1)</f>
        <v>2248901426.5794005</v>
      </c>
      <c r="AG250" s="134">
        <f>+_xlfn.XLOOKUP(PROYECTOS2[[#This Row],[MUNICIPIO]],'4.CAP_ENDMNT'!B:B,'4.CAP_ENDMNT'!N:N,0,0,1)</f>
        <v>0.54706664072595224</v>
      </c>
      <c r="AH250" s="134">
        <f>+_xlfn.XLOOKUP(PROYECTOS2[[#This Row],[MUNICIPIO]],'4.CAP_ENDMNT'!B:B,'4.CAP_ENDMNT'!O:O,0,0,1)</f>
        <v>0.5833393396108878</v>
      </c>
      <c r="AI250" s="134">
        <f>+_xlfn.XLOOKUP(PROYECTOS2[[#This Row],[MUNICIPIO]],'4.CAP_ENDMNT'!B:B,'4.CAP_ENDMNT'!P:P,0,0,1)</f>
        <v>0.8</v>
      </c>
      <c r="AJ250" s="44" t="str">
        <f>+_xlfn.XLOOKUP(PROYECTOS2[[#This Row],[MUNICIPIO]],'4.CAP_ENDMNT'!B:B,'4.CAP_ENDMNT'!Q:Q,0,0,1)</f>
        <v>Cumple</v>
      </c>
    </row>
    <row r="251" spans="1:36">
      <c r="A251" s="44">
        <v>274</v>
      </c>
      <c r="B251" s="37" t="s">
        <v>568</v>
      </c>
      <c r="C251" s="118">
        <v>45747</v>
      </c>
      <c r="D251" s="46" t="s">
        <v>448</v>
      </c>
      <c r="E251" s="47" t="str">
        <f>+_xlfn.XLOOKUP(PROYECTOS2[[#This Row],[MUNICIPIO]],MUNICIPIOS!A:A,MUNICIPIOS!E:E,0,0,1)</f>
        <v>Occidente</v>
      </c>
      <c r="F251" s="44" t="e" cm="1">
        <f t="array" ref="F251">+_xlfn.XLOOKUP(PROYECTOS2[[#This Row],[MUNICIPIO]],Table1[Municipio],MUNICIPIOS!F:F,0,0,1)</f>
        <v>#VALUE!</v>
      </c>
      <c r="G251" s="44" t="str">
        <f>+LOOKUP(PROYECTOS2[[#This Row],[MUNICIPIO]],Table1[Municipio],Table1[Latitud])</f>
        <v>7,074703</v>
      </c>
      <c r="H251" s="44">
        <f>+LOOKUP(PROYECTOS2[[#This Row],[MUNICIPIO]],Table1[Municipio],Table1[PDET])</f>
        <v>1</v>
      </c>
      <c r="I251" s="44">
        <f>+LOOKUP(PROYECTOS2[[#This Row],[MUNICIPIO]],Table1[Municipio],Table1[ZOMAC])</f>
        <v>1</v>
      </c>
      <c r="J251" s="3" t="str" cm="1">
        <f t="array" ref="J251">_xlfn.TEXTJOIN(", ", TRUE, IF(radicados[ID PROYECTOS]=A251, radicados[RADICADO], ""))</f>
        <v/>
      </c>
      <c r="K251" s="45">
        <v>1</v>
      </c>
      <c r="L251" s="45"/>
      <c r="M251" s="43"/>
      <c r="N251" s="48">
        <v>2988045496</v>
      </c>
      <c r="O251" s="48"/>
      <c r="P251" s="48"/>
      <c r="Q251" s="148" t="s">
        <v>1067</v>
      </c>
      <c r="R251" s="34" t="s">
        <v>407</v>
      </c>
      <c r="S251" s="40" t="s">
        <v>397</v>
      </c>
      <c r="T251" s="40" t="s">
        <v>56</v>
      </c>
      <c r="U251" s="37" t="s">
        <v>541</v>
      </c>
      <c r="V251" s="44">
        <f>+_xlfn.XLOOKUP(PROYECTOS2[[#This Row],[MUNICIPIO]],'4.CAP_ENDMNT'!B:B,'4.CAP_ENDMNT'!C:C,0,0,1)</f>
        <v>6</v>
      </c>
      <c r="W251" s="139">
        <f>+_xlfn.XLOOKUP(PROYECTOS2[[#This Row],[MUNICIPIO]],'4.CAP_ENDMNT'!B:B,'4.CAP_ENDMNT'!D:D,0,0,1)</f>
        <v>8536446221.1044998</v>
      </c>
      <c r="X251" s="140">
        <f>+_xlfn.XLOOKUP(PROYECTOS2[[#This Row],[MUNICIPIO]],'4.CAP_ENDMNT'!B:B,'4.CAP_ENDMNT'!E:E,0,0,1)</f>
        <v>2840287960.8099999</v>
      </c>
      <c r="Y251" s="140">
        <f>+_xlfn.XLOOKUP(PROYECTOS2[[#This Row],[MUNICIPIO]],'4.CAP_ENDMNT'!B:B,'4.CAP_ENDMNT'!F:F,0,0,1)</f>
        <v>5696158260.2945004</v>
      </c>
      <c r="Z251" s="140">
        <f>+_xlfn.XLOOKUP(PROYECTOS2[[#This Row],[MUNICIPIO]],'4.CAP_ENDMNT'!B:B,'4.CAP_ENDMNT'!G:G,0,0,1)</f>
        <v>1059912604</v>
      </c>
      <c r="AA251" s="140">
        <f>+_xlfn.XLOOKUP(PROYECTOS2[[#This Row],[MUNICIPIO]],'4.CAP_ENDMNT'!B:B,'4.CAP_ENDMNT'!H:H,0,0,1)</f>
        <v>559890374</v>
      </c>
      <c r="AB251" s="140">
        <f>+_xlfn.XLOOKUP(PROYECTOS2[[#This Row],[MUNICIPIO]],'4.CAP_ENDMNT'!B:B,'4.CAP_ENDMNT'!I:I,0,0,1)</f>
        <v>1619802978</v>
      </c>
      <c r="AC251" s="134">
        <f>+_xlfn.XLOOKUP(PROYECTOS2[[#This Row],[MUNICIPIO]],'4.CAP_ENDMNT'!B:B,'4.CAP_ENDMNT'!J:J,0,0,1)</f>
        <v>0.18975144176453554</v>
      </c>
      <c r="AD251" s="140">
        <f>+_xlfn.XLOOKUP(PROYECTOS2[[#This Row],[MUNICIPIO]],'4.CAP_ENDMNT'!B:B,'4.CAP_ENDMNT'!K:K,0,0,1)</f>
        <v>6916643243.1044998</v>
      </c>
      <c r="AE251" s="140">
        <f>+_xlfn.XLOOKUP(PROYECTOS2[[#This Row],[MUNICIPIO]],'4.CAP_ENDMNT'!B:B,'4.CAP_ENDMNT'!L:L,0,0,1)</f>
        <v>5533314594.4836006</v>
      </c>
      <c r="AF251" s="140">
        <f>+_xlfn.XLOOKUP(PROYECTOS2[[#This Row],[MUNICIPIO]],'4.CAP_ENDMNT'!B:B,'4.CAP_ENDMNT'!M:M,0,0,1)</f>
        <v>4149985945.8626995</v>
      </c>
      <c r="AG251" s="134">
        <f>+_xlfn.XLOOKUP(PROYECTOS2[[#This Row],[MUNICIPIO]],'4.CAP_ENDMNT'!B:B,'4.CAP_ENDMNT'!N:N,0,0,1)</f>
        <v>0.65434662017271583</v>
      </c>
      <c r="AH251" s="134">
        <f>+_xlfn.XLOOKUP(PROYECTOS2[[#This Row],[MUNICIPIO]],'4.CAP_ENDMNT'!B:B,'4.CAP_ENDMNT'!O:O,0,0,1)</f>
        <v>0.62730744736284794</v>
      </c>
      <c r="AI251" s="134">
        <f>+_xlfn.XLOOKUP(PROYECTOS2[[#This Row],[MUNICIPIO]],'4.CAP_ENDMNT'!B:B,'4.CAP_ENDMNT'!P:P,0,0,1)</f>
        <v>0.8</v>
      </c>
      <c r="AJ251" s="44" t="str">
        <f>+_xlfn.XLOOKUP(PROYECTOS2[[#This Row],[MUNICIPIO]],'4.CAP_ENDMNT'!B:B,'4.CAP_ENDMNT'!Q:Q,0,0,1)</f>
        <v>Cumple</v>
      </c>
    </row>
    <row r="252" spans="1:36">
      <c r="A252" s="44">
        <v>275</v>
      </c>
      <c r="B252" s="37" t="s">
        <v>569</v>
      </c>
      <c r="C252" s="118">
        <v>45747</v>
      </c>
      <c r="D252" s="46" t="s">
        <v>146</v>
      </c>
      <c r="E252" s="47" t="str">
        <f>+_xlfn.XLOOKUP(PROYECTOS2[[#This Row],[MUNICIPIO]],MUNICIPIOS!A:A,MUNICIPIOS!E:E,0,0,1)</f>
        <v>Suroeste</v>
      </c>
      <c r="F252" s="44" t="e" cm="1">
        <f t="array" ref="F252">+_xlfn.XLOOKUP(PROYECTOS2[[#This Row],[MUNICIPIO]],Table1[Municipio],MUNICIPIOS!F:F,0,0,1)</f>
        <v>#VALUE!</v>
      </c>
      <c r="G252" s="46" t="str">
        <f>+LOOKUP(PROYECTOS2[[#This Row],[MUNICIPIO]],Table1[Municipio],Table1[Latitud])</f>
        <v>6,149903</v>
      </c>
      <c r="H252" s="46">
        <f>+LOOKUP(PROYECTOS2[[#This Row],[MUNICIPIO]],Table1[Municipio],Table1[PDET])</f>
        <v>0</v>
      </c>
      <c r="I252" s="44">
        <f>+LOOKUP(PROYECTOS2[[#This Row],[MUNICIPIO]],Table1[Municipio],Table1[ZOMAC])</f>
        <v>0</v>
      </c>
      <c r="J252" s="3" t="str" cm="1">
        <f t="array" ref="J252">_xlfn.TEXTJOIN(", ", TRUE, IF(radicados[ID PROYECTOS]=A252, radicados[RADICADO], ""))</f>
        <v/>
      </c>
      <c r="K252" s="45">
        <v>1</v>
      </c>
      <c r="L252" s="45"/>
      <c r="M252" s="43"/>
      <c r="N252" s="48">
        <v>4964317907.5</v>
      </c>
      <c r="O252" s="48"/>
      <c r="P252" s="48"/>
      <c r="Q252" s="148" t="s">
        <v>1067</v>
      </c>
      <c r="R252" s="34" t="s">
        <v>407</v>
      </c>
      <c r="S252" s="40" t="s">
        <v>397</v>
      </c>
      <c r="T252" s="40" t="s">
        <v>56</v>
      </c>
      <c r="U252" s="37" t="s">
        <v>541</v>
      </c>
      <c r="V252" s="44">
        <f>+_xlfn.XLOOKUP(PROYECTOS2[[#This Row],[MUNICIPIO]],'4.CAP_ENDMNT'!B:B,'4.CAP_ENDMNT'!C:C,0,0,1)</f>
        <v>6</v>
      </c>
      <c r="W252" s="139">
        <f>+_xlfn.XLOOKUP(PROYECTOS2[[#This Row],[MUNICIPIO]],'4.CAP_ENDMNT'!B:B,'4.CAP_ENDMNT'!D:D,0,0,1)</f>
        <v>11592686445.107998</v>
      </c>
      <c r="X252" s="140">
        <f>+_xlfn.XLOOKUP(PROYECTOS2[[#This Row],[MUNICIPIO]],'4.CAP_ENDMNT'!B:B,'4.CAP_ENDMNT'!E:E,0,0,1)</f>
        <v>5670743725.9899998</v>
      </c>
      <c r="Y252" s="140">
        <f>+_xlfn.XLOOKUP(PROYECTOS2[[#This Row],[MUNICIPIO]],'4.CAP_ENDMNT'!B:B,'4.CAP_ENDMNT'!F:F,0,0,1)</f>
        <v>5921942719.1179981</v>
      </c>
      <c r="Z252" s="140">
        <f>+_xlfn.XLOOKUP(PROYECTOS2[[#This Row],[MUNICIPIO]],'4.CAP_ENDMNT'!B:B,'4.CAP_ENDMNT'!G:G,0,0,1)</f>
        <v>1149558272.3800001</v>
      </c>
      <c r="AA252" s="140">
        <f>+_xlfn.XLOOKUP(PROYECTOS2[[#This Row],[MUNICIPIO]],'4.CAP_ENDMNT'!B:B,'4.CAP_ENDMNT'!H:H,0,0,1)</f>
        <v>1133660976</v>
      </c>
      <c r="AB252" s="140">
        <f>+_xlfn.XLOOKUP(PROYECTOS2[[#This Row],[MUNICIPIO]],'4.CAP_ENDMNT'!B:B,'4.CAP_ENDMNT'!I:I,0,0,1)</f>
        <v>2283219248.3800001</v>
      </c>
      <c r="AC252" s="134">
        <f>+_xlfn.XLOOKUP(PROYECTOS2[[#This Row],[MUNICIPIO]],'4.CAP_ENDMNT'!B:B,'4.CAP_ENDMNT'!J:J,0,0,1)</f>
        <v>0.19695342052001213</v>
      </c>
      <c r="AD252" s="140">
        <f>+_xlfn.XLOOKUP(PROYECTOS2[[#This Row],[MUNICIPIO]],'4.CAP_ENDMNT'!B:B,'4.CAP_ENDMNT'!K:K,0,0,1)</f>
        <v>9309467196.7279968</v>
      </c>
      <c r="AE252" s="140">
        <f>+_xlfn.XLOOKUP(PROYECTOS2[[#This Row],[MUNICIPIO]],'4.CAP_ENDMNT'!B:B,'4.CAP_ENDMNT'!L:L,0,0,1)</f>
        <v>7447573757.3823977</v>
      </c>
      <c r="AF252" s="140">
        <f>+_xlfn.XLOOKUP(PROYECTOS2[[#This Row],[MUNICIPIO]],'4.CAP_ENDMNT'!B:B,'4.CAP_ENDMNT'!M:M,0,0,1)</f>
        <v>5585680318.0367975</v>
      </c>
      <c r="AG252" s="134">
        <f>+_xlfn.XLOOKUP(PROYECTOS2[[#This Row],[MUNICIPIO]],'4.CAP_ENDMNT'!B:B,'4.CAP_ENDMNT'!N:N,0,0,1)</f>
        <v>0.50348133373334159</v>
      </c>
      <c r="AH252" s="134">
        <f>+_xlfn.XLOOKUP(PROYECTOS2[[#This Row],[MUNICIPIO]],'4.CAP_ENDMNT'!B:B,'4.CAP_ENDMNT'!O:O,0,0,1)</f>
        <v>0.69203788539600963</v>
      </c>
      <c r="AI252" s="134">
        <f>+_xlfn.XLOOKUP(PROYECTOS2[[#This Row],[MUNICIPIO]],'4.CAP_ENDMNT'!B:B,'4.CAP_ENDMNT'!P:P,0,0,1)</f>
        <v>0.8</v>
      </c>
      <c r="AJ252" s="44" t="str">
        <f>+_xlfn.XLOOKUP(PROYECTOS2[[#This Row],[MUNICIPIO]],'4.CAP_ENDMNT'!B:B,'4.CAP_ENDMNT'!Q:Q,0,0,1)</f>
        <v>Cumple</v>
      </c>
    </row>
    <row r="253" spans="1:36">
      <c r="A253" s="44">
        <v>276</v>
      </c>
      <c r="B253" s="37" t="s">
        <v>570</v>
      </c>
      <c r="C253" s="118">
        <v>45747</v>
      </c>
      <c r="D253" s="46" t="s">
        <v>256</v>
      </c>
      <c r="E253" s="47" t="str">
        <f>+_xlfn.XLOOKUP(PROYECTOS2[[#This Row],[MUNICIPIO]],MUNICIPIOS!A:A,MUNICIPIOS!E:E,0,0,1)</f>
        <v>Occidente</v>
      </c>
      <c r="F253" s="44" t="e" cm="1">
        <f t="array" ref="F253">+_xlfn.XLOOKUP(PROYECTOS2[[#This Row],[MUNICIPIO]],Table1[Municipio],MUNICIPIOS!F:F,0,0,1)</f>
        <v>#VALUE!</v>
      </c>
      <c r="G253" s="44" t="str">
        <f>+LOOKUP(PROYECTOS2[[#This Row],[MUNICIPIO]],Table1[Municipio],Table1[Latitud])</f>
        <v>6,136871</v>
      </c>
      <c r="H253" s="44">
        <f>+LOOKUP(PROYECTOS2[[#This Row],[MUNICIPIO]],Table1[Municipio],Table1[PDET])</f>
        <v>0</v>
      </c>
      <c r="I253" s="44">
        <f>+LOOKUP(PROYECTOS2[[#This Row],[MUNICIPIO]],Table1[Municipio],Table1[ZOMAC])</f>
        <v>0</v>
      </c>
      <c r="J253" s="3" t="str" cm="1">
        <f t="array" ref="J253">_xlfn.TEXTJOIN(", ", TRUE, IF(radicados[ID PROYECTOS]=A253, radicados[RADICADO], ""))</f>
        <v/>
      </c>
      <c r="K253" s="45">
        <v>1</v>
      </c>
      <c r="L253" s="45"/>
      <c r="M253" s="43"/>
      <c r="N253" s="48">
        <v>1480205142</v>
      </c>
      <c r="O253" s="48"/>
      <c r="P253" s="48"/>
      <c r="Q253" s="148" t="s">
        <v>1067</v>
      </c>
      <c r="R253" s="34" t="s">
        <v>407</v>
      </c>
      <c r="S253" s="40" t="s">
        <v>397</v>
      </c>
      <c r="T253" s="40" t="s">
        <v>56</v>
      </c>
      <c r="U253" s="37" t="s">
        <v>541</v>
      </c>
      <c r="V253" s="44">
        <f>+_xlfn.XLOOKUP(PROYECTOS2[[#This Row],[MUNICIPIO]],'4.CAP_ENDMNT'!B:B,'4.CAP_ENDMNT'!C:C,0,0,1)</f>
        <v>6</v>
      </c>
      <c r="W253" s="139">
        <f>+_xlfn.XLOOKUP(PROYECTOS2[[#This Row],[MUNICIPIO]],'4.CAP_ENDMNT'!B:B,'4.CAP_ENDMNT'!D:D,0,0,1)</f>
        <v>15502017167.017002</v>
      </c>
      <c r="X253" s="140">
        <f>+_xlfn.XLOOKUP(PROYECTOS2[[#This Row],[MUNICIPIO]],'4.CAP_ENDMNT'!B:B,'4.CAP_ENDMNT'!E:E,0,0,1)</f>
        <v>4560047682.8000002</v>
      </c>
      <c r="Y253" s="140">
        <f>+_xlfn.XLOOKUP(PROYECTOS2[[#This Row],[MUNICIPIO]],'4.CAP_ENDMNT'!B:B,'4.CAP_ENDMNT'!F:F,0,0,1)</f>
        <v>10941969484.217003</v>
      </c>
      <c r="Z253" s="140">
        <f>+_xlfn.XLOOKUP(PROYECTOS2[[#This Row],[MUNICIPIO]],'4.CAP_ENDMNT'!B:B,'4.CAP_ENDMNT'!G:G,0,0,1)</f>
        <v>1591148139</v>
      </c>
      <c r="AA253" s="140">
        <f>+_xlfn.XLOOKUP(PROYECTOS2[[#This Row],[MUNICIPIO]],'4.CAP_ENDMNT'!B:B,'4.CAP_ENDMNT'!H:H,0,0,1)</f>
        <v>1671853559</v>
      </c>
      <c r="AB253" s="140">
        <f>+_xlfn.XLOOKUP(PROYECTOS2[[#This Row],[MUNICIPIO]],'4.CAP_ENDMNT'!B:B,'4.CAP_ENDMNT'!I:I,0,0,1)</f>
        <v>3263001698</v>
      </c>
      <c r="AC253" s="134">
        <f>+_xlfn.XLOOKUP(PROYECTOS2[[#This Row],[MUNICIPIO]],'4.CAP_ENDMNT'!B:B,'4.CAP_ENDMNT'!J:J,0,0,1)</f>
        <v>0.2104888456027873</v>
      </c>
      <c r="AD253" s="140">
        <f>+_xlfn.XLOOKUP(PROYECTOS2[[#This Row],[MUNICIPIO]],'4.CAP_ENDMNT'!B:B,'4.CAP_ENDMNT'!K:K,0,0,1)</f>
        <v>12239015469.017002</v>
      </c>
      <c r="AE253" s="140">
        <f>+_xlfn.XLOOKUP(PROYECTOS2[[#This Row],[MUNICIPIO]],'4.CAP_ENDMNT'!B:B,'4.CAP_ENDMNT'!L:L,0,0,1)</f>
        <v>9791212375.2136021</v>
      </c>
      <c r="AF253" s="140">
        <f>+_xlfn.XLOOKUP(PROYECTOS2[[#This Row],[MUNICIPIO]],'4.CAP_ENDMNT'!B:B,'4.CAP_ENDMNT'!M:M,0,0,1)</f>
        <v>7343409281.4102011</v>
      </c>
      <c r="AG253" s="134">
        <f>+_xlfn.XLOOKUP(PROYECTOS2[[#This Row],[MUNICIPIO]],'4.CAP_ENDMNT'!B:B,'4.CAP_ENDMNT'!N:N,0,0,1)</f>
        <v>0.4876332549796914</v>
      </c>
      <c r="AH253" s="134">
        <f>+_xlfn.XLOOKUP(PROYECTOS2[[#This Row],[MUNICIPIO]],'4.CAP_ENDMNT'!B:B,'4.CAP_ENDMNT'!O:O,0,0,1)</f>
        <v>0.42560105953702715</v>
      </c>
      <c r="AI253" s="134">
        <f>+_xlfn.XLOOKUP(PROYECTOS2[[#This Row],[MUNICIPIO]],'4.CAP_ENDMNT'!B:B,'4.CAP_ENDMNT'!P:P,0,0,1)</f>
        <v>0.8</v>
      </c>
      <c r="AJ253" s="44" t="str">
        <f>+_xlfn.XLOOKUP(PROYECTOS2[[#This Row],[MUNICIPIO]],'4.CAP_ENDMNT'!B:B,'4.CAP_ENDMNT'!Q:Q,0,0,1)</f>
        <v>Cumple</v>
      </c>
    </row>
    <row r="254" spans="1:36">
      <c r="A254" s="44">
        <v>277</v>
      </c>
      <c r="B254" s="37" t="s">
        <v>571</v>
      </c>
      <c r="C254" s="118">
        <v>45747</v>
      </c>
      <c r="D254" s="46" t="s">
        <v>256</v>
      </c>
      <c r="E254" s="47" t="str">
        <f>+_xlfn.XLOOKUP(PROYECTOS2[[#This Row],[MUNICIPIO]],MUNICIPIOS!A:A,MUNICIPIOS!E:E,0,0,1)</f>
        <v>Occidente</v>
      </c>
      <c r="F254" s="44" t="e" cm="1">
        <f t="array" ref="F254">+_xlfn.XLOOKUP(PROYECTOS2[[#This Row],[MUNICIPIO]],Table1[Municipio],MUNICIPIOS!F:F,0,0,1)</f>
        <v>#VALUE!</v>
      </c>
      <c r="G254" s="44" t="str">
        <f>+LOOKUP(PROYECTOS2[[#This Row],[MUNICIPIO]],Table1[Municipio],Table1[Latitud])</f>
        <v>6,136871</v>
      </c>
      <c r="H254" s="44">
        <f>+LOOKUP(PROYECTOS2[[#This Row],[MUNICIPIO]],Table1[Municipio],Table1[PDET])</f>
        <v>0</v>
      </c>
      <c r="I254" s="44">
        <f>+LOOKUP(PROYECTOS2[[#This Row],[MUNICIPIO]],Table1[Municipio],Table1[ZOMAC])</f>
        <v>0</v>
      </c>
      <c r="J254" s="3" t="str" cm="1">
        <f t="array" ref="J254">_xlfn.TEXTJOIN(", ", TRUE, IF(radicados[ID PROYECTOS]=A254, radicados[RADICADO], ""))</f>
        <v/>
      </c>
      <c r="K254" s="45">
        <v>1</v>
      </c>
      <c r="L254" s="45"/>
      <c r="M254" s="43"/>
      <c r="N254" s="48">
        <v>3541205284</v>
      </c>
      <c r="O254" s="48"/>
      <c r="P254" s="48"/>
      <c r="Q254" s="148" t="s">
        <v>1067</v>
      </c>
      <c r="R254" s="34" t="s">
        <v>407</v>
      </c>
      <c r="S254" s="40" t="s">
        <v>397</v>
      </c>
      <c r="T254" s="40" t="s">
        <v>56</v>
      </c>
      <c r="U254" s="37" t="s">
        <v>541</v>
      </c>
      <c r="V254" s="44">
        <f>+_xlfn.XLOOKUP(PROYECTOS2[[#This Row],[MUNICIPIO]],'4.CAP_ENDMNT'!B:B,'4.CAP_ENDMNT'!C:C,0,0,1)</f>
        <v>6</v>
      </c>
      <c r="W254" s="139">
        <f>+_xlfn.XLOOKUP(PROYECTOS2[[#This Row],[MUNICIPIO]],'4.CAP_ENDMNT'!B:B,'4.CAP_ENDMNT'!D:D,0,0,1)</f>
        <v>15502017167.017002</v>
      </c>
      <c r="X254" s="140">
        <f>+_xlfn.XLOOKUP(PROYECTOS2[[#This Row],[MUNICIPIO]],'4.CAP_ENDMNT'!B:B,'4.CAP_ENDMNT'!E:E,0,0,1)</f>
        <v>4560047682.8000002</v>
      </c>
      <c r="Y254" s="140">
        <f>+_xlfn.XLOOKUP(PROYECTOS2[[#This Row],[MUNICIPIO]],'4.CAP_ENDMNT'!B:B,'4.CAP_ENDMNT'!F:F,0,0,1)</f>
        <v>10941969484.217003</v>
      </c>
      <c r="Z254" s="140">
        <f>+_xlfn.XLOOKUP(PROYECTOS2[[#This Row],[MUNICIPIO]],'4.CAP_ENDMNT'!B:B,'4.CAP_ENDMNT'!G:G,0,0,1)</f>
        <v>1591148139</v>
      </c>
      <c r="AA254" s="140">
        <f>+_xlfn.XLOOKUP(PROYECTOS2[[#This Row],[MUNICIPIO]],'4.CAP_ENDMNT'!B:B,'4.CAP_ENDMNT'!H:H,0,0,1)</f>
        <v>1671853559</v>
      </c>
      <c r="AB254" s="140">
        <f>+_xlfn.XLOOKUP(PROYECTOS2[[#This Row],[MUNICIPIO]],'4.CAP_ENDMNT'!B:B,'4.CAP_ENDMNT'!I:I,0,0,1)</f>
        <v>3263001698</v>
      </c>
      <c r="AC254" s="134">
        <f>+_xlfn.XLOOKUP(PROYECTOS2[[#This Row],[MUNICIPIO]],'4.CAP_ENDMNT'!B:B,'4.CAP_ENDMNT'!J:J,0,0,1)</f>
        <v>0.2104888456027873</v>
      </c>
      <c r="AD254" s="140">
        <f>+_xlfn.XLOOKUP(PROYECTOS2[[#This Row],[MUNICIPIO]],'4.CAP_ENDMNT'!B:B,'4.CAP_ENDMNT'!K:K,0,0,1)</f>
        <v>12239015469.017002</v>
      </c>
      <c r="AE254" s="140">
        <f>+_xlfn.XLOOKUP(PROYECTOS2[[#This Row],[MUNICIPIO]],'4.CAP_ENDMNT'!B:B,'4.CAP_ENDMNT'!L:L,0,0,1)</f>
        <v>9791212375.2136021</v>
      </c>
      <c r="AF254" s="140">
        <f>+_xlfn.XLOOKUP(PROYECTOS2[[#This Row],[MUNICIPIO]],'4.CAP_ENDMNT'!B:B,'4.CAP_ENDMNT'!M:M,0,0,1)</f>
        <v>7343409281.4102011</v>
      </c>
      <c r="AG254" s="134">
        <f>+_xlfn.XLOOKUP(PROYECTOS2[[#This Row],[MUNICIPIO]],'4.CAP_ENDMNT'!B:B,'4.CAP_ENDMNT'!N:N,0,0,1)</f>
        <v>0.4876332549796914</v>
      </c>
      <c r="AH254" s="134">
        <f>+_xlfn.XLOOKUP(PROYECTOS2[[#This Row],[MUNICIPIO]],'4.CAP_ENDMNT'!B:B,'4.CAP_ENDMNT'!O:O,0,0,1)</f>
        <v>0.42560105953702715</v>
      </c>
      <c r="AI254" s="134">
        <f>+_xlfn.XLOOKUP(PROYECTOS2[[#This Row],[MUNICIPIO]],'4.CAP_ENDMNT'!B:B,'4.CAP_ENDMNT'!P:P,0,0,1)</f>
        <v>0.8</v>
      </c>
      <c r="AJ254" s="44" t="str">
        <f>+_xlfn.XLOOKUP(PROYECTOS2[[#This Row],[MUNICIPIO]],'4.CAP_ENDMNT'!B:B,'4.CAP_ENDMNT'!Q:Q,0,0,1)</f>
        <v>Cumple</v>
      </c>
    </row>
    <row r="255" spans="1:36">
      <c r="A255" s="44">
        <v>278</v>
      </c>
      <c r="B255" s="37" t="s">
        <v>572</v>
      </c>
      <c r="C255" s="118">
        <v>45747</v>
      </c>
      <c r="D255" s="46" t="s">
        <v>530</v>
      </c>
      <c r="E255" s="47" t="str">
        <f>+_xlfn.XLOOKUP(PROYECTOS2[[#This Row],[MUNICIPIO]],MUNICIPIOS!A:A,MUNICIPIOS!E:E,0,0,1)</f>
        <v>Occidente</v>
      </c>
      <c r="F255" s="44" t="e" cm="1">
        <f t="array" ref="F255">+_xlfn.XLOOKUP(PROYECTOS2[[#This Row],[MUNICIPIO]],Table1[Municipio],MUNICIPIOS!F:F,0,0,1)</f>
        <v>#VALUE!</v>
      </c>
      <c r="G255" s="44" t="e">
        <f>+LOOKUP(PROYECTOS2[[#This Row],[MUNICIPIO]],Table1[Municipio],Table1[Latitud])</f>
        <v>#N/A</v>
      </c>
      <c r="H255" s="44" t="e">
        <f>+LOOKUP(PROYECTOS2[[#This Row],[MUNICIPIO]],Table1[Municipio],Table1[PDET])</f>
        <v>#N/A</v>
      </c>
      <c r="I255" s="44" t="e">
        <f>+LOOKUP(PROYECTOS2[[#This Row],[MUNICIPIO]],Table1[Municipio],Table1[ZOMAC])</f>
        <v>#N/A</v>
      </c>
      <c r="J255" s="3" t="str" cm="1">
        <f t="array" ref="J255">_xlfn.TEXTJOIN(", ", TRUE, IF(radicados[ID PROYECTOS]=A255, radicados[RADICADO], ""))</f>
        <v/>
      </c>
      <c r="K255" s="45">
        <v>1</v>
      </c>
      <c r="L255" s="45"/>
      <c r="M255" s="43"/>
      <c r="N255" s="48">
        <v>3775907233</v>
      </c>
      <c r="O255" s="48"/>
      <c r="P255" s="48"/>
      <c r="Q255" s="148" t="s">
        <v>1067</v>
      </c>
      <c r="R255" s="34" t="s">
        <v>407</v>
      </c>
      <c r="S255" s="40" t="s">
        <v>397</v>
      </c>
      <c r="T255" s="40" t="s">
        <v>56</v>
      </c>
      <c r="U255" s="37" t="s">
        <v>541</v>
      </c>
      <c r="V255" s="44">
        <f>+_xlfn.XLOOKUP(PROYECTOS2[[#This Row],[MUNICIPIO]],'4.CAP_ENDMNT'!B:B,'4.CAP_ENDMNT'!C:C,0,0,1)</f>
        <v>6</v>
      </c>
      <c r="W255" s="139">
        <f>+_xlfn.XLOOKUP(PROYECTOS2[[#This Row],[MUNICIPIO]],'4.CAP_ENDMNT'!B:B,'4.CAP_ENDMNT'!D:D,0,0,1)</f>
        <v>4751801726.2775002</v>
      </c>
      <c r="X255" s="140">
        <f>+_xlfn.XLOOKUP(PROYECTOS2[[#This Row],[MUNICIPIO]],'4.CAP_ENDMNT'!B:B,'4.CAP_ENDMNT'!E:E,0,0,1)</f>
        <v>1263292997.6800001</v>
      </c>
      <c r="Y255" s="140">
        <f>+_xlfn.XLOOKUP(PROYECTOS2[[#This Row],[MUNICIPIO]],'4.CAP_ENDMNT'!B:B,'4.CAP_ENDMNT'!F:F,0,0,1)</f>
        <v>3488508728.5974998</v>
      </c>
      <c r="Z255" s="140">
        <f>+_xlfn.XLOOKUP(PROYECTOS2[[#This Row],[MUNICIPIO]],'4.CAP_ENDMNT'!B:B,'4.CAP_ENDMNT'!G:G,0,0,1)</f>
        <v>691012966</v>
      </c>
      <c r="AA255" s="140">
        <f>+_xlfn.XLOOKUP(PROYECTOS2[[#This Row],[MUNICIPIO]],'4.CAP_ENDMNT'!B:B,'4.CAP_ENDMNT'!H:H,0,0,1)</f>
        <v>0</v>
      </c>
      <c r="AB255" s="140">
        <f>+_xlfn.XLOOKUP(PROYECTOS2[[#This Row],[MUNICIPIO]],'4.CAP_ENDMNT'!B:B,'4.CAP_ENDMNT'!I:I,0,0,1)</f>
        <v>691012966</v>
      </c>
      <c r="AC255" s="134">
        <f>+_xlfn.XLOOKUP(PROYECTOS2[[#This Row],[MUNICIPIO]],'4.CAP_ENDMNT'!B:B,'4.CAP_ENDMNT'!J:J,0,0,1)</f>
        <v>0.14542125404321754</v>
      </c>
      <c r="AD255" s="140">
        <f>+_xlfn.XLOOKUP(PROYECTOS2[[#This Row],[MUNICIPIO]],'4.CAP_ENDMNT'!B:B,'4.CAP_ENDMNT'!K:K,0,0,1)</f>
        <v>4060788760.2775002</v>
      </c>
      <c r="AE255" s="140">
        <f>+_xlfn.XLOOKUP(PROYECTOS2[[#This Row],[MUNICIPIO]],'4.CAP_ENDMNT'!B:B,'4.CAP_ENDMNT'!L:L,0,0,1)</f>
        <v>3248631008.2220001</v>
      </c>
      <c r="AF255" s="140">
        <f>+_xlfn.XLOOKUP(PROYECTOS2[[#This Row],[MUNICIPIO]],'4.CAP_ENDMNT'!B:B,'4.CAP_ENDMNT'!M:M,0,0,1)</f>
        <v>2436473256.1665001</v>
      </c>
      <c r="AG255" s="134">
        <f>+_xlfn.XLOOKUP(PROYECTOS2[[#This Row],[MUNICIPIO]],'4.CAP_ENDMNT'!B:B,'4.CAP_ENDMNT'!N:N,0,0,1)</f>
        <v>1</v>
      </c>
      <c r="AH255" s="134">
        <f>+_xlfn.XLOOKUP(PROYECTOS2[[#This Row],[MUNICIPIO]],'4.CAP_ENDMNT'!B:B,'4.CAP_ENDMNT'!O:O,0,0,1)</f>
        <v>0.49444669710295669</v>
      </c>
      <c r="AI255" s="134">
        <f>+_xlfn.XLOOKUP(PROYECTOS2[[#This Row],[MUNICIPIO]],'4.CAP_ENDMNT'!B:B,'4.CAP_ENDMNT'!P:P,0,0,1)</f>
        <v>0.8</v>
      </c>
      <c r="AJ255" s="44" t="str">
        <f>+_xlfn.XLOOKUP(PROYECTOS2[[#This Row],[MUNICIPIO]],'4.CAP_ENDMNT'!B:B,'4.CAP_ENDMNT'!Q:Q,0,0,1)</f>
        <v>Cumple</v>
      </c>
    </row>
    <row r="256" spans="1:36">
      <c r="A256" s="44">
        <v>279</v>
      </c>
      <c r="B256" s="37" t="s">
        <v>573</v>
      </c>
      <c r="C256" s="118">
        <v>45747</v>
      </c>
      <c r="D256" s="46" t="s">
        <v>574</v>
      </c>
      <c r="E256" s="47" t="str">
        <f>+_xlfn.XLOOKUP(PROYECTOS2[[#This Row],[MUNICIPIO]],MUNICIPIOS!A:A,MUNICIPIOS!E:E,0,0,1)</f>
        <v>Occidente</v>
      </c>
      <c r="F256" s="44" t="e" cm="1">
        <f t="array" ref="F256">+_xlfn.XLOOKUP(PROYECTOS2[[#This Row],[MUNICIPIO]],Table1[Municipio],MUNICIPIOS!F:F,0,0,1)</f>
        <v>#VALUE!</v>
      </c>
      <c r="G256" s="44" t="str">
        <f>+LOOKUP(PROYECTOS2[[#This Row],[MUNICIPIO]],Table1[Municipio],Table1[Latitud])</f>
        <v>7,074703</v>
      </c>
      <c r="H256" s="44">
        <f>+LOOKUP(PROYECTOS2[[#This Row],[MUNICIPIO]],Table1[Municipio],Table1[PDET])</f>
        <v>1</v>
      </c>
      <c r="I256" s="44">
        <f>+LOOKUP(PROYECTOS2[[#This Row],[MUNICIPIO]],Table1[Municipio],Table1[ZOMAC])</f>
        <v>1</v>
      </c>
      <c r="J256" s="3" t="str" cm="1">
        <f t="array" ref="J256">_xlfn.TEXTJOIN(", ", TRUE, IF(radicados[ID PROYECTOS]=A256, radicados[RADICADO], ""))</f>
        <v/>
      </c>
      <c r="K256" s="45">
        <v>1</v>
      </c>
      <c r="L256" s="45"/>
      <c r="M256" s="43"/>
      <c r="N256" s="48">
        <v>641109696</v>
      </c>
      <c r="O256" s="48"/>
      <c r="P256" s="48"/>
      <c r="Q256" s="148" t="s">
        <v>1067</v>
      </c>
      <c r="R256" s="34" t="s">
        <v>407</v>
      </c>
      <c r="S256" s="40" t="s">
        <v>397</v>
      </c>
      <c r="T256" s="40" t="s">
        <v>56</v>
      </c>
      <c r="U256" s="37" t="s">
        <v>541</v>
      </c>
      <c r="V256" s="44">
        <f>+_xlfn.XLOOKUP(PROYECTOS2[[#This Row],[MUNICIPIO]],'4.CAP_ENDMNT'!B:B,'4.CAP_ENDMNT'!C:C,0,0,1)</f>
        <v>6</v>
      </c>
      <c r="W256" s="139">
        <f>+_xlfn.XLOOKUP(PROYECTOS2[[#This Row],[MUNICIPIO]],'4.CAP_ENDMNT'!B:B,'4.CAP_ENDMNT'!D:D,0,0,1)</f>
        <v>22970429632.738503</v>
      </c>
      <c r="X256" s="140">
        <f>+_xlfn.XLOOKUP(PROYECTOS2[[#This Row],[MUNICIPIO]],'4.CAP_ENDMNT'!B:B,'4.CAP_ENDMNT'!E:E,0,0,1)</f>
        <v>4753029850.6400003</v>
      </c>
      <c r="Y256" s="140">
        <f>+_xlfn.XLOOKUP(PROYECTOS2[[#This Row],[MUNICIPIO]],'4.CAP_ENDMNT'!B:B,'4.CAP_ENDMNT'!F:F,0,0,1)</f>
        <v>18217399782.098503</v>
      </c>
      <c r="Z256" s="140">
        <f>+_xlfn.XLOOKUP(PROYECTOS2[[#This Row],[MUNICIPIO]],'4.CAP_ENDMNT'!B:B,'4.CAP_ENDMNT'!G:G,0,0,1)</f>
        <v>1226974981</v>
      </c>
      <c r="AA256" s="140">
        <f>+_xlfn.XLOOKUP(PROYECTOS2[[#This Row],[MUNICIPIO]],'4.CAP_ENDMNT'!B:B,'4.CAP_ENDMNT'!H:H,0,0,1)</f>
        <v>868957450</v>
      </c>
      <c r="AB256" s="140">
        <f>+_xlfn.XLOOKUP(PROYECTOS2[[#This Row],[MUNICIPIO]],'4.CAP_ENDMNT'!B:B,'4.CAP_ENDMNT'!I:I,0,0,1)</f>
        <v>2095932431</v>
      </c>
      <c r="AC256" s="134">
        <f>+_xlfn.XLOOKUP(PROYECTOS2[[#This Row],[MUNICIPIO]],'4.CAP_ENDMNT'!B:B,'4.CAP_ENDMNT'!J:J,0,0,1)</f>
        <v>9.1244807542162021E-2</v>
      </c>
      <c r="AD256" s="140">
        <f>+_xlfn.XLOOKUP(PROYECTOS2[[#This Row],[MUNICIPIO]],'4.CAP_ENDMNT'!B:B,'4.CAP_ENDMNT'!K:K,0,0,1)</f>
        <v>20874497201.738503</v>
      </c>
      <c r="AE256" s="140">
        <f>+_xlfn.XLOOKUP(PROYECTOS2[[#This Row],[MUNICIPIO]],'4.CAP_ENDMNT'!B:B,'4.CAP_ENDMNT'!L:L,0,0,1)</f>
        <v>16699597761.390802</v>
      </c>
      <c r="AF256" s="140">
        <f>+_xlfn.XLOOKUP(PROYECTOS2[[#This Row],[MUNICIPIO]],'4.CAP_ENDMNT'!B:B,'4.CAP_ENDMNT'!M:M,0,0,1)</f>
        <v>12524698321.0431</v>
      </c>
      <c r="AG256" s="134">
        <f>+_xlfn.XLOOKUP(PROYECTOS2[[#This Row],[MUNICIPIO]],'4.CAP_ENDMNT'!B:B,'4.CAP_ENDMNT'!N:N,0,0,1)</f>
        <v>0.58540769867022491</v>
      </c>
      <c r="AH256" s="134">
        <f>+_xlfn.XLOOKUP(PROYECTOS2[[#This Row],[MUNICIPIO]],'4.CAP_ENDMNT'!B:B,'4.CAP_ENDMNT'!O:O,0,0,1)</f>
        <v>0.40516346801716352</v>
      </c>
      <c r="AI256" s="134">
        <f>+_xlfn.XLOOKUP(PROYECTOS2[[#This Row],[MUNICIPIO]],'4.CAP_ENDMNT'!B:B,'4.CAP_ENDMNT'!P:P,0,0,1)</f>
        <v>0.8</v>
      </c>
      <c r="AJ256" s="44" t="str">
        <f>+_xlfn.XLOOKUP(PROYECTOS2[[#This Row],[MUNICIPIO]],'4.CAP_ENDMNT'!B:B,'4.CAP_ENDMNT'!Q:Q,0,0,1)</f>
        <v>Cumple</v>
      </c>
    </row>
    <row r="257" spans="1:36">
      <c r="A257" s="44">
        <v>280</v>
      </c>
      <c r="B257" s="37" t="s">
        <v>575</v>
      </c>
      <c r="C257" s="118">
        <v>45747</v>
      </c>
      <c r="D257" s="46" t="s">
        <v>273</v>
      </c>
      <c r="E257" s="47" t="str">
        <f>+_xlfn.XLOOKUP(PROYECTOS2[[#This Row],[MUNICIPIO]],MUNICIPIOS!A:A,MUNICIPIOS!E:E,0,0,1)</f>
        <v>Occidente</v>
      </c>
      <c r="F257" s="44" t="e" cm="1">
        <f t="array" ref="F257">+_xlfn.XLOOKUP(PROYECTOS2[[#This Row],[MUNICIPIO]],Table1[Municipio],MUNICIPIOS!F:F,0,0,1)</f>
        <v>#VALUE!</v>
      </c>
      <c r="G257" s="44" t="str">
        <f>+LOOKUP(PROYECTOS2[[#This Row],[MUNICIPIO]],Table1[Municipio],Table1[Latitud])</f>
        <v>6,246631</v>
      </c>
      <c r="H257" s="44">
        <f>+LOOKUP(PROYECTOS2[[#This Row],[MUNICIPIO]],Table1[Municipio],Table1[PDET])</f>
        <v>0</v>
      </c>
      <c r="I257" s="44">
        <f>+LOOKUP(PROYECTOS2[[#This Row],[MUNICIPIO]],Table1[Municipio],Table1[ZOMAC])</f>
        <v>0</v>
      </c>
      <c r="J257" s="3" t="str" cm="1">
        <f t="array" ref="J257">_xlfn.TEXTJOIN(", ", TRUE, IF(radicados[ID PROYECTOS]=A257, radicados[RADICADO], ""))</f>
        <v/>
      </c>
      <c r="K257" s="45">
        <v>1</v>
      </c>
      <c r="L257" s="45"/>
      <c r="M257" s="43"/>
      <c r="N257" s="48">
        <v>695000000</v>
      </c>
      <c r="O257" s="48"/>
      <c r="P257" s="48"/>
      <c r="Q257" s="148" t="s">
        <v>1067</v>
      </c>
      <c r="R257" s="34" t="s">
        <v>407</v>
      </c>
      <c r="S257" s="40" t="s">
        <v>397</v>
      </c>
      <c r="T257" s="40" t="s">
        <v>56</v>
      </c>
      <c r="U257" s="37" t="s">
        <v>541</v>
      </c>
      <c r="V257" s="44">
        <f>+_xlfn.XLOOKUP(PROYECTOS2[[#This Row],[MUNICIPIO]],'4.CAP_ENDMNT'!B:B,'4.CAP_ENDMNT'!C:C,0,0,1)</f>
        <v>6</v>
      </c>
      <c r="W257" s="139">
        <f>+_xlfn.XLOOKUP(PROYECTOS2[[#This Row],[MUNICIPIO]],'4.CAP_ENDMNT'!B:B,'4.CAP_ENDMNT'!D:D,0,0,1)</f>
        <v>4127448900.7750001</v>
      </c>
      <c r="X257" s="140">
        <f>+_xlfn.XLOOKUP(PROYECTOS2[[#This Row],[MUNICIPIO]],'4.CAP_ENDMNT'!B:B,'4.CAP_ENDMNT'!E:E,0,0,1)</f>
        <v>1679484660.96</v>
      </c>
      <c r="Y257" s="140">
        <f>+_xlfn.XLOOKUP(PROYECTOS2[[#This Row],[MUNICIPIO]],'4.CAP_ENDMNT'!B:B,'4.CAP_ENDMNT'!F:F,0,0,1)</f>
        <v>2447964239.8150001</v>
      </c>
      <c r="Z257" s="140">
        <f>+_xlfn.XLOOKUP(PROYECTOS2[[#This Row],[MUNICIPIO]],'4.CAP_ENDMNT'!B:B,'4.CAP_ENDMNT'!G:G,0,0,1)</f>
        <v>2175868693</v>
      </c>
      <c r="AA257" s="140">
        <f>+_xlfn.XLOOKUP(PROYECTOS2[[#This Row],[MUNICIPIO]],'4.CAP_ENDMNT'!B:B,'4.CAP_ENDMNT'!H:H,0,0,1)</f>
        <v>0</v>
      </c>
      <c r="AB257" s="140">
        <f>+_xlfn.XLOOKUP(PROYECTOS2[[#This Row],[MUNICIPIO]],'4.CAP_ENDMNT'!B:B,'4.CAP_ENDMNT'!I:I,0,0,1)</f>
        <v>2175868693</v>
      </c>
      <c r="AC257" s="134">
        <f>+_xlfn.XLOOKUP(PROYECTOS2[[#This Row],[MUNICIPIO]],'4.CAP_ENDMNT'!B:B,'4.CAP_ENDMNT'!J:J,0,0,1)</f>
        <v>0.52717035275504998</v>
      </c>
      <c r="AD257" s="140">
        <f>+_xlfn.XLOOKUP(PROYECTOS2[[#This Row],[MUNICIPIO]],'4.CAP_ENDMNT'!B:B,'4.CAP_ENDMNT'!K:K,0,0,1)</f>
        <v>1951580207.7750001</v>
      </c>
      <c r="AE257" s="140">
        <f>+_xlfn.XLOOKUP(PROYECTOS2[[#This Row],[MUNICIPIO]],'4.CAP_ENDMNT'!B:B,'4.CAP_ENDMNT'!L:L,0,0,1)</f>
        <v>1561264166.2200003</v>
      </c>
      <c r="AF257" s="140">
        <f>+_xlfn.XLOOKUP(PROYECTOS2[[#This Row],[MUNICIPIO]],'4.CAP_ENDMNT'!B:B,'4.CAP_ENDMNT'!M:M,0,0,1)</f>
        <v>1170948124.665</v>
      </c>
      <c r="AG257" s="134">
        <f>+_xlfn.XLOOKUP(PROYECTOS2[[#This Row],[MUNICIPIO]],'4.CAP_ENDMNT'!B:B,'4.CAP_ENDMNT'!N:N,0,0,1)</f>
        <v>1</v>
      </c>
      <c r="AH257" s="134">
        <f>+_xlfn.XLOOKUP(PROYECTOS2[[#This Row],[MUNICIPIO]],'4.CAP_ENDMNT'!B:B,'4.CAP_ENDMNT'!O:O,0,0,1)</f>
        <v>0.89586302238809568</v>
      </c>
      <c r="AI257" s="134">
        <f>+_xlfn.XLOOKUP(PROYECTOS2[[#This Row],[MUNICIPIO]],'4.CAP_ENDMNT'!B:B,'4.CAP_ENDMNT'!P:P,0,0,1)</f>
        <v>0.8</v>
      </c>
      <c r="AJ257" s="44" t="str">
        <f>+_xlfn.XLOOKUP(PROYECTOS2[[#This Row],[MUNICIPIO]],'4.CAP_ENDMNT'!B:B,'4.CAP_ENDMNT'!Q:Q,0,0,1)</f>
        <v>Incumple</v>
      </c>
    </row>
    <row r="258" spans="1:36">
      <c r="A258" s="44">
        <v>281</v>
      </c>
      <c r="B258" s="37" t="s">
        <v>576</v>
      </c>
      <c r="C258" s="118">
        <v>45747</v>
      </c>
      <c r="D258" s="46" t="s">
        <v>214</v>
      </c>
      <c r="E258" s="47" t="str">
        <f>+_xlfn.XLOOKUP(PROYECTOS2[[#This Row],[MUNICIPIO]],MUNICIPIOS!A:A,MUNICIPIOS!E:E,0,0,1)</f>
        <v>Occidente</v>
      </c>
      <c r="F258" s="44" t="e" cm="1">
        <f t="array" ref="F258">+_xlfn.XLOOKUP(PROYECTOS2[[#This Row],[MUNICIPIO]],Table1[Municipio],MUNICIPIOS!F:F,0,0,1)</f>
        <v>#VALUE!</v>
      </c>
      <c r="G258" s="44" t="str">
        <f>+LOOKUP(PROYECTOS2[[#This Row],[MUNICIPIO]],Table1[Municipio],Table1[Latitud])</f>
        <v>5,743808</v>
      </c>
      <c r="H258" s="44">
        <f>+LOOKUP(PROYECTOS2[[#This Row],[MUNICIPIO]],Table1[Municipio],Table1[PDET])</f>
        <v>0</v>
      </c>
      <c r="I258" s="44">
        <f>+LOOKUP(PROYECTOS2[[#This Row],[MUNICIPIO]],Table1[Municipio],Table1[ZOMAC])</f>
        <v>0</v>
      </c>
      <c r="J258" s="3" t="str" cm="1">
        <f t="array" ref="J258">_xlfn.TEXTJOIN(", ", TRUE, IF(radicados[ID PROYECTOS]=A258, radicados[RADICADO], ""))</f>
        <v/>
      </c>
      <c r="K258" s="45">
        <v>1</v>
      </c>
      <c r="L258" s="45"/>
      <c r="M258" s="43"/>
      <c r="N258" s="48">
        <v>480700238</v>
      </c>
      <c r="O258" s="48"/>
      <c r="P258" s="48"/>
      <c r="Q258" s="148" t="s">
        <v>1067</v>
      </c>
      <c r="R258" s="34" t="s">
        <v>407</v>
      </c>
      <c r="S258" s="40" t="s">
        <v>397</v>
      </c>
      <c r="T258" s="40" t="s">
        <v>56</v>
      </c>
      <c r="U258" s="37" t="s">
        <v>541</v>
      </c>
      <c r="V258" s="44">
        <f>+_xlfn.XLOOKUP(PROYECTOS2[[#This Row],[MUNICIPIO]],'4.CAP_ENDMNT'!B:B,'4.CAP_ENDMNT'!C:C,0,0,1)</f>
        <v>6</v>
      </c>
      <c r="W258" s="139">
        <f>+_xlfn.XLOOKUP(PROYECTOS2[[#This Row],[MUNICIPIO]],'4.CAP_ENDMNT'!B:B,'4.CAP_ENDMNT'!D:D,0,0,1)</f>
        <v>8030428413.9210014</v>
      </c>
      <c r="X258" s="140">
        <f>+_xlfn.XLOOKUP(PROYECTOS2[[#This Row],[MUNICIPIO]],'4.CAP_ENDMNT'!B:B,'4.CAP_ENDMNT'!E:E,0,0,1)</f>
        <v>3080588699.4500003</v>
      </c>
      <c r="Y258" s="140">
        <f>+_xlfn.XLOOKUP(PROYECTOS2[[#This Row],[MUNICIPIO]],'4.CAP_ENDMNT'!B:B,'4.CAP_ENDMNT'!F:F,0,0,1)</f>
        <v>4949839714.4710007</v>
      </c>
      <c r="Z258" s="140">
        <f>+_xlfn.XLOOKUP(PROYECTOS2[[#This Row],[MUNICIPIO]],'4.CAP_ENDMNT'!B:B,'4.CAP_ENDMNT'!G:G,0,0,1)</f>
        <v>1577607418.01</v>
      </c>
      <c r="AA258" s="140">
        <f>+_xlfn.XLOOKUP(PROYECTOS2[[#This Row],[MUNICIPIO]],'4.CAP_ENDMNT'!B:B,'4.CAP_ENDMNT'!H:H,0,0,1)</f>
        <v>1800000000</v>
      </c>
      <c r="AB258" s="140">
        <f>+_xlfn.XLOOKUP(PROYECTOS2[[#This Row],[MUNICIPIO]],'4.CAP_ENDMNT'!B:B,'4.CAP_ENDMNT'!I:I,0,0,1)</f>
        <v>3377607418.0100002</v>
      </c>
      <c r="AC258" s="134">
        <f>+_xlfn.XLOOKUP(PROYECTOS2[[#This Row],[MUNICIPIO]],'4.CAP_ENDMNT'!B:B,'4.CAP_ENDMNT'!J:J,0,0,1)</f>
        <v>0.42060114901900014</v>
      </c>
      <c r="AD258" s="140">
        <f>+_xlfn.XLOOKUP(PROYECTOS2[[#This Row],[MUNICIPIO]],'4.CAP_ENDMNT'!B:B,'4.CAP_ENDMNT'!K:K,0,0,1)</f>
        <v>4652820995.9110012</v>
      </c>
      <c r="AE258" s="140">
        <f>+_xlfn.XLOOKUP(PROYECTOS2[[#This Row],[MUNICIPIO]],'4.CAP_ENDMNT'!B:B,'4.CAP_ENDMNT'!L:L,0,0,1)</f>
        <v>3722256796.7288013</v>
      </c>
      <c r="AF258" s="140">
        <f>+_xlfn.XLOOKUP(PROYECTOS2[[#This Row],[MUNICIPIO]],'4.CAP_ENDMNT'!B:B,'4.CAP_ENDMNT'!M:M,0,0,1)</f>
        <v>2791692597.5466008</v>
      </c>
      <c r="AG258" s="134">
        <f>+_xlfn.XLOOKUP(PROYECTOS2[[#This Row],[MUNICIPIO]],'4.CAP_ENDMNT'!B:B,'4.CAP_ENDMNT'!N:N,0,0,1)</f>
        <v>0.46707838501239612</v>
      </c>
      <c r="AH258" s="134">
        <f>+_xlfn.XLOOKUP(PROYECTOS2[[#This Row],[MUNICIPIO]],'4.CAP_ENDMNT'!B:B,'4.CAP_ENDMNT'!O:O,0,0,1)</f>
        <v>0.73590701114566914</v>
      </c>
      <c r="AI258" s="134">
        <f>+_xlfn.XLOOKUP(PROYECTOS2[[#This Row],[MUNICIPIO]],'4.CAP_ENDMNT'!B:B,'4.CAP_ENDMNT'!P:P,0,0,1)</f>
        <v>0.8</v>
      </c>
      <c r="AJ258" s="44" t="str">
        <f>+_xlfn.XLOOKUP(PROYECTOS2[[#This Row],[MUNICIPIO]],'4.CAP_ENDMNT'!B:B,'4.CAP_ENDMNT'!Q:Q,0,0,1)</f>
        <v>Cumple</v>
      </c>
    </row>
    <row r="259" spans="1:36">
      <c r="A259" s="44">
        <v>282</v>
      </c>
      <c r="B259" s="37" t="s">
        <v>577</v>
      </c>
      <c r="C259" s="118">
        <v>45747</v>
      </c>
      <c r="D259" s="46" t="s">
        <v>578</v>
      </c>
      <c r="E259" s="47" t="str">
        <f>+_xlfn.XLOOKUP(PROYECTOS2[[#This Row],[MUNICIPIO]],MUNICIPIOS!A:A,MUNICIPIOS!E:E,0,0,1)</f>
        <v>Occidente</v>
      </c>
      <c r="F259" s="44" t="e" cm="1">
        <f t="array" ref="F259">+_xlfn.XLOOKUP(PROYECTOS2[[#This Row],[MUNICIPIO]],Table1[Municipio],MUNICIPIOS!F:F,0,0,1)</f>
        <v>#VALUE!</v>
      </c>
      <c r="G259" s="44" t="str">
        <f>+LOOKUP(PROYECTOS2[[#This Row],[MUNICIPIO]],Table1[Municipio],Table1[Latitud])</f>
        <v>6,394348</v>
      </c>
      <c r="H259" s="44">
        <f>+LOOKUP(PROYECTOS2[[#This Row],[MUNICIPIO]],Table1[Municipio],Table1[PDET])</f>
        <v>0</v>
      </c>
      <c r="I259" s="44">
        <f>+LOOKUP(PROYECTOS2[[#This Row],[MUNICIPIO]],Table1[Municipio],Table1[ZOMAC])</f>
        <v>1</v>
      </c>
      <c r="J259" s="3" t="str" cm="1">
        <f t="array" ref="J259">_xlfn.TEXTJOIN(", ", TRUE, IF(radicados[ID PROYECTOS]=A259, radicados[RADICADO], ""))</f>
        <v/>
      </c>
      <c r="K259" s="45">
        <v>1</v>
      </c>
      <c r="L259" s="45"/>
      <c r="M259" s="43"/>
      <c r="N259" s="48">
        <v>8104533743</v>
      </c>
      <c r="O259" s="48"/>
      <c r="P259" s="48"/>
      <c r="Q259" s="148" t="s">
        <v>1067</v>
      </c>
      <c r="R259" s="34" t="s">
        <v>407</v>
      </c>
      <c r="S259" s="40" t="s">
        <v>397</v>
      </c>
      <c r="T259" s="40" t="s">
        <v>56</v>
      </c>
      <c r="U259" s="37" t="s">
        <v>541</v>
      </c>
      <c r="V259" s="44">
        <f>+_xlfn.XLOOKUP(PROYECTOS2[[#This Row],[MUNICIPIO]],'4.CAP_ENDMNT'!B:B,'4.CAP_ENDMNT'!C:C,0,0,1)</f>
        <v>6</v>
      </c>
      <c r="W259" s="139">
        <f>+_xlfn.XLOOKUP(PROYECTOS2[[#This Row],[MUNICIPIO]],'4.CAP_ENDMNT'!B:B,'4.CAP_ENDMNT'!D:D,0,0,1)</f>
        <v>9001864307.6529999</v>
      </c>
      <c r="X259" s="140">
        <f>+_xlfn.XLOOKUP(PROYECTOS2[[#This Row],[MUNICIPIO]],'4.CAP_ENDMNT'!B:B,'4.CAP_ENDMNT'!E:E,0,0,1)</f>
        <v>3627307640.0900002</v>
      </c>
      <c r="Y259" s="140">
        <f>+_xlfn.XLOOKUP(PROYECTOS2[[#This Row],[MUNICIPIO]],'4.CAP_ENDMNT'!B:B,'4.CAP_ENDMNT'!F:F,0,0,1)</f>
        <v>5374556667.5629997</v>
      </c>
      <c r="Z259" s="140">
        <f>+_xlfn.XLOOKUP(PROYECTOS2[[#This Row],[MUNICIPIO]],'4.CAP_ENDMNT'!B:B,'4.CAP_ENDMNT'!G:G,0,0,1)</f>
        <v>556835774</v>
      </c>
      <c r="AA259" s="140">
        <f>+_xlfn.XLOOKUP(PROYECTOS2[[#This Row],[MUNICIPIO]],'4.CAP_ENDMNT'!B:B,'4.CAP_ENDMNT'!H:H,0,0,1)</f>
        <v>0</v>
      </c>
      <c r="AB259" s="140">
        <f>+_xlfn.XLOOKUP(PROYECTOS2[[#This Row],[MUNICIPIO]],'4.CAP_ENDMNT'!B:B,'4.CAP_ENDMNT'!I:I,0,0,1)</f>
        <v>556835774</v>
      </c>
      <c r="AC259" s="134">
        <f>+_xlfn.XLOOKUP(PROYECTOS2[[#This Row],[MUNICIPIO]],'4.CAP_ENDMNT'!B:B,'4.CAP_ENDMNT'!J:J,0,0,1)</f>
        <v>6.1857827997540693E-2</v>
      </c>
      <c r="AD259" s="140">
        <f>+_xlfn.XLOOKUP(PROYECTOS2[[#This Row],[MUNICIPIO]],'4.CAP_ENDMNT'!B:B,'4.CAP_ENDMNT'!K:K,0,0,1)</f>
        <v>8445028533.6529999</v>
      </c>
      <c r="AE259" s="140">
        <f>+_xlfn.XLOOKUP(PROYECTOS2[[#This Row],[MUNICIPIO]],'4.CAP_ENDMNT'!B:B,'4.CAP_ENDMNT'!L:L,0,0,1)</f>
        <v>6756022826.9224005</v>
      </c>
      <c r="AF259" s="140">
        <f>+_xlfn.XLOOKUP(PROYECTOS2[[#This Row],[MUNICIPIO]],'4.CAP_ENDMNT'!B:B,'4.CAP_ENDMNT'!M:M,0,0,1)</f>
        <v>5067017120.1918001</v>
      </c>
      <c r="AG259" s="134">
        <f>+_xlfn.XLOOKUP(PROYECTOS2[[#This Row],[MUNICIPIO]],'4.CAP_ENDMNT'!B:B,'4.CAP_ENDMNT'!N:N,0,0,1)</f>
        <v>1</v>
      </c>
      <c r="AH259" s="134">
        <f>+_xlfn.XLOOKUP(PROYECTOS2[[#This Row],[MUNICIPIO]],'4.CAP_ENDMNT'!B:B,'4.CAP_ENDMNT'!O:O,0,0,1)</f>
        <v>0.55157730220974377</v>
      </c>
      <c r="AI259" s="134">
        <f>+_xlfn.XLOOKUP(PROYECTOS2[[#This Row],[MUNICIPIO]],'4.CAP_ENDMNT'!B:B,'4.CAP_ENDMNT'!P:P,0,0,1)</f>
        <v>0.8</v>
      </c>
      <c r="AJ259" s="44" t="str">
        <f>+_xlfn.XLOOKUP(PROYECTOS2[[#This Row],[MUNICIPIO]],'4.CAP_ENDMNT'!B:B,'4.CAP_ENDMNT'!Q:Q,0,0,1)</f>
        <v>Cumple</v>
      </c>
    </row>
    <row r="260" spans="1:36">
      <c r="A260" s="44">
        <v>283</v>
      </c>
      <c r="B260" s="37" t="s">
        <v>579</v>
      </c>
      <c r="C260" s="118">
        <v>45747</v>
      </c>
      <c r="D260" s="46" t="s">
        <v>580</v>
      </c>
      <c r="E260" s="47" t="str">
        <f>+_xlfn.XLOOKUP(PROYECTOS2[[#This Row],[MUNICIPIO]],MUNICIPIOS!A:A,MUNICIPIOS!E:E,0,0,1)</f>
        <v>Valle de Aburrá</v>
      </c>
      <c r="F260" s="44" t="e" cm="1">
        <f t="array" ref="F260">+_xlfn.XLOOKUP(PROYECTOS2[[#This Row],[MUNICIPIO]],Table1[Municipio],MUNICIPIOS!F:F,0,0,1)</f>
        <v>#VALUE!</v>
      </c>
      <c r="G260" s="44" t="str">
        <f>+LOOKUP(PROYECTOS2[[#This Row],[MUNICIPIO]],Table1[Municipio],Table1[Latitud])</f>
        <v>5,743808</v>
      </c>
      <c r="H260" s="44">
        <f>+LOOKUP(PROYECTOS2[[#This Row],[MUNICIPIO]],Table1[Municipio],Table1[PDET])</f>
        <v>0</v>
      </c>
      <c r="I260" s="44">
        <f>+LOOKUP(PROYECTOS2[[#This Row],[MUNICIPIO]],Table1[Municipio],Table1[ZOMAC])</f>
        <v>0</v>
      </c>
      <c r="J260" s="3" t="str" cm="1">
        <f t="array" ref="J260">_xlfn.TEXTJOIN(", ", TRUE, IF(radicados[ID PROYECTOS]=A260, radicados[RADICADO], ""))</f>
        <v/>
      </c>
      <c r="K260" s="45">
        <v>1</v>
      </c>
      <c r="L260" s="45"/>
      <c r="M260" s="43"/>
      <c r="N260" s="48">
        <v>3115536915</v>
      </c>
      <c r="O260" s="48"/>
      <c r="P260" s="48"/>
      <c r="Q260" s="148" t="s">
        <v>1067</v>
      </c>
      <c r="R260" s="34" t="s">
        <v>407</v>
      </c>
      <c r="S260" s="40" t="s">
        <v>397</v>
      </c>
      <c r="T260" s="40" t="s">
        <v>56</v>
      </c>
      <c r="U260" s="37" t="s">
        <v>541</v>
      </c>
      <c r="V260" s="44" t="str">
        <f>+_xlfn.XLOOKUP(PROYECTOS2[[#This Row],[MUNICIPIO]],'4.CAP_ENDMNT'!B:B,'4.CAP_ENDMNT'!C:C,0,0,1)</f>
        <v>ESP</v>
      </c>
      <c r="W260" s="139">
        <f>+_xlfn.XLOOKUP(PROYECTOS2[[#This Row],[MUNICIPIO]],'4.CAP_ENDMNT'!B:B,'4.CAP_ENDMNT'!D:D,0,0,1)</f>
        <v>3643253573623.1133</v>
      </c>
      <c r="X260" s="140">
        <f>+_xlfn.XLOOKUP(PROYECTOS2[[#This Row],[MUNICIPIO]],'4.CAP_ENDMNT'!B:B,'4.CAP_ENDMNT'!E:E,0,0,1)</f>
        <v>1227432033091.78</v>
      </c>
      <c r="Y260" s="140">
        <f>+_xlfn.XLOOKUP(PROYECTOS2[[#This Row],[MUNICIPIO]],'4.CAP_ENDMNT'!B:B,'4.CAP_ENDMNT'!F:F,0,0,1)</f>
        <v>2415821540531.333</v>
      </c>
      <c r="Z260" s="140">
        <f>+_xlfn.XLOOKUP(PROYECTOS2[[#This Row],[MUNICIPIO]],'4.CAP_ENDMNT'!B:B,'4.CAP_ENDMNT'!G:G,0,0,1)</f>
        <v>180986901342</v>
      </c>
      <c r="AA260" s="140">
        <f>+_xlfn.XLOOKUP(PROYECTOS2[[#This Row],[MUNICIPIO]],'4.CAP_ENDMNT'!B:B,'4.CAP_ENDMNT'!H:H,0,0,1)</f>
        <v>2084001890354</v>
      </c>
      <c r="AB260" s="140">
        <f>+_xlfn.XLOOKUP(PROYECTOS2[[#This Row],[MUNICIPIO]],'4.CAP_ENDMNT'!B:B,'4.CAP_ENDMNT'!I:I,0,0,1)</f>
        <v>2264988791696</v>
      </c>
      <c r="AC260" s="134">
        <f>+_xlfn.XLOOKUP(PROYECTOS2[[#This Row],[MUNICIPIO]],'4.CAP_ENDMNT'!B:B,'4.CAP_ENDMNT'!J:J,0,0,1)</f>
        <v>0.62169397378605529</v>
      </c>
      <c r="AD260" s="140">
        <f>+_xlfn.XLOOKUP(PROYECTOS2[[#This Row],[MUNICIPIO]],'4.CAP_ENDMNT'!B:B,'4.CAP_ENDMNT'!K:K,0,0,1)</f>
        <v>1378264781927.1133</v>
      </c>
      <c r="AE260" s="140">
        <f>+_xlfn.XLOOKUP(PROYECTOS2[[#This Row],[MUNICIPIO]],'4.CAP_ENDMNT'!B:B,'4.CAP_ENDMNT'!L:L,0,0,1)</f>
        <v>1102611825541.6907</v>
      </c>
      <c r="AF260" s="140">
        <f>+_xlfn.XLOOKUP(PROYECTOS2[[#This Row],[MUNICIPIO]],'4.CAP_ENDMNT'!B:B,'4.CAP_ENDMNT'!M:M,0,0,1)</f>
        <v>826958869156.26794</v>
      </c>
      <c r="AG260" s="134">
        <f>+_xlfn.XLOOKUP(PROYECTOS2[[#This Row],[MUNICIPIO]],'4.CAP_ENDMNT'!B:B,'4.CAP_ENDMNT'!N:N,0,0,1)</f>
        <v>7.9906312121959283E-2</v>
      </c>
      <c r="AH260" s="134">
        <f>+_xlfn.XLOOKUP(PROYECTOS2[[#This Row],[MUNICIPIO]],'4.CAP_ENDMNT'!B:B,'4.CAP_ENDMNT'!O:O,0,0,1)</f>
        <v>0.31949631926682159</v>
      </c>
      <c r="AI260" s="134">
        <f>+_xlfn.XLOOKUP(PROYECTOS2[[#This Row],[MUNICIPIO]],'4.CAP_ENDMNT'!B:B,'4.CAP_ENDMNT'!P:P,0,0,1)</f>
        <v>0.5</v>
      </c>
      <c r="AJ260" s="44" t="str">
        <f>+_xlfn.XLOOKUP(PROYECTOS2[[#This Row],[MUNICIPIO]],'4.CAP_ENDMNT'!B:B,'4.CAP_ENDMNT'!Q:Q,0,0,1)</f>
        <v>Cumple</v>
      </c>
    </row>
    <row r="261" spans="1:36">
      <c r="A261" s="44">
        <v>284</v>
      </c>
      <c r="B261" s="37" t="s">
        <v>581</v>
      </c>
      <c r="C261" s="118">
        <v>45747</v>
      </c>
      <c r="D261" s="46" t="s">
        <v>182</v>
      </c>
      <c r="E261" s="47" t="str">
        <f>+_xlfn.XLOOKUP(PROYECTOS2[[#This Row],[MUNICIPIO]],MUNICIPIOS!A:A,MUNICIPIOS!E:E,0,0,1)</f>
        <v>Occidente</v>
      </c>
      <c r="F261" s="44" t="e" cm="1">
        <f t="array" ref="F261">+_xlfn.XLOOKUP(PROYECTOS2[[#This Row],[MUNICIPIO]],Table1[Municipio],MUNICIPIOS!F:F,0,0,1)</f>
        <v>#VALUE!</v>
      </c>
      <c r="G261" s="44" t="str">
        <f>+LOOKUP(PROYECTOS2[[#This Row],[MUNICIPIO]],Table1[Municipio],Table1[Latitud])</f>
        <v>7,074703</v>
      </c>
      <c r="H261" s="44">
        <f>+LOOKUP(PROYECTOS2[[#This Row],[MUNICIPIO]],Table1[Municipio],Table1[PDET])</f>
        <v>1</v>
      </c>
      <c r="I261" s="44">
        <f>+LOOKUP(PROYECTOS2[[#This Row],[MUNICIPIO]],Table1[Municipio],Table1[ZOMAC])</f>
        <v>1</v>
      </c>
      <c r="J261" s="3" t="str" cm="1">
        <f t="array" ref="J261">_xlfn.TEXTJOIN(", ", TRUE, IF(radicados[ID PROYECTOS]=A261, radicados[RADICADO], ""))</f>
        <v/>
      </c>
      <c r="K261" s="45">
        <v>1</v>
      </c>
      <c r="L261" s="45"/>
      <c r="M261" s="43"/>
      <c r="N261" s="48">
        <v>998692577</v>
      </c>
      <c r="O261" s="48"/>
      <c r="P261" s="48"/>
      <c r="Q261" s="148" t="s">
        <v>1067</v>
      </c>
      <c r="R261" s="34" t="s">
        <v>407</v>
      </c>
      <c r="S261" s="40" t="s">
        <v>397</v>
      </c>
      <c r="T261" s="40" t="s">
        <v>56</v>
      </c>
      <c r="U261" s="37" t="s">
        <v>541</v>
      </c>
      <c r="V261" s="44">
        <f>+_xlfn.XLOOKUP(PROYECTOS2[[#This Row],[MUNICIPIO]],'4.CAP_ENDMNT'!B:B,'4.CAP_ENDMNT'!C:C,0,0,1)</f>
        <v>6</v>
      </c>
      <c r="W261" s="139">
        <f>+_xlfn.XLOOKUP(PROYECTOS2[[#This Row],[MUNICIPIO]],'4.CAP_ENDMNT'!B:B,'4.CAP_ENDMNT'!D:D,0,0,1)</f>
        <v>17304408242.457001</v>
      </c>
      <c r="X261" s="140">
        <f>+_xlfn.XLOOKUP(PROYECTOS2[[#This Row],[MUNICIPIO]],'4.CAP_ENDMNT'!B:B,'4.CAP_ENDMNT'!E:E,0,0,1)</f>
        <v>4260885029.46</v>
      </c>
      <c r="Y261" s="140">
        <f>+_xlfn.XLOOKUP(PROYECTOS2[[#This Row],[MUNICIPIO]],'4.CAP_ENDMNT'!B:B,'4.CAP_ENDMNT'!F:F,0,0,1)</f>
        <v>13043523212.997002</v>
      </c>
      <c r="Z261" s="140">
        <f>+_xlfn.XLOOKUP(PROYECTOS2[[#This Row],[MUNICIPIO]],'4.CAP_ENDMNT'!B:B,'4.CAP_ENDMNT'!G:G,0,0,1)</f>
        <v>3210633884</v>
      </c>
      <c r="AA261" s="140">
        <f>+_xlfn.XLOOKUP(PROYECTOS2[[#This Row],[MUNICIPIO]],'4.CAP_ENDMNT'!B:B,'4.CAP_ENDMNT'!H:H,0,0,1)</f>
        <v>0</v>
      </c>
      <c r="AB261" s="140">
        <f>+_xlfn.XLOOKUP(PROYECTOS2[[#This Row],[MUNICIPIO]],'4.CAP_ENDMNT'!B:B,'4.CAP_ENDMNT'!I:I,0,0,1)</f>
        <v>3210633884</v>
      </c>
      <c r="AC261" s="134">
        <f>+_xlfn.XLOOKUP(PROYECTOS2[[#This Row],[MUNICIPIO]],'4.CAP_ENDMNT'!B:B,'4.CAP_ENDMNT'!J:J,0,0,1)</f>
        <v>0.1855384962614666</v>
      </c>
      <c r="AD261" s="140">
        <f>+_xlfn.XLOOKUP(PROYECTOS2[[#This Row],[MUNICIPIO]],'4.CAP_ENDMNT'!B:B,'4.CAP_ENDMNT'!K:K,0,0,1)</f>
        <v>14093774358.457001</v>
      </c>
      <c r="AE261" s="140">
        <f>+_xlfn.XLOOKUP(PROYECTOS2[[#This Row],[MUNICIPIO]],'4.CAP_ENDMNT'!B:B,'4.CAP_ENDMNT'!L:L,0,0,1)</f>
        <v>11275019486.765602</v>
      </c>
      <c r="AF261" s="140">
        <f>+_xlfn.XLOOKUP(PROYECTOS2[[#This Row],[MUNICIPIO]],'4.CAP_ENDMNT'!B:B,'4.CAP_ENDMNT'!M:M,0,0,1)</f>
        <v>8456264615.0741997</v>
      </c>
      <c r="AG261" s="134">
        <f>+_xlfn.XLOOKUP(PROYECTOS2[[#This Row],[MUNICIPIO]],'4.CAP_ENDMNT'!B:B,'4.CAP_ENDMNT'!N:N,0,0,1)</f>
        <v>1</v>
      </c>
      <c r="AH261" s="134">
        <f>+_xlfn.XLOOKUP(PROYECTOS2[[#This Row],[MUNICIPIO]],'4.CAP_ENDMNT'!B:B,'4.CAP_ENDMNT'!O:O,0,0,1)</f>
        <v>0.3794626866525494</v>
      </c>
      <c r="AI261" s="134">
        <f>+_xlfn.XLOOKUP(PROYECTOS2[[#This Row],[MUNICIPIO]],'4.CAP_ENDMNT'!B:B,'4.CAP_ENDMNT'!P:P,0,0,1)</f>
        <v>0.8</v>
      </c>
      <c r="AJ261" s="44" t="str">
        <f>+_xlfn.XLOOKUP(PROYECTOS2[[#This Row],[MUNICIPIO]],'4.CAP_ENDMNT'!B:B,'4.CAP_ENDMNT'!Q:Q,0,0,1)</f>
        <v>Cumple</v>
      </c>
    </row>
    <row r="262" spans="1:36">
      <c r="A262" s="44">
        <v>285</v>
      </c>
      <c r="B262" s="37" t="s">
        <v>582</v>
      </c>
      <c r="C262" s="118">
        <v>45747</v>
      </c>
      <c r="D262" s="46" t="s">
        <v>362</v>
      </c>
      <c r="E262" s="47" t="str">
        <f>+_xlfn.XLOOKUP(PROYECTOS2[[#This Row],[MUNICIPIO]],MUNICIPIOS!A:A,MUNICIPIOS!E:E,0,0,1)</f>
        <v>Occidente</v>
      </c>
      <c r="F262" s="44" t="e" cm="1">
        <f t="array" ref="F262">+_xlfn.XLOOKUP(PROYECTOS2[[#This Row],[MUNICIPIO]],Table1[Municipio],MUNICIPIOS!F:F,0,0,1)</f>
        <v>#VALUE!</v>
      </c>
      <c r="G262" s="44" t="str">
        <f>+LOOKUP(PROYECTOS2[[#This Row],[MUNICIPIO]],Table1[Municipio],Table1[Latitud])</f>
        <v>6,394348</v>
      </c>
      <c r="H262" s="44">
        <f>+LOOKUP(PROYECTOS2[[#This Row],[MUNICIPIO]],Table1[Municipio],Table1[PDET])</f>
        <v>0</v>
      </c>
      <c r="I262" s="44">
        <f>+LOOKUP(PROYECTOS2[[#This Row],[MUNICIPIO]],Table1[Municipio],Table1[ZOMAC])</f>
        <v>1</v>
      </c>
      <c r="J262" s="3" t="str" cm="1">
        <f t="array" ref="J262">_xlfn.TEXTJOIN(", ", TRUE, IF(radicados[ID PROYECTOS]=A262, radicados[RADICADO], ""))</f>
        <v/>
      </c>
      <c r="K262" s="45">
        <v>1</v>
      </c>
      <c r="L262" s="45"/>
      <c r="M262" s="43"/>
      <c r="N262" s="48">
        <v>1256948227</v>
      </c>
      <c r="O262" s="48"/>
      <c r="P262" s="48"/>
      <c r="Q262" s="148" t="s">
        <v>1067</v>
      </c>
      <c r="R262" s="34" t="s">
        <v>407</v>
      </c>
      <c r="S262" s="40" t="s">
        <v>397</v>
      </c>
      <c r="T262" s="40" t="s">
        <v>56</v>
      </c>
      <c r="U262" s="37" t="s">
        <v>541</v>
      </c>
      <c r="V262" s="44">
        <f>+_xlfn.XLOOKUP(PROYECTOS2[[#This Row],[MUNICIPIO]],'4.CAP_ENDMNT'!B:B,'4.CAP_ENDMNT'!C:C,0,0,1)</f>
        <v>6</v>
      </c>
      <c r="W262" s="139">
        <f>+_xlfn.XLOOKUP(PROYECTOS2[[#This Row],[MUNICIPIO]],'4.CAP_ENDMNT'!B:B,'4.CAP_ENDMNT'!D:D,0,0,1)</f>
        <v>24612921465.534</v>
      </c>
      <c r="X262" s="140">
        <f>+_xlfn.XLOOKUP(PROYECTOS2[[#This Row],[MUNICIPIO]],'4.CAP_ENDMNT'!B:B,'4.CAP_ENDMNT'!E:E,0,0,1)</f>
        <v>6692367651.6599998</v>
      </c>
      <c r="Y262" s="140">
        <f>+_xlfn.XLOOKUP(PROYECTOS2[[#This Row],[MUNICIPIO]],'4.CAP_ENDMNT'!B:B,'4.CAP_ENDMNT'!F:F,0,0,1)</f>
        <v>17920553813.874001</v>
      </c>
      <c r="Z262" s="140">
        <f>+_xlfn.XLOOKUP(PROYECTOS2[[#This Row],[MUNICIPIO]],'4.CAP_ENDMNT'!B:B,'4.CAP_ENDMNT'!G:G,0,0,1)</f>
        <v>830923107</v>
      </c>
      <c r="AA262" s="140">
        <f>+_xlfn.XLOOKUP(PROYECTOS2[[#This Row],[MUNICIPIO]],'4.CAP_ENDMNT'!B:B,'4.CAP_ENDMNT'!H:H,0,0,1)</f>
        <v>8409573820</v>
      </c>
      <c r="AB262" s="140">
        <f>+_xlfn.XLOOKUP(PROYECTOS2[[#This Row],[MUNICIPIO]],'4.CAP_ENDMNT'!B:B,'4.CAP_ENDMNT'!I:I,0,0,1)</f>
        <v>9240496927</v>
      </c>
      <c r="AC262" s="134">
        <f>+_xlfn.XLOOKUP(PROYECTOS2[[#This Row],[MUNICIPIO]],'4.CAP_ENDMNT'!B:B,'4.CAP_ENDMNT'!J:J,0,0,1)</f>
        <v>0.37543275551176097</v>
      </c>
      <c r="AD262" s="140">
        <f>+_xlfn.XLOOKUP(PROYECTOS2[[#This Row],[MUNICIPIO]],'4.CAP_ENDMNT'!B:B,'4.CAP_ENDMNT'!K:K,0,0,1)</f>
        <v>15372424538.534</v>
      </c>
      <c r="AE262" s="140">
        <f>+_xlfn.XLOOKUP(PROYECTOS2[[#This Row],[MUNICIPIO]],'4.CAP_ENDMNT'!B:B,'4.CAP_ENDMNT'!L:L,0,0,1)</f>
        <v>12297939630.827202</v>
      </c>
      <c r="AF262" s="140">
        <f>+_xlfn.XLOOKUP(PROYECTOS2[[#This Row],[MUNICIPIO]],'4.CAP_ENDMNT'!B:B,'4.CAP_ENDMNT'!M:M,0,0,1)</f>
        <v>9223454723.1203995</v>
      </c>
      <c r="AG262" s="134">
        <f>+_xlfn.XLOOKUP(PROYECTOS2[[#This Row],[MUNICIPIO]],'4.CAP_ENDMNT'!B:B,'4.CAP_ENDMNT'!N:N,0,0,1)</f>
        <v>8.9921907183596203E-2</v>
      </c>
      <c r="AH262" s="134">
        <f>+_xlfn.XLOOKUP(PROYECTOS2[[#This Row],[MUNICIPIO]],'4.CAP_ENDMNT'!B:B,'4.CAP_ENDMNT'!O:O,0,0,1)</f>
        <v>0.49254696748300181</v>
      </c>
      <c r="AI262" s="134">
        <f>+_xlfn.XLOOKUP(PROYECTOS2[[#This Row],[MUNICIPIO]],'4.CAP_ENDMNT'!B:B,'4.CAP_ENDMNT'!P:P,0,0,1)</f>
        <v>0.8</v>
      </c>
      <c r="AJ262" s="44" t="str">
        <f>+_xlfn.XLOOKUP(PROYECTOS2[[#This Row],[MUNICIPIO]],'4.CAP_ENDMNT'!B:B,'4.CAP_ENDMNT'!Q:Q,0,0,1)</f>
        <v>Cumple</v>
      </c>
    </row>
    <row r="263" spans="1:36">
      <c r="A263" s="44">
        <v>286</v>
      </c>
      <c r="B263" s="37" t="s">
        <v>583</v>
      </c>
      <c r="C263" s="118">
        <v>45747</v>
      </c>
      <c r="D263" s="46" t="s">
        <v>256</v>
      </c>
      <c r="E263" s="47" t="str">
        <f>+_xlfn.XLOOKUP(PROYECTOS2[[#This Row],[MUNICIPIO]],MUNICIPIOS!A:A,MUNICIPIOS!E:E,0,0,1)</f>
        <v>Occidente</v>
      </c>
      <c r="F263" s="44" t="e" cm="1">
        <f t="array" ref="F263">+_xlfn.XLOOKUP(PROYECTOS2[[#This Row],[MUNICIPIO]],Table1[Municipio],MUNICIPIOS!F:F,0,0,1)</f>
        <v>#VALUE!</v>
      </c>
      <c r="G263" s="44" t="str">
        <f>+LOOKUP(PROYECTOS2[[#This Row],[MUNICIPIO]],Table1[Municipio],Table1[Latitud])</f>
        <v>6,136871</v>
      </c>
      <c r="H263" s="44">
        <f>+LOOKUP(PROYECTOS2[[#This Row],[MUNICIPIO]],Table1[Municipio],Table1[PDET])</f>
        <v>0</v>
      </c>
      <c r="I263" s="44">
        <f>+LOOKUP(PROYECTOS2[[#This Row],[MUNICIPIO]],Table1[Municipio],Table1[ZOMAC])</f>
        <v>0</v>
      </c>
      <c r="J263" s="3" t="str" cm="1">
        <f t="array" ref="J263">_xlfn.TEXTJOIN(", ", TRUE, IF(radicados[ID PROYECTOS]=A263, radicados[RADICADO], ""))</f>
        <v/>
      </c>
      <c r="K263" s="45">
        <v>1</v>
      </c>
      <c r="L263" s="45"/>
      <c r="M263" s="43"/>
      <c r="N263" s="48">
        <v>1536797296</v>
      </c>
      <c r="O263" s="48"/>
      <c r="P263" s="48"/>
      <c r="Q263" s="148" t="s">
        <v>1067</v>
      </c>
      <c r="R263" s="34" t="s">
        <v>407</v>
      </c>
      <c r="S263" s="40" t="s">
        <v>397</v>
      </c>
      <c r="T263" s="40" t="s">
        <v>56</v>
      </c>
      <c r="U263" s="37" t="s">
        <v>541</v>
      </c>
      <c r="V263" s="44">
        <f>+_xlfn.XLOOKUP(PROYECTOS2[[#This Row],[MUNICIPIO]],'4.CAP_ENDMNT'!B:B,'4.CAP_ENDMNT'!C:C,0,0,1)</f>
        <v>6</v>
      </c>
      <c r="W263" s="139">
        <f>+_xlfn.XLOOKUP(PROYECTOS2[[#This Row],[MUNICIPIO]],'4.CAP_ENDMNT'!B:B,'4.CAP_ENDMNT'!D:D,0,0,1)</f>
        <v>15502017167.017002</v>
      </c>
      <c r="X263" s="140">
        <f>+_xlfn.XLOOKUP(PROYECTOS2[[#This Row],[MUNICIPIO]],'4.CAP_ENDMNT'!B:B,'4.CAP_ENDMNT'!E:E,0,0,1)</f>
        <v>4560047682.8000002</v>
      </c>
      <c r="Y263" s="140">
        <f>+_xlfn.XLOOKUP(PROYECTOS2[[#This Row],[MUNICIPIO]],'4.CAP_ENDMNT'!B:B,'4.CAP_ENDMNT'!F:F,0,0,1)</f>
        <v>10941969484.217003</v>
      </c>
      <c r="Z263" s="140">
        <f>+_xlfn.XLOOKUP(PROYECTOS2[[#This Row],[MUNICIPIO]],'4.CAP_ENDMNT'!B:B,'4.CAP_ENDMNT'!G:G,0,0,1)</f>
        <v>1591148139</v>
      </c>
      <c r="AA263" s="140">
        <f>+_xlfn.XLOOKUP(PROYECTOS2[[#This Row],[MUNICIPIO]],'4.CAP_ENDMNT'!B:B,'4.CAP_ENDMNT'!H:H,0,0,1)</f>
        <v>1671853559</v>
      </c>
      <c r="AB263" s="140">
        <f>+_xlfn.XLOOKUP(PROYECTOS2[[#This Row],[MUNICIPIO]],'4.CAP_ENDMNT'!B:B,'4.CAP_ENDMNT'!I:I,0,0,1)</f>
        <v>3263001698</v>
      </c>
      <c r="AC263" s="134">
        <f>+_xlfn.XLOOKUP(PROYECTOS2[[#This Row],[MUNICIPIO]],'4.CAP_ENDMNT'!B:B,'4.CAP_ENDMNT'!J:J,0,0,1)</f>
        <v>0.2104888456027873</v>
      </c>
      <c r="AD263" s="140">
        <f>+_xlfn.XLOOKUP(PROYECTOS2[[#This Row],[MUNICIPIO]],'4.CAP_ENDMNT'!B:B,'4.CAP_ENDMNT'!K:K,0,0,1)</f>
        <v>12239015469.017002</v>
      </c>
      <c r="AE263" s="140">
        <f>+_xlfn.XLOOKUP(PROYECTOS2[[#This Row],[MUNICIPIO]],'4.CAP_ENDMNT'!B:B,'4.CAP_ENDMNT'!L:L,0,0,1)</f>
        <v>9791212375.2136021</v>
      </c>
      <c r="AF263" s="140">
        <f>+_xlfn.XLOOKUP(PROYECTOS2[[#This Row],[MUNICIPIO]],'4.CAP_ENDMNT'!B:B,'4.CAP_ENDMNT'!M:M,0,0,1)</f>
        <v>7343409281.4102011</v>
      </c>
      <c r="AG263" s="134">
        <f>+_xlfn.XLOOKUP(PROYECTOS2[[#This Row],[MUNICIPIO]],'4.CAP_ENDMNT'!B:B,'4.CAP_ENDMNT'!N:N,0,0,1)</f>
        <v>0.4876332549796914</v>
      </c>
      <c r="AH263" s="134">
        <f>+_xlfn.XLOOKUP(PROYECTOS2[[#This Row],[MUNICIPIO]],'4.CAP_ENDMNT'!B:B,'4.CAP_ENDMNT'!O:O,0,0,1)</f>
        <v>0.42560105953702715</v>
      </c>
      <c r="AI263" s="134">
        <f>+_xlfn.XLOOKUP(PROYECTOS2[[#This Row],[MUNICIPIO]],'4.CAP_ENDMNT'!B:B,'4.CAP_ENDMNT'!P:P,0,0,1)</f>
        <v>0.8</v>
      </c>
      <c r="AJ263" s="44" t="str">
        <f>+_xlfn.XLOOKUP(PROYECTOS2[[#This Row],[MUNICIPIO]],'4.CAP_ENDMNT'!B:B,'4.CAP_ENDMNT'!Q:Q,0,0,1)</f>
        <v>Cumple</v>
      </c>
    </row>
    <row r="264" spans="1:36">
      <c r="A264" s="44">
        <v>287</v>
      </c>
      <c r="B264" s="37" t="s">
        <v>584</v>
      </c>
      <c r="C264" s="118">
        <v>45747</v>
      </c>
      <c r="D264" s="46" t="s">
        <v>578</v>
      </c>
      <c r="E264" s="47" t="str">
        <f>+_xlfn.XLOOKUP(PROYECTOS2[[#This Row],[MUNICIPIO]],MUNICIPIOS!A:A,MUNICIPIOS!E:E,0,0,1)</f>
        <v>Occidente</v>
      </c>
      <c r="F264" s="44" t="e" cm="1">
        <f t="array" ref="F264">+_xlfn.XLOOKUP(PROYECTOS2[[#This Row],[MUNICIPIO]],Table1[Municipio],MUNICIPIOS!F:F,0,0,1)</f>
        <v>#VALUE!</v>
      </c>
      <c r="G264" s="44" t="str">
        <f>+LOOKUP(PROYECTOS2[[#This Row],[MUNICIPIO]],Table1[Municipio],Table1[Latitud])</f>
        <v>6,394348</v>
      </c>
      <c r="H264" s="44">
        <f>+LOOKUP(PROYECTOS2[[#This Row],[MUNICIPIO]],Table1[Municipio],Table1[PDET])</f>
        <v>0</v>
      </c>
      <c r="I264" s="44">
        <f>+LOOKUP(PROYECTOS2[[#This Row],[MUNICIPIO]],Table1[Municipio],Table1[ZOMAC])</f>
        <v>1</v>
      </c>
      <c r="J264" s="3" t="str" cm="1">
        <f t="array" ref="J264">_xlfn.TEXTJOIN(", ", TRUE, IF(radicados[ID PROYECTOS]=A264, radicados[RADICADO], ""))</f>
        <v/>
      </c>
      <c r="K264" s="45">
        <v>1</v>
      </c>
      <c r="L264" s="45"/>
      <c r="M264" s="43"/>
      <c r="N264" s="48">
        <v>1852186366</v>
      </c>
      <c r="O264" s="48"/>
      <c r="P264" s="48"/>
      <c r="Q264" s="148" t="s">
        <v>1067</v>
      </c>
      <c r="R264" s="34" t="s">
        <v>407</v>
      </c>
      <c r="S264" s="40" t="s">
        <v>397</v>
      </c>
      <c r="T264" s="40" t="s">
        <v>56</v>
      </c>
      <c r="U264" s="37" t="s">
        <v>541</v>
      </c>
      <c r="V264" s="44">
        <f>+_xlfn.XLOOKUP(PROYECTOS2[[#This Row],[MUNICIPIO]],'4.CAP_ENDMNT'!B:B,'4.CAP_ENDMNT'!C:C,0,0,1)</f>
        <v>6</v>
      </c>
      <c r="W264" s="139">
        <f>+_xlfn.XLOOKUP(PROYECTOS2[[#This Row],[MUNICIPIO]],'4.CAP_ENDMNT'!B:B,'4.CAP_ENDMNT'!D:D,0,0,1)</f>
        <v>9001864307.6529999</v>
      </c>
      <c r="X264" s="140">
        <f>+_xlfn.XLOOKUP(PROYECTOS2[[#This Row],[MUNICIPIO]],'4.CAP_ENDMNT'!B:B,'4.CAP_ENDMNT'!E:E,0,0,1)</f>
        <v>3627307640.0900002</v>
      </c>
      <c r="Y264" s="140">
        <f>+_xlfn.XLOOKUP(PROYECTOS2[[#This Row],[MUNICIPIO]],'4.CAP_ENDMNT'!B:B,'4.CAP_ENDMNT'!F:F,0,0,1)</f>
        <v>5374556667.5629997</v>
      </c>
      <c r="Z264" s="140">
        <f>+_xlfn.XLOOKUP(PROYECTOS2[[#This Row],[MUNICIPIO]],'4.CAP_ENDMNT'!B:B,'4.CAP_ENDMNT'!G:G,0,0,1)</f>
        <v>556835774</v>
      </c>
      <c r="AA264" s="140">
        <f>+_xlfn.XLOOKUP(PROYECTOS2[[#This Row],[MUNICIPIO]],'4.CAP_ENDMNT'!B:B,'4.CAP_ENDMNT'!H:H,0,0,1)</f>
        <v>0</v>
      </c>
      <c r="AB264" s="140">
        <f>+_xlfn.XLOOKUP(PROYECTOS2[[#This Row],[MUNICIPIO]],'4.CAP_ENDMNT'!B:B,'4.CAP_ENDMNT'!I:I,0,0,1)</f>
        <v>556835774</v>
      </c>
      <c r="AC264" s="134">
        <f>+_xlfn.XLOOKUP(PROYECTOS2[[#This Row],[MUNICIPIO]],'4.CAP_ENDMNT'!B:B,'4.CAP_ENDMNT'!J:J,0,0,1)</f>
        <v>6.1857827997540693E-2</v>
      </c>
      <c r="AD264" s="140">
        <f>+_xlfn.XLOOKUP(PROYECTOS2[[#This Row],[MUNICIPIO]],'4.CAP_ENDMNT'!B:B,'4.CAP_ENDMNT'!K:K,0,0,1)</f>
        <v>8445028533.6529999</v>
      </c>
      <c r="AE264" s="140">
        <f>+_xlfn.XLOOKUP(PROYECTOS2[[#This Row],[MUNICIPIO]],'4.CAP_ENDMNT'!B:B,'4.CAP_ENDMNT'!L:L,0,0,1)</f>
        <v>6756022826.9224005</v>
      </c>
      <c r="AF264" s="140">
        <f>+_xlfn.XLOOKUP(PROYECTOS2[[#This Row],[MUNICIPIO]],'4.CAP_ENDMNT'!B:B,'4.CAP_ENDMNT'!M:M,0,0,1)</f>
        <v>5067017120.1918001</v>
      </c>
      <c r="AG264" s="134">
        <f>+_xlfn.XLOOKUP(PROYECTOS2[[#This Row],[MUNICIPIO]],'4.CAP_ENDMNT'!B:B,'4.CAP_ENDMNT'!N:N,0,0,1)</f>
        <v>1</v>
      </c>
      <c r="AH264" s="134">
        <f>+_xlfn.XLOOKUP(PROYECTOS2[[#This Row],[MUNICIPIO]],'4.CAP_ENDMNT'!B:B,'4.CAP_ENDMNT'!O:O,0,0,1)</f>
        <v>0.55157730220974377</v>
      </c>
      <c r="AI264" s="134">
        <f>+_xlfn.XLOOKUP(PROYECTOS2[[#This Row],[MUNICIPIO]],'4.CAP_ENDMNT'!B:B,'4.CAP_ENDMNT'!P:P,0,0,1)</f>
        <v>0.8</v>
      </c>
      <c r="AJ264" s="44" t="str">
        <f>+_xlfn.XLOOKUP(PROYECTOS2[[#This Row],[MUNICIPIO]],'4.CAP_ENDMNT'!B:B,'4.CAP_ENDMNT'!Q:Q,0,0,1)</f>
        <v>Cumple</v>
      </c>
    </row>
    <row r="265" spans="1:36">
      <c r="A265" s="44">
        <v>288</v>
      </c>
      <c r="B265" s="37" t="s">
        <v>585</v>
      </c>
      <c r="C265" s="118">
        <v>45747</v>
      </c>
      <c r="D265" s="46" t="s">
        <v>256</v>
      </c>
      <c r="E265" s="47" t="str">
        <f>+_xlfn.XLOOKUP(PROYECTOS2[[#This Row],[MUNICIPIO]],MUNICIPIOS!A:A,MUNICIPIOS!E:E,0,0,1)</f>
        <v>Occidente</v>
      </c>
      <c r="F265" s="44" t="e" cm="1">
        <f t="array" ref="F265">+_xlfn.XLOOKUP(PROYECTOS2[[#This Row],[MUNICIPIO]],Table1[Municipio],MUNICIPIOS!F:F,0,0,1)</f>
        <v>#VALUE!</v>
      </c>
      <c r="G265" s="44" t="str">
        <f>+LOOKUP(PROYECTOS2[[#This Row],[MUNICIPIO]],Table1[Municipio],Table1[Latitud])</f>
        <v>6,136871</v>
      </c>
      <c r="H265" s="44">
        <f>+LOOKUP(PROYECTOS2[[#This Row],[MUNICIPIO]],Table1[Municipio],Table1[PDET])</f>
        <v>0</v>
      </c>
      <c r="I265" s="44">
        <f>+LOOKUP(PROYECTOS2[[#This Row],[MUNICIPIO]],Table1[Municipio],Table1[ZOMAC])</f>
        <v>0</v>
      </c>
      <c r="J265" s="3" t="str" cm="1">
        <f t="array" ref="J265">_xlfn.TEXTJOIN(", ", TRUE, IF(radicados[ID PROYECTOS]=A265, radicados[RADICADO], ""))</f>
        <v/>
      </c>
      <c r="K265" s="45">
        <v>1</v>
      </c>
      <c r="L265" s="45"/>
      <c r="M265" s="43"/>
      <c r="N265" s="48">
        <v>1115647109</v>
      </c>
      <c r="O265" s="48"/>
      <c r="P265" s="48"/>
      <c r="Q265" s="148" t="s">
        <v>1067</v>
      </c>
      <c r="R265" s="34" t="s">
        <v>407</v>
      </c>
      <c r="S265" s="40" t="s">
        <v>397</v>
      </c>
      <c r="T265" s="40" t="s">
        <v>56</v>
      </c>
      <c r="U265" s="37" t="s">
        <v>541</v>
      </c>
      <c r="V265" s="44">
        <f>+_xlfn.XLOOKUP(PROYECTOS2[[#This Row],[MUNICIPIO]],'4.CAP_ENDMNT'!B:B,'4.CAP_ENDMNT'!C:C,0,0,1)</f>
        <v>6</v>
      </c>
      <c r="W265" s="139">
        <f>+_xlfn.XLOOKUP(PROYECTOS2[[#This Row],[MUNICIPIO]],'4.CAP_ENDMNT'!B:B,'4.CAP_ENDMNT'!D:D,0,0,1)</f>
        <v>15502017167.017002</v>
      </c>
      <c r="X265" s="140">
        <f>+_xlfn.XLOOKUP(PROYECTOS2[[#This Row],[MUNICIPIO]],'4.CAP_ENDMNT'!B:B,'4.CAP_ENDMNT'!E:E,0,0,1)</f>
        <v>4560047682.8000002</v>
      </c>
      <c r="Y265" s="140">
        <f>+_xlfn.XLOOKUP(PROYECTOS2[[#This Row],[MUNICIPIO]],'4.CAP_ENDMNT'!B:B,'4.CAP_ENDMNT'!F:F,0,0,1)</f>
        <v>10941969484.217003</v>
      </c>
      <c r="Z265" s="140">
        <f>+_xlfn.XLOOKUP(PROYECTOS2[[#This Row],[MUNICIPIO]],'4.CAP_ENDMNT'!B:B,'4.CAP_ENDMNT'!G:G,0,0,1)</f>
        <v>1591148139</v>
      </c>
      <c r="AA265" s="140">
        <f>+_xlfn.XLOOKUP(PROYECTOS2[[#This Row],[MUNICIPIO]],'4.CAP_ENDMNT'!B:B,'4.CAP_ENDMNT'!H:H,0,0,1)</f>
        <v>1671853559</v>
      </c>
      <c r="AB265" s="140">
        <f>+_xlfn.XLOOKUP(PROYECTOS2[[#This Row],[MUNICIPIO]],'4.CAP_ENDMNT'!B:B,'4.CAP_ENDMNT'!I:I,0,0,1)</f>
        <v>3263001698</v>
      </c>
      <c r="AC265" s="134">
        <f>+_xlfn.XLOOKUP(PROYECTOS2[[#This Row],[MUNICIPIO]],'4.CAP_ENDMNT'!B:B,'4.CAP_ENDMNT'!J:J,0,0,1)</f>
        <v>0.2104888456027873</v>
      </c>
      <c r="AD265" s="140">
        <f>+_xlfn.XLOOKUP(PROYECTOS2[[#This Row],[MUNICIPIO]],'4.CAP_ENDMNT'!B:B,'4.CAP_ENDMNT'!K:K,0,0,1)</f>
        <v>12239015469.017002</v>
      </c>
      <c r="AE265" s="140">
        <f>+_xlfn.XLOOKUP(PROYECTOS2[[#This Row],[MUNICIPIO]],'4.CAP_ENDMNT'!B:B,'4.CAP_ENDMNT'!L:L,0,0,1)</f>
        <v>9791212375.2136021</v>
      </c>
      <c r="AF265" s="140">
        <f>+_xlfn.XLOOKUP(PROYECTOS2[[#This Row],[MUNICIPIO]],'4.CAP_ENDMNT'!B:B,'4.CAP_ENDMNT'!M:M,0,0,1)</f>
        <v>7343409281.4102011</v>
      </c>
      <c r="AG265" s="134">
        <f>+_xlfn.XLOOKUP(PROYECTOS2[[#This Row],[MUNICIPIO]],'4.CAP_ENDMNT'!B:B,'4.CAP_ENDMNT'!N:N,0,0,1)</f>
        <v>0.4876332549796914</v>
      </c>
      <c r="AH265" s="134">
        <f>+_xlfn.XLOOKUP(PROYECTOS2[[#This Row],[MUNICIPIO]],'4.CAP_ENDMNT'!B:B,'4.CAP_ENDMNT'!O:O,0,0,1)</f>
        <v>0.42560105953702715</v>
      </c>
      <c r="AI265" s="134">
        <f>+_xlfn.XLOOKUP(PROYECTOS2[[#This Row],[MUNICIPIO]],'4.CAP_ENDMNT'!B:B,'4.CAP_ENDMNT'!P:P,0,0,1)</f>
        <v>0.8</v>
      </c>
      <c r="AJ265" s="44" t="str">
        <f>+_xlfn.XLOOKUP(PROYECTOS2[[#This Row],[MUNICIPIO]],'4.CAP_ENDMNT'!B:B,'4.CAP_ENDMNT'!Q:Q,0,0,1)</f>
        <v>Cumple</v>
      </c>
    </row>
    <row r="266" spans="1:36">
      <c r="A266" s="44">
        <v>289</v>
      </c>
      <c r="B266" s="37" t="s">
        <v>586</v>
      </c>
      <c r="C266" s="118">
        <v>45747</v>
      </c>
      <c r="D266" s="46" t="s">
        <v>256</v>
      </c>
      <c r="E266" s="47" t="str">
        <f>+_xlfn.XLOOKUP(PROYECTOS2[[#This Row],[MUNICIPIO]],MUNICIPIOS!A:A,MUNICIPIOS!E:E,0,0,1)</f>
        <v>Occidente</v>
      </c>
      <c r="F266" s="44" t="e" cm="1">
        <f t="array" ref="F266">+_xlfn.XLOOKUP(PROYECTOS2[[#This Row],[MUNICIPIO]],Table1[Municipio],MUNICIPIOS!F:F,0,0,1)</f>
        <v>#VALUE!</v>
      </c>
      <c r="G266" s="44" t="str">
        <f>+LOOKUP(PROYECTOS2[[#This Row],[MUNICIPIO]],Table1[Municipio],Table1[Latitud])</f>
        <v>6,136871</v>
      </c>
      <c r="H266" s="44">
        <f>+LOOKUP(PROYECTOS2[[#This Row],[MUNICIPIO]],Table1[Municipio],Table1[PDET])</f>
        <v>0</v>
      </c>
      <c r="I266" s="44">
        <f>+LOOKUP(PROYECTOS2[[#This Row],[MUNICIPIO]],Table1[Municipio],Table1[ZOMAC])</f>
        <v>0</v>
      </c>
      <c r="J266" s="3" t="str" cm="1">
        <f t="array" ref="J266">_xlfn.TEXTJOIN(", ", TRUE, IF(radicados[ID PROYECTOS]=A266, radicados[RADICADO], ""))</f>
        <v/>
      </c>
      <c r="K266" s="45">
        <v>1</v>
      </c>
      <c r="L266" s="45"/>
      <c r="M266" s="43"/>
      <c r="N266" s="48">
        <v>517056378</v>
      </c>
      <c r="O266" s="48"/>
      <c r="P266" s="48"/>
      <c r="Q266" s="148" t="s">
        <v>1067</v>
      </c>
      <c r="R266" s="34" t="s">
        <v>407</v>
      </c>
      <c r="S266" s="40" t="s">
        <v>397</v>
      </c>
      <c r="T266" s="40" t="s">
        <v>56</v>
      </c>
      <c r="U266" s="37" t="s">
        <v>541</v>
      </c>
      <c r="V266" s="44">
        <f>+_xlfn.XLOOKUP(PROYECTOS2[[#This Row],[MUNICIPIO]],'4.CAP_ENDMNT'!B:B,'4.CAP_ENDMNT'!C:C,0,0,1)</f>
        <v>6</v>
      </c>
      <c r="W266" s="139">
        <f>+_xlfn.XLOOKUP(PROYECTOS2[[#This Row],[MUNICIPIO]],'4.CAP_ENDMNT'!B:B,'4.CAP_ENDMNT'!D:D,0,0,1)</f>
        <v>15502017167.017002</v>
      </c>
      <c r="X266" s="140">
        <f>+_xlfn.XLOOKUP(PROYECTOS2[[#This Row],[MUNICIPIO]],'4.CAP_ENDMNT'!B:B,'4.CAP_ENDMNT'!E:E,0,0,1)</f>
        <v>4560047682.8000002</v>
      </c>
      <c r="Y266" s="140">
        <f>+_xlfn.XLOOKUP(PROYECTOS2[[#This Row],[MUNICIPIO]],'4.CAP_ENDMNT'!B:B,'4.CAP_ENDMNT'!F:F,0,0,1)</f>
        <v>10941969484.217003</v>
      </c>
      <c r="Z266" s="140">
        <f>+_xlfn.XLOOKUP(PROYECTOS2[[#This Row],[MUNICIPIO]],'4.CAP_ENDMNT'!B:B,'4.CAP_ENDMNT'!G:G,0,0,1)</f>
        <v>1591148139</v>
      </c>
      <c r="AA266" s="140">
        <f>+_xlfn.XLOOKUP(PROYECTOS2[[#This Row],[MUNICIPIO]],'4.CAP_ENDMNT'!B:B,'4.CAP_ENDMNT'!H:H,0,0,1)</f>
        <v>1671853559</v>
      </c>
      <c r="AB266" s="140">
        <f>+_xlfn.XLOOKUP(PROYECTOS2[[#This Row],[MUNICIPIO]],'4.CAP_ENDMNT'!B:B,'4.CAP_ENDMNT'!I:I,0,0,1)</f>
        <v>3263001698</v>
      </c>
      <c r="AC266" s="134">
        <f>+_xlfn.XLOOKUP(PROYECTOS2[[#This Row],[MUNICIPIO]],'4.CAP_ENDMNT'!B:B,'4.CAP_ENDMNT'!J:J,0,0,1)</f>
        <v>0.2104888456027873</v>
      </c>
      <c r="AD266" s="140">
        <f>+_xlfn.XLOOKUP(PROYECTOS2[[#This Row],[MUNICIPIO]],'4.CAP_ENDMNT'!B:B,'4.CAP_ENDMNT'!K:K,0,0,1)</f>
        <v>12239015469.017002</v>
      </c>
      <c r="AE266" s="140">
        <f>+_xlfn.XLOOKUP(PROYECTOS2[[#This Row],[MUNICIPIO]],'4.CAP_ENDMNT'!B:B,'4.CAP_ENDMNT'!L:L,0,0,1)</f>
        <v>9791212375.2136021</v>
      </c>
      <c r="AF266" s="140">
        <f>+_xlfn.XLOOKUP(PROYECTOS2[[#This Row],[MUNICIPIO]],'4.CAP_ENDMNT'!B:B,'4.CAP_ENDMNT'!M:M,0,0,1)</f>
        <v>7343409281.4102011</v>
      </c>
      <c r="AG266" s="134">
        <f>+_xlfn.XLOOKUP(PROYECTOS2[[#This Row],[MUNICIPIO]],'4.CAP_ENDMNT'!B:B,'4.CAP_ENDMNT'!N:N,0,0,1)</f>
        <v>0.4876332549796914</v>
      </c>
      <c r="AH266" s="134">
        <f>+_xlfn.XLOOKUP(PROYECTOS2[[#This Row],[MUNICIPIO]],'4.CAP_ENDMNT'!B:B,'4.CAP_ENDMNT'!O:O,0,0,1)</f>
        <v>0.42560105953702715</v>
      </c>
      <c r="AI266" s="134">
        <f>+_xlfn.XLOOKUP(PROYECTOS2[[#This Row],[MUNICIPIO]],'4.CAP_ENDMNT'!B:B,'4.CAP_ENDMNT'!P:P,0,0,1)</f>
        <v>0.8</v>
      </c>
      <c r="AJ266" s="44" t="str">
        <f>+_xlfn.XLOOKUP(PROYECTOS2[[#This Row],[MUNICIPIO]],'4.CAP_ENDMNT'!B:B,'4.CAP_ENDMNT'!Q:Q,0,0,1)</f>
        <v>Cumple</v>
      </c>
    </row>
    <row r="267" spans="1:36">
      <c r="A267" s="44">
        <v>290</v>
      </c>
      <c r="B267" s="37" t="s">
        <v>587</v>
      </c>
      <c r="C267" s="118">
        <v>45747</v>
      </c>
      <c r="D267" s="46" t="s">
        <v>95</v>
      </c>
      <c r="E267" s="47" t="str">
        <f>+_xlfn.XLOOKUP(PROYECTOS2[[#This Row],[MUNICIPIO]],MUNICIPIOS!A:A,MUNICIPIOS!E:E,0,0,1)</f>
        <v>Occidente</v>
      </c>
      <c r="F267" s="44" t="e" cm="1">
        <f t="array" ref="F267">+_xlfn.XLOOKUP(PROYECTOS2[[#This Row],[MUNICIPIO]],Table1[Municipio],MUNICIPIOS!F:F,0,0,1)</f>
        <v>#VALUE!</v>
      </c>
      <c r="G267" s="44" t="str">
        <f>+LOOKUP(PROYECTOS2[[#This Row],[MUNICIPIO]],Table1[Municipio],Table1[Latitud])</f>
        <v>6,149903</v>
      </c>
      <c r="H267" s="44">
        <f>+LOOKUP(PROYECTOS2[[#This Row],[MUNICIPIO]],Table1[Municipio],Table1[PDET])</f>
        <v>0</v>
      </c>
      <c r="I267" s="44">
        <f>+LOOKUP(PROYECTOS2[[#This Row],[MUNICIPIO]],Table1[Municipio],Table1[ZOMAC])</f>
        <v>0</v>
      </c>
      <c r="J267" s="3" t="str" cm="1">
        <f t="array" ref="J267">_xlfn.TEXTJOIN(", ", TRUE, IF(radicados[ID PROYECTOS]=A267, radicados[RADICADO], ""))</f>
        <v/>
      </c>
      <c r="K267" s="45">
        <v>1</v>
      </c>
      <c r="L267" s="45"/>
      <c r="M267" s="43"/>
      <c r="N267" s="48">
        <v>1087132538</v>
      </c>
      <c r="O267" s="48"/>
      <c r="P267" s="48"/>
      <c r="Q267" s="148" t="s">
        <v>1067</v>
      </c>
      <c r="R267" s="34" t="s">
        <v>407</v>
      </c>
      <c r="S267" s="40" t="s">
        <v>397</v>
      </c>
      <c r="T267" s="40" t="s">
        <v>56</v>
      </c>
      <c r="U267" s="37" t="s">
        <v>541</v>
      </c>
      <c r="V267" s="44">
        <f>+_xlfn.XLOOKUP(PROYECTOS2[[#This Row],[MUNICIPIO]],'4.CAP_ENDMNT'!B:B,'4.CAP_ENDMNT'!C:C,0,0,1)</f>
        <v>6</v>
      </c>
      <c r="W267" s="139">
        <f>+_xlfn.XLOOKUP(PROYECTOS2[[#This Row],[MUNICIPIO]],'4.CAP_ENDMNT'!B:B,'4.CAP_ENDMNT'!D:D,0,0,1)</f>
        <v>16347842057.745998</v>
      </c>
      <c r="X267" s="140">
        <f>+_xlfn.XLOOKUP(PROYECTOS2[[#This Row],[MUNICIPIO]],'4.CAP_ENDMNT'!B:B,'4.CAP_ENDMNT'!E:E,0,0,1)</f>
        <v>7901643157.3299999</v>
      </c>
      <c r="Y267" s="140">
        <f>+_xlfn.XLOOKUP(PROYECTOS2[[#This Row],[MUNICIPIO]],'4.CAP_ENDMNT'!B:B,'4.CAP_ENDMNT'!F:F,0,0,1)</f>
        <v>8446198900.4159985</v>
      </c>
      <c r="Z267" s="140">
        <f>+_xlfn.XLOOKUP(PROYECTOS2[[#This Row],[MUNICIPIO]],'4.CAP_ENDMNT'!B:B,'4.CAP_ENDMNT'!G:G,0,0,1)</f>
        <v>1620905965.8499999</v>
      </c>
      <c r="AA267" s="140">
        <f>+_xlfn.XLOOKUP(PROYECTOS2[[#This Row],[MUNICIPIO]],'4.CAP_ENDMNT'!B:B,'4.CAP_ENDMNT'!H:H,0,0,1)</f>
        <v>2416666620</v>
      </c>
      <c r="AB267" s="140">
        <f>+_xlfn.XLOOKUP(PROYECTOS2[[#This Row],[MUNICIPIO]],'4.CAP_ENDMNT'!B:B,'4.CAP_ENDMNT'!I:I,0,0,1)</f>
        <v>4037572585.8499999</v>
      </c>
      <c r="AC267" s="134">
        <f>+_xlfn.XLOOKUP(PROYECTOS2[[#This Row],[MUNICIPIO]],'4.CAP_ENDMNT'!B:B,'4.CAP_ENDMNT'!J:J,0,0,1)</f>
        <v>0.24697893285168493</v>
      </c>
      <c r="AD267" s="140">
        <f>+_xlfn.XLOOKUP(PROYECTOS2[[#This Row],[MUNICIPIO]],'4.CAP_ENDMNT'!B:B,'4.CAP_ENDMNT'!K:K,0,0,1)</f>
        <v>12310269471.895998</v>
      </c>
      <c r="AE267" s="140">
        <f>+_xlfn.XLOOKUP(PROYECTOS2[[#This Row],[MUNICIPIO]],'4.CAP_ENDMNT'!B:B,'4.CAP_ENDMNT'!L:L,0,0,1)</f>
        <v>9848215577.516798</v>
      </c>
      <c r="AF267" s="140">
        <f>+_xlfn.XLOOKUP(PROYECTOS2[[#This Row],[MUNICIPIO]],'4.CAP_ENDMNT'!B:B,'4.CAP_ENDMNT'!M:M,0,0,1)</f>
        <v>7386161683.137599</v>
      </c>
      <c r="AG267" s="134">
        <f>+_xlfn.XLOOKUP(PROYECTOS2[[#This Row],[MUNICIPIO]],'4.CAP_ENDMNT'!B:B,'4.CAP_ENDMNT'!N:N,0,0,1)</f>
        <v>0.40145556058375176</v>
      </c>
      <c r="AH267" s="134">
        <f>+_xlfn.XLOOKUP(PROYECTOS2[[#This Row],[MUNICIPIO]],'4.CAP_ENDMNT'!B:B,'4.CAP_ENDMNT'!O:O,0,0,1)</f>
        <v>0.5852153455768756</v>
      </c>
      <c r="AI267" s="134">
        <f>+_xlfn.XLOOKUP(PROYECTOS2[[#This Row],[MUNICIPIO]],'4.CAP_ENDMNT'!B:B,'4.CAP_ENDMNT'!P:P,0,0,1)</f>
        <v>0.8</v>
      </c>
      <c r="AJ267" s="44" t="str">
        <f>+_xlfn.XLOOKUP(PROYECTOS2[[#This Row],[MUNICIPIO]],'4.CAP_ENDMNT'!B:B,'4.CAP_ENDMNT'!Q:Q,0,0,1)</f>
        <v>Cumple</v>
      </c>
    </row>
    <row r="268" spans="1:36">
      <c r="A268" s="44">
        <v>291</v>
      </c>
      <c r="B268" s="37" t="s">
        <v>588</v>
      </c>
      <c r="C268" s="118">
        <v>45747</v>
      </c>
      <c r="D268" s="46" t="s">
        <v>115</v>
      </c>
      <c r="E268" s="47" t="str">
        <f>+_xlfn.XLOOKUP(PROYECTOS2[[#This Row],[MUNICIPIO]],MUNICIPIOS!A:A,MUNICIPIOS!E:E,0,0,1)</f>
        <v>Oriente</v>
      </c>
      <c r="F268" s="44" t="e" cm="1">
        <f t="array" ref="F268">+_xlfn.XLOOKUP(PROYECTOS2[[#This Row],[MUNICIPIO]],Table1[Municipio],MUNICIPIOS!F:F,0,0,1)</f>
        <v>#VALUE!</v>
      </c>
      <c r="G268" s="44" t="str">
        <f>+LOOKUP(PROYECTOS2[[#This Row],[MUNICIPIO]],Table1[Municipio],Table1[Latitud])</f>
        <v>6,028062</v>
      </c>
      <c r="H268" s="44">
        <f>+LOOKUP(PROYECTOS2[[#This Row],[MUNICIPIO]],Table1[Municipio],Table1[PDET])</f>
        <v>0</v>
      </c>
      <c r="I268" s="44">
        <f>+LOOKUP(PROYECTOS2[[#This Row],[MUNICIPIO]],Table1[Municipio],Table1[ZOMAC])</f>
        <v>0</v>
      </c>
      <c r="J268" s="3" t="str" cm="1">
        <f t="array" ref="J268">_xlfn.TEXTJOIN(", ", TRUE, IF(radicados[ID PROYECTOS]=A268, radicados[RADICADO], ""))</f>
        <v/>
      </c>
      <c r="K268" s="45">
        <v>1</v>
      </c>
      <c r="L268" s="45"/>
      <c r="M268" s="43"/>
      <c r="N268" s="48">
        <v>560000000</v>
      </c>
      <c r="O268" s="48"/>
      <c r="P268" s="48"/>
      <c r="Q268" s="148" t="s">
        <v>1067</v>
      </c>
      <c r="R268" s="34" t="s">
        <v>407</v>
      </c>
      <c r="S268" s="40" t="s">
        <v>397</v>
      </c>
      <c r="T268" s="40" t="s">
        <v>56</v>
      </c>
      <c r="U268" s="37" t="s">
        <v>541</v>
      </c>
      <c r="V268" s="44">
        <f>+_xlfn.XLOOKUP(PROYECTOS2[[#This Row],[MUNICIPIO]],'4.CAP_ENDMNT'!B:B,'4.CAP_ENDMNT'!C:C,0,0,1)</f>
        <v>2</v>
      </c>
      <c r="W268" s="139">
        <f>+_xlfn.XLOOKUP(PROYECTOS2[[#This Row],[MUNICIPIO]],'4.CAP_ENDMNT'!B:B,'4.CAP_ENDMNT'!D:D,0,0,1)</f>
        <v>102691614388.099</v>
      </c>
      <c r="X268" s="140">
        <f>+_xlfn.XLOOKUP(PROYECTOS2[[#This Row],[MUNICIPIO]],'4.CAP_ENDMNT'!B:B,'4.CAP_ENDMNT'!E:E,0,0,1)</f>
        <v>29123622287.32</v>
      </c>
      <c r="Y268" s="140">
        <f>+_xlfn.XLOOKUP(PROYECTOS2[[#This Row],[MUNICIPIO]],'4.CAP_ENDMNT'!B:B,'4.CAP_ENDMNT'!F:F,0,0,1)</f>
        <v>73567992100.778992</v>
      </c>
      <c r="Z268" s="140">
        <f>+_xlfn.XLOOKUP(PROYECTOS2[[#This Row],[MUNICIPIO]],'4.CAP_ENDMNT'!B:B,'4.CAP_ENDMNT'!G:G,0,0,1)</f>
        <v>5166195556</v>
      </c>
      <c r="AA268" s="140">
        <f>+_xlfn.XLOOKUP(PROYECTOS2[[#This Row],[MUNICIPIO]],'4.CAP_ENDMNT'!B:B,'4.CAP_ENDMNT'!H:H,0,0,1)</f>
        <v>27283390599</v>
      </c>
      <c r="AB268" s="140">
        <f>+_xlfn.XLOOKUP(PROYECTOS2[[#This Row],[MUNICIPIO]],'4.CAP_ENDMNT'!B:B,'4.CAP_ENDMNT'!I:I,0,0,1)</f>
        <v>32449586155</v>
      </c>
      <c r="AC268" s="134">
        <f>+_xlfn.XLOOKUP(PROYECTOS2[[#This Row],[MUNICIPIO]],'4.CAP_ENDMNT'!B:B,'4.CAP_ENDMNT'!J:J,0,0,1)</f>
        <v>0.3159906127521217</v>
      </c>
      <c r="AD268" s="140">
        <f>+_xlfn.XLOOKUP(PROYECTOS2[[#This Row],[MUNICIPIO]],'4.CAP_ENDMNT'!B:B,'4.CAP_ENDMNT'!K:K,0,0,1)</f>
        <v>70242028233.098999</v>
      </c>
      <c r="AE268" s="140">
        <f>+_xlfn.XLOOKUP(PROYECTOS2[[#This Row],[MUNICIPIO]],'4.CAP_ENDMNT'!B:B,'4.CAP_ENDMNT'!L:L,0,0,1)</f>
        <v>56193622586.479202</v>
      </c>
      <c r="AF268" s="140">
        <f>+_xlfn.XLOOKUP(PROYECTOS2[[#This Row],[MUNICIPIO]],'4.CAP_ENDMNT'!B:B,'4.CAP_ENDMNT'!M:M,0,0,1)</f>
        <v>42145216939.859398</v>
      </c>
      <c r="AG268" s="134">
        <f>+_xlfn.XLOOKUP(PROYECTOS2[[#This Row],[MUNICIPIO]],'4.CAP_ENDMNT'!B:B,'4.CAP_ENDMNT'!N:N,0,0,1)</f>
        <v>0.15920682412783146</v>
      </c>
      <c r="AH268" s="134">
        <f>+_xlfn.XLOOKUP(PROYECTOS2[[#This Row],[MUNICIPIO]],'4.CAP_ENDMNT'!B:B,'4.CAP_ENDMNT'!O:O,0,0,1)</f>
        <v>0.28977187660096981</v>
      </c>
      <c r="AI268" s="134">
        <f>+_xlfn.XLOOKUP(PROYECTOS2[[#This Row],[MUNICIPIO]],'4.CAP_ENDMNT'!B:B,'4.CAP_ENDMNT'!P:P,0,0,1)</f>
        <v>0.7</v>
      </c>
      <c r="AJ268" s="44" t="str">
        <f>+_xlfn.XLOOKUP(PROYECTOS2[[#This Row],[MUNICIPIO]],'4.CAP_ENDMNT'!B:B,'4.CAP_ENDMNT'!Q:Q,0,0,1)</f>
        <v>Cumple</v>
      </c>
    </row>
    <row r="269" spans="1:36">
      <c r="A269" s="44">
        <v>292</v>
      </c>
      <c r="B269" s="37" t="s">
        <v>589</v>
      </c>
      <c r="C269" s="118">
        <v>45747</v>
      </c>
      <c r="D269" s="46" t="s">
        <v>32</v>
      </c>
      <c r="E269" s="47" t="str">
        <f>+_xlfn.XLOOKUP(PROYECTOS2[[#This Row],[MUNICIPIO]],MUNICIPIOS!A:A,MUNICIPIOS!E:E,0,0,1)</f>
        <v>Oriente</v>
      </c>
      <c r="F269" s="44" t="e" cm="1">
        <f t="array" ref="F269">+_xlfn.XLOOKUP(PROYECTOS2[[#This Row],[MUNICIPIO]],Table1[Municipio],MUNICIPIOS!F:F,0,0,1)</f>
        <v>#VALUE!</v>
      </c>
      <c r="G269" s="44" t="e">
        <f>+LOOKUP(PROYECTOS2[[#This Row],[MUNICIPIO]],Table1[Municipio],Table1[Latitud])</f>
        <v>#N/A</v>
      </c>
      <c r="H269" s="44" t="e">
        <f>+LOOKUP(PROYECTOS2[[#This Row],[MUNICIPIO]],Table1[Municipio],Table1[PDET])</f>
        <v>#N/A</v>
      </c>
      <c r="I269" s="44" t="e">
        <f>+LOOKUP(PROYECTOS2[[#This Row],[MUNICIPIO]],Table1[Municipio],Table1[ZOMAC])</f>
        <v>#N/A</v>
      </c>
      <c r="J269" s="3" t="str" cm="1">
        <f t="array" ref="J269">_xlfn.TEXTJOIN(", ", TRUE, IF(radicados[ID PROYECTOS]=A269, radicados[RADICADO], ""))</f>
        <v/>
      </c>
      <c r="K269" s="45">
        <v>1</v>
      </c>
      <c r="L269" s="45"/>
      <c r="M269" s="43"/>
      <c r="N269" s="48">
        <v>725000000</v>
      </c>
      <c r="O269" s="48"/>
      <c r="P269" s="48"/>
      <c r="Q269" s="148" t="s">
        <v>1067</v>
      </c>
      <c r="R269" s="34" t="s">
        <v>407</v>
      </c>
      <c r="S269" s="40" t="s">
        <v>397</v>
      </c>
      <c r="T269" s="40" t="s">
        <v>56</v>
      </c>
      <c r="U269" s="37" t="s">
        <v>541</v>
      </c>
      <c r="V269" s="44">
        <f>+_xlfn.XLOOKUP(PROYECTOS2[[#This Row],[MUNICIPIO]],'4.CAP_ENDMNT'!B:B,'4.CAP_ENDMNT'!C:C,0,0,1)</f>
        <v>6</v>
      </c>
      <c r="W269" s="139">
        <f>+_xlfn.XLOOKUP(PROYECTOS2[[#This Row],[MUNICIPIO]],'4.CAP_ENDMNT'!B:B,'4.CAP_ENDMNT'!D:D,0,0,1)</f>
        <v>15030770872.282</v>
      </c>
      <c r="X269" s="140">
        <f>+_xlfn.XLOOKUP(PROYECTOS2[[#This Row],[MUNICIPIO]],'4.CAP_ENDMNT'!B:B,'4.CAP_ENDMNT'!E:E,0,0,1)</f>
        <v>4409672661.8199997</v>
      </c>
      <c r="Y269" s="140">
        <f>+_xlfn.XLOOKUP(PROYECTOS2[[#This Row],[MUNICIPIO]],'4.CAP_ENDMNT'!B:B,'4.CAP_ENDMNT'!F:F,0,0,1)</f>
        <v>10621098210.462</v>
      </c>
      <c r="Z269" s="140">
        <f>+_xlfn.XLOOKUP(PROYECTOS2[[#This Row],[MUNICIPIO]],'4.CAP_ENDMNT'!B:B,'4.CAP_ENDMNT'!G:G,0,0,1)</f>
        <v>1969764886</v>
      </c>
      <c r="AA269" s="140">
        <f>+_xlfn.XLOOKUP(PROYECTOS2[[#This Row],[MUNICIPIO]],'4.CAP_ENDMNT'!B:B,'4.CAP_ENDMNT'!H:H,0,0,1)</f>
        <v>0</v>
      </c>
      <c r="AB269" s="140">
        <f>+_xlfn.XLOOKUP(PROYECTOS2[[#This Row],[MUNICIPIO]],'4.CAP_ENDMNT'!B:B,'4.CAP_ENDMNT'!I:I,0,0,1)</f>
        <v>1969764886</v>
      </c>
      <c r="AC269" s="134">
        <f>+_xlfn.XLOOKUP(PROYECTOS2[[#This Row],[MUNICIPIO]],'4.CAP_ENDMNT'!B:B,'4.CAP_ENDMNT'!J:J,0,0,1)</f>
        <v>0.13104882661955891</v>
      </c>
      <c r="AD269" s="140">
        <f>+_xlfn.XLOOKUP(PROYECTOS2[[#This Row],[MUNICIPIO]],'4.CAP_ENDMNT'!B:B,'4.CAP_ENDMNT'!K:K,0,0,1)</f>
        <v>13061005986.282</v>
      </c>
      <c r="AE269" s="140">
        <f>+_xlfn.XLOOKUP(PROYECTOS2[[#This Row],[MUNICIPIO]],'4.CAP_ENDMNT'!B:B,'4.CAP_ENDMNT'!L:L,0,0,1)</f>
        <v>10448804789.0256</v>
      </c>
      <c r="AF269" s="140">
        <f>+_xlfn.XLOOKUP(PROYECTOS2[[#This Row],[MUNICIPIO]],'4.CAP_ENDMNT'!B:B,'4.CAP_ENDMNT'!M:M,0,0,1)</f>
        <v>7836603591.7691994</v>
      </c>
      <c r="AG269" s="134">
        <f>+_xlfn.XLOOKUP(PROYECTOS2[[#This Row],[MUNICIPIO]],'4.CAP_ENDMNT'!B:B,'4.CAP_ENDMNT'!N:N,0,0,1)</f>
        <v>1</v>
      </c>
      <c r="AH269" s="134">
        <f>+_xlfn.XLOOKUP(PROYECTOS2[[#This Row],[MUNICIPIO]],'4.CAP_ENDMNT'!B:B,'4.CAP_ENDMNT'!O:O,0,0,1)</f>
        <v>0.39507659260977307</v>
      </c>
      <c r="AI269" s="134">
        <f>+_xlfn.XLOOKUP(PROYECTOS2[[#This Row],[MUNICIPIO]],'4.CAP_ENDMNT'!B:B,'4.CAP_ENDMNT'!P:P,0,0,1)</f>
        <v>0.8</v>
      </c>
      <c r="AJ269" s="44" t="str">
        <f>+_xlfn.XLOOKUP(PROYECTOS2[[#This Row],[MUNICIPIO]],'4.CAP_ENDMNT'!B:B,'4.CAP_ENDMNT'!Q:Q,0,0,1)</f>
        <v>Cumple</v>
      </c>
    </row>
    <row r="270" spans="1:36">
      <c r="A270" s="44">
        <v>293</v>
      </c>
      <c r="B270" s="37" t="s">
        <v>590</v>
      </c>
      <c r="C270" s="118">
        <v>45747</v>
      </c>
      <c r="D270" s="46" t="s">
        <v>32</v>
      </c>
      <c r="E270" s="47" t="str">
        <f>+_xlfn.XLOOKUP(PROYECTOS2[[#This Row],[MUNICIPIO]],MUNICIPIOS!A:A,MUNICIPIOS!E:E,0,0,1)</f>
        <v>Oriente</v>
      </c>
      <c r="F270" s="44" t="e" cm="1">
        <f t="array" ref="F270">+_xlfn.XLOOKUP(PROYECTOS2[[#This Row],[MUNICIPIO]],Table1[Municipio],MUNICIPIOS!F:F,0,0,1)</f>
        <v>#VALUE!</v>
      </c>
      <c r="G270" s="44" t="e">
        <f>+LOOKUP(PROYECTOS2[[#This Row],[MUNICIPIO]],Table1[Municipio],Table1[Latitud])</f>
        <v>#N/A</v>
      </c>
      <c r="H270" s="44" t="e">
        <f>+LOOKUP(PROYECTOS2[[#This Row],[MUNICIPIO]],Table1[Municipio],Table1[PDET])</f>
        <v>#N/A</v>
      </c>
      <c r="I270" s="44" t="e">
        <f>+LOOKUP(PROYECTOS2[[#This Row],[MUNICIPIO]],Table1[Municipio],Table1[ZOMAC])</f>
        <v>#N/A</v>
      </c>
      <c r="J270" s="3" t="str" cm="1">
        <f t="array" ref="J270">_xlfn.TEXTJOIN(", ", TRUE, IF(radicados[ID PROYECTOS]=A270, radicados[RADICADO], ""))</f>
        <v/>
      </c>
      <c r="K270" s="45">
        <v>1</v>
      </c>
      <c r="L270" s="45"/>
      <c r="M270" s="43"/>
      <c r="N270" s="48">
        <v>965000000</v>
      </c>
      <c r="O270" s="48"/>
      <c r="P270" s="48"/>
      <c r="Q270" s="148" t="s">
        <v>1067</v>
      </c>
      <c r="R270" s="34" t="s">
        <v>407</v>
      </c>
      <c r="S270" s="40" t="s">
        <v>397</v>
      </c>
      <c r="T270" s="40" t="s">
        <v>56</v>
      </c>
      <c r="U270" s="37" t="s">
        <v>541</v>
      </c>
      <c r="V270" s="44">
        <f>+_xlfn.XLOOKUP(PROYECTOS2[[#This Row],[MUNICIPIO]],'4.CAP_ENDMNT'!B:B,'4.CAP_ENDMNT'!C:C,0,0,1)</f>
        <v>6</v>
      </c>
      <c r="W270" s="139">
        <f>+_xlfn.XLOOKUP(PROYECTOS2[[#This Row],[MUNICIPIO]],'4.CAP_ENDMNT'!B:B,'4.CAP_ENDMNT'!D:D,0,0,1)</f>
        <v>15030770872.282</v>
      </c>
      <c r="X270" s="140">
        <f>+_xlfn.XLOOKUP(PROYECTOS2[[#This Row],[MUNICIPIO]],'4.CAP_ENDMNT'!B:B,'4.CAP_ENDMNT'!E:E,0,0,1)</f>
        <v>4409672661.8199997</v>
      </c>
      <c r="Y270" s="140">
        <f>+_xlfn.XLOOKUP(PROYECTOS2[[#This Row],[MUNICIPIO]],'4.CAP_ENDMNT'!B:B,'4.CAP_ENDMNT'!F:F,0,0,1)</f>
        <v>10621098210.462</v>
      </c>
      <c r="Z270" s="140">
        <f>+_xlfn.XLOOKUP(PROYECTOS2[[#This Row],[MUNICIPIO]],'4.CAP_ENDMNT'!B:B,'4.CAP_ENDMNT'!G:G,0,0,1)</f>
        <v>1969764886</v>
      </c>
      <c r="AA270" s="140">
        <f>+_xlfn.XLOOKUP(PROYECTOS2[[#This Row],[MUNICIPIO]],'4.CAP_ENDMNT'!B:B,'4.CAP_ENDMNT'!H:H,0,0,1)</f>
        <v>0</v>
      </c>
      <c r="AB270" s="140">
        <f>+_xlfn.XLOOKUP(PROYECTOS2[[#This Row],[MUNICIPIO]],'4.CAP_ENDMNT'!B:B,'4.CAP_ENDMNT'!I:I,0,0,1)</f>
        <v>1969764886</v>
      </c>
      <c r="AC270" s="134">
        <f>+_xlfn.XLOOKUP(PROYECTOS2[[#This Row],[MUNICIPIO]],'4.CAP_ENDMNT'!B:B,'4.CAP_ENDMNT'!J:J,0,0,1)</f>
        <v>0.13104882661955891</v>
      </c>
      <c r="AD270" s="140">
        <f>+_xlfn.XLOOKUP(PROYECTOS2[[#This Row],[MUNICIPIO]],'4.CAP_ENDMNT'!B:B,'4.CAP_ENDMNT'!K:K,0,0,1)</f>
        <v>13061005986.282</v>
      </c>
      <c r="AE270" s="140">
        <f>+_xlfn.XLOOKUP(PROYECTOS2[[#This Row],[MUNICIPIO]],'4.CAP_ENDMNT'!B:B,'4.CAP_ENDMNT'!L:L,0,0,1)</f>
        <v>10448804789.0256</v>
      </c>
      <c r="AF270" s="140">
        <f>+_xlfn.XLOOKUP(PROYECTOS2[[#This Row],[MUNICIPIO]],'4.CAP_ENDMNT'!B:B,'4.CAP_ENDMNT'!M:M,0,0,1)</f>
        <v>7836603591.7691994</v>
      </c>
      <c r="AG270" s="134">
        <f>+_xlfn.XLOOKUP(PROYECTOS2[[#This Row],[MUNICIPIO]],'4.CAP_ENDMNT'!B:B,'4.CAP_ENDMNT'!N:N,0,0,1)</f>
        <v>1</v>
      </c>
      <c r="AH270" s="134">
        <f>+_xlfn.XLOOKUP(PROYECTOS2[[#This Row],[MUNICIPIO]],'4.CAP_ENDMNT'!B:B,'4.CAP_ENDMNT'!O:O,0,0,1)</f>
        <v>0.39507659260977307</v>
      </c>
      <c r="AI270" s="134">
        <f>+_xlfn.XLOOKUP(PROYECTOS2[[#This Row],[MUNICIPIO]],'4.CAP_ENDMNT'!B:B,'4.CAP_ENDMNT'!P:P,0,0,1)</f>
        <v>0.8</v>
      </c>
      <c r="AJ270" s="44" t="str">
        <f>+_xlfn.XLOOKUP(PROYECTOS2[[#This Row],[MUNICIPIO]],'4.CAP_ENDMNT'!B:B,'4.CAP_ENDMNT'!Q:Q,0,0,1)</f>
        <v>Cumple</v>
      </c>
    </row>
    <row r="271" spans="1:36">
      <c r="A271" s="44">
        <v>294</v>
      </c>
      <c r="B271" s="37" t="s">
        <v>591</v>
      </c>
      <c r="C271" s="118">
        <v>45747</v>
      </c>
      <c r="D271" s="46" t="s">
        <v>84</v>
      </c>
      <c r="E271" s="47" t="str">
        <f>+_xlfn.XLOOKUP(PROYECTOS2[[#This Row],[MUNICIPIO]],MUNICIPIOS!A:A,MUNICIPIOS!E:E,0,0,1)</f>
        <v>Oriente</v>
      </c>
      <c r="F271" s="44" t="e" cm="1">
        <f t="array" ref="F271">+_xlfn.XLOOKUP(PROYECTOS2[[#This Row],[MUNICIPIO]],Table1[Municipio],MUNICIPIOS!F:F,0,0,1)</f>
        <v>#VALUE!</v>
      </c>
      <c r="G271" s="44" t="str">
        <f>+LOOKUP(PROYECTOS2[[#This Row],[MUNICIPIO]],Table1[Municipio],Table1[Latitud])</f>
        <v>6,149903</v>
      </c>
      <c r="H271" s="44">
        <f>+LOOKUP(PROYECTOS2[[#This Row],[MUNICIPIO]],Table1[Municipio],Table1[PDET])</f>
        <v>0</v>
      </c>
      <c r="I271" s="44">
        <f>+LOOKUP(PROYECTOS2[[#This Row],[MUNICIPIO]],Table1[Municipio],Table1[ZOMAC])</f>
        <v>0</v>
      </c>
      <c r="J271" s="3" t="str" cm="1">
        <f t="array" ref="J271">_xlfn.TEXTJOIN(", ", TRUE, IF(radicados[ID PROYECTOS]=A271, radicados[RADICADO], ""))</f>
        <v/>
      </c>
      <c r="K271" s="45">
        <v>1</v>
      </c>
      <c r="L271" s="45"/>
      <c r="M271" s="43"/>
      <c r="N271" s="48">
        <v>1610000000</v>
      </c>
      <c r="O271" s="48"/>
      <c r="P271" s="48"/>
      <c r="Q271" s="148" t="s">
        <v>1067</v>
      </c>
      <c r="R271" s="34" t="s">
        <v>407</v>
      </c>
      <c r="S271" s="40" t="s">
        <v>397</v>
      </c>
      <c r="T271" s="40" t="s">
        <v>56</v>
      </c>
      <c r="U271" s="37" t="s">
        <v>541</v>
      </c>
      <c r="V271" s="44">
        <f>+_xlfn.XLOOKUP(PROYECTOS2[[#This Row],[MUNICIPIO]],'4.CAP_ENDMNT'!B:B,'4.CAP_ENDMNT'!C:C,0,0,1)</f>
        <v>5</v>
      </c>
      <c r="W271" s="139">
        <f>+_xlfn.XLOOKUP(PROYECTOS2[[#This Row],[MUNICIPIO]],'4.CAP_ENDMNT'!B:B,'4.CAP_ENDMNT'!D:D,0,0,1)</f>
        <v>35695767669.016502</v>
      </c>
      <c r="X271" s="140">
        <f>+_xlfn.XLOOKUP(PROYECTOS2[[#This Row],[MUNICIPIO]],'4.CAP_ENDMNT'!B:B,'4.CAP_ENDMNT'!E:E,0,0,1)</f>
        <v>13532488388.23</v>
      </c>
      <c r="Y271" s="140">
        <f>+_xlfn.XLOOKUP(PROYECTOS2[[#This Row],[MUNICIPIO]],'4.CAP_ENDMNT'!B:B,'4.CAP_ENDMNT'!F:F,0,0,1)</f>
        <v>22163279280.786503</v>
      </c>
      <c r="Z271" s="140">
        <f>+_xlfn.XLOOKUP(PROYECTOS2[[#This Row],[MUNICIPIO]],'4.CAP_ENDMNT'!B:B,'4.CAP_ENDMNT'!G:G,0,0,1)</f>
        <v>1067761948</v>
      </c>
      <c r="AA271" s="140">
        <f>+_xlfn.XLOOKUP(PROYECTOS2[[#This Row],[MUNICIPIO]],'4.CAP_ENDMNT'!B:B,'4.CAP_ENDMNT'!H:H,0,0,1)</f>
        <v>4932032890</v>
      </c>
      <c r="AB271" s="140">
        <f>+_xlfn.XLOOKUP(PROYECTOS2[[#This Row],[MUNICIPIO]],'4.CAP_ENDMNT'!B:B,'4.CAP_ENDMNT'!I:I,0,0,1)</f>
        <v>5999794838</v>
      </c>
      <c r="AC271" s="134">
        <f>+_xlfn.XLOOKUP(PROYECTOS2[[#This Row],[MUNICIPIO]],'4.CAP_ENDMNT'!B:B,'4.CAP_ENDMNT'!J:J,0,0,1)</f>
        <v>0.16808140655867587</v>
      </c>
      <c r="AD271" s="140">
        <f>+_xlfn.XLOOKUP(PROYECTOS2[[#This Row],[MUNICIPIO]],'4.CAP_ENDMNT'!B:B,'4.CAP_ENDMNT'!K:K,0,0,1)</f>
        <v>29695972831.016502</v>
      </c>
      <c r="AE271" s="140">
        <f>+_xlfn.XLOOKUP(PROYECTOS2[[#This Row],[MUNICIPIO]],'4.CAP_ENDMNT'!B:B,'4.CAP_ENDMNT'!L:L,0,0,1)</f>
        <v>23756778264.813202</v>
      </c>
      <c r="AF271" s="140">
        <f>+_xlfn.XLOOKUP(PROYECTOS2[[#This Row],[MUNICIPIO]],'4.CAP_ENDMNT'!B:B,'4.CAP_ENDMNT'!M:M,0,0,1)</f>
        <v>17817583698.609901</v>
      </c>
      <c r="AG271" s="134">
        <f>+_xlfn.XLOOKUP(PROYECTOS2[[#This Row],[MUNICIPIO]],'4.CAP_ENDMNT'!B:B,'4.CAP_ENDMNT'!N:N,0,0,1)</f>
        <v>0.17796640999076777</v>
      </c>
      <c r="AH271" s="134">
        <f>+_xlfn.XLOOKUP(PROYECTOS2[[#This Row],[MUNICIPIO]],'4.CAP_ENDMNT'!B:B,'4.CAP_ENDMNT'!O:O,0,0,1)</f>
        <v>0.4016729815979605</v>
      </c>
      <c r="AI271" s="134">
        <f>+_xlfn.XLOOKUP(PROYECTOS2[[#This Row],[MUNICIPIO]],'4.CAP_ENDMNT'!B:B,'4.CAP_ENDMNT'!P:P,0,0,1)</f>
        <v>0.8</v>
      </c>
      <c r="AJ271" s="44" t="str">
        <f>+_xlfn.XLOOKUP(PROYECTOS2[[#This Row],[MUNICIPIO]],'4.CAP_ENDMNT'!B:B,'4.CAP_ENDMNT'!Q:Q,0,0,1)</f>
        <v>Cumple</v>
      </c>
    </row>
    <row r="272" spans="1:36">
      <c r="A272" s="44">
        <v>295</v>
      </c>
      <c r="B272" s="37" t="s">
        <v>592</v>
      </c>
      <c r="C272" s="118">
        <v>45747</v>
      </c>
      <c r="D272" s="46" t="s">
        <v>141</v>
      </c>
      <c r="E272" s="47" t="str">
        <f>+_xlfn.XLOOKUP(PROYECTOS2[[#This Row],[MUNICIPIO]],MUNICIPIOS!A:A,MUNICIPIOS!E:E,0,0,1)</f>
        <v>Oriente</v>
      </c>
      <c r="F272" s="44" t="e" cm="1">
        <f t="array" ref="F272">+_xlfn.XLOOKUP(PROYECTOS2[[#This Row],[MUNICIPIO]],Table1[Municipio],MUNICIPIOS!F:F,0,0,1)</f>
        <v>#VALUE!</v>
      </c>
      <c r="G272" s="44" t="str">
        <f>+LOOKUP(PROYECTOS2[[#This Row],[MUNICIPIO]],Table1[Municipio],Table1[Latitud])</f>
        <v>7,074703</v>
      </c>
      <c r="H272" s="44">
        <f>+LOOKUP(PROYECTOS2[[#This Row],[MUNICIPIO]],Table1[Municipio],Table1[PDET])</f>
        <v>1</v>
      </c>
      <c r="I272" s="44">
        <f>+LOOKUP(PROYECTOS2[[#This Row],[MUNICIPIO]],Table1[Municipio],Table1[ZOMAC])</f>
        <v>1</v>
      </c>
      <c r="J272" s="3" t="str" cm="1">
        <f t="array" ref="J272">_xlfn.TEXTJOIN(", ", TRUE, IF(radicados[ID PROYECTOS]=A272, radicados[RADICADO], ""))</f>
        <v/>
      </c>
      <c r="K272" s="45">
        <v>1</v>
      </c>
      <c r="L272" s="45"/>
      <c r="M272" s="43"/>
      <c r="N272" s="48">
        <v>716000000</v>
      </c>
      <c r="O272" s="48"/>
      <c r="P272" s="48"/>
      <c r="Q272" s="148" t="s">
        <v>1067</v>
      </c>
      <c r="R272" s="34" t="s">
        <v>407</v>
      </c>
      <c r="S272" s="40" t="s">
        <v>397</v>
      </c>
      <c r="T272" s="40" t="s">
        <v>56</v>
      </c>
      <c r="U272" s="37" t="s">
        <v>541</v>
      </c>
      <c r="V272" s="44">
        <f>+_xlfn.XLOOKUP(PROYECTOS2[[#This Row],[MUNICIPIO]],'4.CAP_ENDMNT'!B:B,'4.CAP_ENDMNT'!C:C,0,0,1)</f>
        <v>6</v>
      </c>
      <c r="W272" s="139">
        <f>+_xlfn.XLOOKUP(PROYECTOS2[[#This Row],[MUNICIPIO]],'4.CAP_ENDMNT'!B:B,'4.CAP_ENDMNT'!D:D,0,0,1)</f>
        <v>7397887197.3409996</v>
      </c>
      <c r="X272" s="140">
        <f>+_xlfn.XLOOKUP(PROYECTOS2[[#This Row],[MUNICIPIO]],'4.CAP_ENDMNT'!B:B,'4.CAP_ENDMNT'!E:E,0,0,1)</f>
        <v>2145550795.75</v>
      </c>
      <c r="Y272" s="140">
        <f>+_xlfn.XLOOKUP(PROYECTOS2[[#This Row],[MUNICIPIO]],'4.CAP_ENDMNT'!B:B,'4.CAP_ENDMNT'!F:F,0,0,1)</f>
        <v>5252336401.5909996</v>
      </c>
      <c r="Z272" s="140">
        <f>+_xlfn.XLOOKUP(PROYECTOS2[[#This Row],[MUNICIPIO]],'4.CAP_ENDMNT'!B:B,'4.CAP_ENDMNT'!G:G,0,0,1)</f>
        <v>913988424</v>
      </c>
      <c r="AA272" s="140">
        <f>+_xlfn.XLOOKUP(PROYECTOS2[[#This Row],[MUNICIPIO]],'4.CAP_ENDMNT'!B:B,'4.CAP_ENDMNT'!H:H,0,0,1)</f>
        <v>0</v>
      </c>
      <c r="AB272" s="140">
        <f>+_xlfn.XLOOKUP(PROYECTOS2[[#This Row],[MUNICIPIO]],'4.CAP_ENDMNT'!B:B,'4.CAP_ENDMNT'!I:I,0,0,1)</f>
        <v>913988424</v>
      </c>
      <c r="AC272" s="134">
        <f>+_xlfn.XLOOKUP(PROYECTOS2[[#This Row],[MUNICIPIO]],'4.CAP_ENDMNT'!B:B,'4.CAP_ENDMNT'!J:J,0,0,1)</f>
        <v>0.12354722363548773</v>
      </c>
      <c r="AD272" s="140">
        <f>+_xlfn.XLOOKUP(PROYECTOS2[[#This Row],[MUNICIPIO]],'4.CAP_ENDMNT'!B:B,'4.CAP_ENDMNT'!K:K,0,0,1)</f>
        <v>6483898773.3409996</v>
      </c>
      <c r="AE272" s="140">
        <f>+_xlfn.XLOOKUP(PROYECTOS2[[#This Row],[MUNICIPIO]],'4.CAP_ENDMNT'!B:B,'4.CAP_ENDMNT'!L:L,0,0,1)</f>
        <v>5187119018.6728001</v>
      </c>
      <c r="AF272" s="140">
        <f>+_xlfn.XLOOKUP(PROYECTOS2[[#This Row],[MUNICIPIO]],'4.CAP_ENDMNT'!B:B,'4.CAP_ENDMNT'!M:M,0,0,1)</f>
        <v>3890339264.0045996</v>
      </c>
      <c r="AG272" s="134">
        <f>+_xlfn.XLOOKUP(PROYECTOS2[[#This Row],[MUNICIPIO]],'4.CAP_ENDMNT'!B:B,'4.CAP_ENDMNT'!N:N,0,0,1)</f>
        <v>1</v>
      </c>
      <c r="AH272" s="134">
        <f>+_xlfn.XLOOKUP(PROYECTOS2[[#This Row],[MUNICIPIO]],'4.CAP_ENDMNT'!B:B,'4.CAP_ENDMNT'!O:O,0,0,1)</f>
        <v>0.55936476249157852</v>
      </c>
      <c r="AI272" s="134">
        <f>+_xlfn.XLOOKUP(PROYECTOS2[[#This Row],[MUNICIPIO]],'4.CAP_ENDMNT'!B:B,'4.CAP_ENDMNT'!P:P,0,0,1)</f>
        <v>0.8</v>
      </c>
      <c r="AJ272" s="44" t="str">
        <f>+_xlfn.XLOOKUP(PROYECTOS2[[#This Row],[MUNICIPIO]],'4.CAP_ENDMNT'!B:B,'4.CAP_ENDMNT'!Q:Q,0,0,1)</f>
        <v>Cumple</v>
      </c>
    </row>
    <row r="273" spans="1:36">
      <c r="A273" s="44">
        <v>296</v>
      </c>
      <c r="B273" s="37" t="s">
        <v>593</v>
      </c>
      <c r="C273" s="118">
        <v>45747</v>
      </c>
      <c r="D273" s="46" t="s">
        <v>163</v>
      </c>
      <c r="E273" s="47" t="str">
        <f>+_xlfn.XLOOKUP(PROYECTOS2[[#This Row],[MUNICIPIO]],MUNICIPIOS!A:A,MUNICIPIOS!E:E,0,0,1)</f>
        <v>Oriente</v>
      </c>
      <c r="F273" s="44" t="e" cm="1">
        <f t="array" ref="F273">+_xlfn.XLOOKUP(PROYECTOS2[[#This Row],[MUNICIPIO]],Table1[Municipio],MUNICIPIOS!F:F,0,0,1)</f>
        <v>#VALUE!</v>
      </c>
      <c r="G273" s="44" t="str">
        <f>+LOOKUP(PROYECTOS2[[#This Row],[MUNICIPIO]],Table1[Municipio],Table1[Latitud])</f>
        <v>6,27787</v>
      </c>
      <c r="H273" s="44">
        <f>+LOOKUP(PROYECTOS2[[#This Row],[MUNICIPIO]],Table1[Municipio],Table1[PDET])</f>
        <v>0</v>
      </c>
      <c r="I273" s="44">
        <f>+LOOKUP(PROYECTOS2[[#This Row],[MUNICIPIO]],Table1[Municipio],Table1[ZOMAC])</f>
        <v>0</v>
      </c>
      <c r="J273" s="3" t="str" cm="1">
        <f t="array" ref="J273">_xlfn.TEXTJOIN(", ", TRUE, IF(radicados[ID PROYECTOS]=A273, radicados[RADICADO], ""))</f>
        <v/>
      </c>
      <c r="K273" s="45">
        <v>1</v>
      </c>
      <c r="L273" s="45"/>
      <c r="M273" s="43"/>
      <c r="N273" s="48">
        <v>220000000</v>
      </c>
      <c r="O273" s="48"/>
      <c r="P273" s="48"/>
      <c r="Q273" s="148" t="s">
        <v>1067</v>
      </c>
      <c r="R273" s="34" t="s">
        <v>407</v>
      </c>
      <c r="S273" s="40" t="s">
        <v>397</v>
      </c>
      <c r="T273" s="40" t="s">
        <v>56</v>
      </c>
      <c r="U273" s="37" t="s">
        <v>541</v>
      </c>
      <c r="V273" s="44">
        <f>+_xlfn.XLOOKUP(PROYECTOS2[[#This Row],[MUNICIPIO]],'4.CAP_ENDMNT'!B:B,'4.CAP_ENDMNT'!C:C,0,0,1)</f>
        <v>2</v>
      </c>
      <c r="W273" s="139">
        <f>+_xlfn.XLOOKUP(PROYECTOS2[[#This Row],[MUNICIPIO]],'4.CAP_ENDMNT'!B:B,'4.CAP_ENDMNT'!D:D,0,0,1)</f>
        <v>94297942873.182495</v>
      </c>
      <c r="X273" s="140">
        <f>+_xlfn.XLOOKUP(PROYECTOS2[[#This Row],[MUNICIPIO]],'4.CAP_ENDMNT'!B:B,'4.CAP_ENDMNT'!E:E,0,0,1)</f>
        <v>31502477356.16</v>
      </c>
      <c r="Y273" s="140">
        <f>+_xlfn.XLOOKUP(PROYECTOS2[[#This Row],[MUNICIPIO]],'4.CAP_ENDMNT'!B:B,'4.CAP_ENDMNT'!F:F,0,0,1)</f>
        <v>62795465517.022491</v>
      </c>
      <c r="Z273" s="140">
        <f>+_xlfn.XLOOKUP(PROYECTOS2[[#This Row],[MUNICIPIO]],'4.CAP_ENDMNT'!B:B,'4.CAP_ENDMNT'!G:G,0,0,1)</f>
        <v>12269275368</v>
      </c>
      <c r="AA273" s="140">
        <f>+_xlfn.XLOOKUP(PROYECTOS2[[#This Row],[MUNICIPIO]],'4.CAP_ENDMNT'!B:B,'4.CAP_ENDMNT'!H:H,0,0,1)</f>
        <v>1587282296.6800001</v>
      </c>
      <c r="AB273" s="140">
        <f>+_xlfn.XLOOKUP(PROYECTOS2[[#This Row],[MUNICIPIO]],'4.CAP_ENDMNT'!B:B,'4.CAP_ENDMNT'!I:I,0,0,1)</f>
        <v>13856557664.68</v>
      </c>
      <c r="AC273" s="134">
        <f>+_xlfn.XLOOKUP(PROYECTOS2[[#This Row],[MUNICIPIO]],'4.CAP_ENDMNT'!B:B,'4.CAP_ENDMNT'!J:J,0,0,1)</f>
        <v>0.14694443211041333</v>
      </c>
      <c r="AD273" s="140">
        <f>+_xlfn.XLOOKUP(PROYECTOS2[[#This Row],[MUNICIPIO]],'4.CAP_ENDMNT'!B:B,'4.CAP_ENDMNT'!K:K,0,0,1)</f>
        <v>80441385208.502502</v>
      </c>
      <c r="AE273" s="140">
        <f>+_xlfn.XLOOKUP(PROYECTOS2[[#This Row],[MUNICIPIO]],'4.CAP_ENDMNT'!B:B,'4.CAP_ENDMNT'!L:L,0,0,1)</f>
        <v>64353108166.802002</v>
      </c>
      <c r="AF273" s="140">
        <f>+_xlfn.XLOOKUP(PROYECTOS2[[#This Row],[MUNICIPIO]],'4.CAP_ENDMNT'!B:B,'4.CAP_ENDMNT'!M:M,0,0,1)</f>
        <v>48264831125.101501</v>
      </c>
      <c r="AG273" s="134">
        <f>+_xlfn.XLOOKUP(PROYECTOS2[[#This Row],[MUNICIPIO]],'4.CAP_ENDMNT'!B:B,'4.CAP_ENDMNT'!N:N,0,0,1)</f>
        <v>0.88544901734678727</v>
      </c>
      <c r="AH273" s="134">
        <f>+_xlfn.XLOOKUP(PROYECTOS2[[#This Row],[MUNICIPIO]],'4.CAP_ENDMNT'!B:B,'4.CAP_ENDMNT'!O:O,0,0,1)</f>
        <v>0.32613717500698253</v>
      </c>
      <c r="AI273" s="134">
        <f>+_xlfn.XLOOKUP(PROYECTOS2[[#This Row],[MUNICIPIO]],'4.CAP_ENDMNT'!B:B,'4.CAP_ENDMNT'!P:P,0,0,1)</f>
        <v>0.7</v>
      </c>
      <c r="AJ273" s="44" t="str">
        <f>+_xlfn.XLOOKUP(PROYECTOS2[[#This Row],[MUNICIPIO]],'4.CAP_ENDMNT'!B:B,'4.CAP_ENDMNT'!Q:Q,0,0,1)</f>
        <v>Cumple</v>
      </c>
    </row>
    <row r="274" spans="1:36">
      <c r="A274" s="44">
        <v>297</v>
      </c>
      <c r="B274" s="37" t="s">
        <v>594</v>
      </c>
      <c r="C274" s="118">
        <v>45747</v>
      </c>
      <c r="D274" s="46" t="s">
        <v>163</v>
      </c>
      <c r="E274" s="47" t="str">
        <f>+_xlfn.XLOOKUP(PROYECTOS2[[#This Row],[MUNICIPIO]],MUNICIPIOS!A:A,MUNICIPIOS!E:E,0,0,1)</f>
        <v>Oriente</v>
      </c>
      <c r="F274" s="44" t="e" cm="1">
        <f t="array" ref="F274">+_xlfn.XLOOKUP(PROYECTOS2[[#This Row],[MUNICIPIO]],Table1[Municipio],MUNICIPIOS!F:F,0,0,1)</f>
        <v>#VALUE!</v>
      </c>
      <c r="G274" s="44" t="str">
        <f>+LOOKUP(PROYECTOS2[[#This Row],[MUNICIPIO]],Table1[Municipio],Table1[Latitud])</f>
        <v>6,27787</v>
      </c>
      <c r="H274" s="44">
        <f>+LOOKUP(PROYECTOS2[[#This Row],[MUNICIPIO]],Table1[Municipio],Table1[PDET])</f>
        <v>0</v>
      </c>
      <c r="I274" s="44">
        <f>+LOOKUP(PROYECTOS2[[#This Row],[MUNICIPIO]],Table1[Municipio],Table1[ZOMAC])</f>
        <v>0</v>
      </c>
      <c r="J274" s="3" t="str" cm="1">
        <f t="array" ref="J274">_xlfn.TEXTJOIN(", ", TRUE, IF(radicados[ID PROYECTOS]=A274, radicados[RADICADO], ""))</f>
        <v/>
      </c>
      <c r="K274" s="45">
        <v>1</v>
      </c>
      <c r="L274" s="45"/>
      <c r="M274" s="43"/>
      <c r="N274" s="48">
        <v>340000000</v>
      </c>
      <c r="O274" s="48"/>
      <c r="P274" s="48"/>
      <c r="Q274" s="148" t="s">
        <v>1067</v>
      </c>
      <c r="R274" s="34" t="s">
        <v>407</v>
      </c>
      <c r="S274" s="40" t="s">
        <v>397</v>
      </c>
      <c r="T274" s="40" t="s">
        <v>56</v>
      </c>
      <c r="U274" s="37" t="s">
        <v>541</v>
      </c>
      <c r="V274" s="44">
        <f>+_xlfn.XLOOKUP(PROYECTOS2[[#This Row],[MUNICIPIO]],'4.CAP_ENDMNT'!B:B,'4.CAP_ENDMNT'!C:C,0,0,1)</f>
        <v>2</v>
      </c>
      <c r="W274" s="139">
        <f>+_xlfn.XLOOKUP(PROYECTOS2[[#This Row],[MUNICIPIO]],'4.CAP_ENDMNT'!B:B,'4.CAP_ENDMNT'!D:D,0,0,1)</f>
        <v>94297942873.182495</v>
      </c>
      <c r="X274" s="140">
        <f>+_xlfn.XLOOKUP(PROYECTOS2[[#This Row],[MUNICIPIO]],'4.CAP_ENDMNT'!B:B,'4.CAP_ENDMNT'!E:E,0,0,1)</f>
        <v>31502477356.16</v>
      </c>
      <c r="Y274" s="140">
        <f>+_xlfn.XLOOKUP(PROYECTOS2[[#This Row],[MUNICIPIO]],'4.CAP_ENDMNT'!B:B,'4.CAP_ENDMNT'!F:F,0,0,1)</f>
        <v>62795465517.022491</v>
      </c>
      <c r="Z274" s="140">
        <f>+_xlfn.XLOOKUP(PROYECTOS2[[#This Row],[MUNICIPIO]],'4.CAP_ENDMNT'!B:B,'4.CAP_ENDMNT'!G:G,0,0,1)</f>
        <v>12269275368</v>
      </c>
      <c r="AA274" s="140">
        <f>+_xlfn.XLOOKUP(PROYECTOS2[[#This Row],[MUNICIPIO]],'4.CAP_ENDMNT'!B:B,'4.CAP_ENDMNT'!H:H,0,0,1)</f>
        <v>1587282296.6800001</v>
      </c>
      <c r="AB274" s="140">
        <f>+_xlfn.XLOOKUP(PROYECTOS2[[#This Row],[MUNICIPIO]],'4.CAP_ENDMNT'!B:B,'4.CAP_ENDMNT'!I:I,0,0,1)</f>
        <v>13856557664.68</v>
      </c>
      <c r="AC274" s="134">
        <f>+_xlfn.XLOOKUP(PROYECTOS2[[#This Row],[MUNICIPIO]],'4.CAP_ENDMNT'!B:B,'4.CAP_ENDMNT'!J:J,0,0,1)</f>
        <v>0.14694443211041333</v>
      </c>
      <c r="AD274" s="140">
        <f>+_xlfn.XLOOKUP(PROYECTOS2[[#This Row],[MUNICIPIO]],'4.CAP_ENDMNT'!B:B,'4.CAP_ENDMNT'!K:K,0,0,1)</f>
        <v>80441385208.502502</v>
      </c>
      <c r="AE274" s="140">
        <f>+_xlfn.XLOOKUP(PROYECTOS2[[#This Row],[MUNICIPIO]],'4.CAP_ENDMNT'!B:B,'4.CAP_ENDMNT'!L:L,0,0,1)</f>
        <v>64353108166.802002</v>
      </c>
      <c r="AF274" s="140">
        <f>+_xlfn.XLOOKUP(PROYECTOS2[[#This Row],[MUNICIPIO]],'4.CAP_ENDMNT'!B:B,'4.CAP_ENDMNT'!M:M,0,0,1)</f>
        <v>48264831125.101501</v>
      </c>
      <c r="AG274" s="134">
        <f>+_xlfn.XLOOKUP(PROYECTOS2[[#This Row],[MUNICIPIO]],'4.CAP_ENDMNT'!B:B,'4.CAP_ENDMNT'!N:N,0,0,1)</f>
        <v>0.88544901734678727</v>
      </c>
      <c r="AH274" s="134">
        <f>+_xlfn.XLOOKUP(PROYECTOS2[[#This Row],[MUNICIPIO]],'4.CAP_ENDMNT'!B:B,'4.CAP_ENDMNT'!O:O,0,0,1)</f>
        <v>0.32613717500698253</v>
      </c>
      <c r="AI274" s="134">
        <f>+_xlfn.XLOOKUP(PROYECTOS2[[#This Row],[MUNICIPIO]],'4.CAP_ENDMNT'!B:B,'4.CAP_ENDMNT'!P:P,0,0,1)</f>
        <v>0.7</v>
      </c>
      <c r="AJ274" s="44" t="str">
        <f>+_xlfn.XLOOKUP(PROYECTOS2[[#This Row],[MUNICIPIO]],'4.CAP_ENDMNT'!B:B,'4.CAP_ENDMNT'!Q:Q,0,0,1)</f>
        <v>Cumple</v>
      </c>
    </row>
    <row r="275" spans="1:36">
      <c r="A275" s="44">
        <v>298</v>
      </c>
      <c r="B275" s="37" t="s">
        <v>595</v>
      </c>
      <c r="C275" s="118">
        <v>45747</v>
      </c>
      <c r="D275" s="46" t="s">
        <v>596</v>
      </c>
      <c r="E275" s="47" t="str">
        <f>+_xlfn.XLOOKUP(PROYECTOS2[[#This Row],[MUNICIPIO]],MUNICIPIOS!A:A,MUNICIPIOS!E:E,0,0,1)</f>
        <v>Oriente</v>
      </c>
      <c r="F275" s="44" t="e" cm="1">
        <f t="array" ref="F275">+_xlfn.XLOOKUP(PROYECTOS2[[#This Row],[MUNICIPIO]],Table1[Municipio],MUNICIPIOS!F:F,0,0,1)</f>
        <v>#VALUE!</v>
      </c>
      <c r="G275" s="44" t="str">
        <f>+LOOKUP(PROYECTOS2[[#This Row],[MUNICIPIO]],Table1[Municipio],Table1[Latitud])</f>
        <v>6,149903</v>
      </c>
      <c r="H275" s="44">
        <f>+LOOKUP(PROYECTOS2[[#This Row],[MUNICIPIO]],Table1[Municipio],Table1[PDET])</f>
        <v>0</v>
      </c>
      <c r="I275" s="44">
        <f>+LOOKUP(PROYECTOS2[[#This Row],[MUNICIPIO]],Table1[Municipio],Table1[ZOMAC])</f>
        <v>0</v>
      </c>
      <c r="J275" s="3" t="str" cm="1">
        <f t="array" ref="J275">_xlfn.TEXTJOIN(", ", TRUE, IF(radicados[ID PROYECTOS]=A275, radicados[RADICADO], ""))</f>
        <v/>
      </c>
      <c r="K275" s="45">
        <v>1</v>
      </c>
      <c r="L275" s="45"/>
      <c r="M275" s="43"/>
      <c r="N275" s="48">
        <v>695000000</v>
      </c>
      <c r="O275" s="48"/>
      <c r="P275" s="48"/>
      <c r="Q275" s="148" t="s">
        <v>1067</v>
      </c>
      <c r="R275" s="34" t="s">
        <v>407</v>
      </c>
      <c r="S275" s="40" t="s">
        <v>397</v>
      </c>
      <c r="T275" s="40" t="s">
        <v>56</v>
      </c>
      <c r="U275" s="37" t="s">
        <v>541</v>
      </c>
      <c r="V275" s="44">
        <f>+_xlfn.XLOOKUP(PROYECTOS2[[#This Row],[MUNICIPIO]],'4.CAP_ENDMNT'!B:B,'4.CAP_ENDMNT'!C:C,0,0,1)</f>
        <v>6</v>
      </c>
      <c r="W275" s="139">
        <f>+_xlfn.XLOOKUP(PROYECTOS2[[#This Row],[MUNICIPIO]],'4.CAP_ENDMNT'!B:B,'4.CAP_ENDMNT'!D:D,0,0,1)</f>
        <v>18910688140.249004</v>
      </c>
      <c r="X275" s="140">
        <f>+_xlfn.XLOOKUP(PROYECTOS2[[#This Row],[MUNICIPIO]],'4.CAP_ENDMNT'!B:B,'4.CAP_ENDMNT'!E:E,0,0,1)</f>
        <v>5456011434.4000006</v>
      </c>
      <c r="Y275" s="140">
        <f>+_xlfn.XLOOKUP(PROYECTOS2[[#This Row],[MUNICIPIO]],'4.CAP_ENDMNT'!B:B,'4.CAP_ENDMNT'!F:F,0,0,1)</f>
        <v>13454676705.849003</v>
      </c>
      <c r="Z275" s="140">
        <f>+_xlfn.XLOOKUP(PROYECTOS2[[#This Row],[MUNICIPIO]],'4.CAP_ENDMNT'!B:B,'4.CAP_ENDMNT'!G:G,0,0,1)</f>
        <v>5580933878</v>
      </c>
      <c r="AA275" s="140">
        <f>+_xlfn.XLOOKUP(PROYECTOS2[[#This Row],[MUNICIPIO]],'4.CAP_ENDMNT'!B:B,'4.CAP_ENDMNT'!H:H,0,0,1)</f>
        <v>4737487939</v>
      </c>
      <c r="AB275" s="140">
        <f>+_xlfn.XLOOKUP(PROYECTOS2[[#This Row],[MUNICIPIO]],'4.CAP_ENDMNT'!B:B,'4.CAP_ENDMNT'!I:I,0,0,1)</f>
        <v>10318421817</v>
      </c>
      <c r="AC275" s="134">
        <f>+_xlfn.XLOOKUP(PROYECTOS2[[#This Row],[MUNICIPIO]],'4.CAP_ENDMNT'!B:B,'4.CAP_ENDMNT'!J:J,0,0,1)</f>
        <v>0.5456396795544709</v>
      </c>
      <c r="AD275" s="140">
        <f>+_xlfn.XLOOKUP(PROYECTOS2[[#This Row],[MUNICIPIO]],'4.CAP_ENDMNT'!B:B,'4.CAP_ENDMNT'!K:K,0,0,1)</f>
        <v>8592266323.2490044</v>
      </c>
      <c r="AE275" s="140">
        <f>+_xlfn.XLOOKUP(PROYECTOS2[[#This Row],[MUNICIPIO]],'4.CAP_ENDMNT'!B:B,'4.CAP_ENDMNT'!L:L,0,0,1)</f>
        <v>6873813058.5992041</v>
      </c>
      <c r="AF275" s="140">
        <f>+_xlfn.XLOOKUP(PROYECTOS2[[#This Row],[MUNICIPIO]],'4.CAP_ENDMNT'!B:B,'4.CAP_ENDMNT'!M:M,0,0,1)</f>
        <v>5155359793.9494028</v>
      </c>
      <c r="AG275" s="134">
        <f>+_xlfn.XLOOKUP(PROYECTOS2[[#This Row],[MUNICIPIO]],'4.CAP_ENDMNT'!B:B,'4.CAP_ENDMNT'!N:N,0,0,1)</f>
        <v>0.54087087899480857</v>
      </c>
      <c r="AH275" s="134">
        <f>+_xlfn.XLOOKUP(PROYECTOS2[[#This Row],[MUNICIPIO]],'4.CAP_ENDMNT'!B:B,'4.CAP_ENDMNT'!O:O,0,0,1)</f>
        <v>0.45745893515208286</v>
      </c>
      <c r="AI275" s="134">
        <f>+_xlfn.XLOOKUP(PROYECTOS2[[#This Row],[MUNICIPIO]],'4.CAP_ENDMNT'!B:B,'4.CAP_ENDMNT'!P:P,0,0,1)</f>
        <v>0.8</v>
      </c>
      <c r="AJ275" s="44" t="str">
        <f>+_xlfn.XLOOKUP(PROYECTOS2[[#This Row],[MUNICIPIO]],'4.CAP_ENDMNT'!B:B,'4.CAP_ENDMNT'!Q:Q,0,0,1)</f>
        <v>Cumple</v>
      </c>
    </row>
    <row r="276" spans="1:36">
      <c r="A276" s="44">
        <v>299</v>
      </c>
      <c r="B276" s="37" t="s">
        <v>597</v>
      </c>
      <c r="C276" s="118">
        <v>45747</v>
      </c>
      <c r="D276" s="46" t="s">
        <v>596</v>
      </c>
      <c r="E276" s="47" t="str">
        <f>+_xlfn.XLOOKUP(PROYECTOS2[[#This Row],[MUNICIPIO]],MUNICIPIOS!A:A,MUNICIPIOS!E:E,0,0,1)</f>
        <v>Oriente</v>
      </c>
      <c r="F276" s="44" t="e" cm="1">
        <f t="array" ref="F276">+_xlfn.XLOOKUP(PROYECTOS2[[#This Row],[MUNICIPIO]],Table1[Municipio],MUNICIPIOS!F:F,0,0,1)</f>
        <v>#VALUE!</v>
      </c>
      <c r="G276" s="44" t="str">
        <f>+LOOKUP(PROYECTOS2[[#This Row],[MUNICIPIO]],Table1[Municipio],Table1[Latitud])</f>
        <v>6,149903</v>
      </c>
      <c r="H276" s="44">
        <f>+LOOKUP(PROYECTOS2[[#This Row],[MUNICIPIO]],Table1[Municipio],Table1[PDET])</f>
        <v>0</v>
      </c>
      <c r="I276" s="44">
        <f>+LOOKUP(PROYECTOS2[[#This Row],[MUNICIPIO]],Table1[Municipio],Table1[ZOMAC])</f>
        <v>0</v>
      </c>
      <c r="J276" s="3" t="str" cm="1">
        <f t="array" ref="J276">_xlfn.TEXTJOIN(", ", TRUE, IF(radicados[ID PROYECTOS]=A276, radicados[RADICADO], ""))</f>
        <v/>
      </c>
      <c r="K276" s="45">
        <v>1</v>
      </c>
      <c r="L276" s="45"/>
      <c r="M276" s="43"/>
      <c r="N276" s="48">
        <v>640000000</v>
      </c>
      <c r="O276" s="48"/>
      <c r="P276" s="48"/>
      <c r="Q276" s="148" t="s">
        <v>1067</v>
      </c>
      <c r="R276" s="34" t="s">
        <v>407</v>
      </c>
      <c r="S276" s="40" t="s">
        <v>397</v>
      </c>
      <c r="T276" s="40" t="s">
        <v>56</v>
      </c>
      <c r="U276" s="37" t="s">
        <v>541</v>
      </c>
      <c r="V276" s="44">
        <f>+_xlfn.XLOOKUP(PROYECTOS2[[#This Row],[MUNICIPIO]],'4.CAP_ENDMNT'!B:B,'4.CAP_ENDMNT'!C:C,0,0,1)</f>
        <v>6</v>
      </c>
      <c r="W276" s="139">
        <f>+_xlfn.XLOOKUP(PROYECTOS2[[#This Row],[MUNICIPIO]],'4.CAP_ENDMNT'!B:B,'4.CAP_ENDMNT'!D:D,0,0,1)</f>
        <v>18910688140.249004</v>
      </c>
      <c r="X276" s="140">
        <f>+_xlfn.XLOOKUP(PROYECTOS2[[#This Row],[MUNICIPIO]],'4.CAP_ENDMNT'!B:B,'4.CAP_ENDMNT'!E:E,0,0,1)</f>
        <v>5456011434.4000006</v>
      </c>
      <c r="Y276" s="140">
        <f>+_xlfn.XLOOKUP(PROYECTOS2[[#This Row],[MUNICIPIO]],'4.CAP_ENDMNT'!B:B,'4.CAP_ENDMNT'!F:F,0,0,1)</f>
        <v>13454676705.849003</v>
      </c>
      <c r="Z276" s="140">
        <f>+_xlfn.XLOOKUP(PROYECTOS2[[#This Row],[MUNICIPIO]],'4.CAP_ENDMNT'!B:B,'4.CAP_ENDMNT'!G:G,0,0,1)</f>
        <v>5580933878</v>
      </c>
      <c r="AA276" s="140">
        <f>+_xlfn.XLOOKUP(PROYECTOS2[[#This Row],[MUNICIPIO]],'4.CAP_ENDMNT'!B:B,'4.CAP_ENDMNT'!H:H,0,0,1)</f>
        <v>4737487939</v>
      </c>
      <c r="AB276" s="140">
        <f>+_xlfn.XLOOKUP(PROYECTOS2[[#This Row],[MUNICIPIO]],'4.CAP_ENDMNT'!B:B,'4.CAP_ENDMNT'!I:I,0,0,1)</f>
        <v>10318421817</v>
      </c>
      <c r="AC276" s="134">
        <f>+_xlfn.XLOOKUP(PROYECTOS2[[#This Row],[MUNICIPIO]],'4.CAP_ENDMNT'!B:B,'4.CAP_ENDMNT'!J:J,0,0,1)</f>
        <v>0.5456396795544709</v>
      </c>
      <c r="AD276" s="140">
        <f>+_xlfn.XLOOKUP(PROYECTOS2[[#This Row],[MUNICIPIO]],'4.CAP_ENDMNT'!B:B,'4.CAP_ENDMNT'!K:K,0,0,1)</f>
        <v>8592266323.2490044</v>
      </c>
      <c r="AE276" s="140">
        <f>+_xlfn.XLOOKUP(PROYECTOS2[[#This Row],[MUNICIPIO]],'4.CAP_ENDMNT'!B:B,'4.CAP_ENDMNT'!L:L,0,0,1)</f>
        <v>6873813058.5992041</v>
      </c>
      <c r="AF276" s="140">
        <f>+_xlfn.XLOOKUP(PROYECTOS2[[#This Row],[MUNICIPIO]],'4.CAP_ENDMNT'!B:B,'4.CAP_ENDMNT'!M:M,0,0,1)</f>
        <v>5155359793.9494028</v>
      </c>
      <c r="AG276" s="134">
        <f>+_xlfn.XLOOKUP(PROYECTOS2[[#This Row],[MUNICIPIO]],'4.CAP_ENDMNT'!B:B,'4.CAP_ENDMNT'!N:N,0,0,1)</f>
        <v>0.54087087899480857</v>
      </c>
      <c r="AH276" s="134">
        <f>+_xlfn.XLOOKUP(PROYECTOS2[[#This Row],[MUNICIPIO]],'4.CAP_ENDMNT'!B:B,'4.CAP_ENDMNT'!O:O,0,0,1)</f>
        <v>0.45745893515208286</v>
      </c>
      <c r="AI276" s="134">
        <f>+_xlfn.XLOOKUP(PROYECTOS2[[#This Row],[MUNICIPIO]],'4.CAP_ENDMNT'!B:B,'4.CAP_ENDMNT'!P:P,0,0,1)</f>
        <v>0.8</v>
      </c>
      <c r="AJ276" s="44" t="str">
        <f>+_xlfn.XLOOKUP(PROYECTOS2[[#This Row],[MUNICIPIO]],'4.CAP_ENDMNT'!B:B,'4.CAP_ENDMNT'!Q:Q,0,0,1)</f>
        <v>Cumple</v>
      </c>
    </row>
    <row r="277" spans="1:36">
      <c r="A277" s="44">
        <v>300</v>
      </c>
      <c r="B277" s="37" t="s">
        <v>598</v>
      </c>
      <c r="C277" s="118">
        <v>45747</v>
      </c>
      <c r="D277" s="46" t="s">
        <v>177</v>
      </c>
      <c r="E277" s="47" t="str">
        <f>+_xlfn.XLOOKUP(PROYECTOS2[[#This Row],[MUNICIPIO]],MUNICIPIOS!A:A,MUNICIPIOS!E:E,0,0,1)</f>
        <v>Oriente</v>
      </c>
      <c r="F277" s="44" t="e" cm="1">
        <f t="array" ref="F277">+_xlfn.XLOOKUP(PROYECTOS2[[#This Row],[MUNICIPIO]],Table1[Municipio],MUNICIPIOS!F:F,0,0,1)</f>
        <v>#VALUE!</v>
      </c>
      <c r="G277" s="44" t="str">
        <f>+LOOKUP(PROYECTOS2[[#This Row],[MUNICIPIO]],Table1[Municipio],Table1[Latitud])</f>
        <v>5,743808</v>
      </c>
      <c r="H277" s="44">
        <f>+LOOKUP(PROYECTOS2[[#This Row],[MUNICIPIO]],Table1[Municipio],Table1[PDET])</f>
        <v>0</v>
      </c>
      <c r="I277" s="44">
        <f>+LOOKUP(PROYECTOS2[[#This Row],[MUNICIPIO]],Table1[Municipio],Table1[ZOMAC])</f>
        <v>0</v>
      </c>
      <c r="J277" s="3" t="str" cm="1">
        <f t="array" ref="J277">_xlfn.TEXTJOIN(", ", TRUE, IF(radicados[ID PROYECTOS]=A277, radicados[RADICADO], ""))</f>
        <v/>
      </c>
      <c r="K277" s="45">
        <v>1</v>
      </c>
      <c r="L277" s="45"/>
      <c r="M277" s="43"/>
      <c r="N277" s="48">
        <v>95000000</v>
      </c>
      <c r="O277" s="48"/>
      <c r="P277" s="48"/>
      <c r="Q277" s="148" t="s">
        <v>1067</v>
      </c>
      <c r="R277" s="34" t="s">
        <v>407</v>
      </c>
      <c r="S277" s="40" t="s">
        <v>397</v>
      </c>
      <c r="T277" s="40" t="s">
        <v>56</v>
      </c>
      <c r="U277" s="37" t="s">
        <v>541</v>
      </c>
      <c r="V277" s="44">
        <f>+_xlfn.XLOOKUP(PROYECTOS2[[#This Row],[MUNICIPIO]],'4.CAP_ENDMNT'!B:B,'4.CAP_ENDMNT'!C:C,0,0,1)</f>
        <v>4</v>
      </c>
      <c r="W277" s="139">
        <f>+_xlfn.XLOOKUP(PROYECTOS2[[#This Row],[MUNICIPIO]],'4.CAP_ENDMNT'!B:B,'4.CAP_ENDMNT'!D:D,0,0,1)</f>
        <v>62016835956.019493</v>
      </c>
      <c r="X277" s="140">
        <f>+_xlfn.XLOOKUP(PROYECTOS2[[#This Row],[MUNICIPIO]],'4.CAP_ENDMNT'!B:B,'4.CAP_ENDMNT'!E:E,0,0,1)</f>
        <v>25368005936.310001</v>
      </c>
      <c r="Y277" s="140">
        <f>+_xlfn.XLOOKUP(PROYECTOS2[[#This Row],[MUNICIPIO]],'4.CAP_ENDMNT'!B:B,'4.CAP_ENDMNT'!F:F,0,0,1)</f>
        <v>36648830019.709488</v>
      </c>
      <c r="Z277" s="140">
        <f>+_xlfn.XLOOKUP(PROYECTOS2[[#This Row],[MUNICIPIO]],'4.CAP_ENDMNT'!B:B,'4.CAP_ENDMNT'!G:G,0,0,1)</f>
        <v>25635932166</v>
      </c>
      <c r="AA277" s="140">
        <f>+_xlfn.XLOOKUP(PROYECTOS2[[#This Row],[MUNICIPIO]],'4.CAP_ENDMNT'!B:B,'4.CAP_ENDMNT'!H:H,0,0,1)</f>
        <v>7522176280</v>
      </c>
      <c r="AB277" s="140">
        <f>+_xlfn.XLOOKUP(PROYECTOS2[[#This Row],[MUNICIPIO]],'4.CAP_ENDMNT'!B:B,'4.CAP_ENDMNT'!I:I,0,0,1)</f>
        <v>33158108446</v>
      </c>
      <c r="AC277" s="134">
        <f>+_xlfn.XLOOKUP(PROYECTOS2[[#This Row],[MUNICIPIO]],'4.CAP_ENDMNT'!B:B,'4.CAP_ENDMNT'!J:J,0,0,1)</f>
        <v>0.53466301424204787</v>
      </c>
      <c r="AD277" s="140">
        <f>+_xlfn.XLOOKUP(PROYECTOS2[[#This Row],[MUNICIPIO]],'4.CAP_ENDMNT'!B:B,'4.CAP_ENDMNT'!K:K,0,0,1)</f>
        <v>28858727510.019493</v>
      </c>
      <c r="AE277" s="140">
        <f>+_xlfn.XLOOKUP(PROYECTOS2[[#This Row],[MUNICIPIO]],'4.CAP_ENDMNT'!B:B,'4.CAP_ENDMNT'!L:L,0,0,1)</f>
        <v>23086982008.015594</v>
      </c>
      <c r="AF277" s="140">
        <f>+_xlfn.XLOOKUP(PROYECTOS2[[#This Row],[MUNICIPIO]],'4.CAP_ENDMNT'!B:B,'4.CAP_ENDMNT'!M:M,0,0,1)</f>
        <v>17315236506.011696</v>
      </c>
      <c r="AG277" s="134">
        <f>+_xlfn.XLOOKUP(PROYECTOS2[[#This Row],[MUNICIPIO]],'4.CAP_ENDMNT'!B:B,'4.CAP_ENDMNT'!N:N,0,0,1)</f>
        <v>0.77314217750839676</v>
      </c>
      <c r="AH277" s="134">
        <f>+_xlfn.XLOOKUP(PROYECTOS2[[#This Row],[MUNICIPIO]],'4.CAP_ENDMNT'!B:B,'4.CAP_ENDMNT'!O:O,0,0,1)</f>
        <v>0.52777286703387605</v>
      </c>
      <c r="AI277" s="134">
        <f>+_xlfn.XLOOKUP(PROYECTOS2[[#This Row],[MUNICIPIO]],'4.CAP_ENDMNT'!B:B,'4.CAP_ENDMNT'!P:P,0,0,1)</f>
        <v>0.8</v>
      </c>
      <c r="AJ277" s="44" t="str">
        <f>+_xlfn.XLOOKUP(PROYECTOS2[[#This Row],[MUNICIPIO]],'4.CAP_ENDMNT'!B:B,'4.CAP_ENDMNT'!Q:Q,0,0,1)</f>
        <v>Cumple</v>
      </c>
    </row>
    <row r="278" spans="1:36">
      <c r="A278" s="44">
        <v>301</v>
      </c>
      <c r="B278" s="37" t="s">
        <v>599</v>
      </c>
      <c r="C278" s="118">
        <v>45747</v>
      </c>
      <c r="D278" s="46" t="s">
        <v>332</v>
      </c>
      <c r="E278" s="47" t="str">
        <f>+_xlfn.XLOOKUP(PROYECTOS2[[#This Row],[MUNICIPIO]],MUNICIPIOS!A:A,MUNICIPIOS!E:E,0,0,1)</f>
        <v>Oriente</v>
      </c>
      <c r="F278" s="44" t="e" cm="1">
        <f t="array" ref="F278">+_xlfn.XLOOKUP(PROYECTOS2[[#This Row],[MUNICIPIO]],Table1[Municipio],MUNICIPIOS!F:F,0,0,1)</f>
        <v>#VALUE!</v>
      </c>
      <c r="G278" s="44" t="str">
        <f>+LOOKUP(PROYECTOS2[[#This Row],[MUNICIPIO]],Table1[Municipio],Table1[Latitud])</f>
        <v>6,219349</v>
      </c>
      <c r="H278" s="44">
        <f>+LOOKUP(PROYECTOS2[[#This Row],[MUNICIPIO]],Table1[Municipio],Table1[PDET])</f>
        <v>0</v>
      </c>
      <c r="I278" s="44">
        <f>+LOOKUP(PROYECTOS2[[#This Row],[MUNICIPIO]],Table1[Municipio],Table1[ZOMAC])</f>
        <v>0</v>
      </c>
      <c r="J278" s="3" t="str" cm="1">
        <f t="array" ref="J278">_xlfn.TEXTJOIN(", ", TRUE, IF(radicados[ID PROYECTOS]=A278, radicados[RADICADO], ""))</f>
        <v/>
      </c>
      <c r="K278" s="45">
        <v>1</v>
      </c>
      <c r="L278" s="45"/>
      <c r="M278" s="43"/>
      <c r="N278" s="48">
        <v>1733000000</v>
      </c>
      <c r="O278" s="48"/>
      <c r="P278" s="48"/>
      <c r="Q278" s="148" t="s">
        <v>1067</v>
      </c>
      <c r="R278" s="34" t="s">
        <v>407</v>
      </c>
      <c r="S278" s="40" t="s">
        <v>397</v>
      </c>
      <c r="T278" s="40" t="s">
        <v>56</v>
      </c>
      <c r="U278" s="37" t="s">
        <v>541</v>
      </c>
      <c r="V278" s="44">
        <f>+_xlfn.XLOOKUP(PROYECTOS2[[#This Row],[MUNICIPIO]],'4.CAP_ENDMNT'!B:B,'4.CAP_ENDMNT'!C:C,0,0,1)</f>
        <v>6</v>
      </c>
      <c r="W278" s="139">
        <f>+_xlfn.XLOOKUP(PROYECTOS2[[#This Row],[MUNICIPIO]],'4.CAP_ENDMNT'!B:B,'4.CAP_ENDMNT'!D:D,0,0,1)</f>
        <v>28258567441.100002</v>
      </c>
      <c r="X278" s="140">
        <f>+_xlfn.XLOOKUP(PROYECTOS2[[#This Row],[MUNICIPIO]],'4.CAP_ENDMNT'!B:B,'4.CAP_ENDMNT'!E:E,0,0,1)</f>
        <v>6469994311.25</v>
      </c>
      <c r="Y278" s="140">
        <f>+_xlfn.XLOOKUP(PROYECTOS2[[#This Row],[MUNICIPIO]],'4.CAP_ENDMNT'!B:B,'4.CAP_ENDMNT'!F:F,0,0,1)</f>
        <v>21788573129.850002</v>
      </c>
      <c r="Z278" s="140">
        <f>+_xlfn.XLOOKUP(PROYECTOS2[[#This Row],[MUNICIPIO]],'4.CAP_ENDMNT'!B:B,'4.CAP_ENDMNT'!G:G,0,0,1)</f>
        <v>1548230438</v>
      </c>
      <c r="AA278" s="140">
        <f>+_xlfn.XLOOKUP(PROYECTOS2[[#This Row],[MUNICIPIO]],'4.CAP_ENDMNT'!B:B,'4.CAP_ENDMNT'!H:H,0,0,1)</f>
        <v>3356151670</v>
      </c>
      <c r="AB278" s="140">
        <f>+_xlfn.XLOOKUP(PROYECTOS2[[#This Row],[MUNICIPIO]],'4.CAP_ENDMNT'!B:B,'4.CAP_ENDMNT'!I:I,0,0,1)</f>
        <v>4904382108</v>
      </c>
      <c r="AC278" s="134">
        <f>+_xlfn.XLOOKUP(PROYECTOS2[[#This Row],[MUNICIPIO]],'4.CAP_ENDMNT'!B:B,'4.CAP_ENDMNT'!J:J,0,0,1)</f>
        <v>0.17355381224551877</v>
      </c>
      <c r="AD278" s="140">
        <f>+_xlfn.XLOOKUP(PROYECTOS2[[#This Row],[MUNICIPIO]],'4.CAP_ENDMNT'!B:B,'4.CAP_ENDMNT'!K:K,0,0,1)</f>
        <v>23354185333.100002</v>
      </c>
      <c r="AE278" s="140">
        <f>+_xlfn.XLOOKUP(PROYECTOS2[[#This Row],[MUNICIPIO]],'4.CAP_ENDMNT'!B:B,'4.CAP_ENDMNT'!L:L,0,0,1)</f>
        <v>18683348266.480003</v>
      </c>
      <c r="AF278" s="140">
        <f>+_xlfn.XLOOKUP(PROYECTOS2[[#This Row],[MUNICIPIO]],'4.CAP_ENDMNT'!B:B,'4.CAP_ENDMNT'!M:M,0,0,1)</f>
        <v>14012511199.860001</v>
      </c>
      <c r="AG278" s="134">
        <f>+_xlfn.XLOOKUP(PROYECTOS2[[#This Row],[MUNICIPIO]],'4.CAP_ENDMNT'!B:B,'4.CAP_ENDMNT'!N:N,0,0,1)</f>
        <v>0.31568307768567533</v>
      </c>
      <c r="AH278" s="134">
        <f>+_xlfn.XLOOKUP(PROYECTOS2[[#This Row],[MUNICIPIO]],'4.CAP_ENDMNT'!B:B,'4.CAP_ENDMNT'!O:O,0,0,1)</f>
        <v>0.29902452385532635</v>
      </c>
      <c r="AI278" s="134">
        <f>+_xlfn.XLOOKUP(PROYECTOS2[[#This Row],[MUNICIPIO]],'4.CAP_ENDMNT'!B:B,'4.CAP_ENDMNT'!P:P,0,0,1)</f>
        <v>0.8</v>
      </c>
      <c r="AJ278" s="44" t="str">
        <f>+_xlfn.XLOOKUP(PROYECTOS2[[#This Row],[MUNICIPIO]],'4.CAP_ENDMNT'!B:B,'4.CAP_ENDMNT'!Q:Q,0,0,1)</f>
        <v>Cumple</v>
      </c>
    </row>
    <row r="279" spans="1:36">
      <c r="A279" s="44">
        <v>302</v>
      </c>
      <c r="B279" s="37" t="s">
        <v>600</v>
      </c>
      <c r="C279" s="118">
        <v>45747</v>
      </c>
      <c r="D279" s="46" t="s">
        <v>601</v>
      </c>
      <c r="E279" s="47" t="str">
        <f>+_xlfn.XLOOKUP(PROYECTOS2[[#This Row],[MUNICIPIO]],MUNICIPIOS!A:A,MUNICIPIOS!E:E,0,0,1)</f>
        <v>Oriente</v>
      </c>
      <c r="F279" s="44" t="e" cm="1">
        <f t="array" ref="F279">+_xlfn.XLOOKUP(PROYECTOS2[[#This Row],[MUNICIPIO]],Table1[Municipio],MUNICIPIOS!F:F,0,0,1)</f>
        <v>#VALUE!</v>
      </c>
      <c r="G279" s="44" t="str">
        <f>+LOOKUP(PROYECTOS2[[#This Row],[MUNICIPIO]],Table1[Municipio],Table1[Latitud])</f>
        <v>6,232461</v>
      </c>
      <c r="H279" s="44">
        <f>+LOOKUP(PROYECTOS2[[#This Row],[MUNICIPIO]],Table1[Municipio],Table1[PDET])</f>
        <v>0</v>
      </c>
      <c r="I279" s="44">
        <f>+LOOKUP(PROYECTOS2[[#This Row],[MUNICIPIO]],Table1[Municipio],Table1[ZOMAC])</f>
        <v>0</v>
      </c>
      <c r="J279" s="3" t="str" cm="1">
        <f t="array" ref="J279">_xlfn.TEXTJOIN(", ", TRUE, IF(radicados[ID PROYECTOS]=A279, radicados[RADICADO], ""))</f>
        <v/>
      </c>
      <c r="K279" s="45">
        <v>1</v>
      </c>
      <c r="L279" s="45"/>
      <c r="M279" s="43"/>
      <c r="N279" s="48">
        <v>370000000</v>
      </c>
      <c r="O279" s="48"/>
      <c r="P279" s="48"/>
      <c r="Q279" s="148" t="s">
        <v>1067</v>
      </c>
      <c r="R279" s="34" t="s">
        <v>407</v>
      </c>
      <c r="S279" s="40" t="s">
        <v>397</v>
      </c>
      <c r="T279" s="40" t="s">
        <v>56</v>
      </c>
      <c r="U279" s="37" t="s">
        <v>541</v>
      </c>
      <c r="V279" s="44">
        <f>+_xlfn.XLOOKUP(PROYECTOS2[[#This Row],[MUNICIPIO]],'4.CAP_ENDMNT'!B:B,'4.CAP_ENDMNT'!C:C,0,0,1)</f>
        <v>6</v>
      </c>
      <c r="W279" s="139">
        <f>+_xlfn.XLOOKUP(PROYECTOS2[[#This Row],[MUNICIPIO]],'4.CAP_ENDMNT'!B:B,'4.CAP_ENDMNT'!D:D,0,0,1)</f>
        <v>21077944175.9025</v>
      </c>
      <c r="X279" s="140">
        <f>+_xlfn.XLOOKUP(PROYECTOS2[[#This Row],[MUNICIPIO]],'4.CAP_ENDMNT'!B:B,'4.CAP_ENDMNT'!E:E,0,0,1)</f>
        <v>7240492267.29</v>
      </c>
      <c r="Y279" s="140">
        <f>+_xlfn.XLOOKUP(PROYECTOS2[[#This Row],[MUNICIPIO]],'4.CAP_ENDMNT'!B:B,'4.CAP_ENDMNT'!F:F,0,0,1)</f>
        <v>13837451908.612499</v>
      </c>
      <c r="Z279" s="140">
        <f>+_xlfn.XLOOKUP(PROYECTOS2[[#This Row],[MUNICIPIO]],'4.CAP_ENDMNT'!B:B,'4.CAP_ENDMNT'!G:G,0,0,1)</f>
        <v>6499961675</v>
      </c>
      <c r="AA279" s="140">
        <f>+_xlfn.XLOOKUP(PROYECTOS2[[#This Row],[MUNICIPIO]],'4.CAP_ENDMNT'!B:B,'4.CAP_ENDMNT'!H:H,0,0,1)</f>
        <v>4615945782.0699997</v>
      </c>
      <c r="AB279" s="140">
        <f>+_xlfn.XLOOKUP(PROYECTOS2[[#This Row],[MUNICIPIO]],'4.CAP_ENDMNT'!B:B,'4.CAP_ENDMNT'!I:I,0,0,1)</f>
        <v>11115907457.07</v>
      </c>
      <c r="AC279" s="134">
        <f>+_xlfn.XLOOKUP(PROYECTOS2[[#This Row],[MUNICIPIO]],'4.CAP_ENDMNT'!B:B,'4.CAP_ENDMNT'!J:J,0,0,1)</f>
        <v>0.52737151993116738</v>
      </c>
      <c r="AD279" s="140">
        <f>+_xlfn.XLOOKUP(PROYECTOS2[[#This Row],[MUNICIPIO]],'4.CAP_ENDMNT'!B:B,'4.CAP_ENDMNT'!K:K,0,0,1)</f>
        <v>9962036718.8325005</v>
      </c>
      <c r="AE279" s="140">
        <f>+_xlfn.XLOOKUP(PROYECTOS2[[#This Row],[MUNICIPIO]],'4.CAP_ENDMNT'!B:B,'4.CAP_ENDMNT'!L:L,0,0,1)</f>
        <v>7969629375.0660009</v>
      </c>
      <c r="AF279" s="140">
        <f>+_xlfn.XLOOKUP(PROYECTOS2[[#This Row],[MUNICIPIO]],'4.CAP_ENDMNT'!B:B,'4.CAP_ENDMNT'!M:M,0,0,1)</f>
        <v>5977222031.2995005</v>
      </c>
      <c r="AG279" s="134">
        <f>+_xlfn.XLOOKUP(PROYECTOS2[[#This Row],[MUNICIPIO]],'4.CAP_ENDMNT'!B:B,'4.CAP_ENDMNT'!N:N,0,0,1)</f>
        <v>0.58474413358541044</v>
      </c>
      <c r="AH279" s="134">
        <f>+_xlfn.XLOOKUP(PROYECTOS2[[#This Row],[MUNICIPIO]],'4.CAP_ENDMNT'!B:B,'4.CAP_ENDMNT'!O:O,0,0,1)</f>
        <v>0.56956931049455672</v>
      </c>
      <c r="AI279" s="134">
        <f>+_xlfn.XLOOKUP(PROYECTOS2[[#This Row],[MUNICIPIO]],'4.CAP_ENDMNT'!B:B,'4.CAP_ENDMNT'!P:P,0,0,1)</f>
        <v>0.8</v>
      </c>
      <c r="AJ279" s="44" t="str">
        <f>+_xlfn.XLOOKUP(PROYECTOS2[[#This Row],[MUNICIPIO]],'4.CAP_ENDMNT'!B:B,'4.CAP_ENDMNT'!Q:Q,0,0,1)</f>
        <v>Cumple</v>
      </c>
    </row>
    <row r="280" spans="1:36">
      <c r="A280" s="44">
        <v>303</v>
      </c>
      <c r="B280" s="37" t="s">
        <v>602</v>
      </c>
      <c r="C280" s="118">
        <v>45747</v>
      </c>
      <c r="D280" s="46" t="s">
        <v>470</v>
      </c>
      <c r="E280" s="47" t="str">
        <f>+_xlfn.XLOOKUP(PROYECTOS2[[#This Row],[MUNICIPIO]],MUNICIPIOS!A:A,MUNICIPIOS!E:E,0,0,1)</f>
        <v>Oriente</v>
      </c>
      <c r="F280" s="44" t="e" cm="1">
        <f t="array" ref="F280">+_xlfn.XLOOKUP(PROYECTOS2[[#This Row],[MUNICIPIO]],Table1[Municipio],MUNICIPIOS!F:F,0,0,1)</f>
        <v>#VALUE!</v>
      </c>
      <c r="G280" s="44" t="str">
        <f>+LOOKUP(PROYECTOS2[[#This Row],[MUNICIPIO]],Table1[Municipio],Table1[Latitud])</f>
        <v>6,149903</v>
      </c>
      <c r="H280" s="44">
        <f>+LOOKUP(PROYECTOS2[[#This Row],[MUNICIPIO]],Table1[Municipio],Table1[PDET])</f>
        <v>0</v>
      </c>
      <c r="I280" s="44">
        <f>+LOOKUP(PROYECTOS2[[#This Row],[MUNICIPIO]],Table1[Municipio],Table1[ZOMAC])</f>
        <v>0</v>
      </c>
      <c r="J280" s="3" t="str" cm="1">
        <f t="array" ref="J280">_xlfn.TEXTJOIN(", ", TRUE, IF(radicados[ID PROYECTOS]=A280, radicados[RADICADO], ""))</f>
        <v/>
      </c>
      <c r="K280" s="45">
        <v>1</v>
      </c>
      <c r="L280" s="45"/>
      <c r="M280" s="43"/>
      <c r="N280" s="48">
        <v>2013000000</v>
      </c>
      <c r="O280" s="48"/>
      <c r="P280" s="48"/>
      <c r="Q280" s="148" t="s">
        <v>1067</v>
      </c>
      <c r="R280" s="34" t="s">
        <v>407</v>
      </c>
      <c r="S280" s="40" t="s">
        <v>397</v>
      </c>
      <c r="T280" s="40" t="s">
        <v>56</v>
      </c>
      <c r="U280" s="37" t="s">
        <v>541</v>
      </c>
      <c r="V280" s="44">
        <f>+_xlfn.XLOOKUP(PROYECTOS2[[#This Row],[MUNICIPIO]],'4.CAP_ENDMNT'!B:B,'4.CAP_ENDMNT'!C:C,0,0,1)</f>
        <v>6</v>
      </c>
      <c r="W280" s="139">
        <f>+_xlfn.XLOOKUP(PROYECTOS2[[#This Row],[MUNICIPIO]],'4.CAP_ENDMNT'!B:B,'4.CAP_ENDMNT'!D:D,0,0,1)</f>
        <v>17565923370.843998</v>
      </c>
      <c r="X280" s="140">
        <f>+_xlfn.XLOOKUP(PROYECTOS2[[#This Row],[MUNICIPIO]],'4.CAP_ENDMNT'!B:B,'4.CAP_ENDMNT'!E:E,0,0,1)</f>
        <v>4463335582.5100002</v>
      </c>
      <c r="Y280" s="140">
        <f>+_xlfn.XLOOKUP(PROYECTOS2[[#This Row],[MUNICIPIO]],'4.CAP_ENDMNT'!B:B,'4.CAP_ENDMNT'!F:F,0,0,1)</f>
        <v>13102587788.333998</v>
      </c>
      <c r="Z280" s="140">
        <f>+_xlfn.XLOOKUP(PROYECTOS2[[#This Row],[MUNICIPIO]],'4.CAP_ENDMNT'!B:B,'4.CAP_ENDMNT'!G:G,0,0,1)</f>
        <v>2561424191</v>
      </c>
      <c r="AA280" s="140">
        <f>+_xlfn.XLOOKUP(PROYECTOS2[[#This Row],[MUNICIPIO]],'4.CAP_ENDMNT'!B:B,'4.CAP_ENDMNT'!H:H,0,0,1)</f>
        <v>0</v>
      </c>
      <c r="AB280" s="140">
        <f>+_xlfn.XLOOKUP(PROYECTOS2[[#This Row],[MUNICIPIO]],'4.CAP_ENDMNT'!B:B,'4.CAP_ENDMNT'!I:I,0,0,1)</f>
        <v>2561424191</v>
      </c>
      <c r="AC280" s="134">
        <f>+_xlfn.XLOOKUP(PROYECTOS2[[#This Row],[MUNICIPIO]],'4.CAP_ENDMNT'!B:B,'4.CAP_ENDMNT'!J:J,0,0,1)</f>
        <v>0.14581779374328047</v>
      </c>
      <c r="AD280" s="140">
        <f>+_xlfn.XLOOKUP(PROYECTOS2[[#This Row],[MUNICIPIO]],'4.CAP_ENDMNT'!B:B,'4.CAP_ENDMNT'!K:K,0,0,1)</f>
        <v>15004499179.843998</v>
      </c>
      <c r="AE280" s="140">
        <f>+_xlfn.XLOOKUP(PROYECTOS2[[#This Row],[MUNICIPIO]],'4.CAP_ENDMNT'!B:B,'4.CAP_ENDMNT'!L:L,0,0,1)</f>
        <v>12003599343.875198</v>
      </c>
      <c r="AF280" s="140">
        <f>+_xlfn.XLOOKUP(PROYECTOS2[[#This Row],[MUNICIPIO]],'4.CAP_ENDMNT'!B:B,'4.CAP_ENDMNT'!M:M,0,0,1)</f>
        <v>9002699507.9063988</v>
      </c>
      <c r="AG280" s="134">
        <f>+_xlfn.XLOOKUP(PROYECTOS2[[#This Row],[MUNICIPIO]],'4.CAP_ENDMNT'!B:B,'4.CAP_ENDMNT'!N:N,0,0,1)</f>
        <v>1</v>
      </c>
      <c r="AH280" s="134">
        <f>+_xlfn.XLOOKUP(PROYECTOS2[[#This Row],[MUNICIPIO]],'4.CAP_ENDMNT'!B:B,'4.CAP_ENDMNT'!O:O,0,0,1)</f>
        <v>0.64471709259563048</v>
      </c>
      <c r="AI280" s="134">
        <f>+_xlfn.XLOOKUP(PROYECTOS2[[#This Row],[MUNICIPIO]],'4.CAP_ENDMNT'!B:B,'4.CAP_ENDMNT'!P:P,0,0,1)</f>
        <v>0.8</v>
      </c>
      <c r="AJ280" s="44" t="str">
        <f>+_xlfn.XLOOKUP(PROYECTOS2[[#This Row],[MUNICIPIO]],'4.CAP_ENDMNT'!B:B,'4.CAP_ENDMNT'!Q:Q,0,0,1)</f>
        <v>Cumple</v>
      </c>
    </row>
    <row r="281" spans="1:36">
      <c r="A281" s="44">
        <v>304</v>
      </c>
      <c r="B281" s="37" t="s">
        <v>603</v>
      </c>
      <c r="C281" s="118">
        <v>45747</v>
      </c>
      <c r="D281" s="46" t="s">
        <v>227</v>
      </c>
      <c r="E281" s="47" t="str">
        <f>+_xlfn.XLOOKUP(PROYECTOS2[[#This Row],[MUNICIPIO]],MUNICIPIOS!A:A,MUNICIPIOS!E:E,0,0,1)</f>
        <v>Oriente</v>
      </c>
      <c r="F281" s="44" t="e" cm="1">
        <f t="array" ref="F281">+_xlfn.XLOOKUP(PROYECTOS2[[#This Row],[MUNICIPIO]],Table1[Municipio],MUNICIPIOS!F:F,0,0,1)</f>
        <v>#VALUE!</v>
      </c>
      <c r="G281" s="44" t="str">
        <f>+LOOKUP(PROYECTOS2[[#This Row],[MUNICIPIO]],Table1[Municipio],Table1[Latitud])</f>
        <v>6,142892</v>
      </c>
      <c r="H281" s="44">
        <f>+LOOKUP(PROYECTOS2[[#This Row],[MUNICIPIO]],Table1[Municipio],Table1[PDET])</f>
        <v>0</v>
      </c>
      <c r="I281" s="44">
        <f>+LOOKUP(PROYECTOS2[[#This Row],[MUNICIPIO]],Table1[Municipio],Table1[ZOMAC])</f>
        <v>1</v>
      </c>
      <c r="J281" s="3" t="str" cm="1">
        <f t="array" ref="J281">_xlfn.TEXTJOIN(", ", TRUE, IF(radicados[ID PROYECTOS]=A281, radicados[RADICADO], ""))</f>
        <v/>
      </c>
      <c r="K281" s="45">
        <v>1</v>
      </c>
      <c r="L281" s="45"/>
      <c r="M281" s="43"/>
      <c r="N281" s="48">
        <v>240000000</v>
      </c>
      <c r="O281" s="48"/>
      <c r="P281" s="48"/>
      <c r="Q281" s="148" t="s">
        <v>1067</v>
      </c>
      <c r="R281" s="34" t="s">
        <v>407</v>
      </c>
      <c r="S281" s="40" t="s">
        <v>397</v>
      </c>
      <c r="T281" s="40" t="s">
        <v>56</v>
      </c>
      <c r="U281" s="37" t="s">
        <v>541</v>
      </c>
      <c r="V281" s="44">
        <f>+_xlfn.XLOOKUP(PROYECTOS2[[#This Row],[MUNICIPIO]],'4.CAP_ENDMNT'!B:B,'4.CAP_ENDMNT'!C:C,0,0,1)</f>
        <v>6</v>
      </c>
      <c r="W281" s="139">
        <f>+_xlfn.XLOOKUP(PROYECTOS2[[#This Row],[MUNICIPIO]],'4.CAP_ENDMNT'!B:B,'4.CAP_ENDMNT'!D:D,0,0,1)</f>
        <v>9100976268.0305004</v>
      </c>
      <c r="X281" s="140">
        <f>+_xlfn.XLOOKUP(PROYECTOS2[[#This Row],[MUNICIPIO]],'4.CAP_ENDMNT'!B:B,'4.CAP_ENDMNT'!E:E,0,0,1)</f>
        <v>3221460794.1700001</v>
      </c>
      <c r="Y281" s="140">
        <f>+_xlfn.XLOOKUP(PROYECTOS2[[#This Row],[MUNICIPIO]],'4.CAP_ENDMNT'!B:B,'4.CAP_ENDMNT'!F:F,0,0,1)</f>
        <v>5879515473.8605003</v>
      </c>
      <c r="Z281" s="140">
        <f>+_xlfn.XLOOKUP(PROYECTOS2[[#This Row],[MUNICIPIO]],'4.CAP_ENDMNT'!B:B,'4.CAP_ENDMNT'!G:G,0,0,1)</f>
        <v>1026722956</v>
      </c>
      <c r="AA281" s="140">
        <f>+_xlfn.XLOOKUP(PROYECTOS2[[#This Row],[MUNICIPIO]],'4.CAP_ENDMNT'!B:B,'4.CAP_ENDMNT'!H:H,0,0,1)</f>
        <v>190000000</v>
      </c>
      <c r="AB281" s="140">
        <f>+_xlfn.XLOOKUP(PROYECTOS2[[#This Row],[MUNICIPIO]],'4.CAP_ENDMNT'!B:B,'4.CAP_ENDMNT'!I:I,0,0,1)</f>
        <v>1216722956</v>
      </c>
      <c r="AC281" s="134">
        <f>+_xlfn.XLOOKUP(PROYECTOS2[[#This Row],[MUNICIPIO]],'4.CAP_ENDMNT'!B:B,'4.CAP_ENDMNT'!J:J,0,0,1)</f>
        <v>0.13369147662477152</v>
      </c>
      <c r="AD281" s="140">
        <f>+_xlfn.XLOOKUP(PROYECTOS2[[#This Row],[MUNICIPIO]],'4.CAP_ENDMNT'!B:B,'4.CAP_ENDMNT'!K:K,0,0,1)</f>
        <v>7884253312.0305004</v>
      </c>
      <c r="AE281" s="140">
        <f>+_xlfn.XLOOKUP(PROYECTOS2[[#This Row],[MUNICIPIO]],'4.CAP_ENDMNT'!B:B,'4.CAP_ENDMNT'!L:L,0,0,1)</f>
        <v>6307402649.6244011</v>
      </c>
      <c r="AF281" s="140">
        <f>+_xlfn.XLOOKUP(PROYECTOS2[[#This Row],[MUNICIPIO]],'4.CAP_ENDMNT'!B:B,'4.CAP_ENDMNT'!M:M,0,0,1)</f>
        <v>4730551987.2182999</v>
      </c>
      <c r="AG281" s="134">
        <f>+_xlfn.XLOOKUP(PROYECTOS2[[#This Row],[MUNICIPIO]],'4.CAP_ENDMNT'!B:B,'4.CAP_ENDMNT'!N:N,0,0,1)</f>
        <v>0.84384284108140062</v>
      </c>
      <c r="AH281" s="134">
        <f>+_xlfn.XLOOKUP(PROYECTOS2[[#This Row],[MUNICIPIO]],'4.CAP_ENDMNT'!B:B,'4.CAP_ENDMNT'!O:O,0,0,1)</f>
        <v>0.65864601932480682</v>
      </c>
      <c r="AI281" s="134">
        <f>+_xlfn.XLOOKUP(PROYECTOS2[[#This Row],[MUNICIPIO]],'4.CAP_ENDMNT'!B:B,'4.CAP_ENDMNT'!P:P,0,0,1)</f>
        <v>0.8</v>
      </c>
      <c r="AJ281" s="44" t="str">
        <f>+_xlfn.XLOOKUP(PROYECTOS2[[#This Row],[MUNICIPIO]],'4.CAP_ENDMNT'!B:B,'4.CAP_ENDMNT'!Q:Q,0,0,1)</f>
        <v>Cumple</v>
      </c>
    </row>
    <row r="282" spans="1:36">
      <c r="A282" s="44">
        <v>305</v>
      </c>
      <c r="B282" s="37" t="s">
        <v>604</v>
      </c>
      <c r="C282" s="118">
        <v>45747</v>
      </c>
      <c r="D282" s="46" t="s">
        <v>227</v>
      </c>
      <c r="E282" s="47" t="str">
        <f>+_xlfn.XLOOKUP(PROYECTOS2[[#This Row],[MUNICIPIO]],MUNICIPIOS!A:A,MUNICIPIOS!E:E,0,0,1)</f>
        <v>Oriente</v>
      </c>
      <c r="F282" s="44" t="e" cm="1">
        <f t="array" ref="F282">+_xlfn.XLOOKUP(PROYECTOS2[[#This Row],[MUNICIPIO]],Table1[Municipio],MUNICIPIOS!F:F,0,0,1)</f>
        <v>#VALUE!</v>
      </c>
      <c r="G282" s="44" t="str">
        <f>+LOOKUP(PROYECTOS2[[#This Row],[MUNICIPIO]],Table1[Municipio],Table1[Latitud])</f>
        <v>6,142892</v>
      </c>
      <c r="H282" s="44">
        <f>+LOOKUP(PROYECTOS2[[#This Row],[MUNICIPIO]],Table1[Municipio],Table1[PDET])</f>
        <v>0</v>
      </c>
      <c r="I282" s="44">
        <f>+LOOKUP(PROYECTOS2[[#This Row],[MUNICIPIO]],Table1[Municipio],Table1[ZOMAC])</f>
        <v>1</v>
      </c>
      <c r="J282" s="3" t="str" cm="1">
        <f t="array" ref="J282">_xlfn.TEXTJOIN(", ", TRUE, IF(radicados[ID PROYECTOS]=A282, radicados[RADICADO], ""))</f>
        <v/>
      </c>
      <c r="K282" s="45">
        <v>1</v>
      </c>
      <c r="L282" s="45"/>
      <c r="M282" s="43"/>
      <c r="N282" s="48">
        <v>1095000000</v>
      </c>
      <c r="O282" s="48"/>
      <c r="P282" s="48"/>
      <c r="Q282" s="148" t="s">
        <v>1067</v>
      </c>
      <c r="R282" s="34" t="s">
        <v>407</v>
      </c>
      <c r="S282" s="40" t="s">
        <v>397</v>
      </c>
      <c r="T282" s="40" t="s">
        <v>56</v>
      </c>
      <c r="U282" s="37" t="s">
        <v>541</v>
      </c>
      <c r="V282" s="44">
        <f>+_xlfn.XLOOKUP(PROYECTOS2[[#This Row],[MUNICIPIO]],'4.CAP_ENDMNT'!B:B,'4.CAP_ENDMNT'!C:C,0,0,1)</f>
        <v>6</v>
      </c>
      <c r="W282" s="139">
        <f>+_xlfn.XLOOKUP(PROYECTOS2[[#This Row],[MUNICIPIO]],'4.CAP_ENDMNT'!B:B,'4.CAP_ENDMNT'!D:D,0,0,1)</f>
        <v>9100976268.0305004</v>
      </c>
      <c r="X282" s="140">
        <f>+_xlfn.XLOOKUP(PROYECTOS2[[#This Row],[MUNICIPIO]],'4.CAP_ENDMNT'!B:B,'4.CAP_ENDMNT'!E:E,0,0,1)</f>
        <v>3221460794.1700001</v>
      </c>
      <c r="Y282" s="140">
        <f>+_xlfn.XLOOKUP(PROYECTOS2[[#This Row],[MUNICIPIO]],'4.CAP_ENDMNT'!B:B,'4.CAP_ENDMNT'!F:F,0,0,1)</f>
        <v>5879515473.8605003</v>
      </c>
      <c r="Z282" s="140">
        <f>+_xlfn.XLOOKUP(PROYECTOS2[[#This Row],[MUNICIPIO]],'4.CAP_ENDMNT'!B:B,'4.CAP_ENDMNT'!G:G,0,0,1)</f>
        <v>1026722956</v>
      </c>
      <c r="AA282" s="140">
        <f>+_xlfn.XLOOKUP(PROYECTOS2[[#This Row],[MUNICIPIO]],'4.CAP_ENDMNT'!B:B,'4.CAP_ENDMNT'!H:H,0,0,1)</f>
        <v>190000000</v>
      </c>
      <c r="AB282" s="140">
        <f>+_xlfn.XLOOKUP(PROYECTOS2[[#This Row],[MUNICIPIO]],'4.CAP_ENDMNT'!B:B,'4.CAP_ENDMNT'!I:I,0,0,1)</f>
        <v>1216722956</v>
      </c>
      <c r="AC282" s="134">
        <f>+_xlfn.XLOOKUP(PROYECTOS2[[#This Row],[MUNICIPIO]],'4.CAP_ENDMNT'!B:B,'4.CAP_ENDMNT'!J:J,0,0,1)</f>
        <v>0.13369147662477152</v>
      </c>
      <c r="AD282" s="140">
        <f>+_xlfn.XLOOKUP(PROYECTOS2[[#This Row],[MUNICIPIO]],'4.CAP_ENDMNT'!B:B,'4.CAP_ENDMNT'!K:K,0,0,1)</f>
        <v>7884253312.0305004</v>
      </c>
      <c r="AE282" s="140">
        <f>+_xlfn.XLOOKUP(PROYECTOS2[[#This Row],[MUNICIPIO]],'4.CAP_ENDMNT'!B:B,'4.CAP_ENDMNT'!L:L,0,0,1)</f>
        <v>6307402649.6244011</v>
      </c>
      <c r="AF282" s="140">
        <f>+_xlfn.XLOOKUP(PROYECTOS2[[#This Row],[MUNICIPIO]],'4.CAP_ENDMNT'!B:B,'4.CAP_ENDMNT'!M:M,0,0,1)</f>
        <v>4730551987.2182999</v>
      </c>
      <c r="AG282" s="134">
        <f>+_xlfn.XLOOKUP(PROYECTOS2[[#This Row],[MUNICIPIO]],'4.CAP_ENDMNT'!B:B,'4.CAP_ENDMNT'!N:N,0,0,1)</f>
        <v>0.84384284108140062</v>
      </c>
      <c r="AH282" s="134">
        <f>+_xlfn.XLOOKUP(PROYECTOS2[[#This Row],[MUNICIPIO]],'4.CAP_ENDMNT'!B:B,'4.CAP_ENDMNT'!O:O,0,0,1)</f>
        <v>0.65864601932480682</v>
      </c>
      <c r="AI282" s="134">
        <f>+_xlfn.XLOOKUP(PROYECTOS2[[#This Row],[MUNICIPIO]],'4.CAP_ENDMNT'!B:B,'4.CAP_ENDMNT'!P:P,0,0,1)</f>
        <v>0.8</v>
      </c>
      <c r="AJ282" s="44" t="str">
        <f>+_xlfn.XLOOKUP(PROYECTOS2[[#This Row],[MUNICIPIO]],'4.CAP_ENDMNT'!B:B,'4.CAP_ENDMNT'!Q:Q,0,0,1)</f>
        <v>Cumple</v>
      </c>
    </row>
    <row r="283" spans="1:36">
      <c r="A283" s="44">
        <v>306</v>
      </c>
      <c r="B283" s="37" t="s">
        <v>605</v>
      </c>
      <c r="C283" s="118">
        <v>45747</v>
      </c>
      <c r="D283" s="46" t="s">
        <v>125</v>
      </c>
      <c r="E283" s="47" t="str">
        <f>+_xlfn.XLOOKUP(PROYECTOS2[[#This Row],[MUNICIPIO]],MUNICIPIOS!A:A,MUNICIPIOS!E:E,0,0,1)</f>
        <v>Oriente</v>
      </c>
      <c r="F283" s="44" t="e" cm="1">
        <f t="array" ref="F283">+_xlfn.XLOOKUP(PROYECTOS2[[#This Row],[MUNICIPIO]],Table1[Municipio],MUNICIPIOS!F:F,0,0,1)</f>
        <v>#VALUE!</v>
      </c>
      <c r="G283" s="44" t="str">
        <f>+LOOKUP(PROYECTOS2[[#This Row],[MUNICIPIO]],Table1[Municipio],Table1[Latitud])</f>
        <v>6,058295</v>
      </c>
      <c r="H283" s="44">
        <f>+LOOKUP(PROYECTOS2[[#This Row],[MUNICIPIO]],Table1[Municipio],Table1[PDET])</f>
        <v>0</v>
      </c>
      <c r="I283" s="44">
        <f>+LOOKUP(PROYECTOS2[[#This Row],[MUNICIPIO]],Table1[Municipio],Table1[ZOMAC])</f>
        <v>1</v>
      </c>
      <c r="J283" s="3" t="str" cm="1">
        <f t="array" ref="J283">_xlfn.TEXTJOIN(", ", TRUE, IF(radicados[ID PROYECTOS]=A283, radicados[RADICADO], ""))</f>
        <v/>
      </c>
      <c r="K283" s="45">
        <v>1</v>
      </c>
      <c r="L283" s="45"/>
      <c r="M283" s="43"/>
      <c r="N283" s="48">
        <v>200000000</v>
      </c>
      <c r="O283" s="48"/>
      <c r="P283" s="48"/>
      <c r="Q283" s="148" t="s">
        <v>1067</v>
      </c>
      <c r="R283" s="34" t="s">
        <v>407</v>
      </c>
      <c r="S283" s="40" t="s">
        <v>397</v>
      </c>
      <c r="T283" s="40" t="s">
        <v>56</v>
      </c>
      <c r="U283" s="37" t="s">
        <v>541</v>
      </c>
      <c r="V283" s="44">
        <f>+_xlfn.XLOOKUP(PROYECTOS2[[#This Row],[MUNICIPIO]],'4.CAP_ENDMNT'!B:B,'4.CAP_ENDMNT'!C:C,0,0,1)</f>
        <v>6</v>
      </c>
      <c r="W283" s="139">
        <f>+_xlfn.XLOOKUP(PROYECTOS2[[#This Row],[MUNICIPIO]],'4.CAP_ENDMNT'!B:B,'4.CAP_ENDMNT'!D:D,0,0,1)</f>
        <v>12327690626.8465</v>
      </c>
      <c r="X283" s="140">
        <f>+_xlfn.XLOOKUP(PROYECTOS2[[#This Row],[MUNICIPIO]],'4.CAP_ENDMNT'!B:B,'4.CAP_ENDMNT'!E:E,0,0,1)</f>
        <v>4723680091.2799997</v>
      </c>
      <c r="Y283" s="140">
        <f>+_xlfn.XLOOKUP(PROYECTOS2[[#This Row],[MUNICIPIO]],'4.CAP_ENDMNT'!B:B,'4.CAP_ENDMNT'!F:F,0,0,1)</f>
        <v>7604010535.5665007</v>
      </c>
      <c r="Z283" s="140">
        <f>+_xlfn.XLOOKUP(PROYECTOS2[[#This Row],[MUNICIPIO]],'4.CAP_ENDMNT'!B:B,'4.CAP_ENDMNT'!G:G,0,0,1)</f>
        <v>445297438</v>
      </c>
      <c r="AA283" s="140">
        <f>+_xlfn.XLOOKUP(PROYECTOS2[[#This Row],[MUNICIPIO]],'4.CAP_ENDMNT'!B:B,'4.CAP_ENDMNT'!H:H,0,0,1)</f>
        <v>33508702</v>
      </c>
      <c r="AB283" s="140">
        <f>+_xlfn.XLOOKUP(PROYECTOS2[[#This Row],[MUNICIPIO]],'4.CAP_ENDMNT'!B:B,'4.CAP_ENDMNT'!I:I,0,0,1)</f>
        <v>478806140</v>
      </c>
      <c r="AC283" s="134">
        <f>+_xlfn.XLOOKUP(PROYECTOS2[[#This Row],[MUNICIPIO]],'4.CAP_ENDMNT'!B:B,'4.CAP_ENDMNT'!J:J,0,0,1)</f>
        <v>3.8839889359105498E-2</v>
      </c>
      <c r="AD283" s="140">
        <f>+_xlfn.XLOOKUP(PROYECTOS2[[#This Row],[MUNICIPIO]],'4.CAP_ENDMNT'!B:B,'4.CAP_ENDMNT'!K:K,0,0,1)</f>
        <v>11848884486.8465</v>
      </c>
      <c r="AE283" s="140">
        <f>+_xlfn.XLOOKUP(PROYECTOS2[[#This Row],[MUNICIPIO]],'4.CAP_ENDMNT'!B:B,'4.CAP_ENDMNT'!L:L,0,0,1)</f>
        <v>9479107589.4772015</v>
      </c>
      <c r="AF283" s="140">
        <f>+_xlfn.XLOOKUP(PROYECTOS2[[#This Row],[MUNICIPIO]],'4.CAP_ENDMNT'!B:B,'4.CAP_ENDMNT'!M:M,0,0,1)</f>
        <v>7109330692.1078997</v>
      </c>
      <c r="AG283" s="134">
        <f>+_xlfn.XLOOKUP(PROYECTOS2[[#This Row],[MUNICIPIO]],'4.CAP_ENDMNT'!B:B,'4.CAP_ENDMNT'!N:N,0,0,1)</f>
        <v>0.93001613972619479</v>
      </c>
      <c r="AH283" s="134">
        <f>+_xlfn.XLOOKUP(PROYECTOS2[[#This Row],[MUNICIPIO]],'4.CAP_ENDMNT'!B:B,'4.CAP_ENDMNT'!O:O,0,0,1)</f>
        <v>0.63996045822337311</v>
      </c>
      <c r="AI283" s="134">
        <f>+_xlfn.XLOOKUP(PROYECTOS2[[#This Row],[MUNICIPIO]],'4.CAP_ENDMNT'!B:B,'4.CAP_ENDMNT'!P:P,0,0,1)</f>
        <v>0.8</v>
      </c>
      <c r="AJ283" s="44" t="str">
        <f>+_xlfn.XLOOKUP(PROYECTOS2[[#This Row],[MUNICIPIO]],'4.CAP_ENDMNT'!B:B,'4.CAP_ENDMNT'!Q:Q,0,0,1)</f>
        <v>Cumple</v>
      </c>
    </row>
    <row r="284" spans="1:36">
      <c r="A284" s="44">
        <v>307</v>
      </c>
      <c r="B284" s="37" t="s">
        <v>606</v>
      </c>
      <c r="C284" s="118">
        <v>45747</v>
      </c>
      <c r="D284" s="46" t="s">
        <v>125</v>
      </c>
      <c r="E284" s="47" t="str">
        <f>+_xlfn.XLOOKUP(PROYECTOS2[[#This Row],[MUNICIPIO]],MUNICIPIOS!A:A,MUNICIPIOS!E:E,0,0,1)</f>
        <v>Oriente</v>
      </c>
      <c r="F284" s="44" t="e" cm="1">
        <f t="array" ref="F284">+_xlfn.XLOOKUP(PROYECTOS2[[#This Row],[MUNICIPIO]],Table1[Municipio],MUNICIPIOS!F:F,0,0,1)</f>
        <v>#VALUE!</v>
      </c>
      <c r="G284" s="44" t="str">
        <f>+LOOKUP(PROYECTOS2[[#This Row],[MUNICIPIO]],Table1[Municipio],Table1[Latitud])</f>
        <v>6,058295</v>
      </c>
      <c r="H284" s="44">
        <f>+LOOKUP(PROYECTOS2[[#This Row],[MUNICIPIO]],Table1[Municipio],Table1[PDET])</f>
        <v>0</v>
      </c>
      <c r="I284" s="44">
        <f>+LOOKUP(PROYECTOS2[[#This Row],[MUNICIPIO]],Table1[Municipio],Table1[ZOMAC])</f>
        <v>1</v>
      </c>
      <c r="J284" s="3" t="str" cm="1">
        <f t="array" ref="J284">_xlfn.TEXTJOIN(", ", TRUE, IF(radicados[ID PROYECTOS]=A284, radicados[RADICADO], ""))</f>
        <v/>
      </c>
      <c r="K284" s="45">
        <v>1</v>
      </c>
      <c r="L284" s="45"/>
      <c r="M284" s="43"/>
      <c r="N284" s="48">
        <v>1673000000</v>
      </c>
      <c r="O284" s="48"/>
      <c r="P284" s="48"/>
      <c r="Q284" s="148" t="s">
        <v>1067</v>
      </c>
      <c r="R284" s="34" t="s">
        <v>407</v>
      </c>
      <c r="S284" s="40" t="s">
        <v>397</v>
      </c>
      <c r="T284" s="40" t="s">
        <v>56</v>
      </c>
      <c r="U284" s="37" t="s">
        <v>541</v>
      </c>
      <c r="V284" s="44">
        <f>+_xlfn.XLOOKUP(PROYECTOS2[[#This Row],[MUNICIPIO]],'4.CAP_ENDMNT'!B:B,'4.CAP_ENDMNT'!C:C,0,0,1)</f>
        <v>6</v>
      </c>
      <c r="W284" s="139">
        <f>+_xlfn.XLOOKUP(PROYECTOS2[[#This Row],[MUNICIPIO]],'4.CAP_ENDMNT'!B:B,'4.CAP_ENDMNT'!D:D,0,0,1)</f>
        <v>12327690626.8465</v>
      </c>
      <c r="X284" s="140">
        <f>+_xlfn.XLOOKUP(PROYECTOS2[[#This Row],[MUNICIPIO]],'4.CAP_ENDMNT'!B:B,'4.CAP_ENDMNT'!E:E,0,0,1)</f>
        <v>4723680091.2799997</v>
      </c>
      <c r="Y284" s="140">
        <f>+_xlfn.XLOOKUP(PROYECTOS2[[#This Row],[MUNICIPIO]],'4.CAP_ENDMNT'!B:B,'4.CAP_ENDMNT'!F:F,0,0,1)</f>
        <v>7604010535.5665007</v>
      </c>
      <c r="Z284" s="140">
        <f>+_xlfn.XLOOKUP(PROYECTOS2[[#This Row],[MUNICIPIO]],'4.CAP_ENDMNT'!B:B,'4.CAP_ENDMNT'!G:G,0,0,1)</f>
        <v>445297438</v>
      </c>
      <c r="AA284" s="140">
        <f>+_xlfn.XLOOKUP(PROYECTOS2[[#This Row],[MUNICIPIO]],'4.CAP_ENDMNT'!B:B,'4.CAP_ENDMNT'!H:H,0,0,1)</f>
        <v>33508702</v>
      </c>
      <c r="AB284" s="140">
        <f>+_xlfn.XLOOKUP(PROYECTOS2[[#This Row],[MUNICIPIO]],'4.CAP_ENDMNT'!B:B,'4.CAP_ENDMNT'!I:I,0,0,1)</f>
        <v>478806140</v>
      </c>
      <c r="AC284" s="134">
        <f>+_xlfn.XLOOKUP(PROYECTOS2[[#This Row],[MUNICIPIO]],'4.CAP_ENDMNT'!B:B,'4.CAP_ENDMNT'!J:J,0,0,1)</f>
        <v>3.8839889359105498E-2</v>
      </c>
      <c r="AD284" s="140">
        <f>+_xlfn.XLOOKUP(PROYECTOS2[[#This Row],[MUNICIPIO]],'4.CAP_ENDMNT'!B:B,'4.CAP_ENDMNT'!K:K,0,0,1)</f>
        <v>11848884486.8465</v>
      </c>
      <c r="AE284" s="140">
        <f>+_xlfn.XLOOKUP(PROYECTOS2[[#This Row],[MUNICIPIO]],'4.CAP_ENDMNT'!B:B,'4.CAP_ENDMNT'!L:L,0,0,1)</f>
        <v>9479107589.4772015</v>
      </c>
      <c r="AF284" s="140">
        <f>+_xlfn.XLOOKUP(PROYECTOS2[[#This Row],[MUNICIPIO]],'4.CAP_ENDMNT'!B:B,'4.CAP_ENDMNT'!M:M,0,0,1)</f>
        <v>7109330692.1078997</v>
      </c>
      <c r="AG284" s="134">
        <f>+_xlfn.XLOOKUP(PROYECTOS2[[#This Row],[MUNICIPIO]],'4.CAP_ENDMNT'!B:B,'4.CAP_ENDMNT'!N:N,0,0,1)</f>
        <v>0.93001613972619479</v>
      </c>
      <c r="AH284" s="134">
        <f>+_xlfn.XLOOKUP(PROYECTOS2[[#This Row],[MUNICIPIO]],'4.CAP_ENDMNT'!B:B,'4.CAP_ENDMNT'!O:O,0,0,1)</f>
        <v>0.63996045822337311</v>
      </c>
      <c r="AI284" s="134">
        <f>+_xlfn.XLOOKUP(PROYECTOS2[[#This Row],[MUNICIPIO]],'4.CAP_ENDMNT'!B:B,'4.CAP_ENDMNT'!P:P,0,0,1)</f>
        <v>0.8</v>
      </c>
      <c r="AJ284" s="44" t="str">
        <f>+_xlfn.XLOOKUP(PROYECTOS2[[#This Row],[MUNICIPIO]],'4.CAP_ENDMNT'!B:B,'4.CAP_ENDMNT'!Q:Q,0,0,1)</f>
        <v>Cumple</v>
      </c>
    </row>
    <row r="285" spans="1:36">
      <c r="A285" s="44">
        <v>308</v>
      </c>
      <c r="B285" s="37" t="s">
        <v>607</v>
      </c>
      <c r="C285" s="118">
        <v>45747</v>
      </c>
      <c r="D285" s="46" t="s">
        <v>113</v>
      </c>
      <c r="E285" s="47" t="str">
        <f>+_xlfn.XLOOKUP(PROYECTOS2[[#This Row],[MUNICIPIO]],MUNICIPIOS!A:A,MUNICIPIOS!E:E,0,0,1)</f>
        <v>Oriente</v>
      </c>
      <c r="F285" s="44" t="e" cm="1">
        <f t="array" ref="F285">+_xlfn.XLOOKUP(PROYECTOS2[[#This Row],[MUNICIPIO]],Table1[Municipio],MUNICIPIOS!F:F,0,0,1)</f>
        <v>#VALUE!</v>
      </c>
      <c r="G285" s="44" t="str">
        <f>+LOOKUP(PROYECTOS2[[#This Row],[MUNICIPIO]],Table1[Municipio],Table1[Latitud])</f>
        <v>6,149903</v>
      </c>
      <c r="H285" s="44">
        <f>+LOOKUP(PROYECTOS2[[#This Row],[MUNICIPIO]],Table1[Municipio],Table1[PDET])</f>
        <v>0</v>
      </c>
      <c r="I285" s="44">
        <f>+LOOKUP(PROYECTOS2[[#This Row],[MUNICIPIO]],Table1[Municipio],Table1[ZOMAC])</f>
        <v>0</v>
      </c>
      <c r="J285" s="3" t="str" cm="1">
        <f t="array" ref="J285">_xlfn.TEXTJOIN(", ", TRUE, IF(radicados[ID PROYECTOS]=A285, radicados[RADICADO], ""))</f>
        <v/>
      </c>
      <c r="K285" s="45">
        <v>1</v>
      </c>
      <c r="L285" s="45"/>
      <c r="M285" s="43"/>
      <c r="N285" s="48">
        <v>245000000</v>
      </c>
      <c r="O285" s="48"/>
      <c r="P285" s="48"/>
      <c r="Q285" s="148" t="s">
        <v>1067</v>
      </c>
      <c r="R285" s="34" t="s">
        <v>407</v>
      </c>
      <c r="S285" s="40" t="s">
        <v>397</v>
      </c>
      <c r="T285" s="40" t="s">
        <v>56</v>
      </c>
      <c r="U285" s="37" t="s">
        <v>541</v>
      </c>
      <c r="V285" s="44">
        <f>+_xlfn.XLOOKUP(PROYECTOS2[[#This Row],[MUNICIPIO]],'4.CAP_ENDMNT'!B:B,'4.CAP_ENDMNT'!C:C,0,0,1)</f>
        <v>6</v>
      </c>
      <c r="W285" s="139">
        <f>+_xlfn.XLOOKUP(PROYECTOS2[[#This Row],[MUNICIPIO]],'4.CAP_ENDMNT'!B:B,'4.CAP_ENDMNT'!D:D,0,0,1)</f>
        <v>7763487077.335</v>
      </c>
      <c r="X285" s="140">
        <f>+_xlfn.XLOOKUP(PROYECTOS2[[#This Row],[MUNICIPIO]],'4.CAP_ENDMNT'!B:B,'4.CAP_ENDMNT'!E:E,0,0,1)</f>
        <v>2329929022.3600001</v>
      </c>
      <c r="Y285" s="140">
        <f>+_xlfn.XLOOKUP(PROYECTOS2[[#This Row],[MUNICIPIO]],'4.CAP_ENDMNT'!B:B,'4.CAP_ENDMNT'!F:F,0,0,1)</f>
        <v>5433558054.9750004</v>
      </c>
      <c r="Z285" s="140">
        <f>+_xlfn.XLOOKUP(PROYECTOS2[[#This Row],[MUNICIPIO]],'4.CAP_ENDMNT'!B:B,'4.CAP_ENDMNT'!G:G,0,0,1)</f>
        <v>1217107364.4400001</v>
      </c>
      <c r="AA285" s="140">
        <f>+_xlfn.XLOOKUP(PROYECTOS2[[#This Row],[MUNICIPIO]],'4.CAP_ENDMNT'!B:B,'4.CAP_ENDMNT'!H:H,0,0,1)</f>
        <v>0</v>
      </c>
      <c r="AB285" s="140">
        <f>+_xlfn.XLOOKUP(PROYECTOS2[[#This Row],[MUNICIPIO]],'4.CAP_ENDMNT'!B:B,'4.CAP_ENDMNT'!I:I,0,0,1)</f>
        <v>1217107364.4400001</v>
      </c>
      <c r="AC285" s="134">
        <f>+_xlfn.XLOOKUP(PROYECTOS2[[#This Row],[MUNICIPIO]],'4.CAP_ENDMNT'!B:B,'4.CAP_ENDMNT'!J:J,0,0,1)</f>
        <v>0.15677328400446064</v>
      </c>
      <c r="AD285" s="140">
        <f>+_xlfn.XLOOKUP(PROYECTOS2[[#This Row],[MUNICIPIO]],'4.CAP_ENDMNT'!B:B,'4.CAP_ENDMNT'!K:K,0,0,1)</f>
        <v>6546379712.8950005</v>
      </c>
      <c r="AE285" s="140">
        <f>+_xlfn.XLOOKUP(PROYECTOS2[[#This Row],[MUNICIPIO]],'4.CAP_ENDMNT'!B:B,'4.CAP_ENDMNT'!L:L,0,0,1)</f>
        <v>5237103770.3160009</v>
      </c>
      <c r="AF285" s="140">
        <f>+_xlfn.XLOOKUP(PROYECTOS2[[#This Row],[MUNICIPIO]],'4.CAP_ENDMNT'!B:B,'4.CAP_ENDMNT'!M:M,0,0,1)</f>
        <v>3927827827.737</v>
      </c>
      <c r="AG285" s="134">
        <f>+_xlfn.XLOOKUP(PROYECTOS2[[#This Row],[MUNICIPIO]],'4.CAP_ENDMNT'!B:B,'4.CAP_ENDMNT'!N:N,0,0,1)</f>
        <v>1</v>
      </c>
      <c r="AH285" s="134">
        <f>+_xlfn.XLOOKUP(PROYECTOS2[[#This Row],[MUNICIPIO]],'4.CAP_ENDMNT'!B:B,'4.CAP_ENDMNT'!O:O,0,0,1)</f>
        <v>0.68141761997590633</v>
      </c>
      <c r="AI285" s="134">
        <f>+_xlfn.XLOOKUP(PROYECTOS2[[#This Row],[MUNICIPIO]],'4.CAP_ENDMNT'!B:B,'4.CAP_ENDMNT'!P:P,0,0,1)</f>
        <v>0.8</v>
      </c>
      <c r="AJ285" s="44" t="str">
        <f>+_xlfn.XLOOKUP(PROYECTOS2[[#This Row],[MUNICIPIO]],'4.CAP_ENDMNT'!B:B,'4.CAP_ENDMNT'!Q:Q,0,0,1)</f>
        <v>Cumple</v>
      </c>
    </row>
    <row r="286" spans="1:36">
      <c r="A286" s="44">
        <v>309</v>
      </c>
      <c r="B286" s="37" t="s">
        <v>608</v>
      </c>
      <c r="C286" s="118">
        <v>45747</v>
      </c>
      <c r="D286" s="46" t="s">
        <v>270</v>
      </c>
      <c r="E286" s="47" t="str">
        <f>+_xlfn.XLOOKUP(PROYECTOS2[[#This Row],[MUNICIPIO]],MUNICIPIOS!A:A,MUNICIPIOS!E:E,0,0,1)</f>
        <v>Oriente</v>
      </c>
      <c r="F286" s="44" t="e" cm="1">
        <f t="array" ref="F286">+_xlfn.XLOOKUP(PROYECTOS2[[#This Row],[MUNICIPIO]],Table1[Municipio],MUNICIPIOS!F:F,0,0,1)</f>
        <v>#VALUE!</v>
      </c>
      <c r="G286" s="44" t="str">
        <f>+LOOKUP(PROYECTOS2[[#This Row],[MUNICIPIO]],Table1[Municipio],Table1[Latitud])</f>
        <v>6,149903</v>
      </c>
      <c r="H286" s="44">
        <f>+LOOKUP(PROYECTOS2[[#This Row],[MUNICIPIO]],Table1[Municipio],Table1[PDET])</f>
        <v>0</v>
      </c>
      <c r="I286" s="44">
        <f>+LOOKUP(PROYECTOS2[[#This Row],[MUNICIPIO]],Table1[Municipio],Table1[ZOMAC])</f>
        <v>0</v>
      </c>
      <c r="J286" s="3" t="str" cm="1">
        <f t="array" ref="J286">_xlfn.TEXTJOIN(", ", TRUE, IF(radicados[ID PROYECTOS]=A286, radicados[RADICADO], ""))</f>
        <v/>
      </c>
      <c r="K286" s="45">
        <v>1</v>
      </c>
      <c r="L286" s="45"/>
      <c r="M286" s="43"/>
      <c r="N286" s="48">
        <v>485000000</v>
      </c>
      <c r="O286" s="48"/>
      <c r="P286" s="48"/>
      <c r="Q286" s="148" t="s">
        <v>1067</v>
      </c>
      <c r="R286" s="34" t="s">
        <v>407</v>
      </c>
      <c r="S286" s="40" t="s">
        <v>397</v>
      </c>
      <c r="T286" s="40" t="s">
        <v>56</v>
      </c>
      <c r="U286" s="37" t="s">
        <v>541</v>
      </c>
      <c r="V286" s="44">
        <f>+_xlfn.XLOOKUP(PROYECTOS2[[#This Row],[MUNICIPIO]],'4.CAP_ENDMNT'!B:B,'4.CAP_ENDMNT'!C:C,0,0,1)</f>
        <v>6</v>
      </c>
      <c r="W286" s="139">
        <f>+_xlfn.XLOOKUP(PROYECTOS2[[#This Row],[MUNICIPIO]],'4.CAP_ENDMNT'!B:B,'4.CAP_ENDMNT'!D:D,0,0,1)</f>
        <v>10860999220.161499</v>
      </c>
      <c r="X286" s="140">
        <f>+_xlfn.XLOOKUP(PROYECTOS2[[#This Row],[MUNICIPIO]],'4.CAP_ENDMNT'!B:B,'4.CAP_ENDMNT'!E:E,0,0,1)</f>
        <v>3903981787.4000001</v>
      </c>
      <c r="Y286" s="140">
        <f>+_xlfn.XLOOKUP(PROYECTOS2[[#This Row],[MUNICIPIO]],'4.CAP_ENDMNT'!B:B,'4.CAP_ENDMNT'!F:F,0,0,1)</f>
        <v>6957017432.7614994</v>
      </c>
      <c r="Z286" s="140">
        <f>+_xlfn.XLOOKUP(PROYECTOS2[[#This Row],[MUNICIPIO]],'4.CAP_ENDMNT'!B:B,'4.CAP_ENDMNT'!G:G,0,0,1)</f>
        <v>1425530293</v>
      </c>
      <c r="AA286" s="140">
        <f>+_xlfn.XLOOKUP(PROYECTOS2[[#This Row],[MUNICIPIO]],'4.CAP_ENDMNT'!B:B,'4.CAP_ENDMNT'!H:H,0,0,1)</f>
        <v>0</v>
      </c>
      <c r="AB286" s="140">
        <f>+_xlfn.XLOOKUP(PROYECTOS2[[#This Row],[MUNICIPIO]],'4.CAP_ENDMNT'!B:B,'4.CAP_ENDMNT'!I:I,0,0,1)</f>
        <v>1425530293</v>
      </c>
      <c r="AC286" s="134">
        <f>+_xlfn.XLOOKUP(PROYECTOS2[[#This Row],[MUNICIPIO]],'4.CAP_ENDMNT'!B:B,'4.CAP_ENDMNT'!J:J,0,0,1)</f>
        <v>0.13125222312453153</v>
      </c>
      <c r="AD286" s="140">
        <f>+_xlfn.XLOOKUP(PROYECTOS2[[#This Row],[MUNICIPIO]],'4.CAP_ENDMNT'!B:B,'4.CAP_ENDMNT'!K:K,0,0,1)</f>
        <v>9435468927.161499</v>
      </c>
      <c r="AE286" s="140">
        <f>+_xlfn.XLOOKUP(PROYECTOS2[[#This Row],[MUNICIPIO]],'4.CAP_ENDMNT'!B:B,'4.CAP_ENDMNT'!L:L,0,0,1)</f>
        <v>7548375141.7291994</v>
      </c>
      <c r="AF286" s="140">
        <f>+_xlfn.XLOOKUP(PROYECTOS2[[#This Row],[MUNICIPIO]],'4.CAP_ENDMNT'!B:B,'4.CAP_ENDMNT'!M:M,0,0,1)</f>
        <v>5661281356.2968988</v>
      </c>
      <c r="AG286" s="134">
        <f>+_xlfn.XLOOKUP(PROYECTOS2[[#This Row],[MUNICIPIO]],'4.CAP_ENDMNT'!B:B,'4.CAP_ENDMNT'!N:N,0,0,1)</f>
        <v>1</v>
      </c>
      <c r="AH286" s="134">
        <f>+_xlfn.XLOOKUP(PROYECTOS2[[#This Row],[MUNICIPIO]],'4.CAP_ENDMNT'!B:B,'4.CAP_ENDMNT'!O:O,0,0,1)</f>
        <v>0.63270124114427018</v>
      </c>
      <c r="AI286" s="134">
        <f>+_xlfn.XLOOKUP(PROYECTOS2[[#This Row],[MUNICIPIO]],'4.CAP_ENDMNT'!B:B,'4.CAP_ENDMNT'!P:P,0,0,1)</f>
        <v>0.8</v>
      </c>
      <c r="AJ286" s="44" t="str">
        <f>+_xlfn.XLOOKUP(PROYECTOS2[[#This Row],[MUNICIPIO]],'4.CAP_ENDMNT'!B:B,'4.CAP_ENDMNT'!Q:Q,0,0,1)</f>
        <v>Cumple</v>
      </c>
    </row>
    <row r="287" spans="1:36">
      <c r="A287" s="44">
        <v>310</v>
      </c>
      <c r="B287" s="37" t="s">
        <v>609</v>
      </c>
      <c r="C287" s="118">
        <v>45747</v>
      </c>
      <c r="D287" s="46" t="s">
        <v>103</v>
      </c>
      <c r="E287" s="47" t="str">
        <f>+_xlfn.XLOOKUP(PROYECTOS2[[#This Row],[MUNICIPIO]],MUNICIPIOS!A:A,MUNICIPIOS!E:E,0,0,1)</f>
        <v>Oriente</v>
      </c>
      <c r="F287" s="44" t="e" cm="1">
        <f t="array" ref="F287">+_xlfn.XLOOKUP(PROYECTOS2[[#This Row],[MUNICIPIO]],Table1[Municipio],MUNICIPIOS!F:F,0,0,1)</f>
        <v>#VALUE!</v>
      </c>
      <c r="G287" s="44" t="str">
        <f>+LOOKUP(PROYECTOS2[[#This Row],[MUNICIPIO]],Table1[Municipio],Table1[Latitud])</f>
        <v>6,394348</v>
      </c>
      <c r="H287" s="44">
        <f>+LOOKUP(PROYECTOS2[[#This Row],[MUNICIPIO]],Table1[Municipio],Table1[PDET])</f>
        <v>0</v>
      </c>
      <c r="I287" s="44">
        <f>+LOOKUP(PROYECTOS2[[#This Row],[MUNICIPIO]],Table1[Municipio],Table1[ZOMAC])</f>
        <v>1</v>
      </c>
      <c r="J287" s="3" t="str" cm="1">
        <f t="array" ref="J287">_xlfn.TEXTJOIN(", ", TRUE, IF(radicados[ID PROYECTOS]=A287, radicados[RADICADO], ""))</f>
        <v/>
      </c>
      <c r="K287" s="45">
        <v>1</v>
      </c>
      <c r="L287" s="45"/>
      <c r="M287" s="43"/>
      <c r="N287" s="48">
        <v>2527000000</v>
      </c>
      <c r="O287" s="48"/>
      <c r="P287" s="48"/>
      <c r="Q287" s="148" t="s">
        <v>1067</v>
      </c>
      <c r="R287" s="34" t="s">
        <v>407</v>
      </c>
      <c r="S287" s="40" t="s">
        <v>397</v>
      </c>
      <c r="T287" s="40" t="s">
        <v>56</v>
      </c>
      <c r="U287" s="37" t="s">
        <v>541</v>
      </c>
      <c r="V287" s="44">
        <f>+_xlfn.XLOOKUP(PROYECTOS2[[#This Row],[MUNICIPIO]],'4.CAP_ENDMNT'!B:B,'4.CAP_ENDMNT'!C:C,0,0,1)</f>
        <v>6</v>
      </c>
      <c r="W287" s="139">
        <f>+_xlfn.XLOOKUP(PROYECTOS2[[#This Row],[MUNICIPIO]],'4.CAP_ENDMNT'!B:B,'4.CAP_ENDMNT'!D:D,0,0,1)</f>
        <v>8725724060.9459991</v>
      </c>
      <c r="X287" s="140">
        <f>+_xlfn.XLOOKUP(PROYECTOS2[[#This Row],[MUNICIPIO]],'4.CAP_ENDMNT'!B:B,'4.CAP_ENDMNT'!E:E,0,0,1)</f>
        <v>1935290211.05</v>
      </c>
      <c r="Y287" s="140">
        <f>+_xlfn.XLOOKUP(PROYECTOS2[[#This Row],[MUNICIPIO]],'4.CAP_ENDMNT'!B:B,'4.CAP_ENDMNT'!F:F,0,0,1)</f>
        <v>6790433849.895999</v>
      </c>
      <c r="Z287" s="140">
        <f>+_xlfn.XLOOKUP(PROYECTOS2[[#This Row],[MUNICIPIO]],'4.CAP_ENDMNT'!B:B,'4.CAP_ENDMNT'!G:G,0,0,1)</f>
        <v>661232494</v>
      </c>
      <c r="AA287" s="140">
        <f>+_xlfn.XLOOKUP(PROYECTOS2[[#This Row],[MUNICIPIO]],'4.CAP_ENDMNT'!B:B,'4.CAP_ENDMNT'!H:H,0,0,1)</f>
        <v>0</v>
      </c>
      <c r="AB287" s="140">
        <f>+_xlfn.XLOOKUP(PROYECTOS2[[#This Row],[MUNICIPIO]],'4.CAP_ENDMNT'!B:B,'4.CAP_ENDMNT'!I:I,0,0,1)</f>
        <v>661232494</v>
      </c>
      <c r="AC287" s="134">
        <f>+_xlfn.XLOOKUP(PROYECTOS2[[#This Row],[MUNICIPIO]],'4.CAP_ENDMNT'!B:B,'4.CAP_ENDMNT'!J:J,0,0,1)</f>
        <v>7.5779670475657063E-2</v>
      </c>
      <c r="AD287" s="140">
        <f>+_xlfn.XLOOKUP(PROYECTOS2[[#This Row],[MUNICIPIO]],'4.CAP_ENDMNT'!B:B,'4.CAP_ENDMNT'!K:K,0,0,1)</f>
        <v>8064491566.9459991</v>
      </c>
      <c r="AE287" s="140">
        <f>+_xlfn.XLOOKUP(PROYECTOS2[[#This Row],[MUNICIPIO]],'4.CAP_ENDMNT'!B:B,'4.CAP_ENDMNT'!L:L,0,0,1)</f>
        <v>6451593253.5567999</v>
      </c>
      <c r="AF287" s="140">
        <f>+_xlfn.XLOOKUP(PROYECTOS2[[#This Row],[MUNICIPIO]],'4.CAP_ENDMNT'!B:B,'4.CAP_ENDMNT'!M:M,0,0,1)</f>
        <v>4838694940.1675997</v>
      </c>
      <c r="AG287" s="134">
        <f>+_xlfn.XLOOKUP(PROYECTOS2[[#This Row],[MUNICIPIO]],'4.CAP_ENDMNT'!B:B,'4.CAP_ENDMNT'!N:N,0,0,1)</f>
        <v>1</v>
      </c>
      <c r="AH287" s="134">
        <f>+_xlfn.XLOOKUP(PROYECTOS2[[#This Row],[MUNICIPIO]],'4.CAP_ENDMNT'!B:B,'4.CAP_ENDMNT'!O:O,0,0,1)</f>
        <v>0.53402239411083863</v>
      </c>
      <c r="AI287" s="134">
        <f>+_xlfn.XLOOKUP(PROYECTOS2[[#This Row],[MUNICIPIO]],'4.CAP_ENDMNT'!B:B,'4.CAP_ENDMNT'!P:P,0,0,1)</f>
        <v>0.8</v>
      </c>
      <c r="AJ287" s="44" t="str">
        <f>+_xlfn.XLOOKUP(PROYECTOS2[[#This Row],[MUNICIPIO]],'4.CAP_ENDMNT'!B:B,'4.CAP_ENDMNT'!Q:Q,0,0,1)</f>
        <v>Cumple</v>
      </c>
    </row>
    <row r="288" spans="1:36">
      <c r="A288" s="44">
        <v>311</v>
      </c>
      <c r="B288" s="37" t="s">
        <v>610</v>
      </c>
      <c r="C288" s="118">
        <v>45747</v>
      </c>
      <c r="D288" s="46" t="s">
        <v>103</v>
      </c>
      <c r="E288" s="47" t="str">
        <f>+_xlfn.XLOOKUP(PROYECTOS2[[#This Row],[MUNICIPIO]],MUNICIPIOS!A:A,MUNICIPIOS!E:E,0,0,1)</f>
        <v>Oriente</v>
      </c>
      <c r="F288" s="44" t="e" cm="1">
        <f t="array" ref="F288">+_xlfn.XLOOKUP(PROYECTOS2[[#This Row],[MUNICIPIO]],Table1[Municipio],MUNICIPIOS!F:F,0,0,1)</f>
        <v>#VALUE!</v>
      </c>
      <c r="G288" s="44" t="str">
        <f>+LOOKUP(PROYECTOS2[[#This Row],[MUNICIPIO]],Table1[Municipio],Table1[Latitud])</f>
        <v>6,394348</v>
      </c>
      <c r="H288" s="44">
        <f>+LOOKUP(PROYECTOS2[[#This Row],[MUNICIPIO]],Table1[Municipio],Table1[PDET])</f>
        <v>0</v>
      </c>
      <c r="I288" s="44">
        <f>+LOOKUP(PROYECTOS2[[#This Row],[MUNICIPIO]],Table1[Municipio],Table1[ZOMAC])</f>
        <v>1</v>
      </c>
      <c r="J288" s="3" t="str" cm="1">
        <f t="array" ref="J288">_xlfn.TEXTJOIN(", ", TRUE, IF(radicados[ID PROYECTOS]=A288, radicados[RADICADO], ""))</f>
        <v/>
      </c>
      <c r="K288" s="45">
        <v>1</v>
      </c>
      <c r="L288" s="45"/>
      <c r="M288" s="43"/>
      <c r="N288" s="48">
        <v>400000000</v>
      </c>
      <c r="O288" s="48"/>
      <c r="P288" s="48"/>
      <c r="Q288" s="148" t="s">
        <v>1067</v>
      </c>
      <c r="R288" s="34" t="s">
        <v>407</v>
      </c>
      <c r="S288" s="40" t="s">
        <v>397</v>
      </c>
      <c r="T288" s="40" t="s">
        <v>56</v>
      </c>
      <c r="U288" s="37" t="s">
        <v>541</v>
      </c>
      <c r="V288" s="44">
        <f>+_xlfn.XLOOKUP(PROYECTOS2[[#This Row],[MUNICIPIO]],'4.CAP_ENDMNT'!B:B,'4.CAP_ENDMNT'!C:C,0,0,1)</f>
        <v>6</v>
      </c>
      <c r="W288" s="139">
        <f>+_xlfn.XLOOKUP(PROYECTOS2[[#This Row],[MUNICIPIO]],'4.CAP_ENDMNT'!B:B,'4.CAP_ENDMNT'!D:D,0,0,1)</f>
        <v>8725724060.9459991</v>
      </c>
      <c r="X288" s="140">
        <f>+_xlfn.XLOOKUP(PROYECTOS2[[#This Row],[MUNICIPIO]],'4.CAP_ENDMNT'!B:B,'4.CAP_ENDMNT'!E:E,0,0,1)</f>
        <v>1935290211.05</v>
      </c>
      <c r="Y288" s="140">
        <f>+_xlfn.XLOOKUP(PROYECTOS2[[#This Row],[MUNICIPIO]],'4.CAP_ENDMNT'!B:B,'4.CAP_ENDMNT'!F:F,0,0,1)</f>
        <v>6790433849.895999</v>
      </c>
      <c r="Z288" s="140">
        <f>+_xlfn.XLOOKUP(PROYECTOS2[[#This Row],[MUNICIPIO]],'4.CAP_ENDMNT'!B:B,'4.CAP_ENDMNT'!G:G,0,0,1)</f>
        <v>661232494</v>
      </c>
      <c r="AA288" s="140">
        <f>+_xlfn.XLOOKUP(PROYECTOS2[[#This Row],[MUNICIPIO]],'4.CAP_ENDMNT'!B:B,'4.CAP_ENDMNT'!H:H,0,0,1)</f>
        <v>0</v>
      </c>
      <c r="AB288" s="140">
        <f>+_xlfn.XLOOKUP(PROYECTOS2[[#This Row],[MUNICIPIO]],'4.CAP_ENDMNT'!B:B,'4.CAP_ENDMNT'!I:I,0,0,1)</f>
        <v>661232494</v>
      </c>
      <c r="AC288" s="134">
        <f>+_xlfn.XLOOKUP(PROYECTOS2[[#This Row],[MUNICIPIO]],'4.CAP_ENDMNT'!B:B,'4.CAP_ENDMNT'!J:J,0,0,1)</f>
        <v>7.5779670475657063E-2</v>
      </c>
      <c r="AD288" s="140">
        <f>+_xlfn.XLOOKUP(PROYECTOS2[[#This Row],[MUNICIPIO]],'4.CAP_ENDMNT'!B:B,'4.CAP_ENDMNT'!K:K,0,0,1)</f>
        <v>8064491566.9459991</v>
      </c>
      <c r="AE288" s="140">
        <f>+_xlfn.XLOOKUP(PROYECTOS2[[#This Row],[MUNICIPIO]],'4.CAP_ENDMNT'!B:B,'4.CAP_ENDMNT'!L:L,0,0,1)</f>
        <v>6451593253.5567999</v>
      </c>
      <c r="AF288" s="140">
        <f>+_xlfn.XLOOKUP(PROYECTOS2[[#This Row],[MUNICIPIO]],'4.CAP_ENDMNT'!B:B,'4.CAP_ENDMNT'!M:M,0,0,1)</f>
        <v>4838694940.1675997</v>
      </c>
      <c r="AG288" s="134">
        <f>+_xlfn.XLOOKUP(PROYECTOS2[[#This Row],[MUNICIPIO]],'4.CAP_ENDMNT'!B:B,'4.CAP_ENDMNT'!N:N,0,0,1)</f>
        <v>1</v>
      </c>
      <c r="AH288" s="134">
        <f>+_xlfn.XLOOKUP(PROYECTOS2[[#This Row],[MUNICIPIO]],'4.CAP_ENDMNT'!B:B,'4.CAP_ENDMNT'!O:O,0,0,1)</f>
        <v>0.53402239411083863</v>
      </c>
      <c r="AI288" s="134">
        <f>+_xlfn.XLOOKUP(PROYECTOS2[[#This Row],[MUNICIPIO]],'4.CAP_ENDMNT'!B:B,'4.CAP_ENDMNT'!P:P,0,0,1)</f>
        <v>0.8</v>
      </c>
      <c r="AJ288" s="44" t="str">
        <f>+_xlfn.XLOOKUP(PROYECTOS2[[#This Row],[MUNICIPIO]],'4.CAP_ENDMNT'!B:B,'4.CAP_ENDMNT'!Q:Q,0,0,1)</f>
        <v>Cumple</v>
      </c>
    </row>
    <row r="289" spans="1:36">
      <c r="A289" s="44">
        <v>312</v>
      </c>
      <c r="B289" s="37" t="s">
        <v>611</v>
      </c>
      <c r="C289" s="118">
        <v>45747</v>
      </c>
      <c r="D289" s="46" t="s">
        <v>103</v>
      </c>
      <c r="E289" s="47" t="str">
        <f>+_xlfn.XLOOKUP(PROYECTOS2[[#This Row],[MUNICIPIO]],MUNICIPIOS!A:A,MUNICIPIOS!E:E,0,0,1)</f>
        <v>Oriente</v>
      </c>
      <c r="F289" s="44" t="e" cm="1">
        <f t="array" ref="F289">+_xlfn.XLOOKUP(PROYECTOS2[[#This Row],[MUNICIPIO]],Table1[Municipio],MUNICIPIOS!F:F,0,0,1)</f>
        <v>#VALUE!</v>
      </c>
      <c r="G289" s="44" t="str">
        <f>+LOOKUP(PROYECTOS2[[#This Row],[MUNICIPIO]],Table1[Municipio],Table1[Latitud])</f>
        <v>6,394348</v>
      </c>
      <c r="H289" s="44">
        <f>+LOOKUP(PROYECTOS2[[#This Row],[MUNICIPIO]],Table1[Municipio],Table1[PDET])</f>
        <v>0</v>
      </c>
      <c r="I289" s="44">
        <f>+LOOKUP(PROYECTOS2[[#This Row],[MUNICIPIO]],Table1[Municipio],Table1[ZOMAC])</f>
        <v>1</v>
      </c>
      <c r="J289" s="3" t="str" cm="1">
        <f t="array" ref="J289">_xlfn.TEXTJOIN(", ", TRUE, IF(radicados[ID PROYECTOS]=A289, radicados[RADICADO], ""))</f>
        <v/>
      </c>
      <c r="K289" s="45">
        <v>1</v>
      </c>
      <c r="L289" s="45"/>
      <c r="M289" s="43"/>
      <c r="N289" s="48">
        <v>605000000</v>
      </c>
      <c r="O289" s="48"/>
      <c r="P289" s="48"/>
      <c r="Q289" s="148" t="s">
        <v>1067</v>
      </c>
      <c r="R289" s="34" t="s">
        <v>407</v>
      </c>
      <c r="S289" s="40" t="s">
        <v>397</v>
      </c>
      <c r="T289" s="40" t="s">
        <v>56</v>
      </c>
      <c r="U289" s="37" t="s">
        <v>541</v>
      </c>
      <c r="V289" s="44">
        <f>+_xlfn.XLOOKUP(PROYECTOS2[[#This Row],[MUNICIPIO]],'4.CAP_ENDMNT'!B:B,'4.CAP_ENDMNT'!C:C,0,0,1)</f>
        <v>6</v>
      </c>
      <c r="W289" s="139">
        <f>+_xlfn.XLOOKUP(PROYECTOS2[[#This Row],[MUNICIPIO]],'4.CAP_ENDMNT'!B:B,'4.CAP_ENDMNT'!D:D,0,0,1)</f>
        <v>8725724060.9459991</v>
      </c>
      <c r="X289" s="140">
        <f>+_xlfn.XLOOKUP(PROYECTOS2[[#This Row],[MUNICIPIO]],'4.CAP_ENDMNT'!B:B,'4.CAP_ENDMNT'!E:E,0,0,1)</f>
        <v>1935290211.05</v>
      </c>
      <c r="Y289" s="140">
        <f>+_xlfn.XLOOKUP(PROYECTOS2[[#This Row],[MUNICIPIO]],'4.CAP_ENDMNT'!B:B,'4.CAP_ENDMNT'!F:F,0,0,1)</f>
        <v>6790433849.895999</v>
      </c>
      <c r="Z289" s="140">
        <f>+_xlfn.XLOOKUP(PROYECTOS2[[#This Row],[MUNICIPIO]],'4.CAP_ENDMNT'!B:B,'4.CAP_ENDMNT'!G:G,0,0,1)</f>
        <v>661232494</v>
      </c>
      <c r="AA289" s="140">
        <f>+_xlfn.XLOOKUP(PROYECTOS2[[#This Row],[MUNICIPIO]],'4.CAP_ENDMNT'!B:B,'4.CAP_ENDMNT'!H:H,0,0,1)</f>
        <v>0</v>
      </c>
      <c r="AB289" s="140">
        <f>+_xlfn.XLOOKUP(PROYECTOS2[[#This Row],[MUNICIPIO]],'4.CAP_ENDMNT'!B:B,'4.CAP_ENDMNT'!I:I,0,0,1)</f>
        <v>661232494</v>
      </c>
      <c r="AC289" s="134">
        <f>+_xlfn.XLOOKUP(PROYECTOS2[[#This Row],[MUNICIPIO]],'4.CAP_ENDMNT'!B:B,'4.CAP_ENDMNT'!J:J,0,0,1)</f>
        <v>7.5779670475657063E-2</v>
      </c>
      <c r="AD289" s="140">
        <f>+_xlfn.XLOOKUP(PROYECTOS2[[#This Row],[MUNICIPIO]],'4.CAP_ENDMNT'!B:B,'4.CAP_ENDMNT'!K:K,0,0,1)</f>
        <v>8064491566.9459991</v>
      </c>
      <c r="AE289" s="140">
        <f>+_xlfn.XLOOKUP(PROYECTOS2[[#This Row],[MUNICIPIO]],'4.CAP_ENDMNT'!B:B,'4.CAP_ENDMNT'!L:L,0,0,1)</f>
        <v>6451593253.5567999</v>
      </c>
      <c r="AF289" s="140">
        <f>+_xlfn.XLOOKUP(PROYECTOS2[[#This Row],[MUNICIPIO]],'4.CAP_ENDMNT'!B:B,'4.CAP_ENDMNT'!M:M,0,0,1)</f>
        <v>4838694940.1675997</v>
      </c>
      <c r="AG289" s="134">
        <f>+_xlfn.XLOOKUP(PROYECTOS2[[#This Row],[MUNICIPIO]],'4.CAP_ENDMNT'!B:B,'4.CAP_ENDMNT'!N:N,0,0,1)</f>
        <v>1</v>
      </c>
      <c r="AH289" s="134">
        <f>+_xlfn.XLOOKUP(PROYECTOS2[[#This Row],[MUNICIPIO]],'4.CAP_ENDMNT'!B:B,'4.CAP_ENDMNT'!O:O,0,0,1)</f>
        <v>0.53402239411083863</v>
      </c>
      <c r="AI289" s="134">
        <f>+_xlfn.XLOOKUP(PROYECTOS2[[#This Row],[MUNICIPIO]],'4.CAP_ENDMNT'!B:B,'4.CAP_ENDMNT'!P:P,0,0,1)</f>
        <v>0.8</v>
      </c>
      <c r="AJ289" s="44" t="str">
        <f>+_xlfn.XLOOKUP(PROYECTOS2[[#This Row],[MUNICIPIO]],'4.CAP_ENDMNT'!B:B,'4.CAP_ENDMNT'!Q:Q,0,0,1)</f>
        <v>Cumple</v>
      </c>
    </row>
    <row r="290" spans="1:36">
      <c r="A290" s="44">
        <v>313</v>
      </c>
      <c r="B290" s="37" t="s">
        <v>612</v>
      </c>
      <c r="C290" s="118">
        <v>45747</v>
      </c>
      <c r="D290" s="46" t="s">
        <v>327</v>
      </c>
      <c r="E290" s="47" t="str">
        <f>+_xlfn.XLOOKUP(PROYECTOS2[[#This Row],[MUNICIPIO]],MUNICIPIOS!A:A,MUNICIPIOS!E:E,0,0,1)</f>
        <v>Nordeste</v>
      </c>
      <c r="F290" s="44" t="e" cm="1">
        <f t="array" ref="F290">+_xlfn.XLOOKUP(PROYECTOS2[[#This Row],[MUNICIPIO]],Table1[Municipio],MUNICIPIOS!F:F,0,0,1)</f>
        <v>#VALUE!</v>
      </c>
      <c r="G290" s="44" t="str">
        <f>+LOOKUP(PROYECTOS2[[#This Row],[MUNICIPIO]],Table1[Municipio],Table1[Latitud])</f>
        <v>6,149903</v>
      </c>
      <c r="H290" s="44">
        <f>+LOOKUP(PROYECTOS2[[#This Row],[MUNICIPIO]],Table1[Municipio],Table1[PDET])</f>
        <v>0</v>
      </c>
      <c r="I290" s="44">
        <f>+LOOKUP(PROYECTOS2[[#This Row],[MUNICIPIO]],Table1[Municipio],Table1[ZOMAC])</f>
        <v>0</v>
      </c>
      <c r="J290" s="3" t="str" cm="1">
        <f t="array" ref="J290">_xlfn.TEXTJOIN(", ", TRUE, IF(radicados[ID PROYECTOS]=A290, radicados[RADICADO], ""))</f>
        <v/>
      </c>
      <c r="K290" s="45">
        <v>1</v>
      </c>
      <c r="L290" s="45"/>
      <c r="M290" s="43"/>
      <c r="N290" s="48">
        <v>390000000</v>
      </c>
      <c r="O290" s="48"/>
      <c r="P290" s="48"/>
      <c r="Q290" s="148" t="s">
        <v>1067</v>
      </c>
      <c r="R290" s="34" t="s">
        <v>407</v>
      </c>
      <c r="S290" s="40" t="s">
        <v>397</v>
      </c>
      <c r="T290" s="40" t="s">
        <v>56</v>
      </c>
      <c r="U290" s="37" t="s">
        <v>541</v>
      </c>
      <c r="V290" s="44">
        <f>+_xlfn.XLOOKUP(PROYECTOS2[[#This Row],[MUNICIPIO]],'4.CAP_ENDMNT'!B:B,'4.CAP_ENDMNT'!C:C,0,0,1)</f>
        <v>6</v>
      </c>
      <c r="W290" s="139">
        <f>+_xlfn.XLOOKUP(PROYECTOS2[[#This Row],[MUNICIPIO]],'4.CAP_ENDMNT'!B:B,'4.CAP_ENDMNT'!D:D,0,0,1)</f>
        <v>13645854382.4415</v>
      </c>
      <c r="X290" s="140">
        <f>+_xlfn.XLOOKUP(PROYECTOS2[[#This Row],[MUNICIPIO]],'4.CAP_ENDMNT'!B:B,'4.CAP_ENDMNT'!E:E,0,0,1)</f>
        <v>5036095672.2200003</v>
      </c>
      <c r="Y290" s="140">
        <f>+_xlfn.XLOOKUP(PROYECTOS2[[#This Row],[MUNICIPIO]],'4.CAP_ENDMNT'!B:B,'4.CAP_ENDMNT'!F:F,0,0,1)</f>
        <v>8609758710.2215004</v>
      </c>
      <c r="Z290" s="140">
        <f>+_xlfn.XLOOKUP(PROYECTOS2[[#This Row],[MUNICIPIO]],'4.CAP_ENDMNT'!B:B,'4.CAP_ENDMNT'!G:G,0,0,1)</f>
        <v>2357809963</v>
      </c>
      <c r="AA290" s="140">
        <f>+_xlfn.XLOOKUP(PROYECTOS2[[#This Row],[MUNICIPIO]],'4.CAP_ENDMNT'!B:B,'4.CAP_ENDMNT'!H:H,0,0,1)</f>
        <v>1093248488</v>
      </c>
      <c r="AB290" s="140">
        <f>+_xlfn.XLOOKUP(PROYECTOS2[[#This Row],[MUNICIPIO]],'4.CAP_ENDMNT'!B:B,'4.CAP_ENDMNT'!I:I,0,0,1)</f>
        <v>3451058451</v>
      </c>
      <c r="AC290" s="134">
        <f>+_xlfn.XLOOKUP(PROYECTOS2[[#This Row],[MUNICIPIO]],'4.CAP_ENDMNT'!B:B,'4.CAP_ENDMNT'!J:J,0,0,1)</f>
        <v>0.25290160324739891</v>
      </c>
      <c r="AD290" s="140">
        <f>+_xlfn.XLOOKUP(PROYECTOS2[[#This Row],[MUNICIPIO]],'4.CAP_ENDMNT'!B:B,'4.CAP_ENDMNT'!K:K,0,0,1)</f>
        <v>10194795931.4415</v>
      </c>
      <c r="AE290" s="140">
        <f>+_xlfn.XLOOKUP(PROYECTOS2[[#This Row],[MUNICIPIO]],'4.CAP_ENDMNT'!B:B,'4.CAP_ENDMNT'!L:L,0,0,1)</f>
        <v>8155836745.1532001</v>
      </c>
      <c r="AF290" s="140">
        <f>+_xlfn.XLOOKUP(PROYECTOS2[[#This Row],[MUNICIPIO]],'4.CAP_ENDMNT'!B:B,'4.CAP_ENDMNT'!M:M,0,0,1)</f>
        <v>6116877558.8648996</v>
      </c>
      <c r="AG290" s="134">
        <f>+_xlfn.XLOOKUP(PROYECTOS2[[#This Row],[MUNICIPIO]],'4.CAP_ENDMNT'!B:B,'4.CAP_ENDMNT'!N:N,0,0,1)</f>
        <v>0.68321356954032075</v>
      </c>
      <c r="AH290" s="134">
        <f>+_xlfn.XLOOKUP(PROYECTOS2[[#This Row],[MUNICIPIO]],'4.CAP_ENDMNT'!B:B,'4.CAP_ENDMNT'!O:O,0,0,1)</f>
        <v>0.58815143933117542</v>
      </c>
      <c r="AI290" s="134">
        <f>+_xlfn.XLOOKUP(PROYECTOS2[[#This Row],[MUNICIPIO]],'4.CAP_ENDMNT'!B:B,'4.CAP_ENDMNT'!P:P,0,0,1)</f>
        <v>0.8</v>
      </c>
      <c r="AJ290" s="44" t="str">
        <f>+_xlfn.XLOOKUP(PROYECTOS2[[#This Row],[MUNICIPIO]],'4.CAP_ENDMNT'!B:B,'4.CAP_ENDMNT'!Q:Q,0,0,1)</f>
        <v>Cumple</v>
      </c>
    </row>
    <row r="291" spans="1:36">
      <c r="A291" s="44">
        <v>314</v>
      </c>
      <c r="B291" s="37" t="s">
        <v>613</v>
      </c>
      <c r="C291" s="118">
        <v>45747</v>
      </c>
      <c r="D291" s="46" t="s">
        <v>70</v>
      </c>
      <c r="E291" s="47" t="str">
        <f>+_xlfn.XLOOKUP(PROYECTOS2[[#This Row],[MUNICIPIO]],MUNICIPIOS!A:A,MUNICIPIOS!E:E,0,0,1)</f>
        <v>Oriente</v>
      </c>
      <c r="F291" s="44" t="e" cm="1">
        <f t="array" ref="F291">+_xlfn.XLOOKUP(PROYECTOS2[[#This Row],[MUNICIPIO]],Table1[Municipio],MUNICIPIOS!F:F,0,0,1)</f>
        <v>#VALUE!</v>
      </c>
      <c r="G291" s="44" t="e">
        <f>+LOOKUP(PROYECTOS2[[#This Row],[MUNICIPIO]],Table1[Municipio],Table1[Latitud])</f>
        <v>#N/A</v>
      </c>
      <c r="H291" s="44" t="e">
        <f>+LOOKUP(PROYECTOS2[[#This Row],[MUNICIPIO]],Table1[Municipio],Table1[PDET])</f>
        <v>#N/A</v>
      </c>
      <c r="I291" s="44" t="e">
        <f>+LOOKUP(PROYECTOS2[[#This Row],[MUNICIPIO]],Table1[Municipio],Table1[ZOMAC])</f>
        <v>#N/A</v>
      </c>
      <c r="J291" s="3" t="str" cm="1">
        <f t="array" ref="J291">_xlfn.TEXTJOIN(", ", TRUE, IF(radicados[ID PROYECTOS]=A291, radicados[RADICADO], ""))</f>
        <v/>
      </c>
      <c r="K291" s="45">
        <v>1</v>
      </c>
      <c r="L291" s="45"/>
      <c r="M291" s="43"/>
      <c r="N291" s="48">
        <v>170000000</v>
      </c>
      <c r="O291" s="48"/>
      <c r="P291" s="48"/>
      <c r="Q291" s="148" t="s">
        <v>1067</v>
      </c>
      <c r="R291" s="34" t="s">
        <v>407</v>
      </c>
      <c r="S291" s="40" t="s">
        <v>397</v>
      </c>
      <c r="T291" s="40" t="s">
        <v>56</v>
      </c>
      <c r="U291" s="37" t="s">
        <v>541</v>
      </c>
      <c r="V291" s="44">
        <f>+_xlfn.XLOOKUP(PROYECTOS2[[#This Row],[MUNICIPIO]],'4.CAP_ENDMNT'!B:B,'4.CAP_ENDMNT'!C:C,0,0,1)</f>
        <v>6</v>
      </c>
      <c r="W291" s="139">
        <f>+_xlfn.XLOOKUP(PROYECTOS2[[#This Row],[MUNICIPIO]],'4.CAP_ENDMNT'!B:B,'4.CAP_ENDMNT'!D:D,0,0,1)</f>
        <v>8362831920.7600002</v>
      </c>
      <c r="X291" s="140">
        <f>+_xlfn.XLOOKUP(PROYECTOS2[[#This Row],[MUNICIPIO]],'4.CAP_ENDMNT'!B:B,'4.CAP_ENDMNT'!E:E,0,0,1)</f>
        <v>2199279418.0799999</v>
      </c>
      <c r="Y291" s="140">
        <f>+_xlfn.XLOOKUP(PROYECTOS2[[#This Row],[MUNICIPIO]],'4.CAP_ENDMNT'!B:B,'4.CAP_ENDMNT'!F:F,0,0,1)</f>
        <v>6163552502.6800003</v>
      </c>
      <c r="Z291" s="140">
        <f>+_xlfn.XLOOKUP(PROYECTOS2[[#This Row],[MUNICIPIO]],'4.CAP_ENDMNT'!B:B,'4.CAP_ENDMNT'!G:G,0,0,1)</f>
        <v>284104325</v>
      </c>
      <c r="AA291" s="140">
        <f>+_xlfn.XLOOKUP(PROYECTOS2[[#This Row],[MUNICIPIO]],'4.CAP_ENDMNT'!B:B,'4.CAP_ENDMNT'!H:H,0,0,1)</f>
        <v>209000000</v>
      </c>
      <c r="AB291" s="140">
        <f>+_xlfn.XLOOKUP(PROYECTOS2[[#This Row],[MUNICIPIO]],'4.CAP_ENDMNT'!B:B,'4.CAP_ENDMNT'!I:I,0,0,1)</f>
        <v>493104325</v>
      </c>
      <c r="AC291" s="134">
        <f>+_xlfn.XLOOKUP(PROYECTOS2[[#This Row],[MUNICIPIO]],'4.CAP_ENDMNT'!B:B,'4.CAP_ENDMNT'!J:J,0,0,1)</f>
        <v>5.8963797152961017E-2</v>
      </c>
      <c r="AD291" s="140">
        <f>+_xlfn.XLOOKUP(PROYECTOS2[[#This Row],[MUNICIPIO]],'4.CAP_ENDMNT'!B:B,'4.CAP_ENDMNT'!K:K,0,0,1)</f>
        <v>7869727595.7600002</v>
      </c>
      <c r="AE291" s="140">
        <f>+_xlfn.XLOOKUP(PROYECTOS2[[#This Row],[MUNICIPIO]],'4.CAP_ENDMNT'!B:B,'4.CAP_ENDMNT'!L:L,0,0,1)</f>
        <v>6295782076.6080008</v>
      </c>
      <c r="AF291" s="140">
        <f>+_xlfn.XLOOKUP(PROYECTOS2[[#This Row],[MUNICIPIO]],'4.CAP_ENDMNT'!B:B,'4.CAP_ENDMNT'!M:M,0,0,1)</f>
        <v>4721836557.4560003</v>
      </c>
      <c r="AG291" s="134">
        <f>+_xlfn.XLOOKUP(PROYECTOS2[[#This Row],[MUNICIPIO]],'4.CAP_ENDMNT'!B:B,'4.CAP_ENDMNT'!N:N,0,0,1)</f>
        <v>0.57615459973911198</v>
      </c>
      <c r="AH291" s="134">
        <f>+_xlfn.XLOOKUP(PROYECTOS2[[#This Row],[MUNICIPIO]],'4.CAP_ENDMNT'!B:B,'4.CAP_ENDMNT'!O:O,0,0,1)</f>
        <v>0.61308928502962989</v>
      </c>
      <c r="AI291" s="134">
        <f>+_xlfn.XLOOKUP(PROYECTOS2[[#This Row],[MUNICIPIO]],'4.CAP_ENDMNT'!B:B,'4.CAP_ENDMNT'!P:P,0,0,1)</f>
        <v>0.8</v>
      </c>
      <c r="AJ291" s="44" t="str">
        <f>+_xlfn.XLOOKUP(PROYECTOS2[[#This Row],[MUNICIPIO]],'4.CAP_ENDMNT'!B:B,'4.CAP_ENDMNT'!Q:Q,0,0,1)</f>
        <v>Cumple</v>
      </c>
    </row>
    <row r="292" spans="1:36">
      <c r="A292" s="44">
        <v>315</v>
      </c>
      <c r="B292" s="37" t="s">
        <v>614</v>
      </c>
      <c r="C292" s="118">
        <v>45747</v>
      </c>
      <c r="D292" s="46" t="s">
        <v>70</v>
      </c>
      <c r="E292" s="47" t="str">
        <f>+_xlfn.XLOOKUP(PROYECTOS2[[#This Row],[MUNICIPIO]],MUNICIPIOS!A:A,MUNICIPIOS!E:E,0,0,1)</f>
        <v>Oriente</v>
      </c>
      <c r="F292" s="44" t="e" cm="1">
        <f t="array" ref="F292">+_xlfn.XLOOKUP(PROYECTOS2[[#This Row],[MUNICIPIO]],Table1[Municipio],MUNICIPIOS!F:F,0,0,1)</f>
        <v>#VALUE!</v>
      </c>
      <c r="G292" s="44" t="e">
        <f>+LOOKUP(PROYECTOS2[[#This Row],[MUNICIPIO]],Table1[Municipio],Table1[Latitud])</f>
        <v>#N/A</v>
      </c>
      <c r="H292" s="44" t="e">
        <f>+LOOKUP(PROYECTOS2[[#This Row],[MUNICIPIO]],Table1[Municipio],Table1[PDET])</f>
        <v>#N/A</v>
      </c>
      <c r="I292" s="44" t="e">
        <f>+LOOKUP(PROYECTOS2[[#This Row],[MUNICIPIO]],Table1[Municipio],Table1[ZOMAC])</f>
        <v>#N/A</v>
      </c>
      <c r="J292" s="3" t="str" cm="1">
        <f t="array" ref="J292">_xlfn.TEXTJOIN(", ", TRUE, IF(radicados[ID PROYECTOS]=A292, radicados[RADICADO], ""))</f>
        <v/>
      </c>
      <c r="K292" s="45">
        <v>1</v>
      </c>
      <c r="L292" s="45"/>
      <c r="M292" s="43"/>
      <c r="N292" s="48">
        <v>1220000000</v>
      </c>
      <c r="O292" s="48"/>
      <c r="P292" s="48"/>
      <c r="Q292" s="148" t="s">
        <v>1067</v>
      </c>
      <c r="R292" s="34" t="s">
        <v>407</v>
      </c>
      <c r="S292" s="40" t="s">
        <v>397</v>
      </c>
      <c r="T292" s="40" t="s">
        <v>56</v>
      </c>
      <c r="U292" s="37" t="s">
        <v>541</v>
      </c>
      <c r="V292" s="44">
        <f>+_xlfn.XLOOKUP(PROYECTOS2[[#This Row],[MUNICIPIO]],'4.CAP_ENDMNT'!B:B,'4.CAP_ENDMNT'!C:C,0,0,1)</f>
        <v>6</v>
      </c>
      <c r="W292" s="139">
        <f>+_xlfn.XLOOKUP(PROYECTOS2[[#This Row],[MUNICIPIO]],'4.CAP_ENDMNT'!B:B,'4.CAP_ENDMNT'!D:D,0,0,1)</f>
        <v>8362831920.7600002</v>
      </c>
      <c r="X292" s="140">
        <f>+_xlfn.XLOOKUP(PROYECTOS2[[#This Row],[MUNICIPIO]],'4.CAP_ENDMNT'!B:B,'4.CAP_ENDMNT'!E:E,0,0,1)</f>
        <v>2199279418.0799999</v>
      </c>
      <c r="Y292" s="140">
        <f>+_xlfn.XLOOKUP(PROYECTOS2[[#This Row],[MUNICIPIO]],'4.CAP_ENDMNT'!B:B,'4.CAP_ENDMNT'!F:F,0,0,1)</f>
        <v>6163552502.6800003</v>
      </c>
      <c r="Z292" s="140">
        <f>+_xlfn.XLOOKUP(PROYECTOS2[[#This Row],[MUNICIPIO]],'4.CAP_ENDMNT'!B:B,'4.CAP_ENDMNT'!G:G,0,0,1)</f>
        <v>284104325</v>
      </c>
      <c r="AA292" s="140">
        <f>+_xlfn.XLOOKUP(PROYECTOS2[[#This Row],[MUNICIPIO]],'4.CAP_ENDMNT'!B:B,'4.CAP_ENDMNT'!H:H,0,0,1)</f>
        <v>209000000</v>
      </c>
      <c r="AB292" s="140">
        <f>+_xlfn.XLOOKUP(PROYECTOS2[[#This Row],[MUNICIPIO]],'4.CAP_ENDMNT'!B:B,'4.CAP_ENDMNT'!I:I,0,0,1)</f>
        <v>493104325</v>
      </c>
      <c r="AC292" s="134">
        <f>+_xlfn.XLOOKUP(PROYECTOS2[[#This Row],[MUNICIPIO]],'4.CAP_ENDMNT'!B:B,'4.CAP_ENDMNT'!J:J,0,0,1)</f>
        <v>5.8963797152961017E-2</v>
      </c>
      <c r="AD292" s="140">
        <f>+_xlfn.XLOOKUP(PROYECTOS2[[#This Row],[MUNICIPIO]],'4.CAP_ENDMNT'!B:B,'4.CAP_ENDMNT'!K:K,0,0,1)</f>
        <v>7869727595.7600002</v>
      </c>
      <c r="AE292" s="140">
        <f>+_xlfn.XLOOKUP(PROYECTOS2[[#This Row],[MUNICIPIO]],'4.CAP_ENDMNT'!B:B,'4.CAP_ENDMNT'!L:L,0,0,1)</f>
        <v>6295782076.6080008</v>
      </c>
      <c r="AF292" s="140">
        <f>+_xlfn.XLOOKUP(PROYECTOS2[[#This Row],[MUNICIPIO]],'4.CAP_ENDMNT'!B:B,'4.CAP_ENDMNT'!M:M,0,0,1)</f>
        <v>4721836557.4560003</v>
      </c>
      <c r="AG292" s="134">
        <f>+_xlfn.XLOOKUP(PROYECTOS2[[#This Row],[MUNICIPIO]],'4.CAP_ENDMNT'!B:B,'4.CAP_ENDMNT'!N:N,0,0,1)</f>
        <v>0.57615459973911198</v>
      </c>
      <c r="AH292" s="134">
        <f>+_xlfn.XLOOKUP(PROYECTOS2[[#This Row],[MUNICIPIO]],'4.CAP_ENDMNT'!B:B,'4.CAP_ENDMNT'!O:O,0,0,1)</f>
        <v>0.61308928502962989</v>
      </c>
      <c r="AI292" s="134">
        <f>+_xlfn.XLOOKUP(PROYECTOS2[[#This Row],[MUNICIPIO]],'4.CAP_ENDMNT'!B:B,'4.CAP_ENDMNT'!P:P,0,0,1)</f>
        <v>0.8</v>
      </c>
      <c r="AJ292" s="44" t="str">
        <f>+_xlfn.XLOOKUP(PROYECTOS2[[#This Row],[MUNICIPIO]],'4.CAP_ENDMNT'!B:B,'4.CAP_ENDMNT'!Q:Q,0,0,1)</f>
        <v>Cumple</v>
      </c>
    </row>
    <row r="293" spans="1:36">
      <c r="A293" s="44">
        <v>316</v>
      </c>
      <c r="B293" s="37" t="s">
        <v>615</v>
      </c>
      <c r="C293" s="118">
        <v>45747</v>
      </c>
      <c r="D293" s="46" t="s">
        <v>616</v>
      </c>
      <c r="E293" s="47" t="str">
        <f>+_xlfn.XLOOKUP(PROYECTOS2[[#This Row],[MUNICIPIO]],MUNICIPIOS!A:A,MUNICIPIOS!E:E,0,0,1)</f>
        <v>Oriente</v>
      </c>
      <c r="F293" s="44" t="e" cm="1">
        <f t="array" ref="F293">+_xlfn.XLOOKUP(PROYECTOS2[[#This Row],[MUNICIPIO]],Table1[Municipio],MUNICIPIOS!F:F,0,0,1)</f>
        <v>#VALUE!</v>
      </c>
      <c r="G293" s="44" t="str">
        <f>+LOOKUP(PROYECTOS2[[#This Row],[MUNICIPIO]],Table1[Municipio],Table1[Latitud])</f>
        <v>6,246631</v>
      </c>
      <c r="H293" s="44">
        <f>+LOOKUP(PROYECTOS2[[#This Row],[MUNICIPIO]],Table1[Municipio],Table1[PDET])</f>
        <v>0</v>
      </c>
      <c r="I293" s="44">
        <f>+LOOKUP(PROYECTOS2[[#This Row],[MUNICIPIO]],Table1[Municipio],Table1[ZOMAC])</f>
        <v>0</v>
      </c>
      <c r="J293" s="3" t="str" cm="1">
        <f t="array" ref="J293">_xlfn.TEXTJOIN(", ", TRUE, IF(radicados[ID PROYECTOS]=A293, radicados[RADICADO], ""))</f>
        <v/>
      </c>
      <c r="K293" s="45">
        <v>1</v>
      </c>
      <c r="L293" s="45"/>
      <c r="M293" s="43"/>
      <c r="N293" s="48">
        <v>585000000</v>
      </c>
      <c r="O293" s="48"/>
      <c r="P293" s="48"/>
      <c r="Q293" s="148" t="s">
        <v>1067</v>
      </c>
      <c r="R293" s="34" t="s">
        <v>407</v>
      </c>
      <c r="S293" s="40" t="s">
        <v>397</v>
      </c>
      <c r="T293" s="40" t="s">
        <v>56</v>
      </c>
      <c r="U293" s="37" t="s">
        <v>541</v>
      </c>
      <c r="V293" s="44">
        <f>+_xlfn.XLOOKUP(PROYECTOS2[[#This Row],[MUNICIPIO]],'4.CAP_ENDMNT'!B:B,'4.CAP_ENDMNT'!C:C,0,0,1)</f>
        <v>6</v>
      </c>
      <c r="W293" s="139">
        <f>+_xlfn.XLOOKUP(PROYECTOS2[[#This Row],[MUNICIPIO]],'4.CAP_ENDMNT'!B:B,'4.CAP_ENDMNT'!D:D,0,0,1)</f>
        <v>8540444993.8640003</v>
      </c>
      <c r="X293" s="140">
        <f>+_xlfn.XLOOKUP(PROYECTOS2[[#This Row],[MUNICIPIO]],'4.CAP_ENDMNT'!B:B,'4.CAP_ENDMNT'!E:E,0,0,1)</f>
        <v>2695571158.3099999</v>
      </c>
      <c r="Y293" s="140">
        <f>+_xlfn.XLOOKUP(PROYECTOS2[[#This Row],[MUNICIPIO]],'4.CAP_ENDMNT'!B:B,'4.CAP_ENDMNT'!F:F,0,0,1)</f>
        <v>5844873835.5540009</v>
      </c>
      <c r="Z293" s="140">
        <f>+_xlfn.XLOOKUP(PROYECTOS2[[#This Row],[MUNICIPIO]],'4.CAP_ENDMNT'!B:B,'4.CAP_ENDMNT'!G:G,0,0,1)</f>
        <v>0</v>
      </c>
      <c r="AA293" s="140">
        <f>+_xlfn.XLOOKUP(PROYECTOS2[[#This Row],[MUNICIPIO]],'4.CAP_ENDMNT'!B:B,'4.CAP_ENDMNT'!H:H,0,0,1)</f>
        <v>0</v>
      </c>
      <c r="AB293" s="140">
        <f>+_xlfn.XLOOKUP(PROYECTOS2[[#This Row],[MUNICIPIO]],'4.CAP_ENDMNT'!B:B,'4.CAP_ENDMNT'!I:I,0,0,1)</f>
        <v>0</v>
      </c>
      <c r="AC293" s="134">
        <f>+_xlfn.XLOOKUP(PROYECTOS2[[#This Row],[MUNICIPIO]],'4.CAP_ENDMNT'!B:B,'4.CAP_ENDMNT'!J:J,0,0,1)</f>
        <v>0</v>
      </c>
      <c r="AD293" s="140">
        <f>+_xlfn.XLOOKUP(PROYECTOS2[[#This Row],[MUNICIPIO]],'4.CAP_ENDMNT'!B:B,'4.CAP_ENDMNT'!K:K,0,0,1)</f>
        <v>8540444993.8640003</v>
      </c>
      <c r="AE293" s="140">
        <f>+_xlfn.XLOOKUP(PROYECTOS2[[#This Row],[MUNICIPIO]],'4.CAP_ENDMNT'!B:B,'4.CAP_ENDMNT'!L:L,0,0,1)</f>
        <v>6832355995.0912008</v>
      </c>
      <c r="AF293" s="140">
        <f>+_xlfn.XLOOKUP(PROYECTOS2[[#This Row],[MUNICIPIO]],'4.CAP_ENDMNT'!B:B,'4.CAP_ENDMNT'!M:M,0,0,1)</f>
        <v>5124266996.3184004</v>
      </c>
      <c r="AG293" s="134">
        <f>+_xlfn.XLOOKUP(PROYECTOS2[[#This Row],[MUNICIPIO]],'4.CAP_ENDMNT'!B:B,'4.CAP_ENDMNT'!N:N,0,0,1)</f>
        <v>0</v>
      </c>
      <c r="AH293" s="134">
        <f>+_xlfn.XLOOKUP(PROYECTOS2[[#This Row],[MUNICIPIO]],'4.CAP_ENDMNT'!B:B,'4.CAP_ENDMNT'!O:O,0,0,1)</f>
        <v>0.54404764708917908</v>
      </c>
      <c r="AI293" s="134">
        <f>+_xlfn.XLOOKUP(PROYECTOS2[[#This Row],[MUNICIPIO]],'4.CAP_ENDMNT'!B:B,'4.CAP_ENDMNT'!P:P,0,0,1)</f>
        <v>0.8</v>
      </c>
      <c r="AJ293" s="44" t="str">
        <f>+_xlfn.XLOOKUP(PROYECTOS2[[#This Row],[MUNICIPIO]],'4.CAP_ENDMNT'!B:B,'4.CAP_ENDMNT'!Q:Q,0,0,1)</f>
        <v>Cumple</v>
      </c>
    </row>
    <row r="294" spans="1:36">
      <c r="A294" s="44">
        <v>317</v>
      </c>
      <c r="B294" s="37" t="s">
        <v>617</v>
      </c>
      <c r="C294" s="118">
        <v>45747</v>
      </c>
      <c r="D294" s="46" t="s">
        <v>113</v>
      </c>
      <c r="E294" s="47" t="str">
        <f>+_xlfn.XLOOKUP(PROYECTOS2[[#This Row],[MUNICIPIO]],MUNICIPIOS!A:A,MUNICIPIOS!E:E,0,0,1)</f>
        <v>Oriente</v>
      </c>
      <c r="F294" s="44" t="e" cm="1">
        <f t="array" ref="F294">+_xlfn.XLOOKUP(PROYECTOS2[[#This Row],[MUNICIPIO]],Table1[Municipio],MUNICIPIOS!F:F,0,0,1)</f>
        <v>#VALUE!</v>
      </c>
      <c r="G294" s="44" t="str">
        <f>+LOOKUP(PROYECTOS2[[#This Row],[MUNICIPIO]],Table1[Municipio],Table1[Latitud])</f>
        <v>6,149903</v>
      </c>
      <c r="H294" s="44">
        <f>+LOOKUP(PROYECTOS2[[#This Row],[MUNICIPIO]],Table1[Municipio],Table1[PDET])</f>
        <v>0</v>
      </c>
      <c r="I294" s="44">
        <f>+LOOKUP(PROYECTOS2[[#This Row],[MUNICIPIO]],Table1[Municipio],Table1[ZOMAC])</f>
        <v>0</v>
      </c>
      <c r="J294" s="3" t="str" cm="1">
        <f t="array" ref="J294">_xlfn.TEXTJOIN(", ", TRUE, IF(radicados[ID PROYECTOS]=A294, radicados[RADICADO], ""))</f>
        <v/>
      </c>
      <c r="K294" s="45">
        <v>1</v>
      </c>
      <c r="L294" s="45"/>
      <c r="M294" s="43"/>
      <c r="N294" s="48">
        <v>340000000</v>
      </c>
      <c r="O294" s="48"/>
      <c r="P294" s="48"/>
      <c r="Q294" s="148" t="s">
        <v>1067</v>
      </c>
      <c r="R294" s="34" t="s">
        <v>407</v>
      </c>
      <c r="S294" s="40" t="s">
        <v>397</v>
      </c>
      <c r="T294" s="40" t="s">
        <v>56</v>
      </c>
      <c r="U294" s="37" t="s">
        <v>541</v>
      </c>
      <c r="V294" s="44">
        <f>+_xlfn.XLOOKUP(PROYECTOS2[[#This Row],[MUNICIPIO]],'4.CAP_ENDMNT'!B:B,'4.CAP_ENDMNT'!C:C,0,0,1)</f>
        <v>6</v>
      </c>
      <c r="W294" s="139">
        <f>+_xlfn.XLOOKUP(PROYECTOS2[[#This Row],[MUNICIPIO]],'4.CAP_ENDMNT'!B:B,'4.CAP_ENDMNT'!D:D,0,0,1)</f>
        <v>7763487077.335</v>
      </c>
      <c r="X294" s="140">
        <f>+_xlfn.XLOOKUP(PROYECTOS2[[#This Row],[MUNICIPIO]],'4.CAP_ENDMNT'!B:B,'4.CAP_ENDMNT'!E:E,0,0,1)</f>
        <v>2329929022.3600001</v>
      </c>
      <c r="Y294" s="140">
        <f>+_xlfn.XLOOKUP(PROYECTOS2[[#This Row],[MUNICIPIO]],'4.CAP_ENDMNT'!B:B,'4.CAP_ENDMNT'!F:F,0,0,1)</f>
        <v>5433558054.9750004</v>
      </c>
      <c r="Z294" s="140">
        <f>+_xlfn.XLOOKUP(PROYECTOS2[[#This Row],[MUNICIPIO]],'4.CAP_ENDMNT'!B:B,'4.CAP_ENDMNT'!G:G,0,0,1)</f>
        <v>1217107364.4400001</v>
      </c>
      <c r="AA294" s="140">
        <f>+_xlfn.XLOOKUP(PROYECTOS2[[#This Row],[MUNICIPIO]],'4.CAP_ENDMNT'!B:B,'4.CAP_ENDMNT'!H:H,0,0,1)</f>
        <v>0</v>
      </c>
      <c r="AB294" s="140">
        <f>+_xlfn.XLOOKUP(PROYECTOS2[[#This Row],[MUNICIPIO]],'4.CAP_ENDMNT'!B:B,'4.CAP_ENDMNT'!I:I,0,0,1)</f>
        <v>1217107364.4400001</v>
      </c>
      <c r="AC294" s="134">
        <f>+_xlfn.XLOOKUP(PROYECTOS2[[#This Row],[MUNICIPIO]],'4.CAP_ENDMNT'!B:B,'4.CAP_ENDMNT'!J:J,0,0,1)</f>
        <v>0.15677328400446064</v>
      </c>
      <c r="AD294" s="140">
        <f>+_xlfn.XLOOKUP(PROYECTOS2[[#This Row],[MUNICIPIO]],'4.CAP_ENDMNT'!B:B,'4.CAP_ENDMNT'!K:K,0,0,1)</f>
        <v>6546379712.8950005</v>
      </c>
      <c r="AE294" s="140">
        <f>+_xlfn.XLOOKUP(PROYECTOS2[[#This Row],[MUNICIPIO]],'4.CAP_ENDMNT'!B:B,'4.CAP_ENDMNT'!L:L,0,0,1)</f>
        <v>5237103770.3160009</v>
      </c>
      <c r="AF294" s="140">
        <f>+_xlfn.XLOOKUP(PROYECTOS2[[#This Row],[MUNICIPIO]],'4.CAP_ENDMNT'!B:B,'4.CAP_ENDMNT'!M:M,0,0,1)</f>
        <v>3927827827.737</v>
      </c>
      <c r="AG294" s="134">
        <f>+_xlfn.XLOOKUP(PROYECTOS2[[#This Row],[MUNICIPIO]],'4.CAP_ENDMNT'!B:B,'4.CAP_ENDMNT'!N:N,0,0,1)</f>
        <v>1</v>
      </c>
      <c r="AH294" s="134">
        <f>+_xlfn.XLOOKUP(PROYECTOS2[[#This Row],[MUNICIPIO]],'4.CAP_ENDMNT'!B:B,'4.CAP_ENDMNT'!O:O,0,0,1)</f>
        <v>0.68141761997590633</v>
      </c>
      <c r="AI294" s="134">
        <f>+_xlfn.XLOOKUP(PROYECTOS2[[#This Row],[MUNICIPIO]],'4.CAP_ENDMNT'!B:B,'4.CAP_ENDMNT'!P:P,0,0,1)</f>
        <v>0.8</v>
      </c>
      <c r="AJ294" s="44" t="str">
        <f>+_xlfn.XLOOKUP(PROYECTOS2[[#This Row],[MUNICIPIO]],'4.CAP_ENDMNT'!B:B,'4.CAP_ENDMNT'!Q:Q,0,0,1)</f>
        <v>Cumple</v>
      </c>
    </row>
    <row r="295" spans="1:36">
      <c r="A295" s="44">
        <v>318</v>
      </c>
      <c r="B295" s="37" t="s">
        <v>618</v>
      </c>
      <c r="C295" s="118">
        <v>45747</v>
      </c>
      <c r="D295" s="46" t="s">
        <v>146</v>
      </c>
      <c r="E295" s="47" t="str">
        <f>+_xlfn.XLOOKUP(PROYECTOS2[[#This Row],[MUNICIPIO]],MUNICIPIOS!A:A,MUNICIPIOS!E:E,0,0,1)</f>
        <v>Suroeste</v>
      </c>
      <c r="F295" s="44" t="e" cm="1">
        <f t="array" ref="F295">+_xlfn.XLOOKUP(PROYECTOS2[[#This Row],[MUNICIPIO]],Table1[Municipio],MUNICIPIOS!F:F,0,0,1)</f>
        <v>#VALUE!</v>
      </c>
      <c r="G295" s="44" t="str">
        <f>+LOOKUP(PROYECTOS2[[#This Row],[MUNICIPIO]],Table1[Municipio],Table1[Latitud])</f>
        <v>6,149903</v>
      </c>
      <c r="H295" s="44">
        <f>+LOOKUP(PROYECTOS2[[#This Row],[MUNICIPIO]],Table1[Municipio],Table1[PDET])</f>
        <v>0</v>
      </c>
      <c r="I295" s="44">
        <f>+LOOKUP(PROYECTOS2[[#This Row],[MUNICIPIO]],Table1[Municipio],Table1[ZOMAC])</f>
        <v>0</v>
      </c>
      <c r="J295" s="3" t="str" cm="1">
        <f t="array" ref="J295">_xlfn.TEXTJOIN(", ", TRUE, IF(radicados[ID PROYECTOS]=A295, radicados[RADICADO], ""))</f>
        <v/>
      </c>
      <c r="K295" s="45">
        <v>1</v>
      </c>
      <c r="L295" s="45"/>
      <c r="M295" s="43"/>
      <c r="N295" s="48">
        <v>533022558</v>
      </c>
      <c r="O295" s="48"/>
      <c r="P295" s="48"/>
      <c r="Q295" s="148" t="s">
        <v>1067</v>
      </c>
      <c r="R295" s="34" t="s">
        <v>407</v>
      </c>
      <c r="S295" s="40" t="s">
        <v>397</v>
      </c>
      <c r="T295" s="40" t="s">
        <v>56</v>
      </c>
      <c r="U295" s="37" t="s">
        <v>541</v>
      </c>
      <c r="V295" s="44">
        <f>+_xlfn.XLOOKUP(PROYECTOS2[[#This Row],[MUNICIPIO]],'4.CAP_ENDMNT'!B:B,'4.CAP_ENDMNT'!C:C,0,0,1)</f>
        <v>6</v>
      </c>
      <c r="W295" s="139">
        <f>+_xlfn.XLOOKUP(PROYECTOS2[[#This Row],[MUNICIPIO]],'4.CAP_ENDMNT'!B:B,'4.CAP_ENDMNT'!D:D,0,0,1)</f>
        <v>11592686445.107998</v>
      </c>
      <c r="X295" s="140">
        <f>+_xlfn.XLOOKUP(PROYECTOS2[[#This Row],[MUNICIPIO]],'4.CAP_ENDMNT'!B:B,'4.CAP_ENDMNT'!E:E,0,0,1)</f>
        <v>5670743725.9899998</v>
      </c>
      <c r="Y295" s="140">
        <f>+_xlfn.XLOOKUP(PROYECTOS2[[#This Row],[MUNICIPIO]],'4.CAP_ENDMNT'!B:B,'4.CAP_ENDMNT'!F:F,0,0,1)</f>
        <v>5921942719.1179981</v>
      </c>
      <c r="Z295" s="140">
        <f>+_xlfn.XLOOKUP(PROYECTOS2[[#This Row],[MUNICIPIO]],'4.CAP_ENDMNT'!B:B,'4.CAP_ENDMNT'!G:G,0,0,1)</f>
        <v>1149558272.3800001</v>
      </c>
      <c r="AA295" s="140">
        <f>+_xlfn.XLOOKUP(PROYECTOS2[[#This Row],[MUNICIPIO]],'4.CAP_ENDMNT'!B:B,'4.CAP_ENDMNT'!H:H,0,0,1)</f>
        <v>1133660976</v>
      </c>
      <c r="AB295" s="140">
        <f>+_xlfn.XLOOKUP(PROYECTOS2[[#This Row],[MUNICIPIO]],'4.CAP_ENDMNT'!B:B,'4.CAP_ENDMNT'!I:I,0,0,1)</f>
        <v>2283219248.3800001</v>
      </c>
      <c r="AC295" s="134">
        <f>+_xlfn.XLOOKUP(PROYECTOS2[[#This Row],[MUNICIPIO]],'4.CAP_ENDMNT'!B:B,'4.CAP_ENDMNT'!J:J,0,0,1)</f>
        <v>0.19695342052001213</v>
      </c>
      <c r="AD295" s="140">
        <f>+_xlfn.XLOOKUP(PROYECTOS2[[#This Row],[MUNICIPIO]],'4.CAP_ENDMNT'!B:B,'4.CAP_ENDMNT'!K:K,0,0,1)</f>
        <v>9309467196.7279968</v>
      </c>
      <c r="AE295" s="140">
        <f>+_xlfn.XLOOKUP(PROYECTOS2[[#This Row],[MUNICIPIO]],'4.CAP_ENDMNT'!B:B,'4.CAP_ENDMNT'!L:L,0,0,1)</f>
        <v>7447573757.3823977</v>
      </c>
      <c r="AF295" s="140">
        <f>+_xlfn.XLOOKUP(PROYECTOS2[[#This Row],[MUNICIPIO]],'4.CAP_ENDMNT'!B:B,'4.CAP_ENDMNT'!M:M,0,0,1)</f>
        <v>5585680318.0367975</v>
      </c>
      <c r="AG295" s="134">
        <f>+_xlfn.XLOOKUP(PROYECTOS2[[#This Row],[MUNICIPIO]],'4.CAP_ENDMNT'!B:B,'4.CAP_ENDMNT'!N:N,0,0,1)</f>
        <v>0.50348133373334159</v>
      </c>
      <c r="AH295" s="134">
        <f>+_xlfn.XLOOKUP(PROYECTOS2[[#This Row],[MUNICIPIO]],'4.CAP_ENDMNT'!B:B,'4.CAP_ENDMNT'!O:O,0,0,1)</f>
        <v>0.69203788539600963</v>
      </c>
      <c r="AI295" s="134">
        <f>+_xlfn.XLOOKUP(PROYECTOS2[[#This Row],[MUNICIPIO]],'4.CAP_ENDMNT'!B:B,'4.CAP_ENDMNT'!P:P,0,0,1)</f>
        <v>0.8</v>
      </c>
      <c r="AJ295" s="44" t="str">
        <f>+_xlfn.XLOOKUP(PROYECTOS2[[#This Row],[MUNICIPIO]],'4.CAP_ENDMNT'!B:B,'4.CAP_ENDMNT'!Q:Q,0,0,1)</f>
        <v>Cumple</v>
      </c>
    </row>
    <row r="296" spans="1:36">
      <c r="A296" s="44">
        <v>319</v>
      </c>
      <c r="B296" s="37" t="s">
        <v>619</v>
      </c>
      <c r="C296" s="118">
        <v>45747</v>
      </c>
      <c r="D296" s="46" t="s">
        <v>337</v>
      </c>
      <c r="E296" s="47" t="str">
        <f>+_xlfn.XLOOKUP(PROYECTOS2[[#This Row],[MUNICIPIO]],MUNICIPIOS!A:A,MUNICIPIOS!E:E,0,0,1)</f>
        <v>Suroeste</v>
      </c>
      <c r="F296" s="44" t="e" cm="1">
        <f t="array" ref="F296">+_xlfn.XLOOKUP(PROYECTOS2[[#This Row],[MUNICIPIO]],Table1[Municipio],MUNICIPIOS!F:F,0,0,1)</f>
        <v>#VALUE!</v>
      </c>
      <c r="G296" s="44" t="str">
        <f>+LOOKUP(PROYECTOS2[[#This Row],[MUNICIPIO]],Table1[Municipio],Table1[Latitud])</f>
        <v>7,074703</v>
      </c>
      <c r="H296" s="44">
        <f>+LOOKUP(PROYECTOS2[[#This Row],[MUNICIPIO]],Table1[Municipio],Table1[PDET])</f>
        <v>1</v>
      </c>
      <c r="I296" s="44">
        <f>+LOOKUP(PROYECTOS2[[#This Row],[MUNICIPIO]],Table1[Municipio],Table1[ZOMAC])</f>
        <v>1</v>
      </c>
      <c r="J296" s="3" t="str" cm="1">
        <f t="array" ref="J296">_xlfn.TEXTJOIN(", ", TRUE, IF(radicados[ID PROYECTOS]=A296, radicados[RADICADO], ""))</f>
        <v/>
      </c>
      <c r="K296" s="45">
        <v>1</v>
      </c>
      <c r="L296" s="45"/>
      <c r="M296" s="43"/>
      <c r="N296" s="48">
        <v>1444706430</v>
      </c>
      <c r="O296" s="48"/>
      <c r="P296" s="48"/>
      <c r="Q296" s="148" t="s">
        <v>1067</v>
      </c>
      <c r="R296" s="34" t="s">
        <v>407</v>
      </c>
      <c r="S296" s="40" t="s">
        <v>397</v>
      </c>
      <c r="T296" s="40" t="s">
        <v>56</v>
      </c>
      <c r="U296" s="37" t="s">
        <v>541</v>
      </c>
      <c r="V296" s="44">
        <f>+_xlfn.XLOOKUP(PROYECTOS2[[#This Row],[MUNICIPIO]],'4.CAP_ENDMNT'!B:B,'4.CAP_ENDMNT'!C:C,0,0,1)</f>
        <v>6</v>
      </c>
      <c r="W296" s="139">
        <f>+_xlfn.XLOOKUP(PROYECTOS2[[#This Row],[MUNICIPIO]],'4.CAP_ENDMNT'!B:B,'4.CAP_ENDMNT'!D:D,0,0,1)</f>
        <v>12058979368.9545</v>
      </c>
      <c r="X296" s="140">
        <f>+_xlfn.XLOOKUP(PROYECTOS2[[#This Row],[MUNICIPIO]],'4.CAP_ENDMNT'!B:B,'4.CAP_ENDMNT'!E:E,0,0,1)</f>
        <v>3567680920.52</v>
      </c>
      <c r="Y296" s="140">
        <f>+_xlfn.XLOOKUP(PROYECTOS2[[#This Row],[MUNICIPIO]],'4.CAP_ENDMNT'!B:B,'4.CAP_ENDMNT'!F:F,0,0,1)</f>
        <v>8491298448.4344997</v>
      </c>
      <c r="Z296" s="140">
        <f>+_xlfn.XLOOKUP(PROYECTOS2[[#This Row],[MUNICIPIO]],'4.CAP_ENDMNT'!B:B,'4.CAP_ENDMNT'!G:G,0,0,1)</f>
        <v>914830553</v>
      </c>
      <c r="AA296" s="140">
        <f>+_xlfn.XLOOKUP(PROYECTOS2[[#This Row],[MUNICIPIO]],'4.CAP_ENDMNT'!B:B,'4.CAP_ENDMNT'!H:H,0,0,1)</f>
        <v>0</v>
      </c>
      <c r="AB296" s="140">
        <f>+_xlfn.XLOOKUP(PROYECTOS2[[#This Row],[MUNICIPIO]],'4.CAP_ENDMNT'!B:B,'4.CAP_ENDMNT'!I:I,0,0,1)</f>
        <v>914830553</v>
      </c>
      <c r="AC296" s="134">
        <f>+_xlfn.XLOOKUP(PROYECTOS2[[#This Row],[MUNICIPIO]],'4.CAP_ENDMNT'!B:B,'4.CAP_ENDMNT'!J:J,0,0,1)</f>
        <v>7.586301667910679E-2</v>
      </c>
      <c r="AD296" s="140">
        <f>+_xlfn.XLOOKUP(PROYECTOS2[[#This Row],[MUNICIPIO]],'4.CAP_ENDMNT'!B:B,'4.CAP_ENDMNT'!K:K,0,0,1)</f>
        <v>11144148815.9545</v>
      </c>
      <c r="AE296" s="140">
        <f>+_xlfn.XLOOKUP(PROYECTOS2[[#This Row],[MUNICIPIO]],'4.CAP_ENDMNT'!B:B,'4.CAP_ENDMNT'!L:L,0,0,1)</f>
        <v>8915319052.7636013</v>
      </c>
      <c r="AF296" s="140">
        <f>+_xlfn.XLOOKUP(PROYECTOS2[[#This Row],[MUNICIPIO]],'4.CAP_ENDMNT'!B:B,'4.CAP_ENDMNT'!M:M,0,0,1)</f>
        <v>6686489289.5726995</v>
      </c>
      <c r="AG296" s="134">
        <f>+_xlfn.XLOOKUP(PROYECTOS2[[#This Row],[MUNICIPIO]],'4.CAP_ENDMNT'!B:B,'4.CAP_ENDMNT'!N:N,0,0,1)</f>
        <v>1</v>
      </c>
      <c r="AH296" s="134">
        <f>+_xlfn.XLOOKUP(PROYECTOS2[[#This Row],[MUNICIPIO]],'4.CAP_ENDMNT'!B:B,'4.CAP_ENDMNT'!O:O,0,0,1)</f>
        <v>0.60206976758564179</v>
      </c>
      <c r="AI296" s="134">
        <f>+_xlfn.XLOOKUP(PROYECTOS2[[#This Row],[MUNICIPIO]],'4.CAP_ENDMNT'!B:B,'4.CAP_ENDMNT'!P:P,0,0,1)</f>
        <v>0.8</v>
      </c>
      <c r="AJ296" s="44" t="str">
        <f>+_xlfn.XLOOKUP(PROYECTOS2[[#This Row],[MUNICIPIO]],'4.CAP_ENDMNT'!B:B,'4.CAP_ENDMNT'!Q:Q,0,0,1)</f>
        <v>Cumple</v>
      </c>
    </row>
    <row r="297" spans="1:36">
      <c r="A297" s="44">
        <v>320</v>
      </c>
      <c r="B297" s="37" t="s">
        <v>620</v>
      </c>
      <c r="C297" s="118">
        <v>45747</v>
      </c>
      <c r="D297" s="46" t="s">
        <v>337</v>
      </c>
      <c r="E297" s="47" t="str">
        <f>+_xlfn.XLOOKUP(PROYECTOS2[[#This Row],[MUNICIPIO]],MUNICIPIOS!A:A,MUNICIPIOS!E:E,0,0,1)</f>
        <v>Suroeste</v>
      </c>
      <c r="F297" s="44" t="e" cm="1">
        <f t="array" ref="F297">+_xlfn.XLOOKUP(PROYECTOS2[[#This Row],[MUNICIPIO]],Table1[Municipio],MUNICIPIOS!F:F,0,0,1)</f>
        <v>#VALUE!</v>
      </c>
      <c r="G297" s="44" t="str">
        <f>+LOOKUP(PROYECTOS2[[#This Row],[MUNICIPIO]],Table1[Municipio],Table1[Latitud])</f>
        <v>7,074703</v>
      </c>
      <c r="H297" s="44">
        <f>+LOOKUP(PROYECTOS2[[#This Row],[MUNICIPIO]],Table1[Municipio],Table1[PDET])</f>
        <v>1</v>
      </c>
      <c r="I297" s="44">
        <f>+LOOKUP(PROYECTOS2[[#This Row],[MUNICIPIO]],Table1[Municipio],Table1[ZOMAC])</f>
        <v>1</v>
      </c>
      <c r="J297" s="3" t="str" cm="1">
        <f t="array" ref="J297">_xlfn.TEXTJOIN(", ", TRUE, IF(radicados[ID PROYECTOS]=A297, radicados[RADICADO], ""))</f>
        <v/>
      </c>
      <c r="K297" s="45">
        <v>1</v>
      </c>
      <c r="L297" s="45"/>
      <c r="M297" s="43"/>
      <c r="N297" s="48">
        <v>1342859044</v>
      </c>
      <c r="O297" s="48"/>
      <c r="P297" s="48"/>
      <c r="Q297" s="148" t="s">
        <v>1067</v>
      </c>
      <c r="R297" s="34" t="s">
        <v>407</v>
      </c>
      <c r="S297" s="40" t="s">
        <v>397</v>
      </c>
      <c r="T297" s="40" t="s">
        <v>56</v>
      </c>
      <c r="U297" s="37" t="s">
        <v>541</v>
      </c>
      <c r="V297" s="44">
        <f>+_xlfn.XLOOKUP(PROYECTOS2[[#This Row],[MUNICIPIO]],'4.CAP_ENDMNT'!B:B,'4.CAP_ENDMNT'!C:C,0,0,1)</f>
        <v>6</v>
      </c>
      <c r="W297" s="139">
        <f>+_xlfn.XLOOKUP(PROYECTOS2[[#This Row],[MUNICIPIO]],'4.CAP_ENDMNT'!B:B,'4.CAP_ENDMNT'!D:D,0,0,1)</f>
        <v>12058979368.9545</v>
      </c>
      <c r="X297" s="140">
        <f>+_xlfn.XLOOKUP(PROYECTOS2[[#This Row],[MUNICIPIO]],'4.CAP_ENDMNT'!B:B,'4.CAP_ENDMNT'!E:E,0,0,1)</f>
        <v>3567680920.52</v>
      </c>
      <c r="Y297" s="140">
        <f>+_xlfn.XLOOKUP(PROYECTOS2[[#This Row],[MUNICIPIO]],'4.CAP_ENDMNT'!B:B,'4.CAP_ENDMNT'!F:F,0,0,1)</f>
        <v>8491298448.4344997</v>
      </c>
      <c r="Z297" s="140">
        <f>+_xlfn.XLOOKUP(PROYECTOS2[[#This Row],[MUNICIPIO]],'4.CAP_ENDMNT'!B:B,'4.CAP_ENDMNT'!G:G,0,0,1)</f>
        <v>914830553</v>
      </c>
      <c r="AA297" s="140">
        <f>+_xlfn.XLOOKUP(PROYECTOS2[[#This Row],[MUNICIPIO]],'4.CAP_ENDMNT'!B:B,'4.CAP_ENDMNT'!H:H,0,0,1)</f>
        <v>0</v>
      </c>
      <c r="AB297" s="140">
        <f>+_xlfn.XLOOKUP(PROYECTOS2[[#This Row],[MUNICIPIO]],'4.CAP_ENDMNT'!B:B,'4.CAP_ENDMNT'!I:I,0,0,1)</f>
        <v>914830553</v>
      </c>
      <c r="AC297" s="134">
        <f>+_xlfn.XLOOKUP(PROYECTOS2[[#This Row],[MUNICIPIO]],'4.CAP_ENDMNT'!B:B,'4.CAP_ENDMNT'!J:J,0,0,1)</f>
        <v>7.586301667910679E-2</v>
      </c>
      <c r="AD297" s="140">
        <f>+_xlfn.XLOOKUP(PROYECTOS2[[#This Row],[MUNICIPIO]],'4.CAP_ENDMNT'!B:B,'4.CAP_ENDMNT'!K:K,0,0,1)</f>
        <v>11144148815.9545</v>
      </c>
      <c r="AE297" s="140">
        <f>+_xlfn.XLOOKUP(PROYECTOS2[[#This Row],[MUNICIPIO]],'4.CAP_ENDMNT'!B:B,'4.CAP_ENDMNT'!L:L,0,0,1)</f>
        <v>8915319052.7636013</v>
      </c>
      <c r="AF297" s="140">
        <f>+_xlfn.XLOOKUP(PROYECTOS2[[#This Row],[MUNICIPIO]],'4.CAP_ENDMNT'!B:B,'4.CAP_ENDMNT'!M:M,0,0,1)</f>
        <v>6686489289.5726995</v>
      </c>
      <c r="AG297" s="134">
        <f>+_xlfn.XLOOKUP(PROYECTOS2[[#This Row],[MUNICIPIO]],'4.CAP_ENDMNT'!B:B,'4.CAP_ENDMNT'!N:N,0,0,1)</f>
        <v>1</v>
      </c>
      <c r="AH297" s="134">
        <f>+_xlfn.XLOOKUP(PROYECTOS2[[#This Row],[MUNICIPIO]],'4.CAP_ENDMNT'!B:B,'4.CAP_ENDMNT'!O:O,0,0,1)</f>
        <v>0.60206976758564179</v>
      </c>
      <c r="AI297" s="134">
        <f>+_xlfn.XLOOKUP(PROYECTOS2[[#This Row],[MUNICIPIO]],'4.CAP_ENDMNT'!B:B,'4.CAP_ENDMNT'!P:P,0,0,1)</f>
        <v>0.8</v>
      </c>
      <c r="AJ297" s="44" t="str">
        <f>+_xlfn.XLOOKUP(PROYECTOS2[[#This Row],[MUNICIPIO]],'4.CAP_ENDMNT'!B:B,'4.CAP_ENDMNT'!Q:Q,0,0,1)</f>
        <v>Cumple</v>
      </c>
    </row>
    <row r="298" spans="1:36">
      <c r="A298" s="44">
        <v>321</v>
      </c>
      <c r="B298" s="37" t="s">
        <v>621</v>
      </c>
      <c r="C298" s="118">
        <v>45747</v>
      </c>
      <c r="D298" s="46" t="s">
        <v>492</v>
      </c>
      <c r="E298" s="47" t="str">
        <f>+_xlfn.XLOOKUP(PROYECTOS2[[#This Row],[MUNICIPIO]],MUNICIPIOS!A:A,MUNICIPIOS!E:E,0,0,1)</f>
        <v>Suroeste</v>
      </c>
      <c r="F298" s="44" t="e" cm="1">
        <f t="array" ref="F298">+_xlfn.XLOOKUP(PROYECTOS2[[#This Row],[MUNICIPIO]],Table1[Municipio],MUNICIPIOS!F:F,0,0,1)</f>
        <v>#VALUE!</v>
      </c>
      <c r="G298" s="44" t="str">
        <f>+LOOKUP(PROYECTOS2[[#This Row],[MUNICIPIO]],Table1[Municipio],Table1[Latitud])</f>
        <v>6,149903</v>
      </c>
      <c r="H298" s="44">
        <f>+LOOKUP(PROYECTOS2[[#This Row],[MUNICIPIO]],Table1[Municipio],Table1[PDET])</f>
        <v>0</v>
      </c>
      <c r="I298" s="44">
        <f>+LOOKUP(PROYECTOS2[[#This Row],[MUNICIPIO]],Table1[Municipio],Table1[ZOMAC])</f>
        <v>0</v>
      </c>
      <c r="J298" s="3" t="str" cm="1">
        <f t="array" ref="J298">_xlfn.TEXTJOIN(", ", TRUE, IF(radicados[ID PROYECTOS]=A298, radicados[RADICADO], ""))</f>
        <v/>
      </c>
      <c r="K298" s="45">
        <v>1</v>
      </c>
      <c r="L298" s="45"/>
      <c r="M298" s="43"/>
      <c r="N298" s="48">
        <v>2546530699</v>
      </c>
      <c r="O298" s="48"/>
      <c r="P298" s="48"/>
      <c r="Q298" s="148" t="s">
        <v>1067</v>
      </c>
      <c r="R298" s="34" t="s">
        <v>407</v>
      </c>
      <c r="S298" s="40" t="s">
        <v>397</v>
      </c>
      <c r="T298" s="40" t="s">
        <v>56</v>
      </c>
      <c r="U298" s="37" t="s">
        <v>541</v>
      </c>
      <c r="V298" s="44">
        <f>+_xlfn.XLOOKUP(PROYECTOS2[[#This Row],[MUNICIPIO]],'4.CAP_ENDMNT'!B:B,'4.CAP_ENDMNT'!C:C,0,0,1)</f>
        <v>6</v>
      </c>
      <c r="W298" s="139">
        <f>+_xlfn.XLOOKUP(PROYECTOS2[[#This Row],[MUNICIPIO]],'4.CAP_ENDMNT'!B:B,'4.CAP_ENDMNT'!D:D,0,0,1)</f>
        <v>13308978307.0145</v>
      </c>
      <c r="X298" s="140">
        <f>+_xlfn.XLOOKUP(PROYECTOS2[[#This Row],[MUNICIPIO]],'4.CAP_ENDMNT'!B:B,'4.CAP_ENDMNT'!E:E,0,0,1)</f>
        <v>4910718349.54</v>
      </c>
      <c r="Y298" s="140">
        <f>+_xlfn.XLOOKUP(PROYECTOS2[[#This Row],[MUNICIPIO]],'4.CAP_ENDMNT'!B:B,'4.CAP_ENDMNT'!F:F,0,0,1)</f>
        <v>8398259957.4744997</v>
      </c>
      <c r="Z298" s="140">
        <f>+_xlfn.XLOOKUP(PROYECTOS2[[#This Row],[MUNICIPIO]],'4.CAP_ENDMNT'!B:B,'4.CAP_ENDMNT'!G:G,0,0,1)</f>
        <v>0</v>
      </c>
      <c r="AA298" s="140">
        <f>+_xlfn.XLOOKUP(PROYECTOS2[[#This Row],[MUNICIPIO]],'4.CAP_ENDMNT'!B:B,'4.CAP_ENDMNT'!H:H,0,0,1)</f>
        <v>3987177539</v>
      </c>
      <c r="AB298" s="140">
        <f>+_xlfn.XLOOKUP(PROYECTOS2[[#This Row],[MUNICIPIO]],'4.CAP_ENDMNT'!B:B,'4.CAP_ENDMNT'!I:I,0,0,1)</f>
        <v>3987177539</v>
      </c>
      <c r="AC298" s="134">
        <f>+_xlfn.XLOOKUP(PROYECTOS2[[#This Row],[MUNICIPIO]],'4.CAP_ENDMNT'!B:B,'4.CAP_ENDMNT'!J:J,0,0,1)</f>
        <v>0.29958554646516761</v>
      </c>
      <c r="AD298" s="140">
        <f>+_xlfn.XLOOKUP(PROYECTOS2[[#This Row],[MUNICIPIO]],'4.CAP_ENDMNT'!B:B,'4.CAP_ENDMNT'!K:K,0,0,1)</f>
        <v>9321800768.0144997</v>
      </c>
      <c r="AE298" s="140">
        <f>+_xlfn.XLOOKUP(PROYECTOS2[[#This Row],[MUNICIPIO]],'4.CAP_ENDMNT'!B:B,'4.CAP_ENDMNT'!L:L,0,0,1)</f>
        <v>7457440614.4116001</v>
      </c>
      <c r="AF298" s="140">
        <f>+_xlfn.XLOOKUP(PROYECTOS2[[#This Row],[MUNICIPIO]],'4.CAP_ENDMNT'!B:B,'4.CAP_ENDMNT'!M:M,0,0,1)</f>
        <v>5593080460.8086996</v>
      </c>
      <c r="AG298" s="134">
        <f>+_xlfn.XLOOKUP(PROYECTOS2[[#This Row],[MUNICIPIO]],'4.CAP_ENDMNT'!B:B,'4.CAP_ENDMNT'!N:N,0,0,1)</f>
        <v>0</v>
      </c>
      <c r="AH298" s="134">
        <f>+_xlfn.XLOOKUP(PROYECTOS2[[#This Row],[MUNICIPIO]],'4.CAP_ENDMNT'!B:B,'4.CAP_ENDMNT'!O:O,0,0,1)</f>
        <v>0.65348583125551507</v>
      </c>
      <c r="AI298" s="134">
        <f>+_xlfn.XLOOKUP(PROYECTOS2[[#This Row],[MUNICIPIO]],'4.CAP_ENDMNT'!B:B,'4.CAP_ENDMNT'!P:P,0,0,1)</f>
        <v>0.8</v>
      </c>
      <c r="AJ298" s="44" t="str">
        <f>+_xlfn.XLOOKUP(PROYECTOS2[[#This Row],[MUNICIPIO]],'4.CAP_ENDMNT'!B:B,'4.CAP_ENDMNT'!Q:Q,0,0,1)</f>
        <v>Cumple</v>
      </c>
    </row>
    <row r="299" spans="1:36">
      <c r="A299" s="44">
        <v>322</v>
      </c>
      <c r="B299" s="59" t="s">
        <v>622</v>
      </c>
      <c r="C299" s="118">
        <v>45747</v>
      </c>
      <c r="D299" s="46" t="s">
        <v>88</v>
      </c>
      <c r="E299" s="47" t="str">
        <f>+_xlfn.XLOOKUP(PROYECTOS2[[#This Row],[MUNICIPIO]],MUNICIPIOS!A:A,MUNICIPIOS!E:E,0,0,1)</f>
        <v>Suroeste</v>
      </c>
      <c r="F299" s="44" t="e" cm="1">
        <f t="array" ref="F299">+_xlfn.XLOOKUP(PROYECTOS2[[#This Row],[MUNICIPIO]],Table1[Municipio],MUNICIPIOS!F:F,0,0,1)</f>
        <v>#VALUE!</v>
      </c>
      <c r="G299" s="44" t="str">
        <f>+LOOKUP(PROYECTOS2[[#This Row],[MUNICIPIO]],Table1[Municipio],Table1[Latitud])</f>
        <v>6,246631</v>
      </c>
      <c r="H299" s="44">
        <f>+LOOKUP(PROYECTOS2[[#This Row],[MUNICIPIO]],Table1[Municipio],Table1[PDET])</f>
        <v>0</v>
      </c>
      <c r="I299" s="44">
        <f>+LOOKUP(PROYECTOS2[[#This Row],[MUNICIPIO]],Table1[Municipio],Table1[ZOMAC])</f>
        <v>0</v>
      </c>
      <c r="J299" s="3" t="str" cm="1">
        <f t="array" ref="J299">_xlfn.TEXTJOIN(", ", TRUE, IF(radicados[ID PROYECTOS]=A299, radicados[RADICADO], ""))</f>
        <v/>
      </c>
      <c r="K299" s="45">
        <v>1</v>
      </c>
      <c r="L299" s="45"/>
      <c r="M299" s="43"/>
      <c r="N299" s="48">
        <v>2300744337</v>
      </c>
      <c r="O299" s="48"/>
      <c r="P299" s="48"/>
      <c r="Q299" s="148" t="s">
        <v>1067</v>
      </c>
      <c r="R299" s="34" t="s">
        <v>407</v>
      </c>
      <c r="S299" s="40" t="s">
        <v>397</v>
      </c>
      <c r="T299" s="40" t="s">
        <v>56</v>
      </c>
      <c r="U299" s="37" t="s">
        <v>541</v>
      </c>
      <c r="V299" s="44">
        <f>+_xlfn.XLOOKUP(PROYECTOS2[[#This Row],[MUNICIPIO]],'4.CAP_ENDMNT'!B:B,'4.CAP_ENDMNT'!C:C,0,0,1)</f>
        <v>6</v>
      </c>
      <c r="W299" s="139">
        <f>+_xlfn.XLOOKUP(PROYECTOS2[[#This Row],[MUNICIPIO]],'4.CAP_ENDMNT'!B:B,'4.CAP_ENDMNT'!D:D,0,0,1)</f>
        <v>7408957946.4439993</v>
      </c>
      <c r="X299" s="140">
        <f>+_xlfn.XLOOKUP(PROYECTOS2[[#This Row],[MUNICIPIO]],'4.CAP_ENDMNT'!B:B,'4.CAP_ENDMNT'!E:E,0,0,1)</f>
        <v>2726179218.2000003</v>
      </c>
      <c r="Y299" s="140">
        <f>+_xlfn.XLOOKUP(PROYECTOS2[[#This Row],[MUNICIPIO]],'4.CAP_ENDMNT'!B:B,'4.CAP_ENDMNT'!F:F,0,0,1)</f>
        <v>4682778728.2439995</v>
      </c>
      <c r="Z299" s="140">
        <f>+_xlfn.XLOOKUP(PROYECTOS2[[#This Row],[MUNICIPIO]],'4.CAP_ENDMNT'!B:B,'4.CAP_ENDMNT'!G:G,0,0,1)</f>
        <v>1117539497</v>
      </c>
      <c r="AA299" s="140">
        <f>+_xlfn.XLOOKUP(PROYECTOS2[[#This Row],[MUNICIPIO]],'4.CAP_ENDMNT'!B:B,'4.CAP_ENDMNT'!H:H,0,0,1)</f>
        <v>0</v>
      </c>
      <c r="AB299" s="140">
        <f>+_xlfn.XLOOKUP(PROYECTOS2[[#This Row],[MUNICIPIO]],'4.CAP_ENDMNT'!B:B,'4.CAP_ENDMNT'!I:I,0,0,1)</f>
        <v>1117539497</v>
      </c>
      <c r="AC299" s="134">
        <f>+_xlfn.XLOOKUP(PROYECTOS2[[#This Row],[MUNICIPIO]],'4.CAP_ENDMNT'!B:B,'4.CAP_ENDMNT'!J:J,0,0,1)</f>
        <v>0.15083625863153588</v>
      </c>
      <c r="AD299" s="140">
        <f>+_xlfn.XLOOKUP(PROYECTOS2[[#This Row],[MUNICIPIO]],'4.CAP_ENDMNT'!B:B,'4.CAP_ENDMNT'!K:K,0,0,1)</f>
        <v>6291418449.4439993</v>
      </c>
      <c r="AE299" s="140">
        <f>+_xlfn.XLOOKUP(PROYECTOS2[[#This Row],[MUNICIPIO]],'4.CAP_ENDMNT'!B:B,'4.CAP_ENDMNT'!L:L,0,0,1)</f>
        <v>5033134759.5551996</v>
      </c>
      <c r="AF299" s="140">
        <f>+_xlfn.XLOOKUP(PROYECTOS2[[#This Row],[MUNICIPIO]],'4.CAP_ENDMNT'!B:B,'4.CAP_ENDMNT'!M:M,0,0,1)</f>
        <v>3774851069.6663995</v>
      </c>
      <c r="AG299" s="134">
        <f>+_xlfn.XLOOKUP(PROYECTOS2[[#This Row],[MUNICIPIO]],'4.CAP_ENDMNT'!B:B,'4.CAP_ENDMNT'!N:N,0,0,1)</f>
        <v>1</v>
      </c>
      <c r="AH299" s="134">
        <f>+_xlfn.XLOOKUP(PROYECTOS2[[#This Row],[MUNICIPIO]],'4.CAP_ENDMNT'!B:B,'4.CAP_ENDMNT'!O:O,0,0,1)</f>
        <v>0.78495373596781126</v>
      </c>
      <c r="AI299" s="134">
        <f>+_xlfn.XLOOKUP(PROYECTOS2[[#This Row],[MUNICIPIO]],'4.CAP_ENDMNT'!B:B,'4.CAP_ENDMNT'!P:P,0,0,1)</f>
        <v>0.8</v>
      </c>
      <c r="AJ299" s="44" t="str">
        <f>+_xlfn.XLOOKUP(PROYECTOS2[[#This Row],[MUNICIPIO]],'4.CAP_ENDMNT'!B:B,'4.CAP_ENDMNT'!Q:Q,0,0,1)</f>
        <v>Riesgo</v>
      </c>
    </row>
    <row r="300" spans="1:36">
      <c r="A300" s="44">
        <v>323</v>
      </c>
      <c r="B300" s="37" t="s">
        <v>623</v>
      </c>
      <c r="C300" s="118">
        <v>45747</v>
      </c>
      <c r="D300" s="46" t="s">
        <v>232</v>
      </c>
      <c r="E300" s="47" t="str">
        <f>+_xlfn.XLOOKUP(PROYECTOS2[[#This Row],[MUNICIPIO]],MUNICIPIOS!A:A,MUNICIPIOS!E:E,0,0,1)</f>
        <v>Suroeste</v>
      </c>
      <c r="F300" s="44" t="e" cm="1">
        <f t="array" ref="F300">+_xlfn.XLOOKUP(PROYECTOS2[[#This Row],[MUNICIPIO]],Table1[Municipio],MUNICIPIOS!F:F,0,0,1)</f>
        <v>#VALUE!</v>
      </c>
      <c r="G300" s="44" t="str">
        <f>+LOOKUP(PROYECTOS2[[#This Row],[MUNICIPIO]],Table1[Municipio],Table1[Latitud])</f>
        <v>5,946313</v>
      </c>
      <c r="H300" s="44">
        <f>+LOOKUP(PROYECTOS2[[#This Row],[MUNICIPIO]],Table1[Municipio],Table1[PDET])</f>
        <v>0</v>
      </c>
      <c r="I300" s="44">
        <f>+LOOKUP(PROYECTOS2[[#This Row],[MUNICIPIO]],Table1[Municipio],Table1[ZOMAC])</f>
        <v>1</v>
      </c>
      <c r="J300" s="3" t="str" cm="1">
        <f t="array" ref="J300">_xlfn.TEXTJOIN(", ", TRUE, IF(radicados[ID PROYECTOS]=A300, radicados[RADICADO], ""))</f>
        <v/>
      </c>
      <c r="K300" s="45">
        <v>1</v>
      </c>
      <c r="L300" s="45"/>
      <c r="M300" s="43"/>
      <c r="N300" s="48">
        <v>793000000</v>
      </c>
      <c r="O300" s="48"/>
      <c r="P300" s="48"/>
      <c r="Q300" s="148" t="s">
        <v>1067</v>
      </c>
      <c r="R300" s="34" t="s">
        <v>407</v>
      </c>
      <c r="S300" s="40" t="s">
        <v>397</v>
      </c>
      <c r="T300" s="40" t="s">
        <v>56</v>
      </c>
      <c r="U300" s="37" t="s">
        <v>541</v>
      </c>
      <c r="V300" s="44">
        <f>+_xlfn.XLOOKUP(PROYECTOS2[[#This Row],[MUNICIPIO]],'4.CAP_ENDMNT'!B:B,'4.CAP_ENDMNT'!C:C,0,0,1)</f>
        <v>6</v>
      </c>
      <c r="W300" s="139">
        <f>+_xlfn.XLOOKUP(PROYECTOS2[[#This Row],[MUNICIPIO]],'4.CAP_ENDMNT'!B:B,'4.CAP_ENDMNT'!D:D,0,0,1)</f>
        <v>6527267076.0299997</v>
      </c>
      <c r="X300" s="140">
        <f>+_xlfn.XLOOKUP(PROYECTOS2[[#This Row],[MUNICIPIO]],'4.CAP_ENDMNT'!B:B,'4.CAP_ENDMNT'!E:E,0,0,1)</f>
        <v>2852468155.77</v>
      </c>
      <c r="Y300" s="140">
        <f>+_xlfn.XLOOKUP(PROYECTOS2[[#This Row],[MUNICIPIO]],'4.CAP_ENDMNT'!B:B,'4.CAP_ENDMNT'!F:F,0,0,1)</f>
        <v>3674798920.2599998</v>
      </c>
      <c r="Z300" s="140">
        <f>+_xlfn.XLOOKUP(PROYECTOS2[[#This Row],[MUNICIPIO]],'4.CAP_ENDMNT'!B:B,'4.CAP_ENDMNT'!G:G,0,0,1)</f>
        <v>1320825426</v>
      </c>
      <c r="AA300" s="140">
        <f>+_xlfn.XLOOKUP(PROYECTOS2[[#This Row],[MUNICIPIO]],'4.CAP_ENDMNT'!B:B,'4.CAP_ENDMNT'!H:H,0,0,1)</f>
        <v>0</v>
      </c>
      <c r="AB300" s="140">
        <f>+_xlfn.XLOOKUP(PROYECTOS2[[#This Row],[MUNICIPIO]],'4.CAP_ENDMNT'!B:B,'4.CAP_ENDMNT'!I:I,0,0,1)</f>
        <v>1320825426</v>
      </c>
      <c r="AC300" s="134">
        <f>+_xlfn.XLOOKUP(PROYECTOS2[[#This Row],[MUNICIPIO]],'4.CAP_ENDMNT'!B:B,'4.CAP_ENDMNT'!J:J,0,0,1)</f>
        <v>0.2023550454753798</v>
      </c>
      <c r="AD300" s="140">
        <f>+_xlfn.XLOOKUP(PROYECTOS2[[#This Row],[MUNICIPIO]],'4.CAP_ENDMNT'!B:B,'4.CAP_ENDMNT'!K:K,0,0,1)</f>
        <v>5206441650.0299997</v>
      </c>
      <c r="AE300" s="140">
        <f>+_xlfn.XLOOKUP(PROYECTOS2[[#This Row],[MUNICIPIO]],'4.CAP_ENDMNT'!B:B,'4.CAP_ENDMNT'!L:L,0,0,1)</f>
        <v>4165153320.0240002</v>
      </c>
      <c r="AF300" s="140">
        <f>+_xlfn.XLOOKUP(PROYECTOS2[[#This Row],[MUNICIPIO]],'4.CAP_ENDMNT'!B:B,'4.CAP_ENDMNT'!M:M,0,0,1)</f>
        <v>3123864990.0179996</v>
      </c>
      <c r="AG300" s="134">
        <f>+_xlfn.XLOOKUP(PROYECTOS2[[#This Row],[MUNICIPIO]],'4.CAP_ENDMNT'!B:B,'4.CAP_ENDMNT'!N:N,0,0,1)</f>
        <v>1</v>
      </c>
      <c r="AH300" s="134">
        <f>+_xlfn.XLOOKUP(PROYECTOS2[[#This Row],[MUNICIPIO]],'4.CAP_ENDMNT'!B:B,'4.CAP_ENDMNT'!O:O,0,0,1)</f>
        <v>0.63926485007667311</v>
      </c>
      <c r="AI300" s="134">
        <f>+_xlfn.XLOOKUP(PROYECTOS2[[#This Row],[MUNICIPIO]],'4.CAP_ENDMNT'!B:B,'4.CAP_ENDMNT'!P:P,0,0,1)</f>
        <v>0.8</v>
      </c>
      <c r="AJ300" s="44" t="str">
        <f>+_xlfn.XLOOKUP(PROYECTOS2[[#This Row],[MUNICIPIO]],'4.CAP_ENDMNT'!B:B,'4.CAP_ENDMNT'!Q:Q,0,0,1)</f>
        <v>Cumple</v>
      </c>
    </row>
    <row r="301" spans="1:36">
      <c r="A301" s="44">
        <v>324</v>
      </c>
      <c r="B301" s="37" t="s">
        <v>624</v>
      </c>
      <c r="C301" s="118">
        <v>45747</v>
      </c>
      <c r="D301" s="46" t="s">
        <v>61</v>
      </c>
      <c r="E301" s="47" t="str">
        <f>+_xlfn.XLOOKUP(PROYECTOS2[[#This Row],[MUNICIPIO]],MUNICIPIOS!A:A,MUNICIPIOS!E:E,0,0,1)</f>
        <v>Suroeste</v>
      </c>
      <c r="F301" s="44" t="e" cm="1">
        <f t="array" ref="F301">+_xlfn.XLOOKUP(PROYECTOS2[[#This Row],[MUNICIPIO]],Table1[Municipio],MUNICIPIOS!F:F,0,0,1)</f>
        <v>#VALUE!</v>
      </c>
      <c r="G301" s="44" t="str">
        <f>+LOOKUP(PROYECTOS2[[#This Row],[MUNICIPIO]],Table1[Municipio],Table1[Latitud])</f>
        <v>6,136871</v>
      </c>
      <c r="H301" s="44">
        <f>+LOOKUP(PROYECTOS2[[#This Row],[MUNICIPIO]],Table1[Municipio],Table1[PDET])</f>
        <v>0</v>
      </c>
      <c r="I301" s="44">
        <f>+LOOKUP(PROYECTOS2[[#This Row],[MUNICIPIO]],Table1[Municipio],Table1[ZOMAC])</f>
        <v>0</v>
      </c>
      <c r="J301" s="3" t="str" cm="1">
        <f t="array" ref="J301">_xlfn.TEXTJOIN(", ", TRUE, IF(radicados[ID PROYECTOS]=A301, radicados[RADICADO], ""))</f>
        <v/>
      </c>
      <c r="K301" s="45">
        <v>1</v>
      </c>
      <c r="L301" s="45"/>
      <c r="M301" s="43"/>
      <c r="N301" s="48">
        <v>680000000</v>
      </c>
      <c r="O301" s="48"/>
      <c r="P301" s="48"/>
      <c r="Q301" s="148" t="s">
        <v>1067</v>
      </c>
      <c r="R301" s="34" t="s">
        <v>407</v>
      </c>
      <c r="S301" s="40" t="s">
        <v>397</v>
      </c>
      <c r="T301" s="40" t="s">
        <v>56</v>
      </c>
      <c r="U301" s="37" t="s">
        <v>541</v>
      </c>
      <c r="V301" s="44">
        <f>+_xlfn.XLOOKUP(PROYECTOS2[[#This Row],[MUNICIPIO]],'4.CAP_ENDMNT'!B:B,'4.CAP_ENDMNT'!C:C,0,0,1)</f>
        <v>6</v>
      </c>
      <c r="W301" s="139">
        <f>+_xlfn.XLOOKUP(PROYECTOS2[[#This Row],[MUNICIPIO]],'4.CAP_ENDMNT'!B:B,'4.CAP_ENDMNT'!D:D,0,0,1)</f>
        <v>17515986067.273998</v>
      </c>
      <c r="X301" s="140">
        <f>+_xlfn.XLOOKUP(PROYECTOS2[[#This Row],[MUNICIPIO]],'4.CAP_ENDMNT'!B:B,'4.CAP_ENDMNT'!E:E,0,0,1)</f>
        <v>8346764868.3600006</v>
      </c>
      <c r="Y301" s="140">
        <f>+_xlfn.XLOOKUP(PROYECTOS2[[#This Row],[MUNICIPIO]],'4.CAP_ENDMNT'!B:B,'4.CAP_ENDMNT'!F:F,0,0,1)</f>
        <v>9169221198.9139977</v>
      </c>
      <c r="Z301" s="140">
        <f>+_xlfn.XLOOKUP(PROYECTOS2[[#This Row],[MUNICIPIO]],'4.CAP_ENDMNT'!B:B,'4.CAP_ENDMNT'!G:G,0,0,1)</f>
        <v>0</v>
      </c>
      <c r="AA301" s="140">
        <f>+_xlfn.XLOOKUP(PROYECTOS2[[#This Row],[MUNICIPIO]],'4.CAP_ENDMNT'!B:B,'4.CAP_ENDMNT'!H:H,0,0,1)</f>
        <v>6328650461</v>
      </c>
      <c r="AB301" s="140">
        <f>+_xlfn.XLOOKUP(PROYECTOS2[[#This Row],[MUNICIPIO]],'4.CAP_ENDMNT'!B:B,'4.CAP_ENDMNT'!I:I,0,0,1)</f>
        <v>6328650461</v>
      </c>
      <c r="AC301" s="134">
        <f>+_xlfn.XLOOKUP(PROYECTOS2[[#This Row],[MUNICIPIO]],'4.CAP_ENDMNT'!B:B,'4.CAP_ENDMNT'!J:J,0,0,1)</f>
        <v>0.36130711891945022</v>
      </c>
      <c r="AD301" s="140">
        <f>+_xlfn.XLOOKUP(PROYECTOS2[[#This Row],[MUNICIPIO]],'4.CAP_ENDMNT'!B:B,'4.CAP_ENDMNT'!K:K,0,0,1)</f>
        <v>11187335606.273998</v>
      </c>
      <c r="AE301" s="140">
        <f>+_xlfn.XLOOKUP(PROYECTOS2[[#This Row],[MUNICIPIO]],'4.CAP_ENDMNT'!B:B,'4.CAP_ENDMNT'!L:L,0,0,1)</f>
        <v>8949868485.0191994</v>
      </c>
      <c r="AF301" s="140">
        <f>+_xlfn.XLOOKUP(PROYECTOS2[[#This Row],[MUNICIPIO]],'4.CAP_ENDMNT'!B:B,'4.CAP_ENDMNT'!M:M,0,0,1)</f>
        <v>6712401363.7643986</v>
      </c>
      <c r="AG301" s="134">
        <f>+_xlfn.XLOOKUP(PROYECTOS2[[#This Row],[MUNICIPIO]],'4.CAP_ENDMNT'!B:B,'4.CAP_ENDMNT'!N:N,0,0,1)</f>
        <v>0</v>
      </c>
      <c r="AH301" s="134">
        <f>+_xlfn.XLOOKUP(PROYECTOS2[[#This Row],[MUNICIPIO]],'4.CAP_ENDMNT'!B:B,'4.CAP_ENDMNT'!O:O,0,0,1)</f>
        <v>0.67376313277740918</v>
      </c>
      <c r="AI301" s="134">
        <f>+_xlfn.XLOOKUP(PROYECTOS2[[#This Row],[MUNICIPIO]],'4.CAP_ENDMNT'!B:B,'4.CAP_ENDMNT'!P:P,0,0,1)</f>
        <v>0.8</v>
      </c>
      <c r="AJ301" s="44" t="str">
        <f>+_xlfn.XLOOKUP(PROYECTOS2[[#This Row],[MUNICIPIO]],'4.CAP_ENDMNT'!B:B,'4.CAP_ENDMNT'!Q:Q,0,0,1)</f>
        <v>Cumple</v>
      </c>
    </row>
    <row r="302" spans="1:36">
      <c r="A302" s="44">
        <v>325</v>
      </c>
      <c r="B302" s="37" t="s">
        <v>625</v>
      </c>
      <c r="C302" s="118">
        <v>45747</v>
      </c>
      <c r="D302" s="46" t="s">
        <v>281</v>
      </c>
      <c r="E302" s="47" t="str">
        <f>+_xlfn.XLOOKUP(PROYECTOS2[[#This Row],[MUNICIPIO]],MUNICIPIOS!A:A,MUNICIPIOS!E:E,0,0,1)</f>
        <v>Suroeste</v>
      </c>
      <c r="F302" s="44" t="e" cm="1">
        <f t="array" ref="F302">+_xlfn.XLOOKUP(PROYECTOS2[[#This Row],[MUNICIPIO]],Table1[Municipio],MUNICIPIOS!F:F,0,0,1)</f>
        <v>#VALUE!</v>
      </c>
      <c r="G302" s="44" t="str">
        <f>+LOOKUP(PROYECTOS2[[#This Row],[MUNICIPIO]],Table1[Municipio],Table1[Latitud])</f>
        <v>6,149903</v>
      </c>
      <c r="H302" s="44">
        <f>+LOOKUP(PROYECTOS2[[#This Row],[MUNICIPIO]],Table1[Municipio],Table1[PDET])</f>
        <v>0</v>
      </c>
      <c r="I302" s="44">
        <f>+LOOKUP(PROYECTOS2[[#This Row],[MUNICIPIO]],Table1[Municipio],Table1[ZOMAC])</f>
        <v>0</v>
      </c>
      <c r="J302" s="3" t="str" cm="1">
        <f t="array" ref="J302">_xlfn.TEXTJOIN(", ", TRUE, IF(radicados[ID PROYECTOS]=A302, radicados[RADICADO], ""))</f>
        <v/>
      </c>
      <c r="K302" s="45">
        <v>1</v>
      </c>
      <c r="L302" s="45"/>
      <c r="M302" s="43"/>
      <c r="N302" s="48">
        <v>598181228</v>
      </c>
      <c r="O302" s="48"/>
      <c r="P302" s="48"/>
      <c r="Q302" s="148" t="s">
        <v>1067</v>
      </c>
      <c r="R302" s="34" t="s">
        <v>407</v>
      </c>
      <c r="S302" s="40" t="s">
        <v>397</v>
      </c>
      <c r="T302" s="40" t="s">
        <v>56</v>
      </c>
      <c r="U302" s="37" t="s">
        <v>541</v>
      </c>
      <c r="V302" s="44">
        <f>+_xlfn.XLOOKUP(PROYECTOS2[[#This Row],[MUNICIPIO]],'4.CAP_ENDMNT'!B:B,'4.CAP_ENDMNT'!C:C,0,0,1)</f>
        <v>6</v>
      </c>
      <c r="W302" s="139">
        <f>+_xlfn.XLOOKUP(PROYECTOS2[[#This Row],[MUNICIPIO]],'4.CAP_ENDMNT'!B:B,'4.CAP_ENDMNT'!D:D,0,0,1)</f>
        <v>12522207884.799</v>
      </c>
      <c r="X302" s="140">
        <f>+_xlfn.XLOOKUP(PROYECTOS2[[#This Row],[MUNICIPIO]],'4.CAP_ENDMNT'!B:B,'4.CAP_ENDMNT'!E:E,0,0,1)</f>
        <v>6810462569.46</v>
      </c>
      <c r="Y302" s="140">
        <f>+_xlfn.XLOOKUP(PROYECTOS2[[#This Row],[MUNICIPIO]],'4.CAP_ENDMNT'!B:B,'4.CAP_ENDMNT'!F:F,0,0,1)</f>
        <v>5711745315.3389997</v>
      </c>
      <c r="Z302" s="140">
        <f>+_xlfn.XLOOKUP(PROYECTOS2[[#This Row],[MUNICIPIO]],'4.CAP_ENDMNT'!B:B,'4.CAP_ENDMNT'!G:G,0,0,1)</f>
        <v>0</v>
      </c>
      <c r="AA302" s="140">
        <f>+_xlfn.XLOOKUP(PROYECTOS2[[#This Row],[MUNICIPIO]],'4.CAP_ENDMNT'!B:B,'4.CAP_ENDMNT'!H:H,0,0,1)</f>
        <v>0</v>
      </c>
      <c r="AB302" s="140">
        <f>+_xlfn.XLOOKUP(PROYECTOS2[[#This Row],[MUNICIPIO]],'4.CAP_ENDMNT'!B:B,'4.CAP_ENDMNT'!I:I,0,0,1)</f>
        <v>0</v>
      </c>
      <c r="AC302" s="134">
        <f>+_xlfn.XLOOKUP(PROYECTOS2[[#This Row],[MUNICIPIO]],'4.CAP_ENDMNT'!B:B,'4.CAP_ENDMNT'!J:J,0,0,1)</f>
        <v>0</v>
      </c>
      <c r="AD302" s="140">
        <f>+_xlfn.XLOOKUP(PROYECTOS2[[#This Row],[MUNICIPIO]],'4.CAP_ENDMNT'!B:B,'4.CAP_ENDMNT'!K:K,0,0,1)</f>
        <v>12522207884.799</v>
      </c>
      <c r="AE302" s="140">
        <f>+_xlfn.XLOOKUP(PROYECTOS2[[#This Row],[MUNICIPIO]],'4.CAP_ENDMNT'!B:B,'4.CAP_ENDMNT'!L:L,0,0,1)</f>
        <v>10017766307.839201</v>
      </c>
      <c r="AF302" s="140">
        <f>+_xlfn.XLOOKUP(PROYECTOS2[[#This Row],[MUNICIPIO]],'4.CAP_ENDMNT'!B:B,'4.CAP_ENDMNT'!M:M,0,0,1)</f>
        <v>7513324730.8793993</v>
      </c>
      <c r="AG302" s="134">
        <f>+_xlfn.XLOOKUP(PROYECTOS2[[#This Row],[MUNICIPIO]],'4.CAP_ENDMNT'!B:B,'4.CAP_ENDMNT'!N:N,0,0,1)</f>
        <v>0</v>
      </c>
      <c r="AH302" s="134">
        <f>+_xlfn.XLOOKUP(PROYECTOS2[[#This Row],[MUNICIPIO]],'4.CAP_ENDMNT'!B:B,'4.CAP_ENDMNT'!O:O,0,0,1)</f>
        <v>0.68767493145996073</v>
      </c>
      <c r="AI302" s="134">
        <f>+_xlfn.XLOOKUP(PROYECTOS2[[#This Row],[MUNICIPIO]],'4.CAP_ENDMNT'!B:B,'4.CAP_ENDMNT'!P:P,0,0,1)</f>
        <v>0.8</v>
      </c>
      <c r="AJ302" s="44" t="str">
        <f>+_xlfn.XLOOKUP(PROYECTOS2[[#This Row],[MUNICIPIO]],'4.CAP_ENDMNT'!B:B,'4.CAP_ENDMNT'!Q:Q,0,0,1)</f>
        <v>Cumple</v>
      </c>
    </row>
    <row r="303" spans="1:36">
      <c r="A303" s="44">
        <v>326</v>
      </c>
      <c r="B303" s="37" t="s">
        <v>626</v>
      </c>
      <c r="C303" s="118">
        <v>45747</v>
      </c>
      <c r="D303" s="46" t="s">
        <v>88</v>
      </c>
      <c r="E303" s="47" t="str">
        <f>+_xlfn.XLOOKUP(PROYECTOS2[[#This Row],[MUNICIPIO]],MUNICIPIOS!A:A,MUNICIPIOS!E:E,0,0,1)</f>
        <v>Suroeste</v>
      </c>
      <c r="F303" s="44" t="e" cm="1">
        <f t="array" ref="F303">+_xlfn.XLOOKUP(PROYECTOS2[[#This Row],[MUNICIPIO]],Table1[Municipio],MUNICIPIOS!F:F,0,0,1)</f>
        <v>#VALUE!</v>
      </c>
      <c r="G303" s="44" t="str">
        <f>+LOOKUP(PROYECTOS2[[#This Row],[MUNICIPIO]],Table1[Municipio],Table1[Latitud])</f>
        <v>6,246631</v>
      </c>
      <c r="H303" s="44">
        <f>+LOOKUP(PROYECTOS2[[#This Row],[MUNICIPIO]],Table1[Municipio],Table1[PDET])</f>
        <v>0</v>
      </c>
      <c r="I303" s="44">
        <f>+LOOKUP(PROYECTOS2[[#This Row],[MUNICIPIO]],Table1[Municipio],Table1[ZOMAC])</f>
        <v>0</v>
      </c>
      <c r="J303" s="3" t="str" cm="1">
        <f t="array" ref="J303">_xlfn.TEXTJOIN(", ", TRUE, IF(radicados[ID PROYECTOS]=A303, radicados[RADICADO], ""))</f>
        <v/>
      </c>
      <c r="K303" s="45">
        <v>1</v>
      </c>
      <c r="L303" s="45"/>
      <c r="M303" s="43"/>
      <c r="N303" s="48">
        <v>645775061</v>
      </c>
      <c r="O303" s="48"/>
      <c r="P303" s="48"/>
      <c r="Q303" s="148" t="s">
        <v>1067</v>
      </c>
      <c r="R303" s="34" t="s">
        <v>407</v>
      </c>
      <c r="S303" s="40" t="s">
        <v>397</v>
      </c>
      <c r="T303" s="40" t="s">
        <v>56</v>
      </c>
      <c r="U303" s="37" t="s">
        <v>541</v>
      </c>
      <c r="V303" s="44">
        <f>+_xlfn.XLOOKUP(PROYECTOS2[[#This Row],[MUNICIPIO]],'4.CAP_ENDMNT'!B:B,'4.CAP_ENDMNT'!C:C,0,0,1)</f>
        <v>6</v>
      </c>
      <c r="W303" s="139">
        <f>+_xlfn.XLOOKUP(PROYECTOS2[[#This Row],[MUNICIPIO]],'4.CAP_ENDMNT'!B:B,'4.CAP_ENDMNT'!D:D,0,0,1)</f>
        <v>7408957946.4439993</v>
      </c>
      <c r="X303" s="140">
        <f>+_xlfn.XLOOKUP(PROYECTOS2[[#This Row],[MUNICIPIO]],'4.CAP_ENDMNT'!B:B,'4.CAP_ENDMNT'!E:E,0,0,1)</f>
        <v>2726179218.2000003</v>
      </c>
      <c r="Y303" s="140">
        <f>+_xlfn.XLOOKUP(PROYECTOS2[[#This Row],[MUNICIPIO]],'4.CAP_ENDMNT'!B:B,'4.CAP_ENDMNT'!F:F,0,0,1)</f>
        <v>4682778728.2439995</v>
      </c>
      <c r="Z303" s="140">
        <f>+_xlfn.XLOOKUP(PROYECTOS2[[#This Row],[MUNICIPIO]],'4.CAP_ENDMNT'!B:B,'4.CAP_ENDMNT'!G:G,0,0,1)</f>
        <v>1117539497</v>
      </c>
      <c r="AA303" s="140">
        <f>+_xlfn.XLOOKUP(PROYECTOS2[[#This Row],[MUNICIPIO]],'4.CAP_ENDMNT'!B:B,'4.CAP_ENDMNT'!H:H,0,0,1)</f>
        <v>0</v>
      </c>
      <c r="AB303" s="140">
        <f>+_xlfn.XLOOKUP(PROYECTOS2[[#This Row],[MUNICIPIO]],'4.CAP_ENDMNT'!B:B,'4.CAP_ENDMNT'!I:I,0,0,1)</f>
        <v>1117539497</v>
      </c>
      <c r="AC303" s="134">
        <f>+_xlfn.XLOOKUP(PROYECTOS2[[#This Row],[MUNICIPIO]],'4.CAP_ENDMNT'!B:B,'4.CAP_ENDMNT'!J:J,0,0,1)</f>
        <v>0.15083625863153588</v>
      </c>
      <c r="AD303" s="140">
        <f>+_xlfn.XLOOKUP(PROYECTOS2[[#This Row],[MUNICIPIO]],'4.CAP_ENDMNT'!B:B,'4.CAP_ENDMNT'!K:K,0,0,1)</f>
        <v>6291418449.4439993</v>
      </c>
      <c r="AE303" s="140">
        <f>+_xlfn.XLOOKUP(PROYECTOS2[[#This Row],[MUNICIPIO]],'4.CAP_ENDMNT'!B:B,'4.CAP_ENDMNT'!L:L,0,0,1)</f>
        <v>5033134759.5551996</v>
      </c>
      <c r="AF303" s="140">
        <f>+_xlfn.XLOOKUP(PROYECTOS2[[#This Row],[MUNICIPIO]],'4.CAP_ENDMNT'!B:B,'4.CAP_ENDMNT'!M:M,0,0,1)</f>
        <v>3774851069.6663995</v>
      </c>
      <c r="AG303" s="134">
        <f>+_xlfn.XLOOKUP(PROYECTOS2[[#This Row],[MUNICIPIO]],'4.CAP_ENDMNT'!B:B,'4.CAP_ENDMNT'!N:N,0,0,1)</f>
        <v>1</v>
      </c>
      <c r="AH303" s="134">
        <f>+_xlfn.XLOOKUP(PROYECTOS2[[#This Row],[MUNICIPIO]],'4.CAP_ENDMNT'!B:B,'4.CAP_ENDMNT'!O:O,0,0,1)</f>
        <v>0.78495373596781126</v>
      </c>
      <c r="AI303" s="134">
        <f>+_xlfn.XLOOKUP(PROYECTOS2[[#This Row],[MUNICIPIO]],'4.CAP_ENDMNT'!B:B,'4.CAP_ENDMNT'!P:P,0,0,1)</f>
        <v>0.8</v>
      </c>
      <c r="AJ303" s="44" t="str">
        <f>+_xlfn.XLOOKUP(PROYECTOS2[[#This Row],[MUNICIPIO]],'4.CAP_ENDMNT'!B:B,'4.CAP_ENDMNT'!Q:Q,0,0,1)</f>
        <v>Riesgo</v>
      </c>
    </row>
    <row r="304" spans="1:36">
      <c r="A304" s="44">
        <v>327</v>
      </c>
      <c r="B304" s="37" t="s">
        <v>627</v>
      </c>
      <c r="C304" s="118">
        <v>45747</v>
      </c>
      <c r="D304" s="46" t="s">
        <v>127</v>
      </c>
      <c r="E304" s="47" t="str">
        <f>+_xlfn.XLOOKUP(PROYECTOS2[[#This Row],[MUNICIPIO]],MUNICIPIOS!A:A,MUNICIPIOS!E:E,0,0,1)</f>
        <v>Suroeste</v>
      </c>
      <c r="F304" s="44" t="e" cm="1">
        <f t="array" ref="F304">+_xlfn.XLOOKUP(PROYECTOS2[[#This Row],[MUNICIPIO]],Table1[Municipio],MUNICIPIOS!F:F,0,0,1)</f>
        <v>#VALUE!</v>
      </c>
      <c r="G304" s="44" t="str">
        <f>+LOOKUP(PROYECTOS2[[#This Row],[MUNICIPIO]],Table1[Municipio],Table1[Latitud])</f>
        <v>7,074703</v>
      </c>
      <c r="H304" s="44">
        <f>+LOOKUP(PROYECTOS2[[#This Row],[MUNICIPIO]],Table1[Municipio],Table1[PDET])</f>
        <v>1</v>
      </c>
      <c r="I304" s="44">
        <f>+LOOKUP(PROYECTOS2[[#This Row],[MUNICIPIO]],Table1[Municipio],Table1[ZOMAC])</f>
        <v>1</v>
      </c>
      <c r="J304" s="3" t="str" cm="1">
        <f t="array" ref="J304">_xlfn.TEXTJOIN(", ", TRUE, IF(radicados[ID PROYECTOS]=A304, radicados[RADICADO], ""))</f>
        <v/>
      </c>
      <c r="K304" s="45">
        <v>1</v>
      </c>
      <c r="L304" s="45"/>
      <c r="M304" s="43"/>
      <c r="N304" s="48">
        <v>1253940006</v>
      </c>
      <c r="O304" s="48"/>
      <c r="P304" s="48"/>
      <c r="Q304" s="148" t="s">
        <v>1067</v>
      </c>
      <c r="R304" s="34" t="s">
        <v>407</v>
      </c>
      <c r="S304" s="40" t="s">
        <v>397</v>
      </c>
      <c r="T304" s="40" t="s">
        <v>56</v>
      </c>
      <c r="U304" s="37" t="s">
        <v>541</v>
      </c>
      <c r="V304" s="44">
        <f>+_xlfn.XLOOKUP(PROYECTOS2[[#This Row],[MUNICIPIO]],'4.CAP_ENDMNT'!B:B,'4.CAP_ENDMNT'!C:C,0,0,1)</f>
        <v>6</v>
      </c>
      <c r="W304" s="139">
        <f>+_xlfn.XLOOKUP(PROYECTOS2[[#This Row],[MUNICIPIO]],'4.CAP_ENDMNT'!B:B,'4.CAP_ENDMNT'!D:D,0,0,1)</f>
        <v>9197355968.8835011</v>
      </c>
      <c r="X304" s="140">
        <f>+_xlfn.XLOOKUP(PROYECTOS2[[#This Row],[MUNICIPIO]],'4.CAP_ENDMNT'!B:B,'4.CAP_ENDMNT'!E:E,0,0,1)</f>
        <v>3350398615.7000003</v>
      </c>
      <c r="Y304" s="140">
        <f>+_xlfn.XLOOKUP(PROYECTOS2[[#This Row],[MUNICIPIO]],'4.CAP_ENDMNT'!B:B,'4.CAP_ENDMNT'!F:F,0,0,1)</f>
        <v>5846957353.1835003</v>
      </c>
      <c r="Z304" s="140">
        <f>+_xlfn.XLOOKUP(PROYECTOS2[[#This Row],[MUNICIPIO]],'4.CAP_ENDMNT'!B:B,'4.CAP_ENDMNT'!G:G,0,0,1)</f>
        <v>958841544</v>
      </c>
      <c r="AA304" s="140">
        <f>+_xlfn.XLOOKUP(PROYECTOS2[[#This Row],[MUNICIPIO]],'4.CAP_ENDMNT'!B:B,'4.CAP_ENDMNT'!H:H,0,0,1)</f>
        <v>680000000</v>
      </c>
      <c r="AB304" s="140">
        <f>+_xlfn.XLOOKUP(PROYECTOS2[[#This Row],[MUNICIPIO]],'4.CAP_ENDMNT'!B:B,'4.CAP_ENDMNT'!I:I,0,0,1)</f>
        <v>1638841544</v>
      </c>
      <c r="AC304" s="134">
        <f>+_xlfn.XLOOKUP(PROYECTOS2[[#This Row],[MUNICIPIO]],'4.CAP_ENDMNT'!B:B,'4.CAP_ENDMNT'!J:J,0,0,1)</f>
        <v>0.17818616019044273</v>
      </c>
      <c r="AD304" s="140">
        <f>+_xlfn.XLOOKUP(PROYECTOS2[[#This Row],[MUNICIPIO]],'4.CAP_ENDMNT'!B:B,'4.CAP_ENDMNT'!K:K,0,0,1)</f>
        <v>7558514424.8835011</v>
      </c>
      <c r="AE304" s="140">
        <f>+_xlfn.XLOOKUP(PROYECTOS2[[#This Row],[MUNICIPIO]],'4.CAP_ENDMNT'!B:B,'4.CAP_ENDMNT'!L:L,0,0,1)</f>
        <v>6046811539.9068012</v>
      </c>
      <c r="AF304" s="140">
        <f>+_xlfn.XLOOKUP(PROYECTOS2[[#This Row],[MUNICIPIO]],'4.CAP_ENDMNT'!B:B,'4.CAP_ENDMNT'!M:M,0,0,1)</f>
        <v>4535108654.9301004</v>
      </c>
      <c r="AG304" s="134">
        <f>+_xlfn.XLOOKUP(PROYECTOS2[[#This Row],[MUNICIPIO]],'4.CAP_ENDMNT'!B:B,'4.CAP_ENDMNT'!N:N,0,0,1)</f>
        <v>0.58507275917579493</v>
      </c>
      <c r="AH304" s="134">
        <f>+_xlfn.XLOOKUP(PROYECTOS2[[#This Row],[MUNICIPIO]],'4.CAP_ENDMNT'!B:B,'4.CAP_ENDMNT'!O:O,0,0,1)</f>
        <v>0.53687312631507866</v>
      </c>
      <c r="AI304" s="134">
        <f>+_xlfn.XLOOKUP(PROYECTOS2[[#This Row],[MUNICIPIO]],'4.CAP_ENDMNT'!B:B,'4.CAP_ENDMNT'!P:P,0,0,1)</f>
        <v>0.8</v>
      </c>
      <c r="AJ304" s="44" t="str">
        <f>+_xlfn.XLOOKUP(PROYECTOS2[[#This Row],[MUNICIPIO]],'4.CAP_ENDMNT'!B:B,'4.CAP_ENDMNT'!Q:Q,0,0,1)</f>
        <v>Cumple</v>
      </c>
    </row>
    <row r="305" spans="1:36">
      <c r="A305" s="44">
        <v>328</v>
      </c>
      <c r="B305" s="37" t="s">
        <v>628</v>
      </c>
      <c r="C305" s="118">
        <v>45747</v>
      </c>
      <c r="D305" s="46" t="s">
        <v>230</v>
      </c>
      <c r="E305" s="47" t="str">
        <f>+_xlfn.XLOOKUP(PROYECTOS2[[#This Row],[MUNICIPIO]],MUNICIPIOS!A:A,MUNICIPIOS!E:E,0,0,1)</f>
        <v>Suroeste</v>
      </c>
      <c r="F305" s="44" t="e" cm="1">
        <f t="array" ref="F305">+_xlfn.XLOOKUP(PROYECTOS2[[#This Row],[MUNICIPIO]],Table1[Municipio],MUNICIPIOS!F:F,0,0,1)</f>
        <v>#VALUE!</v>
      </c>
      <c r="G305" s="44" t="str">
        <f>+LOOKUP(PROYECTOS2[[#This Row],[MUNICIPIO]],Table1[Municipio],Table1[Latitud])</f>
        <v>6,232461</v>
      </c>
      <c r="H305" s="44">
        <f>+LOOKUP(PROYECTOS2[[#This Row],[MUNICIPIO]],Table1[Municipio],Table1[PDET])</f>
        <v>0</v>
      </c>
      <c r="I305" s="44">
        <f>+LOOKUP(PROYECTOS2[[#This Row],[MUNICIPIO]],Table1[Municipio],Table1[ZOMAC])</f>
        <v>0</v>
      </c>
      <c r="J305" s="3" t="str" cm="1">
        <f t="array" ref="J305">_xlfn.TEXTJOIN(", ", TRUE, IF(radicados[ID PROYECTOS]=A305, radicados[RADICADO], ""))</f>
        <v/>
      </c>
      <c r="K305" s="45">
        <v>1</v>
      </c>
      <c r="L305" s="45"/>
      <c r="M305" s="43"/>
      <c r="N305" s="48">
        <v>309192868</v>
      </c>
      <c r="O305" s="48"/>
      <c r="P305" s="48"/>
      <c r="Q305" s="148" t="s">
        <v>1067</v>
      </c>
      <c r="R305" s="34" t="s">
        <v>407</v>
      </c>
      <c r="S305" s="40" t="s">
        <v>397</v>
      </c>
      <c r="T305" s="40" t="s">
        <v>56</v>
      </c>
      <c r="U305" s="37" t="s">
        <v>541</v>
      </c>
      <c r="V305" s="44">
        <f>+_xlfn.XLOOKUP(PROYECTOS2[[#This Row],[MUNICIPIO]],'4.CAP_ENDMNT'!B:B,'4.CAP_ENDMNT'!C:C,0,0,1)</f>
        <v>6</v>
      </c>
      <c r="W305" s="139">
        <f>+_xlfn.XLOOKUP(PROYECTOS2[[#This Row],[MUNICIPIO]],'4.CAP_ENDMNT'!B:B,'4.CAP_ENDMNT'!D:D,0,0,1)</f>
        <v>6274381972.2840004</v>
      </c>
      <c r="X305" s="140">
        <f>+_xlfn.XLOOKUP(PROYECTOS2[[#This Row],[MUNICIPIO]],'4.CAP_ENDMNT'!B:B,'4.CAP_ENDMNT'!E:E,0,0,1)</f>
        <v>2404546434.0300002</v>
      </c>
      <c r="Y305" s="140">
        <f>+_xlfn.XLOOKUP(PROYECTOS2[[#This Row],[MUNICIPIO]],'4.CAP_ENDMNT'!B:B,'4.CAP_ENDMNT'!F:F,0,0,1)</f>
        <v>3869835538.2540002</v>
      </c>
      <c r="Z305" s="140">
        <f>+_xlfn.XLOOKUP(PROYECTOS2[[#This Row],[MUNICIPIO]],'4.CAP_ENDMNT'!B:B,'4.CAP_ENDMNT'!G:G,0,0,1)</f>
        <v>1292225834</v>
      </c>
      <c r="AA305" s="140">
        <f>+_xlfn.XLOOKUP(PROYECTOS2[[#This Row],[MUNICIPIO]],'4.CAP_ENDMNT'!B:B,'4.CAP_ENDMNT'!H:H,0,0,1)</f>
        <v>0</v>
      </c>
      <c r="AB305" s="140">
        <f>+_xlfn.XLOOKUP(PROYECTOS2[[#This Row],[MUNICIPIO]],'4.CAP_ENDMNT'!B:B,'4.CAP_ENDMNT'!I:I,0,0,1)</f>
        <v>1292225834</v>
      </c>
      <c r="AC305" s="134">
        <f>+_xlfn.XLOOKUP(PROYECTOS2[[#This Row],[MUNICIPIO]],'4.CAP_ENDMNT'!B:B,'4.CAP_ENDMNT'!J:J,0,0,1)</f>
        <v>0.20595268820230975</v>
      </c>
      <c r="AD305" s="140">
        <f>+_xlfn.XLOOKUP(PROYECTOS2[[#This Row],[MUNICIPIO]],'4.CAP_ENDMNT'!B:B,'4.CAP_ENDMNT'!K:K,0,0,1)</f>
        <v>4982156138.2840004</v>
      </c>
      <c r="AE305" s="140">
        <f>+_xlfn.XLOOKUP(PROYECTOS2[[#This Row],[MUNICIPIO]],'4.CAP_ENDMNT'!B:B,'4.CAP_ENDMNT'!L:L,0,0,1)</f>
        <v>3985724910.6272006</v>
      </c>
      <c r="AF305" s="140">
        <f>+_xlfn.XLOOKUP(PROYECTOS2[[#This Row],[MUNICIPIO]],'4.CAP_ENDMNT'!B:B,'4.CAP_ENDMNT'!M:M,0,0,1)</f>
        <v>2989293682.9704003</v>
      </c>
      <c r="AG305" s="134">
        <f>+_xlfn.XLOOKUP(PROYECTOS2[[#This Row],[MUNICIPIO]],'4.CAP_ENDMNT'!B:B,'4.CAP_ENDMNT'!N:N,0,0,1)</f>
        <v>1</v>
      </c>
      <c r="AH305" s="134">
        <f>+_xlfn.XLOOKUP(PROYECTOS2[[#This Row],[MUNICIPIO]],'4.CAP_ENDMNT'!B:B,'4.CAP_ENDMNT'!O:O,0,0,1)</f>
        <v>0.75496548270760855</v>
      </c>
      <c r="AI305" s="134">
        <f>+_xlfn.XLOOKUP(PROYECTOS2[[#This Row],[MUNICIPIO]],'4.CAP_ENDMNT'!B:B,'4.CAP_ENDMNT'!P:P,0,0,1)</f>
        <v>0.8</v>
      </c>
      <c r="AJ305" s="44" t="str">
        <f>+_xlfn.XLOOKUP(PROYECTOS2[[#This Row],[MUNICIPIO]],'4.CAP_ENDMNT'!B:B,'4.CAP_ENDMNT'!Q:Q,0,0,1)</f>
        <v>Riesgo</v>
      </c>
    </row>
    <row r="306" spans="1:36">
      <c r="A306" s="44">
        <v>329</v>
      </c>
      <c r="B306" s="37" t="s">
        <v>629</v>
      </c>
      <c r="C306" s="118">
        <v>45747</v>
      </c>
      <c r="D306" s="46" t="s">
        <v>90</v>
      </c>
      <c r="E306" s="47" t="str">
        <f>+_xlfn.XLOOKUP(PROYECTOS2[[#This Row],[MUNICIPIO]],MUNICIPIOS!A:A,MUNICIPIOS!E:E,0,0,1)</f>
        <v>Suroeste</v>
      </c>
      <c r="F306" s="44" t="e" cm="1">
        <f t="array" ref="F306">+_xlfn.XLOOKUP(PROYECTOS2[[#This Row],[MUNICIPIO]],Table1[Municipio],MUNICIPIOS!F:F,0,0,1)</f>
        <v>#VALUE!</v>
      </c>
      <c r="G306" s="44" t="str">
        <f>+LOOKUP(PROYECTOS2[[#This Row],[MUNICIPIO]],Table1[Municipio],Table1[Latitud])</f>
        <v>6,149903</v>
      </c>
      <c r="H306" s="44">
        <f>+LOOKUP(PROYECTOS2[[#This Row],[MUNICIPIO]],Table1[Municipio],Table1[PDET])</f>
        <v>0</v>
      </c>
      <c r="I306" s="44">
        <f>+LOOKUP(PROYECTOS2[[#This Row],[MUNICIPIO]],Table1[Municipio],Table1[ZOMAC])</f>
        <v>0</v>
      </c>
      <c r="J306" s="3" t="str" cm="1">
        <f t="array" ref="J306">_xlfn.TEXTJOIN(", ", TRUE, IF(radicados[ID PROYECTOS]=A306, radicados[RADICADO], ""))</f>
        <v/>
      </c>
      <c r="K306" s="45">
        <v>1</v>
      </c>
      <c r="L306" s="45"/>
      <c r="M306" s="43"/>
      <c r="N306" s="48">
        <v>946491260</v>
      </c>
      <c r="O306" s="48"/>
      <c r="P306" s="48"/>
      <c r="Q306" s="148" t="s">
        <v>1067</v>
      </c>
      <c r="R306" s="34" t="s">
        <v>407</v>
      </c>
      <c r="S306" s="40" t="s">
        <v>397</v>
      </c>
      <c r="T306" s="40" t="s">
        <v>56</v>
      </c>
      <c r="U306" s="37" t="s">
        <v>541</v>
      </c>
      <c r="V306" s="44">
        <f>+_xlfn.XLOOKUP(PROYECTOS2[[#This Row],[MUNICIPIO]],'4.CAP_ENDMNT'!B:B,'4.CAP_ENDMNT'!C:C,0,0,1)</f>
        <v>6</v>
      </c>
      <c r="W306" s="139">
        <f>+_xlfn.XLOOKUP(PROYECTOS2[[#This Row],[MUNICIPIO]],'4.CAP_ENDMNT'!B:B,'4.CAP_ENDMNT'!D:D,0,0,1)</f>
        <v>6485715716.868001</v>
      </c>
      <c r="X306" s="140">
        <f>+_xlfn.XLOOKUP(PROYECTOS2[[#This Row],[MUNICIPIO]],'4.CAP_ENDMNT'!B:B,'4.CAP_ENDMNT'!E:E,0,0,1)</f>
        <v>3717110032.7600002</v>
      </c>
      <c r="Y306" s="140">
        <f>+_xlfn.XLOOKUP(PROYECTOS2[[#This Row],[MUNICIPIO]],'4.CAP_ENDMNT'!B:B,'4.CAP_ENDMNT'!F:F,0,0,1)</f>
        <v>2768605684.1080008</v>
      </c>
      <c r="Z306" s="140">
        <f>+_xlfn.XLOOKUP(PROYECTOS2[[#This Row],[MUNICIPIO]],'4.CAP_ENDMNT'!B:B,'4.CAP_ENDMNT'!G:G,0,0,1)</f>
        <v>598561755.20000005</v>
      </c>
      <c r="AA306" s="140">
        <f>+_xlfn.XLOOKUP(PROYECTOS2[[#This Row],[MUNICIPIO]],'4.CAP_ENDMNT'!B:B,'4.CAP_ENDMNT'!H:H,0,0,1)</f>
        <v>823222224</v>
      </c>
      <c r="AB306" s="140">
        <f>+_xlfn.XLOOKUP(PROYECTOS2[[#This Row],[MUNICIPIO]],'4.CAP_ENDMNT'!B:B,'4.CAP_ENDMNT'!I:I,0,0,1)</f>
        <v>1421783979.2</v>
      </c>
      <c r="AC306" s="134">
        <f>+_xlfn.XLOOKUP(PROYECTOS2[[#This Row],[MUNICIPIO]],'4.CAP_ENDMNT'!B:B,'4.CAP_ENDMNT'!J:J,0,0,1)</f>
        <v>0.21921774577665112</v>
      </c>
      <c r="AD306" s="140">
        <f>+_xlfn.XLOOKUP(PROYECTOS2[[#This Row],[MUNICIPIO]],'4.CAP_ENDMNT'!B:B,'4.CAP_ENDMNT'!K:K,0,0,1)</f>
        <v>5063931737.6680012</v>
      </c>
      <c r="AE306" s="140">
        <f>+_xlfn.XLOOKUP(PROYECTOS2[[#This Row],[MUNICIPIO]],'4.CAP_ENDMNT'!B:B,'4.CAP_ENDMNT'!L:L,0,0,1)</f>
        <v>4051145390.1344013</v>
      </c>
      <c r="AF306" s="140">
        <f>+_xlfn.XLOOKUP(PROYECTOS2[[#This Row],[MUNICIPIO]],'4.CAP_ENDMNT'!B:B,'4.CAP_ENDMNT'!M:M,0,0,1)</f>
        <v>3038359042.6008005</v>
      </c>
      <c r="AG306" s="134">
        <f>+_xlfn.XLOOKUP(PROYECTOS2[[#This Row],[MUNICIPIO]],'4.CAP_ENDMNT'!B:B,'4.CAP_ENDMNT'!N:N,0,0,1)</f>
        <v>0.42099345889155032</v>
      </c>
      <c r="AH306" s="134">
        <f>+_xlfn.XLOOKUP(PROYECTOS2[[#This Row],[MUNICIPIO]],'4.CAP_ENDMNT'!B:B,'4.CAP_ENDMNT'!O:O,0,0,1)</f>
        <v>0.68598337343648785</v>
      </c>
      <c r="AI306" s="134">
        <f>+_xlfn.XLOOKUP(PROYECTOS2[[#This Row],[MUNICIPIO]],'4.CAP_ENDMNT'!B:B,'4.CAP_ENDMNT'!P:P,0,0,1)</f>
        <v>0.8</v>
      </c>
      <c r="AJ306" s="44" t="str">
        <f>+_xlfn.XLOOKUP(PROYECTOS2[[#This Row],[MUNICIPIO]],'4.CAP_ENDMNT'!B:B,'4.CAP_ENDMNT'!Q:Q,0,0,1)</f>
        <v>Cumple</v>
      </c>
    </row>
    <row r="307" spans="1:36">
      <c r="A307" s="44">
        <v>330</v>
      </c>
      <c r="B307" s="37" t="s">
        <v>630</v>
      </c>
      <c r="C307" s="118">
        <v>45747</v>
      </c>
      <c r="D307" s="46" t="s">
        <v>61</v>
      </c>
      <c r="E307" s="47" t="str">
        <f>+_xlfn.XLOOKUP(PROYECTOS2[[#This Row],[MUNICIPIO]],MUNICIPIOS!A:A,MUNICIPIOS!E:E,0,0,1)</f>
        <v>Suroeste</v>
      </c>
      <c r="F307" s="44" t="e" cm="1">
        <f t="array" ref="F307">+_xlfn.XLOOKUP(PROYECTOS2[[#This Row],[MUNICIPIO]],Table1[Municipio],MUNICIPIOS!F:F,0,0,1)</f>
        <v>#VALUE!</v>
      </c>
      <c r="G307" s="44" t="str">
        <f>+LOOKUP(PROYECTOS2[[#This Row],[MUNICIPIO]],Table1[Municipio],Table1[Latitud])</f>
        <v>6,136871</v>
      </c>
      <c r="H307" s="44">
        <f>+LOOKUP(PROYECTOS2[[#This Row],[MUNICIPIO]],Table1[Municipio],Table1[PDET])</f>
        <v>0</v>
      </c>
      <c r="I307" s="44">
        <f>+LOOKUP(PROYECTOS2[[#This Row],[MUNICIPIO]],Table1[Municipio],Table1[ZOMAC])</f>
        <v>0</v>
      </c>
      <c r="J307" s="3" t="str" cm="1">
        <f t="array" ref="J307">_xlfn.TEXTJOIN(", ", TRUE, IF(radicados[ID PROYECTOS]=A307, radicados[RADICADO], ""))</f>
        <v/>
      </c>
      <c r="K307" s="45">
        <v>1</v>
      </c>
      <c r="L307" s="45"/>
      <c r="M307" s="43"/>
      <c r="N307" s="48">
        <v>1210722734</v>
      </c>
      <c r="O307" s="48"/>
      <c r="P307" s="48"/>
      <c r="Q307" s="148" t="s">
        <v>1067</v>
      </c>
      <c r="R307" s="34" t="s">
        <v>407</v>
      </c>
      <c r="S307" s="40" t="s">
        <v>397</v>
      </c>
      <c r="T307" s="40" t="s">
        <v>56</v>
      </c>
      <c r="U307" s="37" t="s">
        <v>541</v>
      </c>
      <c r="V307" s="44">
        <f>+_xlfn.XLOOKUP(PROYECTOS2[[#This Row],[MUNICIPIO]],'4.CAP_ENDMNT'!B:B,'4.CAP_ENDMNT'!C:C,0,0,1)</f>
        <v>6</v>
      </c>
      <c r="W307" s="139">
        <f>+_xlfn.XLOOKUP(PROYECTOS2[[#This Row],[MUNICIPIO]],'4.CAP_ENDMNT'!B:B,'4.CAP_ENDMNT'!D:D,0,0,1)</f>
        <v>17515986067.273998</v>
      </c>
      <c r="X307" s="140">
        <f>+_xlfn.XLOOKUP(PROYECTOS2[[#This Row],[MUNICIPIO]],'4.CAP_ENDMNT'!B:B,'4.CAP_ENDMNT'!E:E,0,0,1)</f>
        <v>8346764868.3600006</v>
      </c>
      <c r="Y307" s="140">
        <f>+_xlfn.XLOOKUP(PROYECTOS2[[#This Row],[MUNICIPIO]],'4.CAP_ENDMNT'!B:B,'4.CAP_ENDMNT'!F:F,0,0,1)</f>
        <v>9169221198.9139977</v>
      </c>
      <c r="Z307" s="140">
        <f>+_xlfn.XLOOKUP(PROYECTOS2[[#This Row],[MUNICIPIO]],'4.CAP_ENDMNT'!B:B,'4.CAP_ENDMNT'!G:G,0,0,1)</f>
        <v>0</v>
      </c>
      <c r="AA307" s="140">
        <f>+_xlfn.XLOOKUP(PROYECTOS2[[#This Row],[MUNICIPIO]],'4.CAP_ENDMNT'!B:B,'4.CAP_ENDMNT'!H:H,0,0,1)</f>
        <v>6328650461</v>
      </c>
      <c r="AB307" s="140">
        <f>+_xlfn.XLOOKUP(PROYECTOS2[[#This Row],[MUNICIPIO]],'4.CAP_ENDMNT'!B:B,'4.CAP_ENDMNT'!I:I,0,0,1)</f>
        <v>6328650461</v>
      </c>
      <c r="AC307" s="134">
        <f>+_xlfn.XLOOKUP(PROYECTOS2[[#This Row],[MUNICIPIO]],'4.CAP_ENDMNT'!B:B,'4.CAP_ENDMNT'!J:J,0,0,1)</f>
        <v>0.36130711891945022</v>
      </c>
      <c r="AD307" s="140">
        <f>+_xlfn.XLOOKUP(PROYECTOS2[[#This Row],[MUNICIPIO]],'4.CAP_ENDMNT'!B:B,'4.CAP_ENDMNT'!K:K,0,0,1)</f>
        <v>11187335606.273998</v>
      </c>
      <c r="AE307" s="140">
        <f>+_xlfn.XLOOKUP(PROYECTOS2[[#This Row],[MUNICIPIO]],'4.CAP_ENDMNT'!B:B,'4.CAP_ENDMNT'!L:L,0,0,1)</f>
        <v>8949868485.0191994</v>
      </c>
      <c r="AF307" s="140">
        <f>+_xlfn.XLOOKUP(PROYECTOS2[[#This Row],[MUNICIPIO]],'4.CAP_ENDMNT'!B:B,'4.CAP_ENDMNT'!M:M,0,0,1)</f>
        <v>6712401363.7643986</v>
      </c>
      <c r="AG307" s="134">
        <f>+_xlfn.XLOOKUP(PROYECTOS2[[#This Row],[MUNICIPIO]],'4.CAP_ENDMNT'!B:B,'4.CAP_ENDMNT'!N:N,0,0,1)</f>
        <v>0</v>
      </c>
      <c r="AH307" s="134">
        <f>+_xlfn.XLOOKUP(PROYECTOS2[[#This Row],[MUNICIPIO]],'4.CAP_ENDMNT'!B:B,'4.CAP_ENDMNT'!O:O,0,0,1)</f>
        <v>0.67376313277740918</v>
      </c>
      <c r="AI307" s="134">
        <f>+_xlfn.XLOOKUP(PROYECTOS2[[#This Row],[MUNICIPIO]],'4.CAP_ENDMNT'!B:B,'4.CAP_ENDMNT'!P:P,0,0,1)</f>
        <v>0.8</v>
      </c>
      <c r="AJ307" s="44" t="str">
        <f>+_xlfn.XLOOKUP(PROYECTOS2[[#This Row],[MUNICIPIO]],'4.CAP_ENDMNT'!B:B,'4.CAP_ENDMNT'!Q:Q,0,0,1)</f>
        <v>Cumple</v>
      </c>
    </row>
    <row r="308" spans="1:36">
      <c r="A308" s="44">
        <v>331</v>
      </c>
      <c r="B308" s="37" t="s">
        <v>631</v>
      </c>
      <c r="C308" s="118">
        <v>45747</v>
      </c>
      <c r="D308" s="46" t="s">
        <v>61</v>
      </c>
      <c r="E308" s="47" t="str">
        <f>+_xlfn.XLOOKUP(PROYECTOS2[[#This Row],[MUNICIPIO]],MUNICIPIOS!A:A,MUNICIPIOS!E:E,0,0,1)</f>
        <v>Suroeste</v>
      </c>
      <c r="F308" s="44" t="e" cm="1">
        <f t="array" ref="F308">+_xlfn.XLOOKUP(PROYECTOS2[[#This Row],[MUNICIPIO]],Table1[Municipio],MUNICIPIOS!F:F,0,0,1)</f>
        <v>#VALUE!</v>
      </c>
      <c r="G308" s="44" t="str">
        <f>+LOOKUP(PROYECTOS2[[#This Row],[MUNICIPIO]],Table1[Municipio],Table1[Latitud])</f>
        <v>6,136871</v>
      </c>
      <c r="H308" s="44">
        <f>+LOOKUP(PROYECTOS2[[#This Row],[MUNICIPIO]],Table1[Municipio],Table1[PDET])</f>
        <v>0</v>
      </c>
      <c r="I308" s="44">
        <f>+LOOKUP(PROYECTOS2[[#This Row],[MUNICIPIO]],Table1[Municipio],Table1[ZOMAC])</f>
        <v>0</v>
      </c>
      <c r="J308" s="3" t="str" cm="1">
        <f t="array" ref="J308">_xlfn.TEXTJOIN(", ", TRUE, IF(radicados[ID PROYECTOS]=A308, radicados[RADICADO], ""))</f>
        <v/>
      </c>
      <c r="K308" s="45">
        <v>1</v>
      </c>
      <c r="L308" s="45"/>
      <c r="M308" s="43"/>
      <c r="N308" s="48">
        <v>448901640</v>
      </c>
      <c r="O308" s="48"/>
      <c r="P308" s="48"/>
      <c r="Q308" s="148" t="s">
        <v>1067</v>
      </c>
      <c r="R308" s="34" t="s">
        <v>407</v>
      </c>
      <c r="S308" s="40" t="s">
        <v>397</v>
      </c>
      <c r="T308" s="40" t="s">
        <v>56</v>
      </c>
      <c r="U308" s="37" t="s">
        <v>541</v>
      </c>
      <c r="V308" s="44">
        <f>+_xlfn.XLOOKUP(PROYECTOS2[[#This Row],[MUNICIPIO]],'4.CAP_ENDMNT'!B:B,'4.CAP_ENDMNT'!C:C,0,0,1)</f>
        <v>6</v>
      </c>
      <c r="W308" s="139">
        <f>+_xlfn.XLOOKUP(PROYECTOS2[[#This Row],[MUNICIPIO]],'4.CAP_ENDMNT'!B:B,'4.CAP_ENDMNT'!D:D,0,0,1)</f>
        <v>17515986067.273998</v>
      </c>
      <c r="X308" s="140">
        <f>+_xlfn.XLOOKUP(PROYECTOS2[[#This Row],[MUNICIPIO]],'4.CAP_ENDMNT'!B:B,'4.CAP_ENDMNT'!E:E,0,0,1)</f>
        <v>8346764868.3600006</v>
      </c>
      <c r="Y308" s="140">
        <f>+_xlfn.XLOOKUP(PROYECTOS2[[#This Row],[MUNICIPIO]],'4.CAP_ENDMNT'!B:B,'4.CAP_ENDMNT'!F:F,0,0,1)</f>
        <v>9169221198.9139977</v>
      </c>
      <c r="Z308" s="140">
        <f>+_xlfn.XLOOKUP(PROYECTOS2[[#This Row],[MUNICIPIO]],'4.CAP_ENDMNT'!B:B,'4.CAP_ENDMNT'!G:G,0,0,1)</f>
        <v>0</v>
      </c>
      <c r="AA308" s="140">
        <f>+_xlfn.XLOOKUP(PROYECTOS2[[#This Row],[MUNICIPIO]],'4.CAP_ENDMNT'!B:B,'4.CAP_ENDMNT'!H:H,0,0,1)</f>
        <v>6328650461</v>
      </c>
      <c r="AB308" s="140">
        <f>+_xlfn.XLOOKUP(PROYECTOS2[[#This Row],[MUNICIPIO]],'4.CAP_ENDMNT'!B:B,'4.CAP_ENDMNT'!I:I,0,0,1)</f>
        <v>6328650461</v>
      </c>
      <c r="AC308" s="134">
        <f>+_xlfn.XLOOKUP(PROYECTOS2[[#This Row],[MUNICIPIO]],'4.CAP_ENDMNT'!B:B,'4.CAP_ENDMNT'!J:J,0,0,1)</f>
        <v>0.36130711891945022</v>
      </c>
      <c r="AD308" s="140">
        <f>+_xlfn.XLOOKUP(PROYECTOS2[[#This Row],[MUNICIPIO]],'4.CAP_ENDMNT'!B:B,'4.CAP_ENDMNT'!K:K,0,0,1)</f>
        <v>11187335606.273998</v>
      </c>
      <c r="AE308" s="140">
        <f>+_xlfn.XLOOKUP(PROYECTOS2[[#This Row],[MUNICIPIO]],'4.CAP_ENDMNT'!B:B,'4.CAP_ENDMNT'!L:L,0,0,1)</f>
        <v>8949868485.0191994</v>
      </c>
      <c r="AF308" s="140">
        <f>+_xlfn.XLOOKUP(PROYECTOS2[[#This Row],[MUNICIPIO]],'4.CAP_ENDMNT'!B:B,'4.CAP_ENDMNT'!M:M,0,0,1)</f>
        <v>6712401363.7643986</v>
      </c>
      <c r="AG308" s="134">
        <f>+_xlfn.XLOOKUP(PROYECTOS2[[#This Row],[MUNICIPIO]],'4.CAP_ENDMNT'!B:B,'4.CAP_ENDMNT'!N:N,0,0,1)</f>
        <v>0</v>
      </c>
      <c r="AH308" s="134">
        <f>+_xlfn.XLOOKUP(PROYECTOS2[[#This Row],[MUNICIPIO]],'4.CAP_ENDMNT'!B:B,'4.CAP_ENDMNT'!O:O,0,0,1)</f>
        <v>0.67376313277740918</v>
      </c>
      <c r="AI308" s="134">
        <f>+_xlfn.XLOOKUP(PROYECTOS2[[#This Row],[MUNICIPIO]],'4.CAP_ENDMNT'!B:B,'4.CAP_ENDMNT'!P:P,0,0,1)</f>
        <v>0.8</v>
      </c>
      <c r="AJ308" s="44" t="str">
        <f>+_xlfn.XLOOKUP(PROYECTOS2[[#This Row],[MUNICIPIO]],'4.CAP_ENDMNT'!B:B,'4.CAP_ENDMNT'!Q:Q,0,0,1)</f>
        <v>Cumple</v>
      </c>
    </row>
    <row r="309" spans="1:36">
      <c r="A309" s="44">
        <v>332</v>
      </c>
      <c r="B309" s="37" t="s">
        <v>632</v>
      </c>
      <c r="C309" s="118">
        <v>45747</v>
      </c>
      <c r="D309" s="46" t="s">
        <v>52</v>
      </c>
      <c r="E309" s="47" t="str">
        <f>+_xlfn.XLOOKUP(PROYECTOS2[[#This Row],[MUNICIPIO]],MUNICIPIOS!A:A,MUNICIPIOS!E:E,0,0,1)</f>
        <v>Suroeste</v>
      </c>
      <c r="F309" s="44" t="e" cm="1">
        <f t="array" ref="F309">+_xlfn.XLOOKUP(PROYECTOS2[[#This Row],[MUNICIPIO]],Table1[Municipio],MUNICIPIOS!F:F,0,0,1)</f>
        <v>#VALUE!</v>
      </c>
      <c r="G309" s="44" t="str">
        <f>+LOOKUP(PROYECTOS2[[#This Row],[MUNICIPIO]],Table1[Municipio],Table1[Latitud])</f>
        <v>6,149903</v>
      </c>
      <c r="H309" s="44">
        <f>+LOOKUP(PROYECTOS2[[#This Row],[MUNICIPIO]],Table1[Municipio],Table1[PDET])</f>
        <v>0</v>
      </c>
      <c r="I309" s="44">
        <f>+LOOKUP(PROYECTOS2[[#This Row],[MUNICIPIO]],Table1[Municipio],Table1[ZOMAC])</f>
        <v>0</v>
      </c>
      <c r="J309" s="3" t="str" cm="1">
        <f t="array" ref="J309">_xlfn.TEXTJOIN(", ", TRUE, IF(radicados[ID PROYECTOS]=A309, radicados[RADICADO], ""))</f>
        <v/>
      </c>
      <c r="K309" s="45">
        <v>1</v>
      </c>
      <c r="L309" s="45"/>
      <c r="M309" s="43"/>
      <c r="N309" s="48">
        <v>423868662</v>
      </c>
      <c r="O309" s="48"/>
      <c r="P309" s="48"/>
      <c r="Q309" s="148" t="s">
        <v>1067</v>
      </c>
      <c r="R309" s="34" t="s">
        <v>407</v>
      </c>
      <c r="S309" s="40" t="s">
        <v>397</v>
      </c>
      <c r="T309" s="40" t="s">
        <v>56</v>
      </c>
      <c r="U309" s="37" t="s">
        <v>541</v>
      </c>
      <c r="V309" s="44">
        <f>+_xlfn.XLOOKUP(PROYECTOS2[[#This Row],[MUNICIPIO]],'4.CAP_ENDMNT'!B:B,'4.CAP_ENDMNT'!C:C,0,0,1)</f>
        <v>6</v>
      </c>
      <c r="W309" s="139">
        <f>+_xlfn.XLOOKUP(PROYECTOS2[[#This Row],[MUNICIPIO]],'4.CAP_ENDMNT'!B:B,'4.CAP_ENDMNT'!D:D,0,0,1)</f>
        <v>13939577899.640499</v>
      </c>
      <c r="X309" s="140">
        <f>+_xlfn.XLOOKUP(PROYECTOS2[[#This Row],[MUNICIPIO]],'4.CAP_ENDMNT'!B:B,'4.CAP_ENDMNT'!E:E,0,0,1)</f>
        <v>5408645166.3600006</v>
      </c>
      <c r="Y309" s="140">
        <f>+_xlfn.XLOOKUP(PROYECTOS2[[#This Row],[MUNICIPIO]],'4.CAP_ENDMNT'!B:B,'4.CAP_ENDMNT'!F:F,0,0,1)</f>
        <v>8530932733.2804985</v>
      </c>
      <c r="Z309" s="140">
        <f>+_xlfn.XLOOKUP(PROYECTOS2[[#This Row],[MUNICIPIO]],'4.CAP_ENDMNT'!B:B,'4.CAP_ENDMNT'!G:G,0,0,1)</f>
        <v>2408239973</v>
      </c>
      <c r="AA309" s="140">
        <f>+_xlfn.XLOOKUP(PROYECTOS2[[#This Row],[MUNICIPIO]],'4.CAP_ENDMNT'!B:B,'4.CAP_ENDMNT'!H:H,0,0,1)</f>
        <v>812109375</v>
      </c>
      <c r="AB309" s="140">
        <f>+_xlfn.XLOOKUP(PROYECTOS2[[#This Row],[MUNICIPIO]],'4.CAP_ENDMNT'!B:B,'4.CAP_ENDMNT'!I:I,0,0,1)</f>
        <v>3220349348</v>
      </c>
      <c r="AC309" s="134">
        <f>+_xlfn.XLOOKUP(PROYECTOS2[[#This Row],[MUNICIPIO]],'4.CAP_ENDMNT'!B:B,'4.CAP_ENDMNT'!J:J,0,0,1)</f>
        <v>0.23102201309001277</v>
      </c>
      <c r="AD309" s="140">
        <f>+_xlfn.XLOOKUP(PROYECTOS2[[#This Row],[MUNICIPIO]],'4.CAP_ENDMNT'!B:B,'4.CAP_ENDMNT'!K:K,0,0,1)</f>
        <v>10719228551.640499</v>
      </c>
      <c r="AE309" s="140">
        <f>+_xlfn.XLOOKUP(PROYECTOS2[[#This Row],[MUNICIPIO]],'4.CAP_ENDMNT'!B:B,'4.CAP_ENDMNT'!L:L,0,0,1)</f>
        <v>8575382841.3123999</v>
      </c>
      <c r="AF309" s="140">
        <f>+_xlfn.XLOOKUP(PROYECTOS2[[#This Row],[MUNICIPIO]],'4.CAP_ENDMNT'!B:B,'4.CAP_ENDMNT'!M:M,0,0,1)</f>
        <v>6431537130.9842997</v>
      </c>
      <c r="AG309" s="134">
        <f>+_xlfn.XLOOKUP(PROYECTOS2[[#This Row],[MUNICIPIO]],'4.CAP_ENDMNT'!B:B,'4.CAP_ENDMNT'!N:N,0,0,1)</f>
        <v>0.74781947942872684</v>
      </c>
      <c r="AH309" s="134">
        <f>+_xlfn.XLOOKUP(PROYECTOS2[[#This Row],[MUNICIPIO]],'4.CAP_ENDMNT'!B:B,'4.CAP_ENDMNT'!O:O,0,0,1)</f>
        <v>0.48148969869574604</v>
      </c>
      <c r="AI309" s="134">
        <f>+_xlfn.XLOOKUP(PROYECTOS2[[#This Row],[MUNICIPIO]],'4.CAP_ENDMNT'!B:B,'4.CAP_ENDMNT'!P:P,0,0,1)</f>
        <v>0.8</v>
      </c>
      <c r="AJ309" s="44" t="str">
        <f>+_xlfn.XLOOKUP(PROYECTOS2[[#This Row],[MUNICIPIO]],'4.CAP_ENDMNT'!B:B,'4.CAP_ENDMNT'!Q:Q,0,0,1)</f>
        <v>Cumple</v>
      </c>
    </row>
    <row r="310" spans="1:36">
      <c r="A310" s="44">
        <v>333</v>
      </c>
      <c r="B310" s="37" t="s">
        <v>633</v>
      </c>
      <c r="C310" s="118">
        <v>45747</v>
      </c>
      <c r="D310" s="46" t="s">
        <v>216</v>
      </c>
      <c r="E310" s="47" t="str">
        <f>+_xlfn.XLOOKUP(PROYECTOS2[[#This Row],[MUNICIPIO]],MUNICIPIOS!A:A,MUNICIPIOS!E:E,0,0,1)</f>
        <v>Suroeste</v>
      </c>
      <c r="F310" s="44" t="e" cm="1">
        <f t="array" ref="F310">+_xlfn.XLOOKUP(PROYECTOS2[[#This Row],[MUNICIPIO]],Table1[Municipio],MUNICIPIOS!F:F,0,0,1)</f>
        <v>#VALUE!</v>
      </c>
      <c r="G310" s="44" t="e">
        <f>+LOOKUP(PROYECTOS2[[#This Row],[MUNICIPIO]],Table1[Municipio],Table1[Latitud])</f>
        <v>#N/A</v>
      </c>
      <c r="H310" s="44" t="e">
        <f>+LOOKUP(PROYECTOS2[[#This Row],[MUNICIPIO]],Table1[Municipio],Table1[PDET])</f>
        <v>#N/A</v>
      </c>
      <c r="I310" s="44" t="e">
        <f>+LOOKUP(PROYECTOS2[[#This Row],[MUNICIPIO]],Table1[Municipio],Table1[ZOMAC])</f>
        <v>#N/A</v>
      </c>
      <c r="J310" s="3" t="str" cm="1">
        <f t="array" ref="J310">_xlfn.TEXTJOIN(", ", TRUE, IF(radicados[ID PROYECTOS]=A310, radicados[RADICADO], ""))</f>
        <v/>
      </c>
      <c r="K310" s="45">
        <v>1</v>
      </c>
      <c r="L310" s="45"/>
      <c r="M310" s="43"/>
      <c r="N310" s="48">
        <v>941807752</v>
      </c>
      <c r="O310" s="48"/>
      <c r="P310" s="48"/>
      <c r="Q310" s="148" t="s">
        <v>1067</v>
      </c>
      <c r="R310" s="34" t="s">
        <v>407</v>
      </c>
      <c r="S310" s="40" t="s">
        <v>397</v>
      </c>
      <c r="T310" s="40" t="s">
        <v>56</v>
      </c>
      <c r="U310" s="37" t="s">
        <v>541</v>
      </c>
      <c r="V310" s="44">
        <f>+_xlfn.XLOOKUP(PROYECTOS2[[#This Row],[MUNICIPIO]],'4.CAP_ENDMNT'!B:B,'4.CAP_ENDMNT'!C:C,0,0,1)</f>
        <v>6</v>
      </c>
      <c r="W310" s="139">
        <f>+_xlfn.XLOOKUP(PROYECTOS2[[#This Row],[MUNICIPIO]],'4.CAP_ENDMNT'!B:B,'4.CAP_ENDMNT'!D:D,0,0,1)</f>
        <v>27843076411.630001</v>
      </c>
      <c r="X310" s="140">
        <f>+_xlfn.XLOOKUP(PROYECTOS2[[#This Row],[MUNICIPIO]],'4.CAP_ENDMNT'!B:B,'4.CAP_ENDMNT'!E:E,0,0,1)</f>
        <v>11739999040.630001</v>
      </c>
      <c r="Y310" s="140">
        <f>+_xlfn.XLOOKUP(PROYECTOS2[[#This Row],[MUNICIPIO]],'4.CAP_ENDMNT'!B:B,'4.CAP_ENDMNT'!F:F,0,0,1)</f>
        <v>16103077371</v>
      </c>
      <c r="Z310" s="140">
        <f>+_xlfn.XLOOKUP(PROYECTOS2[[#This Row],[MUNICIPIO]],'4.CAP_ENDMNT'!B:B,'4.CAP_ENDMNT'!G:G,0,0,1)</f>
        <v>13999483044</v>
      </c>
      <c r="AA310" s="140">
        <f>+_xlfn.XLOOKUP(PROYECTOS2[[#This Row],[MUNICIPIO]],'4.CAP_ENDMNT'!B:B,'4.CAP_ENDMNT'!H:H,0,0,1)</f>
        <v>1243354438.6800001</v>
      </c>
      <c r="AB310" s="140">
        <f>+_xlfn.XLOOKUP(PROYECTOS2[[#This Row],[MUNICIPIO]],'4.CAP_ENDMNT'!B:B,'4.CAP_ENDMNT'!I:I,0,0,1)</f>
        <v>15242837482.68</v>
      </c>
      <c r="AC310" s="134">
        <f>+_xlfn.XLOOKUP(PROYECTOS2[[#This Row],[MUNICIPIO]],'4.CAP_ENDMNT'!B:B,'4.CAP_ENDMNT'!J:J,0,0,1)</f>
        <v>0.54745521857322832</v>
      </c>
      <c r="AD310" s="140">
        <f>+_xlfn.XLOOKUP(PROYECTOS2[[#This Row],[MUNICIPIO]],'4.CAP_ENDMNT'!B:B,'4.CAP_ENDMNT'!K:K,0,0,1)</f>
        <v>12600238928.950001</v>
      </c>
      <c r="AE310" s="140">
        <f>+_xlfn.XLOOKUP(PROYECTOS2[[#This Row],[MUNICIPIO]],'4.CAP_ENDMNT'!B:B,'4.CAP_ENDMNT'!L:L,0,0,1)</f>
        <v>10080191143.160002</v>
      </c>
      <c r="AF310" s="140">
        <f>+_xlfn.XLOOKUP(PROYECTOS2[[#This Row],[MUNICIPIO]],'4.CAP_ENDMNT'!B:B,'4.CAP_ENDMNT'!M:M,0,0,1)</f>
        <v>7560143357.3699999</v>
      </c>
      <c r="AG310" s="134">
        <f>+_xlfn.XLOOKUP(PROYECTOS2[[#This Row],[MUNICIPIO]],'4.CAP_ENDMNT'!B:B,'4.CAP_ENDMNT'!N:N,0,0,1)</f>
        <v>0.91843025026719671</v>
      </c>
      <c r="AH310" s="134">
        <f>+_xlfn.XLOOKUP(PROYECTOS2[[#This Row],[MUNICIPIO]],'4.CAP_ENDMNT'!B:B,'4.CAP_ENDMNT'!O:O,0,0,1)</f>
        <v>0.46026317160648733</v>
      </c>
      <c r="AI310" s="134">
        <f>+_xlfn.XLOOKUP(PROYECTOS2[[#This Row],[MUNICIPIO]],'4.CAP_ENDMNT'!B:B,'4.CAP_ENDMNT'!P:P,0,0,1)</f>
        <v>0.8</v>
      </c>
      <c r="AJ310" s="44" t="str">
        <f>+_xlfn.XLOOKUP(PROYECTOS2[[#This Row],[MUNICIPIO]],'4.CAP_ENDMNT'!B:B,'4.CAP_ENDMNT'!Q:Q,0,0,1)</f>
        <v>Cumple</v>
      </c>
    </row>
    <row r="311" spans="1:36">
      <c r="A311" s="44">
        <v>334</v>
      </c>
      <c r="B311" s="37" t="s">
        <v>634</v>
      </c>
      <c r="C311" s="118">
        <v>45747</v>
      </c>
      <c r="D311" s="46" t="s">
        <v>444</v>
      </c>
      <c r="E311" s="47" t="str">
        <f>+_xlfn.XLOOKUP(PROYECTOS2[[#This Row],[MUNICIPIO]],MUNICIPIOS!A:A,MUNICIPIOS!E:E,0,0,1)</f>
        <v>Suroeste</v>
      </c>
      <c r="F311" s="44" t="e" cm="1">
        <f t="array" ref="F311">+_xlfn.XLOOKUP(PROYECTOS2[[#This Row],[MUNICIPIO]],Table1[Municipio],MUNICIPIOS!F:F,0,0,1)</f>
        <v>#VALUE!</v>
      </c>
      <c r="G311" s="44" t="str">
        <f>+LOOKUP(PROYECTOS2[[#This Row],[MUNICIPIO]],Table1[Municipio],Table1[Latitud])</f>
        <v>6,394348</v>
      </c>
      <c r="H311" s="44">
        <f>+LOOKUP(PROYECTOS2[[#This Row],[MUNICIPIO]],Table1[Municipio],Table1[PDET])</f>
        <v>0</v>
      </c>
      <c r="I311" s="44">
        <f>+LOOKUP(PROYECTOS2[[#This Row],[MUNICIPIO]],Table1[Municipio],Table1[ZOMAC])</f>
        <v>1</v>
      </c>
      <c r="J311" s="3" t="str" cm="1">
        <f t="array" ref="J311">_xlfn.TEXTJOIN(", ", TRUE, IF(radicados[ID PROYECTOS]=A311, radicados[RADICADO], ""))</f>
        <v/>
      </c>
      <c r="K311" s="45">
        <v>1</v>
      </c>
      <c r="L311" s="45"/>
      <c r="M311" s="43"/>
      <c r="N311" s="48">
        <v>1157965928</v>
      </c>
      <c r="O311" s="48"/>
      <c r="P311" s="48"/>
      <c r="Q311" s="148" t="s">
        <v>1067</v>
      </c>
      <c r="R311" s="34" t="s">
        <v>407</v>
      </c>
      <c r="S311" s="40" t="s">
        <v>397</v>
      </c>
      <c r="T311" s="40" t="s">
        <v>56</v>
      </c>
      <c r="U311" s="37" t="s">
        <v>541</v>
      </c>
      <c r="V311" s="44">
        <f>+_xlfn.XLOOKUP(PROYECTOS2[[#This Row],[MUNICIPIO]],'4.CAP_ENDMNT'!B:B,'4.CAP_ENDMNT'!C:C,0,0,1)</f>
        <v>6</v>
      </c>
      <c r="W311" s="139">
        <f>+_xlfn.XLOOKUP(PROYECTOS2[[#This Row],[MUNICIPIO]],'4.CAP_ENDMNT'!B:B,'4.CAP_ENDMNT'!D:D,0,0,1)</f>
        <v>15768761995.465</v>
      </c>
      <c r="X311" s="140">
        <f>+_xlfn.XLOOKUP(PROYECTOS2[[#This Row],[MUNICIPIO]],'4.CAP_ENDMNT'!B:B,'4.CAP_ENDMNT'!E:E,0,0,1)</f>
        <v>6120714378.3199997</v>
      </c>
      <c r="Y311" s="140">
        <f>+_xlfn.XLOOKUP(PROYECTOS2[[#This Row],[MUNICIPIO]],'4.CAP_ENDMNT'!B:B,'4.CAP_ENDMNT'!F:F,0,0,1)</f>
        <v>9648047617.1450005</v>
      </c>
      <c r="Z311" s="140">
        <f>+_xlfn.XLOOKUP(PROYECTOS2[[#This Row],[MUNICIPIO]],'4.CAP_ENDMNT'!B:B,'4.CAP_ENDMNT'!G:G,0,0,1)</f>
        <v>0</v>
      </c>
      <c r="AA311" s="140">
        <f>+_xlfn.XLOOKUP(PROYECTOS2[[#This Row],[MUNICIPIO]],'4.CAP_ENDMNT'!B:B,'4.CAP_ENDMNT'!H:H,0,0,1)</f>
        <v>1826140917</v>
      </c>
      <c r="AB311" s="140">
        <f>+_xlfn.XLOOKUP(PROYECTOS2[[#This Row],[MUNICIPIO]],'4.CAP_ENDMNT'!B:B,'4.CAP_ENDMNT'!I:I,0,0,1)</f>
        <v>1826140917</v>
      </c>
      <c r="AC311" s="134">
        <f>+_xlfn.XLOOKUP(PROYECTOS2[[#This Row],[MUNICIPIO]],'4.CAP_ENDMNT'!B:B,'4.CAP_ENDMNT'!J:J,0,0,1)</f>
        <v>0.11580750077432755</v>
      </c>
      <c r="AD311" s="140">
        <f>+_xlfn.XLOOKUP(PROYECTOS2[[#This Row],[MUNICIPIO]],'4.CAP_ENDMNT'!B:B,'4.CAP_ENDMNT'!K:K,0,0,1)</f>
        <v>13942621078.465</v>
      </c>
      <c r="AE311" s="140">
        <f>+_xlfn.XLOOKUP(PROYECTOS2[[#This Row],[MUNICIPIO]],'4.CAP_ENDMNT'!B:B,'4.CAP_ENDMNT'!L:L,0,0,1)</f>
        <v>11154096862.772001</v>
      </c>
      <c r="AF311" s="140">
        <f>+_xlfn.XLOOKUP(PROYECTOS2[[#This Row],[MUNICIPIO]],'4.CAP_ENDMNT'!B:B,'4.CAP_ENDMNT'!M:M,0,0,1)</f>
        <v>8365572647.0789995</v>
      </c>
      <c r="AG311" s="134">
        <f>+_xlfn.XLOOKUP(PROYECTOS2[[#This Row],[MUNICIPIO]],'4.CAP_ENDMNT'!B:B,'4.CAP_ENDMNT'!N:N,0,0,1)</f>
        <v>0</v>
      </c>
      <c r="AH311" s="134">
        <f>+_xlfn.XLOOKUP(PROYECTOS2[[#This Row],[MUNICIPIO]],'4.CAP_ENDMNT'!B:B,'4.CAP_ENDMNT'!O:O,0,0,1)</f>
        <v>0.59742617293949363</v>
      </c>
      <c r="AI311" s="134">
        <f>+_xlfn.XLOOKUP(PROYECTOS2[[#This Row],[MUNICIPIO]],'4.CAP_ENDMNT'!B:B,'4.CAP_ENDMNT'!P:P,0,0,1)</f>
        <v>0.8</v>
      </c>
      <c r="AJ311" s="44" t="str">
        <f>+_xlfn.XLOOKUP(PROYECTOS2[[#This Row],[MUNICIPIO]],'4.CAP_ENDMNT'!B:B,'4.CAP_ENDMNT'!Q:Q,0,0,1)</f>
        <v>Cumple</v>
      </c>
    </row>
    <row r="312" spans="1:36">
      <c r="A312" s="44">
        <v>335</v>
      </c>
      <c r="B312" s="37" t="s">
        <v>635</v>
      </c>
      <c r="C312" s="118">
        <v>45747</v>
      </c>
      <c r="D312" s="46" t="s">
        <v>337</v>
      </c>
      <c r="E312" s="47" t="str">
        <f>+_xlfn.XLOOKUP(PROYECTOS2[[#This Row],[MUNICIPIO]],MUNICIPIOS!A:A,MUNICIPIOS!E:E,0,0,1)</f>
        <v>Suroeste</v>
      </c>
      <c r="F312" s="44" t="e" cm="1">
        <f t="array" ref="F312">+_xlfn.XLOOKUP(PROYECTOS2[[#This Row],[MUNICIPIO]],Table1[Municipio],MUNICIPIOS!F:F,0,0,1)</f>
        <v>#VALUE!</v>
      </c>
      <c r="G312" s="44" t="str">
        <f>+LOOKUP(PROYECTOS2[[#This Row],[MUNICIPIO]],Table1[Municipio],Table1[Latitud])</f>
        <v>7,074703</v>
      </c>
      <c r="H312" s="44">
        <f>+LOOKUP(PROYECTOS2[[#This Row],[MUNICIPIO]],Table1[Municipio],Table1[PDET])</f>
        <v>1</v>
      </c>
      <c r="I312" s="44">
        <f>+LOOKUP(PROYECTOS2[[#This Row],[MUNICIPIO]],Table1[Municipio],Table1[ZOMAC])</f>
        <v>1</v>
      </c>
      <c r="J312" s="3" t="str" cm="1">
        <f t="array" ref="J312">_xlfn.TEXTJOIN(", ", TRUE, IF(radicados[ID PROYECTOS]=A312, radicados[RADICADO], ""))</f>
        <v/>
      </c>
      <c r="K312" s="45">
        <v>1</v>
      </c>
      <c r="L312" s="45"/>
      <c r="M312" s="43"/>
      <c r="N312" s="48">
        <v>2394155173</v>
      </c>
      <c r="O312" s="48"/>
      <c r="P312" s="48"/>
      <c r="Q312" s="148" t="s">
        <v>1067</v>
      </c>
      <c r="R312" s="34" t="s">
        <v>407</v>
      </c>
      <c r="S312" s="40" t="s">
        <v>397</v>
      </c>
      <c r="T312" s="40" t="s">
        <v>56</v>
      </c>
      <c r="U312" s="37" t="s">
        <v>541</v>
      </c>
      <c r="V312" s="44">
        <f>+_xlfn.XLOOKUP(PROYECTOS2[[#This Row],[MUNICIPIO]],'4.CAP_ENDMNT'!B:B,'4.CAP_ENDMNT'!C:C,0,0,1)</f>
        <v>6</v>
      </c>
      <c r="W312" s="139">
        <f>+_xlfn.XLOOKUP(PROYECTOS2[[#This Row],[MUNICIPIO]],'4.CAP_ENDMNT'!B:B,'4.CAP_ENDMNT'!D:D,0,0,1)</f>
        <v>12058979368.9545</v>
      </c>
      <c r="X312" s="140">
        <f>+_xlfn.XLOOKUP(PROYECTOS2[[#This Row],[MUNICIPIO]],'4.CAP_ENDMNT'!B:B,'4.CAP_ENDMNT'!E:E,0,0,1)</f>
        <v>3567680920.52</v>
      </c>
      <c r="Y312" s="140">
        <f>+_xlfn.XLOOKUP(PROYECTOS2[[#This Row],[MUNICIPIO]],'4.CAP_ENDMNT'!B:B,'4.CAP_ENDMNT'!F:F,0,0,1)</f>
        <v>8491298448.4344997</v>
      </c>
      <c r="Z312" s="140">
        <f>+_xlfn.XLOOKUP(PROYECTOS2[[#This Row],[MUNICIPIO]],'4.CAP_ENDMNT'!B:B,'4.CAP_ENDMNT'!G:G,0,0,1)</f>
        <v>914830553</v>
      </c>
      <c r="AA312" s="140">
        <f>+_xlfn.XLOOKUP(PROYECTOS2[[#This Row],[MUNICIPIO]],'4.CAP_ENDMNT'!B:B,'4.CAP_ENDMNT'!H:H,0,0,1)</f>
        <v>0</v>
      </c>
      <c r="AB312" s="140">
        <f>+_xlfn.XLOOKUP(PROYECTOS2[[#This Row],[MUNICIPIO]],'4.CAP_ENDMNT'!B:B,'4.CAP_ENDMNT'!I:I,0,0,1)</f>
        <v>914830553</v>
      </c>
      <c r="AC312" s="134">
        <f>+_xlfn.XLOOKUP(PROYECTOS2[[#This Row],[MUNICIPIO]],'4.CAP_ENDMNT'!B:B,'4.CAP_ENDMNT'!J:J,0,0,1)</f>
        <v>7.586301667910679E-2</v>
      </c>
      <c r="AD312" s="140">
        <f>+_xlfn.XLOOKUP(PROYECTOS2[[#This Row],[MUNICIPIO]],'4.CAP_ENDMNT'!B:B,'4.CAP_ENDMNT'!K:K,0,0,1)</f>
        <v>11144148815.9545</v>
      </c>
      <c r="AE312" s="140">
        <f>+_xlfn.XLOOKUP(PROYECTOS2[[#This Row],[MUNICIPIO]],'4.CAP_ENDMNT'!B:B,'4.CAP_ENDMNT'!L:L,0,0,1)</f>
        <v>8915319052.7636013</v>
      </c>
      <c r="AF312" s="140">
        <f>+_xlfn.XLOOKUP(PROYECTOS2[[#This Row],[MUNICIPIO]],'4.CAP_ENDMNT'!B:B,'4.CAP_ENDMNT'!M:M,0,0,1)</f>
        <v>6686489289.5726995</v>
      </c>
      <c r="AG312" s="134">
        <f>+_xlfn.XLOOKUP(PROYECTOS2[[#This Row],[MUNICIPIO]],'4.CAP_ENDMNT'!B:B,'4.CAP_ENDMNT'!N:N,0,0,1)</f>
        <v>1</v>
      </c>
      <c r="AH312" s="134">
        <f>+_xlfn.XLOOKUP(PROYECTOS2[[#This Row],[MUNICIPIO]],'4.CAP_ENDMNT'!B:B,'4.CAP_ENDMNT'!O:O,0,0,1)</f>
        <v>0.60206976758564179</v>
      </c>
      <c r="AI312" s="134">
        <f>+_xlfn.XLOOKUP(PROYECTOS2[[#This Row],[MUNICIPIO]],'4.CAP_ENDMNT'!B:B,'4.CAP_ENDMNT'!P:P,0,0,1)</f>
        <v>0.8</v>
      </c>
      <c r="AJ312" s="44" t="str">
        <f>+_xlfn.XLOOKUP(PROYECTOS2[[#This Row],[MUNICIPIO]],'4.CAP_ENDMNT'!B:B,'4.CAP_ENDMNT'!Q:Q,0,0,1)</f>
        <v>Cumple</v>
      </c>
    </row>
    <row r="313" spans="1:36">
      <c r="A313" s="44">
        <v>336</v>
      </c>
      <c r="B313" s="37" t="s">
        <v>636</v>
      </c>
      <c r="C313" s="118">
        <v>45747</v>
      </c>
      <c r="D313" s="46" t="s">
        <v>54</v>
      </c>
      <c r="E313" s="47" t="str">
        <f>+_xlfn.XLOOKUP(PROYECTOS2[[#This Row],[MUNICIPIO]],MUNICIPIOS!A:A,MUNICIPIOS!E:E,0,0,1)</f>
        <v>Suroeste</v>
      </c>
      <c r="F313" s="44" t="e" cm="1">
        <f t="array" ref="F313">+_xlfn.XLOOKUP(PROYECTOS2[[#This Row],[MUNICIPIO]],Table1[Municipio],MUNICIPIOS!F:F,0,0,1)</f>
        <v>#VALUE!</v>
      </c>
      <c r="G313" s="44" t="str">
        <f>+LOOKUP(PROYECTOS2[[#This Row],[MUNICIPIO]],Table1[Municipio],Table1[Latitud])</f>
        <v>6,149903</v>
      </c>
      <c r="H313" s="44">
        <f>+LOOKUP(PROYECTOS2[[#This Row],[MUNICIPIO]],Table1[Municipio],Table1[PDET])</f>
        <v>0</v>
      </c>
      <c r="I313" s="44">
        <f>+LOOKUP(PROYECTOS2[[#This Row],[MUNICIPIO]],Table1[Municipio],Table1[ZOMAC])</f>
        <v>0</v>
      </c>
      <c r="J313" s="3" t="str" cm="1">
        <f t="array" ref="J313">_xlfn.TEXTJOIN(", ", TRUE, IF(radicados[ID PROYECTOS]=A313, radicados[RADICADO], ""))</f>
        <v/>
      </c>
      <c r="K313" s="45">
        <v>1</v>
      </c>
      <c r="L313" s="45"/>
      <c r="M313" s="43"/>
      <c r="N313" s="48">
        <v>623181228</v>
      </c>
      <c r="O313" s="48"/>
      <c r="P313" s="48"/>
      <c r="Q313" s="148" t="s">
        <v>1067</v>
      </c>
      <c r="R313" s="34" t="s">
        <v>407</v>
      </c>
      <c r="S313" s="40" t="s">
        <v>397</v>
      </c>
      <c r="T313" s="40" t="s">
        <v>56</v>
      </c>
      <c r="U313" s="37" t="s">
        <v>541</v>
      </c>
      <c r="V313" s="44">
        <f>+_xlfn.XLOOKUP(PROYECTOS2[[#This Row],[MUNICIPIO]],'4.CAP_ENDMNT'!B:B,'4.CAP_ENDMNT'!C:C,0,0,1)</f>
        <v>6</v>
      </c>
      <c r="W313" s="139">
        <f>+_xlfn.XLOOKUP(PROYECTOS2[[#This Row],[MUNICIPIO]],'4.CAP_ENDMNT'!B:B,'4.CAP_ENDMNT'!D:D,0,0,1)</f>
        <v>9297204605.9125004</v>
      </c>
      <c r="X313" s="140">
        <f>+_xlfn.XLOOKUP(PROYECTOS2[[#This Row],[MUNICIPIO]],'4.CAP_ENDMNT'!B:B,'4.CAP_ENDMNT'!E:E,0,0,1)</f>
        <v>4650900904.1300001</v>
      </c>
      <c r="Y313" s="140">
        <f>+_xlfn.XLOOKUP(PROYECTOS2[[#This Row],[MUNICIPIO]],'4.CAP_ENDMNT'!B:B,'4.CAP_ENDMNT'!F:F,0,0,1)</f>
        <v>4646303701.7825003</v>
      </c>
      <c r="Z313" s="140">
        <f>+_xlfn.XLOOKUP(PROYECTOS2[[#This Row],[MUNICIPIO]],'4.CAP_ENDMNT'!B:B,'4.CAP_ENDMNT'!G:G,0,0,1)</f>
        <v>1308996768</v>
      </c>
      <c r="AA313" s="140">
        <f>+_xlfn.XLOOKUP(PROYECTOS2[[#This Row],[MUNICIPIO]],'4.CAP_ENDMNT'!B:B,'4.CAP_ENDMNT'!H:H,0,0,1)</f>
        <v>0</v>
      </c>
      <c r="AB313" s="140">
        <f>+_xlfn.XLOOKUP(PROYECTOS2[[#This Row],[MUNICIPIO]],'4.CAP_ENDMNT'!B:B,'4.CAP_ENDMNT'!I:I,0,0,1)</f>
        <v>1308996768</v>
      </c>
      <c r="AC313" s="134">
        <f>+_xlfn.XLOOKUP(PROYECTOS2[[#This Row],[MUNICIPIO]],'4.CAP_ENDMNT'!B:B,'4.CAP_ENDMNT'!J:J,0,0,1)</f>
        <v>0.14079466070560084</v>
      </c>
      <c r="AD313" s="140">
        <f>+_xlfn.XLOOKUP(PROYECTOS2[[#This Row],[MUNICIPIO]],'4.CAP_ENDMNT'!B:B,'4.CAP_ENDMNT'!K:K,0,0,1)</f>
        <v>7988207837.9125004</v>
      </c>
      <c r="AE313" s="140">
        <f>+_xlfn.XLOOKUP(PROYECTOS2[[#This Row],[MUNICIPIO]],'4.CAP_ENDMNT'!B:B,'4.CAP_ENDMNT'!L:L,0,0,1)</f>
        <v>6390566270.3300009</v>
      </c>
      <c r="AF313" s="140">
        <f>+_xlfn.XLOOKUP(PROYECTOS2[[#This Row],[MUNICIPIO]],'4.CAP_ENDMNT'!B:B,'4.CAP_ENDMNT'!M:M,0,0,1)</f>
        <v>4792924702.7475004</v>
      </c>
      <c r="AG313" s="134">
        <f>+_xlfn.XLOOKUP(PROYECTOS2[[#This Row],[MUNICIPIO]],'4.CAP_ENDMNT'!B:B,'4.CAP_ENDMNT'!N:N,0,0,1)</f>
        <v>1</v>
      </c>
      <c r="AH313" s="134">
        <f>+_xlfn.XLOOKUP(PROYECTOS2[[#This Row],[MUNICIPIO]],'4.CAP_ENDMNT'!B:B,'4.CAP_ENDMNT'!O:O,0,0,1)</f>
        <v>0.67267671220391811</v>
      </c>
      <c r="AI313" s="134">
        <f>+_xlfn.XLOOKUP(PROYECTOS2[[#This Row],[MUNICIPIO]],'4.CAP_ENDMNT'!B:B,'4.CAP_ENDMNT'!P:P,0,0,1)</f>
        <v>0.8</v>
      </c>
      <c r="AJ313" s="44" t="str">
        <f>+_xlfn.XLOOKUP(PROYECTOS2[[#This Row],[MUNICIPIO]],'4.CAP_ENDMNT'!B:B,'4.CAP_ENDMNT'!Q:Q,0,0,1)</f>
        <v>Cumple</v>
      </c>
    </row>
    <row r="314" spans="1:36">
      <c r="A314" s="44">
        <v>337</v>
      </c>
      <c r="B314" s="37" t="s">
        <v>637</v>
      </c>
      <c r="C314" s="118">
        <v>45747</v>
      </c>
      <c r="D314" s="46" t="s">
        <v>23</v>
      </c>
      <c r="E314" s="47" t="str">
        <f>+_xlfn.XLOOKUP(PROYECTOS2[[#This Row],[MUNICIPIO]],MUNICIPIOS!A:A,MUNICIPIOS!E:E,0,0,1)</f>
        <v>Suroeste</v>
      </c>
      <c r="F314" s="44" t="e" cm="1">
        <f t="array" ref="F314">+_xlfn.XLOOKUP(PROYECTOS2[[#This Row],[MUNICIPIO]],Table1[Municipio],MUNICIPIOS!F:F,0,0,1)</f>
        <v>#VALUE!</v>
      </c>
      <c r="G314" s="44" t="str">
        <f>+LOOKUP(PROYECTOS2[[#This Row],[MUNICIPIO]],Table1[Municipio],Table1[Latitud])</f>
        <v>6,149903</v>
      </c>
      <c r="H314" s="44">
        <f>+LOOKUP(PROYECTOS2[[#This Row],[MUNICIPIO]],Table1[Municipio],Table1[PDET])</f>
        <v>0</v>
      </c>
      <c r="I314" s="44">
        <f>+LOOKUP(PROYECTOS2[[#This Row],[MUNICIPIO]],Table1[Municipio],Table1[ZOMAC])</f>
        <v>0</v>
      </c>
      <c r="J314" s="3" t="str" cm="1">
        <f t="array" ref="J314">_xlfn.TEXTJOIN(", ", TRUE, IF(radicados[ID PROYECTOS]=A314, radicados[RADICADO], ""))</f>
        <v/>
      </c>
      <c r="K314" s="45">
        <v>1</v>
      </c>
      <c r="L314" s="45"/>
      <c r="M314" s="43"/>
      <c r="N314" s="48">
        <v>4147848088</v>
      </c>
      <c r="O314" s="48"/>
      <c r="P314" s="48"/>
      <c r="Q314" s="148" t="s">
        <v>1067</v>
      </c>
      <c r="R314" s="34" t="s">
        <v>407</v>
      </c>
      <c r="S314" s="40" t="s">
        <v>397</v>
      </c>
      <c r="T314" s="40" t="s">
        <v>56</v>
      </c>
      <c r="U314" s="37" t="s">
        <v>541</v>
      </c>
      <c r="V314" s="44">
        <f>+_xlfn.XLOOKUP(PROYECTOS2[[#This Row],[MUNICIPIO]],'4.CAP_ENDMNT'!B:B,'4.CAP_ENDMNT'!C:C,0,0,1)</f>
        <v>6</v>
      </c>
      <c r="W314" s="139">
        <f>+_xlfn.XLOOKUP(PROYECTOS2[[#This Row],[MUNICIPIO]],'4.CAP_ENDMNT'!B:B,'4.CAP_ENDMNT'!D:D,0,0,1)</f>
        <v>16589184003.816</v>
      </c>
      <c r="X314" s="140">
        <f>+_xlfn.XLOOKUP(PROYECTOS2[[#This Row],[MUNICIPIO]],'4.CAP_ENDMNT'!B:B,'4.CAP_ENDMNT'!E:E,0,0,1)</f>
        <v>7984390195.2300005</v>
      </c>
      <c r="Y314" s="140">
        <f>+_xlfn.XLOOKUP(PROYECTOS2[[#This Row],[MUNICIPIO]],'4.CAP_ENDMNT'!B:B,'4.CAP_ENDMNT'!F:F,0,0,1)</f>
        <v>8604793808.5859985</v>
      </c>
      <c r="Z314" s="140">
        <f>+_xlfn.XLOOKUP(PROYECTOS2[[#This Row],[MUNICIPIO]],'4.CAP_ENDMNT'!B:B,'4.CAP_ENDMNT'!G:G,0,0,1)</f>
        <v>1709535383</v>
      </c>
      <c r="AA314" s="140">
        <f>+_xlfn.XLOOKUP(PROYECTOS2[[#This Row],[MUNICIPIO]],'4.CAP_ENDMNT'!B:B,'4.CAP_ENDMNT'!H:H,0,0,1)</f>
        <v>1454838487</v>
      </c>
      <c r="AB314" s="140">
        <f>+_xlfn.XLOOKUP(PROYECTOS2[[#This Row],[MUNICIPIO]],'4.CAP_ENDMNT'!B:B,'4.CAP_ENDMNT'!I:I,0,0,1)</f>
        <v>3164373870</v>
      </c>
      <c r="AC314" s="134">
        <f>+_xlfn.XLOOKUP(PROYECTOS2[[#This Row],[MUNICIPIO]],'4.CAP_ENDMNT'!B:B,'4.CAP_ENDMNT'!J:J,0,0,1)</f>
        <v>0.19074921763916181</v>
      </c>
      <c r="AD314" s="140">
        <f>+_xlfn.XLOOKUP(PROYECTOS2[[#This Row],[MUNICIPIO]],'4.CAP_ENDMNT'!B:B,'4.CAP_ENDMNT'!K:K,0,0,1)</f>
        <v>13424810133.816</v>
      </c>
      <c r="AE314" s="140">
        <f>+_xlfn.XLOOKUP(PROYECTOS2[[#This Row],[MUNICIPIO]],'4.CAP_ENDMNT'!B:B,'4.CAP_ENDMNT'!L:L,0,0,1)</f>
        <v>10739848107.052801</v>
      </c>
      <c r="AF314" s="140">
        <f>+_xlfn.XLOOKUP(PROYECTOS2[[#This Row],[MUNICIPIO]],'4.CAP_ENDMNT'!B:B,'4.CAP_ENDMNT'!M:M,0,0,1)</f>
        <v>8054886080.2895994</v>
      </c>
      <c r="AG314" s="134">
        <f>+_xlfn.XLOOKUP(PROYECTOS2[[#This Row],[MUNICIPIO]],'4.CAP_ENDMNT'!B:B,'4.CAP_ENDMNT'!N:N,0,0,1)</f>
        <v>0.5402444379936685</v>
      </c>
      <c r="AH314" s="134">
        <f>+_xlfn.XLOOKUP(PROYECTOS2[[#This Row],[MUNICIPIO]],'4.CAP_ENDMNT'!B:B,'4.CAP_ENDMNT'!O:O,0,0,1)</f>
        <v>0.52370394920362784</v>
      </c>
      <c r="AI314" s="134">
        <f>+_xlfn.XLOOKUP(PROYECTOS2[[#This Row],[MUNICIPIO]],'4.CAP_ENDMNT'!B:B,'4.CAP_ENDMNT'!P:P,0,0,1)</f>
        <v>0.8</v>
      </c>
      <c r="AJ314" s="44" t="str">
        <f>+_xlfn.XLOOKUP(PROYECTOS2[[#This Row],[MUNICIPIO]],'4.CAP_ENDMNT'!B:B,'4.CAP_ENDMNT'!Q:Q,0,0,1)</f>
        <v>Cumple</v>
      </c>
    </row>
    <row r="315" spans="1:36">
      <c r="A315" s="44">
        <v>338</v>
      </c>
      <c r="B315" s="37" t="s">
        <v>638</v>
      </c>
      <c r="C315" s="118">
        <v>45747</v>
      </c>
      <c r="D315" s="46" t="s">
        <v>23</v>
      </c>
      <c r="E315" s="47" t="str">
        <f>+_xlfn.XLOOKUP(PROYECTOS2[[#This Row],[MUNICIPIO]],MUNICIPIOS!A:A,MUNICIPIOS!E:E,0,0,1)</f>
        <v>Suroeste</v>
      </c>
      <c r="F315" s="44" t="e" cm="1">
        <f t="array" ref="F315">+_xlfn.XLOOKUP(PROYECTOS2[[#This Row],[MUNICIPIO]],Table1[Municipio],MUNICIPIOS!F:F,0,0,1)</f>
        <v>#VALUE!</v>
      </c>
      <c r="G315" s="44" t="str">
        <f>+LOOKUP(PROYECTOS2[[#This Row],[MUNICIPIO]],Table1[Municipio],Table1[Latitud])</f>
        <v>6,149903</v>
      </c>
      <c r="H315" s="44">
        <f>+LOOKUP(PROYECTOS2[[#This Row],[MUNICIPIO]],Table1[Municipio],Table1[PDET])</f>
        <v>0</v>
      </c>
      <c r="I315" s="44">
        <f>+LOOKUP(PROYECTOS2[[#This Row],[MUNICIPIO]],Table1[Municipio],Table1[ZOMAC])</f>
        <v>0</v>
      </c>
      <c r="J315" s="3" t="str" cm="1">
        <f t="array" ref="J315">_xlfn.TEXTJOIN(", ", TRUE, IF(radicados[ID PROYECTOS]=A315, radicados[RADICADO], ""))</f>
        <v/>
      </c>
      <c r="K315" s="45">
        <v>1</v>
      </c>
      <c r="L315" s="45"/>
      <c r="M315" s="43"/>
      <c r="N315" s="48">
        <v>3601083356</v>
      </c>
      <c r="O315" s="48"/>
      <c r="P315" s="48"/>
      <c r="Q315" s="148" t="s">
        <v>1067</v>
      </c>
      <c r="R315" s="34" t="s">
        <v>407</v>
      </c>
      <c r="S315" s="40" t="s">
        <v>397</v>
      </c>
      <c r="T315" s="40" t="s">
        <v>56</v>
      </c>
      <c r="U315" s="37" t="s">
        <v>541</v>
      </c>
      <c r="V315" s="44">
        <f>+_xlfn.XLOOKUP(PROYECTOS2[[#This Row],[MUNICIPIO]],'4.CAP_ENDMNT'!B:B,'4.CAP_ENDMNT'!C:C,0,0,1)</f>
        <v>6</v>
      </c>
      <c r="W315" s="139">
        <f>+_xlfn.XLOOKUP(PROYECTOS2[[#This Row],[MUNICIPIO]],'4.CAP_ENDMNT'!B:B,'4.CAP_ENDMNT'!D:D,0,0,1)</f>
        <v>16589184003.816</v>
      </c>
      <c r="X315" s="140">
        <f>+_xlfn.XLOOKUP(PROYECTOS2[[#This Row],[MUNICIPIO]],'4.CAP_ENDMNT'!B:B,'4.CAP_ENDMNT'!E:E,0,0,1)</f>
        <v>7984390195.2300005</v>
      </c>
      <c r="Y315" s="140">
        <f>+_xlfn.XLOOKUP(PROYECTOS2[[#This Row],[MUNICIPIO]],'4.CAP_ENDMNT'!B:B,'4.CAP_ENDMNT'!F:F,0,0,1)</f>
        <v>8604793808.5859985</v>
      </c>
      <c r="Z315" s="140">
        <f>+_xlfn.XLOOKUP(PROYECTOS2[[#This Row],[MUNICIPIO]],'4.CAP_ENDMNT'!B:B,'4.CAP_ENDMNT'!G:G,0,0,1)</f>
        <v>1709535383</v>
      </c>
      <c r="AA315" s="140">
        <f>+_xlfn.XLOOKUP(PROYECTOS2[[#This Row],[MUNICIPIO]],'4.CAP_ENDMNT'!B:B,'4.CAP_ENDMNT'!H:H,0,0,1)</f>
        <v>1454838487</v>
      </c>
      <c r="AB315" s="140">
        <f>+_xlfn.XLOOKUP(PROYECTOS2[[#This Row],[MUNICIPIO]],'4.CAP_ENDMNT'!B:B,'4.CAP_ENDMNT'!I:I,0,0,1)</f>
        <v>3164373870</v>
      </c>
      <c r="AC315" s="134">
        <f>+_xlfn.XLOOKUP(PROYECTOS2[[#This Row],[MUNICIPIO]],'4.CAP_ENDMNT'!B:B,'4.CAP_ENDMNT'!J:J,0,0,1)</f>
        <v>0.19074921763916181</v>
      </c>
      <c r="AD315" s="140">
        <f>+_xlfn.XLOOKUP(PROYECTOS2[[#This Row],[MUNICIPIO]],'4.CAP_ENDMNT'!B:B,'4.CAP_ENDMNT'!K:K,0,0,1)</f>
        <v>13424810133.816</v>
      </c>
      <c r="AE315" s="140">
        <f>+_xlfn.XLOOKUP(PROYECTOS2[[#This Row],[MUNICIPIO]],'4.CAP_ENDMNT'!B:B,'4.CAP_ENDMNT'!L:L,0,0,1)</f>
        <v>10739848107.052801</v>
      </c>
      <c r="AF315" s="140">
        <f>+_xlfn.XLOOKUP(PROYECTOS2[[#This Row],[MUNICIPIO]],'4.CAP_ENDMNT'!B:B,'4.CAP_ENDMNT'!M:M,0,0,1)</f>
        <v>8054886080.2895994</v>
      </c>
      <c r="AG315" s="134">
        <f>+_xlfn.XLOOKUP(PROYECTOS2[[#This Row],[MUNICIPIO]],'4.CAP_ENDMNT'!B:B,'4.CAP_ENDMNT'!N:N,0,0,1)</f>
        <v>0.5402444379936685</v>
      </c>
      <c r="AH315" s="134">
        <f>+_xlfn.XLOOKUP(PROYECTOS2[[#This Row],[MUNICIPIO]],'4.CAP_ENDMNT'!B:B,'4.CAP_ENDMNT'!O:O,0,0,1)</f>
        <v>0.52370394920362784</v>
      </c>
      <c r="AI315" s="134">
        <f>+_xlfn.XLOOKUP(PROYECTOS2[[#This Row],[MUNICIPIO]],'4.CAP_ENDMNT'!B:B,'4.CAP_ENDMNT'!P:P,0,0,1)</f>
        <v>0.8</v>
      </c>
      <c r="AJ315" s="44" t="str">
        <f>+_xlfn.XLOOKUP(PROYECTOS2[[#This Row],[MUNICIPIO]],'4.CAP_ENDMNT'!B:B,'4.CAP_ENDMNT'!Q:Q,0,0,1)</f>
        <v>Cumple</v>
      </c>
    </row>
    <row r="316" spans="1:36">
      <c r="A316" s="44">
        <v>339</v>
      </c>
      <c r="B316" s="37" t="s">
        <v>639</v>
      </c>
      <c r="C316" s="118">
        <v>45747</v>
      </c>
      <c r="D316" s="34" t="s">
        <v>23</v>
      </c>
      <c r="E316" s="47" t="str">
        <f>+_xlfn.XLOOKUP(PROYECTOS2[[#This Row],[MUNICIPIO]],MUNICIPIOS!A:A,MUNICIPIOS!E:E,0,0,1)</f>
        <v>Suroeste</v>
      </c>
      <c r="F316" s="44" t="e" cm="1">
        <f t="array" ref="F316">+_xlfn.XLOOKUP(PROYECTOS2[[#This Row],[MUNICIPIO]],Table1[Municipio],MUNICIPIOS!F:F,0,0,1)</f>
        <v>#VALUE!</v>
      </c>
      <c r="G316" s="47" t="str">
        <f>+LOOKUP(PROYECTOS2[[#This Row],[MUNICIPIO]],Table1[Municipio],Table1[Latitud])</f>
        <v>6,149903</v>
      </c>
      <c r="H316" s="47">
        <f>+LOOKUP(PROYECTOS2[[#This Row],[MUNICIPIO]],Table1[Municipio],Table1[PDET])</f>
        <v>0</v>
      </c>
      <c r="I316" s="44">
        <f>+LOOKUP(PROYECTOS2[[#This Row],[MUNICIPIO]],Table1[Municipio],Table1[ZOMAC])</f>
        <v>0</v>
      </c>
      <c r="J316" s="3" t="str" cm="1">
        <f t="array" ref="J316">_xlfn.TEXTJOIN(", ", TRUE, IF(radicados[ID PROYECTOS]=A316, radicados[RADICADO], ""))</f>
        <v>2025010512577</v>
      </c>
      <c r="K316" s="142">
        <v>2</v>
      </c>
      <c r="L316" s="45"/>
      <c r="M316" s="50"/>
      <c r="N316" s="48">
        <v>5533110000</v>
      </c>
      <c r="O316" s="48"/>
      <c r="P316" s="48"/>
      <c r="Q316" s="148" t="s">
        <v>1067</v>
      </c>
      <c r="R316" s="40" t="s">
        <v>435</v>
      </c>
      <c r="S316" s="40" t="s">
        <v>398</v>
      </c>
      <c r="T316" s="40" t="s">
        <v>25</v>
      </c>
      <c r="U316" s="37" t="s">
        <v>640</v>
      </c>
      <c r="V316" s="44">
        <f>+_xlfn.XLOOKUP(PROYECTOS2[[#This Row],[MUNICIPIO]],'4.CAP_ENDMNT'!B:B,'4.CAP_ENDMNT'!C:C,0,0,1)</f>
        <v>6</v>
      </c>
      <c r="W316" s="139">
        <f>+_xlfn.XLOOKUP(PROYECTOS2[[#This Row],[MUNICIPIO]],'4.CAP_ENDMNT'!B:B,'4.CAP_ENDMNT'!D:D,0,0,1)</f>
        <v>16589184003.816</v>
      </c>
      <c r="X316" s="140">
        <f>+_xlfn.XLOOKUP(PROYECTOS2[[#This Row],[MUNICIPIO]],'4.CAP_ENDMNT'!B:B,'4.CAP_ENDMNT'!E:E,0,0,1)</f>
        <v>7984390195.2300005</v>
      </c>
      <c r="Y316" s="140">
        <f>+_xlfn.XLOOKUP(PROYECTOS2[[#This Row],[MUNICIPIO]],'4.CAP_ENDMNT'!B:B,'4.CAP_ENDMNT'!F:F,0,0,1)</f>
        <v>8604793808.5859985</v>
      </c>
      <c r="Z316" s="140">
        <f>+_xlfn.XLOOKUP(PROYECTOS2[[#This Row],[MUNICIPIO]],'4.CAP_ENDMNT'!B:B,'4.CAP_ENDMNT'!G:G,0,0,1)</f>
        <v>1709535383</v>
      </c>
      <c r="AA316" s="140">
        <f>+_xlfn.XLOOKUP(PROYECTOS2[[#This Row],[MUNICIPIO]],'4.CAP_ENDMNT'!B:B,'4.CAP_ENDMNT'!H:H,0,0,1)</f>
        <v>1454838487</v>
      </c>
      <c r="AB316" s="140">
        <f>+_xlfn.XLOOKUP(PROYECTOS2[[#This Row],[MUNICIPIO]],'4.CAP_ENDMNT'!B:B,'4.CAP_ENDMNT'!I:I,0,0,1)</f>
        <v>3164373870</v>
      </c>
      <c r="AC316" s="134">
        <f>+_xlfn.XLOOKUP(PROYECTOS2[[#This Row],[MUNICIPIO]],'4.CAP_ENDMNT'!B:B,'4.CAP_ENDMNT'!J:J,0,0,1)</f>
        <v>0.19074921763916181</v>
      </c>
      <c r="AD316" s="140">
        <f>+_xlfn.XLOOKUP(PROYECTOS2[[#This Row],[MUNICIPIO]],'4.CAP_ENDMNT'!B:B,'4.CAP_ENDMNT'!K:K,0,0,1)</f>
        <v>13424810133.816</v>
      </c>
      <c r="AE316" s="140">
        <f>+_xlfn.XLOOKUP(PROYECTOS2[[#This Row],[MUNICIPIO]],'4.CAP_ENDMNT'!B:B,'4.CAP_ENDMNT'!L:L,0,0,1)</f>
        <v>10739848107.052801</v>
      </c>
      <c r="AF316" s="140">
        <f>+_xlfn.XLOOKUP(PROYECTOS2[[#This Row],[MUNICIPIO]],'4.CAP_ENDMNT'!B:B,'4.CAP_ENDMNT'!M:M,0,0,1)</f>
        <v>8054886080.2895994</v>
      </c>
      <c r="AG316" s="134">
        <f>+_xlfn.XLOOKUP(PROYECTOS2[[#This Row],[MUNICIPIO]],'4.CAP_ENDMNT'!B:B,'4.CAP_ENDMNT'!N:N,0,0,1)</f>
        <v>0.5402444379936685</v>
      </c>
      <c r="AH316" s="134">
        <f>+_xlfn.XLOOKUP(PROYECTOS2[[#This Row],[MUNICIPIO]],'4.CAP_ENDMNT'!B:B,'4.CAP_ENDMNT'!O:O,0,0,1)</f>
        <v>0.52370394920362784</v>
      </c>
      <c r="AI316" s="134">
        <f>+_xlfn.XLOOKUP(PROYECTOS2[[#This Row],[MUNICIPIO]],'4.CAP_ENDMNT'!B:B,'4.CAP_ENDMNT'!P:P,0,0,1)</f>
        <v>0.8</v>
      </c>
      <c r="AJ316" s="44" t="str">
        <f>+_xlfn.XLOOKUP(PROYECTOS2[[#This Row],[MUNICIPIO]],'4.CAP_ENDMNT'!B:B,'4.CAP_ENDMNT'!Q:Q,0,0,1)</f>
        <v>Cumple</v>
      </c>
    </row>
    <row r="317" spans="1:36">
      <c r="A317" s="44">
        <v>340</v>
      </c>
      <c r="B317" s="37" t="s">
        <v>641</v>
      </c>
      <c r="C317" s="118">
        <v>45747</v>
      </c>
      <c r="D317" s="34" t="s">
        <v>334</v>
      </c>
      <c r="E317" s="47" t="str">
        <f>+_xlfn.XLOOKUP(PROYECTOS2[[#This Row],[MUNICIPIO]],MUNICIPIOS!A:A,MUNICIPIOS!E:E,0,0,1)</f>
        <v>Occidente</v>
      </c>
      <c r="F317" s="44" t="e" cm="1">
        <f t="array" ref="F317">+_xlfn.XLOOKUP(PROYECTOS2[[#This Row],[MUNICIPIO]],Table1[Municipio],MUNICIPIOS!F:F,0,0,1)</f>
        <v>#VALUE!</v>
      </c>
      <c r="G317" s="47" t="str">
        <f>+LOOKUP(PROYECTOS2[[#This Row],[MUNICIPIO]],Table1[Municipio],Table1[Latitud])</f>
        <v>6,149903</v>
      </c>
      <c r="H317" s="47">
        <f>+LOOKUP(PROYECTOS2[[#This Row],[MUNICIPIO]],Table1[Municipio],Table1[PDET])</f>
        <v>0</v>
      </c>
      <c r="I317" s="44">
        <f>+LOOKUP(PROYECTOS2[[#This Row],[MUNICIPIO]],Table1[Municipio],Table1[ZOMAC])</f>
        <v>0</v>
      </c>
      <c r="J317" s="3" t="str" cm="1">
        <f t="array" ref="J317">_xlfn.TEXTJOIN(", ", TRUE, IF(radicados[ID PROYECTOS]=A317, radicados[RADICADO], ""))</f>
        <v/>
      </c>
      <c r="K317" s="142">
        <v>2</v>
      </c>
      <c r="L317" s="45"/>
      <c r="M317" s="50"/>
      <c r="N317" s="48">
        <v>3795000000</v>
      </c>
      <c r="O317" s="48"/>
      <c r="P317" s="48"/>
      <c r="Q317" s="148" t="s">
        <v>1067</v>
      </c>
      <c r="R317" s="40" t="s">
        <v>435</v>
      </c>
      <c r="S317" s="40" t="s">
        <v>398</v>
      </c>
      <c r="T317" s="40" t="s">
        <v>25</v>
      </c>
      <c r="U317" s="37" t="s">
        <v>642</v>
      </c>
      <c r="V317" s="44">
        <f>+_xlfn.XLOOKUP(PROYECTOS2[[#This Row],[MUNICIPIO]],'4.CAP_ENDMNT'!B:B,'4.CAP_ENDMNT'!C:C,0,0,1)</f>
        <v>6</v>
      </c>
      <c r="W317" s="139">
        <f>+_xlfn.XLOOKUP(PROYECTOS2[[#This Row],[MUNICIPIO]],'4.CAP_ENDMNT'!B:B,'4.CAP_ENDMNT'!D:D,0,0,1)</f>
        <v>21865753958.964001</v>
      </c>
      <c r="X317" s="140">
        <f>+_xlfn.XLOOKUP(PROYECTOS2[[#This Row],[MUNICIPIO]],'4.CAP_ENDMNT'!B:B,'4.CAP_ENDMNT'!E:E,0,0,1)</f>
        <v>8371779870.6599998</v>
      </c>
      <c r="Y317" s="140">
        <f>+_xlfn.XLOOKUP(PROYECTOS2[[#This Row],[MUNICIPIO]],'4.CAP_ENDMNT'!B:B,'4.CAP_ENDMNT'!F:F,0,0,1)</f>
        <v>13493974088.304001</v>
      </c>
      <c r="Z317" s="140">
        <f>+_xlfn.XLOOKUP(PROYECTOS2[[#This Row],[MUNICIPIO]],'4.CAP_ENDMNT'!B:B,'4.CAP_ENDMNT'!G:G,0,0,1)</f>
        <v>851002641</v>
      </c>
      <c r="AA317" s="140">
        <f>+_xlfn.XLOOKUP(PROYECTOS2[[#This Row],[MUNICIPIO]],'4.CAP_ENDMNT'!B:B,'4.CAP_ENDMNT'!H:H,0,0,1)</f>
        <v>4636492005</v>
      </c>
      <c r="AB317" s="140">
        <f>+_xlfn.XLOOKUP(PROYECTOS2[[#This Row],[MUNICIPIO]],'4.CAP_ENDMNT'!B:B,'4.CAP_ENDMNT'!I:I,0,0,1)</f>
        <v>5487494646</v>
      </c>
      <c r="AC317" s="134">
        <f>+_xlfn.XLOOKUP(PROYECTOS2[[#This Row],[MUNICIPIO]],'4.CAP_ENDMNT'!B:B,'4.CAP_ENDMNT'!J:J,0,0,1)</f>
        <v>0.25096297416949431</v>
      </c>
      <c r="AD317" s="140">
        <f>+_xlfn.XLOOKUP(PROYECTOS2[[#This Row],[MUNICIPIO]],'4.CAP_ENDMNT'!B:B,'4.CAP_ENDMNT'!K:K,0,0,1)</f>
        <v>16378259312.964001</v>
      </c>
      <c r="AE317" s="140">
        <f>+_xlfn.XLOOKUP(PROYECTOS2[[#This Row],[MUNICIPIO]],'4.CAP_ENDMNT'!B:B,'4.CAP_ENDMNT'!L:L,0,0,1)</f>
        <v>13102607450.371201</v>
      </c>
      <c r="AF317" s="140">
        <f>+_xlfn.XLOOKUP(PROYECTOS2[[#This Row],[MUNICIPIO]],'4.CAP_ENDMNT'!B:B,'4.CAP_ENDMNT'!M:M,0,0,1)</f>
        <v>9826955587.7784004</v>
      </c>
      <c r="AG317" s="134">
        <f>+_xlfn.XLOOKUP(PROYECTOS2[[#This Row],[MUNICIPIO]],'4.CAP_ENDMNT'!B:B,'4.CAP_ENDMNT'!N:N,0,0,1)</f>
        <v>0.15508035923466848</v>
      </c>
      <c r="AH317" s="134">
        <f>+_xlfn.XLOOKUP(PROYECTOS2[[#This Row],[MUNICIPIO]],'4.CAP_ENDMNT'!B:B,'4.CAP_ENDMNT'!O:O,0,0,1)</f>
        <v>0.43479333121090752</v>
      </c>
      <c r="AI317" s="134">
        <f>+_xlfn.XLOOKUP(PROYECTOS2[[#This Row],[MUNICIPIO]],'4.CAP_ENDMNT'!B:B,'4.CAP_ENDMNT'!P:P,0,0,1)</f>
        <v>0.8</v>
      </c>
      <c r="AJ317" s="44" t="str">
        <f>+_xlfn.XLOOKUP(PROYECTOS2[[#This Row],[MUNICIPIO]],'4.CAP_ENDMNT'!B:B,'4.CAP_ENDMNT'!Q:Q,0,0,1)</f>
        <v>Cumple</v>
      </c>
    </row>
    <row r="318" spans="1:36">
      <c r="A318" s="44">
        <v>341</v>
      </c>
      <c r="B318" s="37" t="s">
        <v>643</v>
      </c>
      <c r="C318" s="118">
        <v>45747</v>
      </c>
      <c r="D318" s="34" t="s">
        <v>65</v>
      </c>
      <c r="E318" s="47" t="str">
        <f>+_xlfn.XLOOKUP(PROYECTOS2[[#This Row],[MUNICIPIO]],MUNICIPIOS!A:A,MUNICIPIOS!E:E,0,0,1)</f>
        <v>Urabá</v>
      </c>
      <c r="F318" s="44" t="e" cm="1">
        <f t="array" ref="F318">+_xlfn.XLOOKUP(PROYECTOS2[[#This Row],[MUNICIPIO]],Table1[Municipio],MUNICIPIOS!F:F,0,0,1)</f>
        <v>#VALUE!</v>
      </c>
      <c r="G318" s="47" t="str">
        <f>+LOOKUP(PROYECTOS2[[#This Row],[MUNICIPIO]],Table1[Municipio],Table1[Latitud])</f>
        <v>6,149903</v>
      </c>
      <c r="H318" s="47">
        <f>+LOOKUP(PROYECTOS2[[#This Row],[MUNICIPIO]],Table1[Municipio],Table1[PDET])</f>
        <v>0</v>
      </c>
      <c r="I318" s="44">
        <f>+LOOKUP(PROYECTOS2[[#This Row],[MUNICIPIO]],Table1[Municipio],Table1[ZOMAC])</f>
        <v>0</v>
      </c>
      <c r="J318" s="3" t="str" cm="1">
        <f t="array" ref="J318">_xlfn.TEXTJOIN(", ", TRUE, IF(radicados[ID PROYECTOS]=A318, radicados[RADICADO], ""))</f>
        <v/>
      </c>
      <c r="K318" s="45">
        <v>3</v>
      </c>
      <c r="L318" s="45"/>
      <c r="M318" s="50"/>
      <c r="N318" s="48">
        <v>3289000000</v>
      </c>
      <c r="O318" s="48"/>
      <c r="P318" s="48"/>
      <c r="Q318" s="148" t="s">
        <v>1067</v>
      </c>
      <c r="R318" s="40" t="s">
        <v>435</v>
      </c>
      <c r="S318" s="40" t="s">
        <v>398</v>
      </c>
      <c r="T318" s="40" t="s">
        <v>25</v>
      </c>
      <c r="U318" s="37"/>
      <c r="V318" s="44">
        <f>+_xlfn.XLOOKUP(PROYECTOS2[[#This Row],[MUNICIPIO]],'4.CAP_ENDMNT'!B:B,'4.CAP_ENDMNT'!C:C,0,0,1)</f>
        <v>6</v>
      </c>
      <c r="W318" s="139">
        <f>+_xlfn.XLOOKUP(PROYECTOS2[[#This Row],[MUNICIPIO]],'4.CAP_ENDMNT'!B:B,'4.CAP_ENDMNT'!D:D,0,0,1)</f>
        <v>21558400486.167</v>
      </c>
      <c r="X318" s="140">
        <f>+_xlfn.XLOOKUP(PROYECTOS2[[#This Row],[MUNICIPIO]],'4.CAP_ENDMNT'!B:B,'4.CAP_ENDMNT'!E:E,0,0,1)</f>
        <v>4028552935.2600002</v>
      </c>
      <c r="Y318" s="140">
        <f>+_xlfn.XLOOKUP(PROYECTOS2[[#This Row],[MUNICIPIO]],'4.CAP_ENDMNT'!B:B,'4.CAP_ENDMNT'!F:F,0,0,1)</f>
        <v>17529847550.906998</v>
      </c>
      <c r="Z318" s="140">
        <f>+_xlfn.XLOOKUP(PROYECTOS2[[#This Row],[MUNICIPIO]],'4.CAP_ENDMNT'!B:B,'4.CAP_ENDMNT'!G:G,0,0,1)</f>
        <v>573337825</v>
      </c>
      <c r="AA318" s="140">
        <f>+_xlfn.XLOOKUP(PROYECTOS2[[#This Row],[MUNICIPIO]],'4.CAP_ENDMNT'!B:B,'4.CAP_ENDMNT'!H:H,0,0,1)</f>
        <v>3454671378</v>
      </c>
      <c r="AB318" s="140">
        <f>+_xlfn.XLOOKUP(PROYECTOS2[[#This Row],[MUNICIPIO]],'4.CAP_ENDMNT'!B:B,'4.CAP_ENDMNT'!I:I,0,0,1)</f>
        <v>4028009203</v>
      </c>
      <c r="AC318" s="134">
        <f>+_xlfn.XLOOKUP(PROYECTOS2[[#This Row],[MUNICIPIO]],'4.CAP_ENDMNT'!B:B,'4.CAP_ENDMNT'!J:J,0,0,1)</f>
        <v>0.18684174670493675</v>
      </c>
      <c r="AD318" s="140">
        <f>+_xlfn.XLOOKUP(PROYECTOS2[[#This Row],[MUNICIPIO]],'4.CAP_ENDMNT'!B:B,'4.CAP_ENDMNT'!K:K,0,0,1)</f>
        <v>17530391283.167</v>
      </c>
      <c r="AE318" s="140">
        <f>+_xlfn.XLOOKUP(PROYECTOS2[[#This Row],[MUNICIPIO]],'4.CAP_ENDMNT'!B:B,'4.CAP_ENDMNT'!L:L,0,0,1)</f>
        <v>14024313026.5336</v>
      </c>
      <c r="AF318" s="140">
        <f>+_xlfn.XLOOKUP(PROYECTOS2[[#This Row],[MUNICIPIO]],'4.CAP_ENDMNT'!B:B,'4.CAP_ENDMNT'!M:M,0,0,1)</f>
        <v>10518234769.9002</v>
      </c>
      <c r="AG318" s="134">
        <f>+_xlfn.XLOOKUP(PROYECTOS2[[#This Row],[MUNICIPIO]],'4.CAP_ENDMNT'!B:B,'4.CAP_ENDMNT'!N:N,0,0,1)</f>
        <v>0.14233776441548016</v>
      </c>
      <c r="AH318" s="134">
        <f>+_xlfn.XLOOKUP(PROYECTOS2[[#This Row],[MUNICIPIO]],'4.CAP_ENDMNT'!B:B,'4.CAP_ENDMNT'!O:O,0,0,1)</f>
        <v>0.45202185420266422</v>
      </c>
      <c r="AI318" s="134">
        <f>+_xlfn.XLOOKUP(PROYECTOS2[[#This Row],[MUNICIPIO]],'4.CAP_ENDMNT'!B:B,'4.CAP_ENDMNT'!P:P,0,0,1)</f>
        <v>0.8</v>
      </c>
      <c r="AJ318" s="44" t="str">
        <f>+_xlfn.XLOOKUP(PROYECTOS2[[#This Row],[MUNICIPIO]],'4.CAP_ENDMNT'!B:B,'4.CAP_ENDMNT'!Q:Q,0,0,1)</f>
        <v>Cumple</v>
      </c>
    </row>
    <row r="319" spans="1:36">
      <c r="A319" s="44">
        <v>342</v>
      </c>
      <c r="B319" s="37" t="s">
        <v>644</v>
      </c>
      <c r="C319" s="118">
        <v>45747</v>
      </c>
      <c r="D319" s="34" t="s">
        <v>645</v>
      </c>
      <c r="E319" s="47" t="str">
        <f>+_xlfn.XLOOKUP(PROYECTOS2[[#This Row],[MUNICIPIO]],MUNICIPIOS!A:A,MUNICIPIOS!E:E,0,0,1)</f>
        <v>Nordeste</v>
      </c>
      <c r="F319" s="44" t="e" cm="1">
        <f t="array" ref="F319">+_xlfn.XLOOKUP(PROYECTOS2[[#This Row],[MUNICIPIO]],Table1[Municipio],MUNICIPIOS!F:F,0,0,1)</f>
        <v>#VALUE!</v>
      </c>
      <c r="G319" s="47" t="str">
        <f>+LOOKUP(PROYECTOS2[[#This Row],[MUNICIPIO]],Table1[Municipio],Table1[Latitud])</f>
        <v>6,149903</v>
      </c>
      <c r="H319" s="47">
        <f>+LOOKUP(PROYECTOS2[[#This Row],[MUNICIPIO]],Table1[Municipio],Table1[PDET])</f>
        <v>0</v>
      </c>
      <c r="I319" s="44">
        <f>+LOOKUP(PROYECTOS2[[#This Row],[MUNICIPIO]],Table1[Municipio],Table1[ZOMAC])</f>
        <v>0</v>
      </c>
      <c r="J319" s="3" t="str" cm="1">
        <f t="array" ref="J319">_xlfn.TEXTJOIN(", ", TRUE, IF(radicados[ID PROYECTOS]=A319, radicados[RADICADO], ""))</f>
        <v/>
      </c>
      <c r="K319" s="128">
        <v>2</v>
      </c>
      <c r="L319" s="45"/>
      <c r="M319" s="50"/>
      <c r="N319" s="48">
        <v>1811250000</v>
      </c>
      <c r="O319" s="48"/>
      <c r="P319" s="48"/>
      <c r="Q319" s="148" t="s">
        <v>1067</v>
      </c>
      <c r="R319" s="40" t="s">
        <v>435</v>
      </c>
      <c r="S319" s="40" t="s">
        <v>398</v>
      </c>
      <c r="T319" s="40" t="s">
        <v>25</v>
      </c>
      <c r="U319" s="37"/>
      <c r="V319" s="44">
        <f>+_xlfn.XLOOKUP(PROYECTOS2[[#This Row],[MUNICIPIO]],'4.CAP_ENDMNT'!B:B,'4.CAP_ENDMNT'!C:C,0,0,1)</f>
        <v>6</v>
      </c>
      <c r="W319" s="139">
        <f>+_xlfn.XLOOKUP(PROYECTOS2[[#This Row],[MUNICIPIO]],'4.CAP_ENDMNT'!B:B,'4.CAP_ENDMNT'!D:D,0,0,1)</f>
        <v>8242883516.8785</v>
      </c>
      <c r="X319" s="140">
        <f>+_xlfn.XLOOKUP(PROYECTOS2[[#This Row],[MUNICIPIO]],'4.CAP_ENDMNT'!B:B,'4.CAP_ENDMNT'!E:E,0,0,1)</f>
        <v>3016955550.77</v>
      </c>
      <c r="Y319" s="140">
        <f>+_xlfn.XLOOKUP(PROYECTOS2[[#This Row],[MUNICIPIO]],'4.CAP_ENDMNT'!B:B,'4.CAP_ENDMNT'!F:F,0,0,1)</f>
        <v>5225927966.1084995</v>
      </c>
      <c r="Z319" s="140">
        <f>+_xlfn.XLOOKUP(PROYECTOS2[[#This Row],[MUNICIPIO]],'4.CAP_ENDMNT'!B:B,'4.CAP_ENDMNT'!G:G,0,0,1)</f>
        <v>1780602025</v>
      </c>
      <c r="AA319" s="140">
        <f>+_xlfn.XLOOKUP(PROYECTOS2[[#This Row],[MUNICIPIO]],'4.CAP_ENDMNT'!B:B,'4.CAP_ENDMNT'!H:H,0,0,1)</f>
        <v>0</v>
      </c>
      <c r="AB319" s="140">
        <f>+_xlfn.XLOOKUP(PROYECTOS2[[#This Row],[MUNICIPIO]],'4.CAP_ENDMNT'!B:B,'4.CAP_ENDMNT'!I:I,0,0,1)</f>
        <v>1780602025</v>
      </c>
      <c r="AC319" s="134">
        <f>+_xlfn.XLOOKUP(PROYECTOS2[[#This Row],[MUNICIPIO]],'4.CAP_ENDMNT'!B:B,'4.CAP_ENDMNT'!J:J,0,0,1)</f>
        <v>0.2160168855175448</v>
      </c>
      <c r="AD319" s="140">
        <f>+_xlfn.XLOOKUP(PROYECTOS2[[#This Row],[MUNICIPIO]],'4.CAP_ENDMNT'!B:B,'4.CAP_ENDMNT'!K:K,0,0,1)</f>
        <v>6462281491.8785</v>
      </c>
      <c r="AE319" s="140">
        <f>+_xlfn.XLOOKUP(PROYECTOS2[[#This Row],[MUNICIPIO]],'4.CAP_ENDMNT'!B:B,'4.CAP_ENDMNT'!L:L,0,0,1)</f>
        <v>5169825193.5028</v>
      </c>
      <c r="AF319" s="140">
        <f>+_xlfn.XLOOKUP(PROYECTOS2[[#This Row],[MUNICIPIO]],'4.CAP_ENDMNT'!B:B,'4.CAP_ENDMNT'!M:M,0,0,1)</f>
        <v>3877368895.1271</v>
      </c>
      <c r="AG319" s="134">
        <f>+_xlfn.XLOOKUP(PROYECTOS2[[#This Row],[MUNICIPIO]],'4.CAP_ENDMNT'!B:B,'4.CAP_ENDMNT'!N:N,0,0,1)</f>
        <v>1</v>
      </c>
      <c r="AH319" s="134">
        <f>+_xlfn.XLOOKUP(PROYECTOS2[[#This Row],[MUNICIPIO]],'4.CAP_ENDMNT'!B:B,'4.CAP_ENDMNT'!O:O,0,0,1)</f>
        <v>0.64988265281416979</v>
      </c>
      <c r="AI319" s="134">
        <f>+_xlfn.XLOOKUP(PROYECTOS2[[#This Row],[MUNICIPIO]],'4.CAP_ENDMNT'!B:B,'4.CAP_ENDMNT'!P:P,0,0,1)</f>
        <v>0.8</v>
      </c>
      <c r="AJ319" s="44" t="str">
        <f>+_xlfn.XLOOKUP(PROYECTOS2[[#This Row],[MUNICIPIO]],'4.CAP_ENDMNT'!B:B,'4.CAP_ENDMNT'!Q:Q,0,0,1)</f>
        <v>Cumple</v>
      </c>
    </row>
    <row r="320" spans="1:36">
      <c r="A320" s="44">
        <v>343</v>
      </c>
      <c r="B320" s="37" t="s">
        <v>646</v>
      </c>
      <c r="C320" s="118">
        <v>45747</v>
      </c>
      <c r="D320" s="34" t="s">
        <v>645</v>
      </c>
      <c r="E320" s="47" t="str">
        <f>+_xlfn.XLOOKUP(PROYECTOS2[[#This Row],[MUNICIPIO]],MUNICIPIOS!A:A,MUNICIPIOS!E:E,0,0,1)</f>
        <v>Nordeste</v>
      </c>
      <c r="F320" s="44" t="e" cm="1">
        <f t="array" ref="F320">+_xlfn.XLOOKUP(PROYECTOS2[[#This Row],[MUNICIPIO]],Table1[Municipio],MUNICIPIOS!F:F,0,0,1)</f>
        <v>#VALUE!</v>
      </c>
      <c r="G320" s="47" t="str">
        <f>+LOOKUP(PROYECTOS2[[#This Row],[MUNICIPIO]],Table1[Municipio],Table1[Latitud])</f>
        <v>6,149903</v>
      </c>
      <c r="H320" s="47">
        <f>+LOOKUP(PROYECTOS2[[#This Row],[MUNICIPIO]],Table1[Municipio],Table1[PDET])</f>
        <v>0</v>
      </c>
      <c r="I320" s="44">
        <f>+LOOKUP(PROYECTOS2[[#This Row],[MUNICIPIO]],Table1[Municipio],Table1[ZOMAC])</f>
        <v>0</v>
      </c>
      <c r="J320" s="3" t="str" cm="1">
        <f t="array" ref="J320">_xlfn.TEXTJOIN(", ", TRUE, IF(radicados[ID PROYECTOS]=A320, radicados[RADICADO], ""))</f>
        <v/>
      </c>
      <c r="K320" s="128">
        <v>2</v>
      </c>
      <c r="L320" s="45"/>
      <c r="M320" s="50"/>
      <c r="N320" s="48">
        <v>1897500000</v>
      </c>
      <c r="O320" s="48"/>
      <c r="P320" s="48"/>
      <c r="Q320" s="148" t="s">
        <v>1067</v>
      </c>
      <c r="R320" s="40" t="s">
        <v>428</v>
      </c>
      <c r="S320" s="40" t="s">
        <v>398</v>
      </c>
      <c r="T320" s="40" t="s">
        <v>25</v>
      </c>
      <c r="U320" s="37"/>
      <c r="V320" s="44">
        <f>+_xlfn.XLOOKUP(PROYECTOS2[[#This Row],[MUNICIPIO]],'4.CAP_ENDMNT'!B:B,'4.CAP_ENDMNT'!C:C,0,0,1)</f>
        <v>6</v>
      </c>
      <c r="W320" s="139">
        <f>+_xlfn.XLOOKUP(PROYECTOS2[[#This Row],[MUNICIPIO]],'4.CAP_ENDMNT'!B:B,'4.CAP_ENDMNT'!D:D,0,0,1)</f>
        <v>8242883516.8785</v>
      </c>
      <c r="X320" s="140">
        <f>+_xlfn.XLOOKUP(PROYECTOS2[[#This Row],[MUNICIPIO]],'4.CAP_ENDMNT'!B:B,'4.CAP_ENDMNT'!E:E,0,0,1)</f>
        <v>3016955550.77</v>
      </c>
      <c r="Y320" s="140">
        <f>+_xlfn.XLOOKUP(PROYECTOS2[[#This Row],[MUNICIPIO]],'4.CAP_ENDMNT'!B:B,'4.CAP_ENDMNT'!F:F,0,0,1)</f>
        <v>5225927966.1084995</v>
      </c>
      <c r="Z320" s="140">
        <f>+_xlfn.XLOOKUP(PROYECTOS2[[#This Row],[MUNICIPIO]],'4.CAP_ENDMNT'!B:B,'4.CAP_ENDMNT'!G:G,0,0,1)</f>
        <v>1780602025</v>
      </c>
      <c r="AA320" s="140">
        <f>+_xlfn.XLOOKUP(PROYECTOS2[[#This Row],[MUNICIPIO]],'4.CAP_ENDMNT'!B:B,'4.CAP_ENDMNT'!H:H,0,0,1)</f>
        <v>0</v>
      </c>
      <c r="AB320" s="140">
        <f>+_xlfn.XLOOKUP(PROYECTOS2[[#This Row],[MUNICIPIO]],'4.CAP_ENDMNT'!B:B,'4.CAP_ENDMNT'!I:I,0,0,1)</f>
        <v>1780602025</v>
      </c>
      <c r="AC320" s="134">
        <f>+_xlfn.XLOOKUP(PROYECTOS2[[#This Row],[MUNICIPIO]],'4.CAP_ENDMNT'!B:B,'4.CAP_ENDMNT'!J:J,0,0,1)</f>
        <v>0.2160168855175448</v>
      </c>
      <c r="AD320" s="140">
        <f>+_xlfn.XLOOKUP(PROYECTOS2[[#This Row],[MUNICIPIO]],'4.CAP_ENDMNT'!B:B,'4.CAP_ENDMNT'!K:K,0,0,1)</f>
        <v>6462281491.8785</v>
      </c>
      <c r="AE320" s="140">
        <f>+_xlfn.XLOOKUP(PROYECTOS2[[#This Row],[MUNICIPIO]],'4.CAP_ENDMNT'!B:B,'4.CAP_ENDMNT'!L:L,0,0,1)</f>
        <v>5169825193.5028</v>
      </c>
      <c r="AF320" s="140">
        <f>+_xlfn.XLOOKUP(PROYECTOS2[[#This Row],[MUNICIPIO]],'4.CAP_ENDMNT'!B:B,'4.CAP_ENDMNT'!M:M,0,0,1)</f>
        <v>3877368895.1271</v>
      </c>
      <c r="AG320" s="134">
        <f>+_xlfn.XLOOKUP(PROYECTOS2[[#This Row],[MUNICIPIO]],'4.CAP_ENDMNT'!B:B,'4.CAP_ENDMNT'!N:N,0,0,1)</f>
        <v>1</v>
      </c>
      <c r="AH320" s="134">
        <f>+_xlfn.XLOOKUP(PROYECTOS2[[#This Row],[MUNICIPIO]],'4.CAP_ENDMNT'!B:B,'4.CAP_ENDMNT'!O:O,0,0,1)</f>
        <v>0.64988265281416979</v>
      </c>
      <c r="AI320" s="134">
        <f>+_xlfn.XLOOKUP(PROYECTOS2[[#This Row],[MUNICIPIO]],'4.CAP_ENDMNT'!B:B,'4.CAP_ENDMNT'!P:P,0,0,1)</f>
        <v>0.8</v>
      </c>
      <c r="AJ320" s="44" t="str">
        <f>+_xlfn.XLOOKUP(PROYECTOS2[[#This Row],[MUNICIPIO]],'4.CAP_ENDMNT'!B:B,'4.CAP_ENDMNT'!Q:Q,0,0,1)</f>
        <v>Cumple</v>
      </c>
    </row>
    <row r="321" spans="1:36">
      <c r="A321" s="44">
        <v>344</v>
      </c>
      <c r="B321" s="37" t="s">
        <v>647</v>
      </c>
      <c r="C321" s="118">
        <v>45747</v>
      </c>
      <c r="D321" s="34" t="s">
        <v>153</v>
      </c>
      <c r="E321" s="47" t="str">
        <f>+_xlfn.XLOOKUP(PROYECTOS2[[#This Row],[MUNICIPIO]],MUNICIPIOS!A:A,MUNICIPIOS!E:E,0,0,1)</f>
        <v>Urabá</v>
      </c>
      <c r="F321" s="44" t="e" cm="1">
        <f t="array" ref="F321">+_xlfn.XLOOKUP(PROYECTOS2[[#This Row],[MUNICIPIO]],Table1[Municipio],MUNICIPIOS!F:F,0,0,1)</f>
        <v>#VALUE!</v>
      </c>
      <c r="G321" s="47" t="str">
        <f>+LOOKUP(PROYECTOS2[[#This Row],[MUNICIPIO]],Table1[Municipio],Table1[Latitud])</f>
        <v>6,246631</v>
      </c>
      <c r="H321" s="47">
        <f>+LOOKUP(PROYECTOS2[[#This Row],[MUNICIPIO]],Table1[Municipio],Table1[PDET])</f>
        <v>0</v>
      </c>
      <c r="I321" s="44">
        <f>+LOOKUP(PROYECTOS2[[#This Row],[MUNICIPIO]],Table1[Municipio],Table1[ZOMAC])</f>
        <v>0</v>
      </c>
      <c r="J321" s="3" t="str" cm="1">
        <f t="array" ref="J321">_xlfn.TEXTJOIN(", ", TRUE, IF(radicados[ID PROYECTOS]=A321, radicados[RADICADO], ""))</f>
        <v/>
      </c>
      <c r="K321" s="45">
        <v>1</v>
      </c>
      <c r="L321" s="45"/>
      <c r="M321" s="50"/>
      <c r="N321" s="48">
        <v>1243049119.0999999</v>
      </c>
      <c r="O321" s="48"/>
      <c r="P321" s="48"/>
      <c r="Q321" s="148" t="s">
        <v>1067</v>
      </c>
      <c r="R321" s="40" t="s">
        <v>435</v>
      </c>
      <c r="S321" s="40" t="s">
        <v>397</v>
      </c>
      <c r="T321" s="40" t="s">
        <v>56</v>
      </c>
      <c r="U321" s="37"/>
      <c r="V321" s="44">
        <f>+_xlfn.XLOOKUP(PROYECTOS2[[#This Row],[MUNICIPIO]],'4.CAP_ENDMNT'!B:B,'4.CAP_ENDMNT'!C:C,0,0,1)</f>
        <v>6</v>
      </c>
      <c r="W321" s="139">
        <f>+_xlfn.XLOOKUP(PROYECTOS2[[#This Row],[MUNICIPIO]],'4.CAP_ENDMNT'!B:B,'4.CAP_ENDMNT'!D:D,0,0,1)</f>
        <v>30137297790.127998</v>
      </c>
      <c r="X321" s="140">
        <f>+_xlfn.XLOOKUP(PROYECTOS2[[#This Row],[MUNICIPIO]],'4.CAP_ENDMNT'!B:B,'4.CAP_ENDMNT'!E:E,0,0,1)</f>
        <v>12298726691.530001</v>
      </c>
      <c r="Y321" s="140">
        <f>+_xlfn.XLOOKUP(PROYECTOS2[[#This Row],[MUNICIPIO]],'4.CAP_ENDMNT'!B:B,'4.CAP_ENDMNT'!F:F,0,0,1)</f>
        <v>17838571098.598</v>
      </c>
      <c r="Z321" s="140">
        <f>+_xlfn.XLOOKUP(PROYECTOS2[[#This Row],[MUNICIPIO]],'4.CAP_ENDMNT'!B:B,'4.CAP_ENDMNT'!G:G,0,0,1)</f>
        <v>2369107602</v>
      </c>
      <c r="AA321" s="140">
        <f>+_xlfn.XLOOKUP(PROYECTOS2[[#This Row],[MUNICIPIO]],'4.CAP_ENDMNT'!B:B,'4.CAP_ENDMNT'!H:H,0,0,1)</f>
        <v>13974896585</v>
      </c>
      <c r="AB321" s="140">
        <f>+_xlfn.XLOOKUP(PROYECTOS2[[#This Row],[MUNICIPIO]],'4.CAP_ENDMNT'!B:B,'4.CAP_ENDMNT'!I:I,0,0,1)</f>
        <v>16344004187</v>
      </c>
      <c r="AC321" s="134">
        <f>+_xlfn.XLOOKUP(PROYECTOS2[[#This Row],[MUNICIPIO]],'4.CAP_ENDMNT'!B:B,'4.CAP_ENDMNT'!J:J,0,0,1)</f>
        <v>0.54231817002364979</v>
      </c>
      <c r="AD321" s="140">
        <f>+_xlfn.XLOOKUP(PROYECTOS2[[#This Row],[MUNICIPIO]],'4.CAP_ENDMNT'!B:B,'4.CAP_ENDMNT'!K:K,0,0,1)</f>
        <v>13793293603.127998</v>
      </c>
      <c r="AE321" s="140">
        <f>+_xlfn.XLOOKUP(PROYECTOS2[[#This Row],[MUNICIPIO]],'4.CAP_ENDMNT'!B:B,'4.CAP_ENDMNT'!L:L,0,0,1)</f>
        <v>11034634882.502399</v>
      </c>
      <c r="AF321" s="140">
        <f>+_xlfn.XLOOKUP(PROYECTOS2[[#This Row],[MUNICIPIO]],'4.CAP_ENDMNT'!B:B,'4.CAP_ENDMNT'!M:M,0,0,1)</f>
        <v>8275976161.8767986</v>
      </c>
      <c r="AG321" s="134">
        <f>+_xlfn.XLOOKUP(PROYECTOS2[[#This Row],[MUNICIPIO]],'4.CAP_ENDMNT'!B:B,'4.CAP_ENDMNT'!N:N,0,0,1)</f>
        <v>0.1449527040554961</v>
      </c>
      <c r="AH321" s="134">
        <f>+_xlfn.XLOOKUP(PROYECTOS2[[#This Row],[MUNICIPIO]],'4.CAP_ENDMNT'!B:B,'4.CAP_ENDMNT'!O:O,0,0,1)</f>
        <v>0.58055985759165929</v>
      </c>
      <c r="AI321" s="134">
        <f>+_xlfn.XLOOKUP(PROYECTOS2[[#This Row],[MUNICIPIO]],'4.CAP_ENDMNT'!B:B,'4.CAP_ENDMNT'!P:P,0,0,1)</f>
        <v>0.8</v>
      </c>
      <c r="AJ321" s="44" t="str">
        <f>+_xlfn.XLOOKUP(PROYECTOS2[[#This Row],[MUNICIPIO]],'4.CAP_ENDMNT'!B:B,'4.CAP_ENDMNT'!Q:Q,0,0,1)</f>
        <v>Cumple</v>
      </c>
    </row>
    <row r="322" spans="1:36">
      <c r="A322" s="44">
        <v>345</v>
      </c>
      <c r="B322" s="37" t="s">
        <v>648</v>
      </c>
      <c r="C322" s="118">
        <v>45747</v>
      </c>
      <c r="D322" s="34" t="s">
        <v>470</v>
      </c>
      <c r="E322" s="47" t="str">
        <f>+_xlfn.XLOOKUP(PROYECTOS2[[#This Row],[MUNICIPIO]],MUNICIPIOS!A:A,MUNICIPIOS!E:E,0,0,1)</f>
        <v>Oriente</v>
      </c>
      <c r="F322" s="44" t="e" cm="1">
        <f t="array" ref="F322">+_xlfn.XLOOKUP(PROYECTOS2[[#This Row],[MUNICIPIO]],Table1[Municipio],MUNICIPIOS!F:F,0,0,1)</f>
        <v>#VALUE!</v>
      </c>
      <c r="G322" s="47" t="str">
        <f>+LOOKUP(PROYECTOS2[[#This Row],[MUNICIPIO]],Table1[Municipio],Table1[Latitud])</f>
        <v>6,149903</v>
      </c>
      <c r="H322" s="47">
        <f>+LOOKUP(PROYECTOS2[[#This Row],[MUNICIPIO]],Table1[Municipio],Table1[PDET])</f>
        <v>0</v>
      </c>
      <c r="I322" s="44">
        <f>+LOOKUP(PROYECTOS2[[#This Row],[MUNICIPIO]],Table1[Municipio],Table1[ZOMAC])</f>
        <v>0</v>
      </c>
      <c r="J322" s="3" t="str" cm="1">
        <f t="array" ref="J322">_xlfn.TEXTJOIN(", ", TRUE, IF(radicados[ID PROYECTOS]=A322, radicados[RADICADO], ""))</f>
        <v/>
      </c>
      <c r="K322" s="45">
        <v>1</v>
      </c>
      <c r="L322" s="45"/>
      <c r="M322" s="50"/>
      <c r="N322" s="48"/>
      <c r="O322" s="48"/>
      <c r="P322" s="48"/>
      <c r="Q322" s="148" t="s">
        <v>1067</v>
      </c>
      <c r="R322" s="40" t="s">
        <v>435</v>
      </c>
      <c r="S322" s="40" t="s">
        <v>397</v>
      </c>
      <c r="T322" s="40" t="s">
        <v>56</v>
      </c>
      <c r="U322" s="37" t="s">
        <v>495</v>
      </c>
      <c r="V322" s="44">
        <f>+_xlfn.XLOOKUP(PROYECTOS2[[#This Row],[MUNICIPIO]],'4.CAP_ENDMNT'!B:B,'4.CAP_ENDMNT'!C:C,0,0,1)</f>
        <v>6</v>
      </c>
      <c r="W322" s="139">
        <f>+_xlfn.XLOOKUP(PROYECTOS2[[#This Row],[MUNICIPIO]],'4.CAP_ENDMNT'!B:B,'4.CAP_ENDMNT'!D:D,0,0,1)</f>
        <v>17565923370.843998</v>
      </c>
      <c r="X322" s="140">
        <f>+_xlfn.XLOOKUP(PROYECTOS2[[#This Row],[MUNICIPIO]],'4.CAP_ENDMNT'!B:B,'4.CAP_ENDMNT'!E:E,0,0,1)</f>
        <v>4463335582.5100002</v>
      </c>
      <c r="Y322" s="140">
        <f>+_xlfn.XLOOKUP(PROYECTOS2[[#This Row],[MUNICIPIO]],'4.CAP_ENDMNT'!B:B,'4.CAP_ENDMNT'!F:F,0,0,1)</f>
        <v>13102587788.333998</v>
      </c>
      <c r="Z322" s="140">
        <f>+_xlfn.XLOOKUP(PROYECTOS2[[#This Row],[MUNICIPIO]],'4.CAP_ENDMNT'!B:B,'4.CAP_ENDMNT'!G:G,0,0,1)</f>
        <v>2561424191</v>
      </c>
      <c r="AA322" s="140">
        <f>+_xlfn.XLOOKUP(PROYECTOS2[[#This Row],[MUNICIPIO]],'4.CAP_ENDMNT'!B:B,'4.CAP_ENDMNT'!H:H,0,0,1)</f>
        <v>0</v>
      </c>
      <c r="AB322" s="140">
        <f>+_xlfn.XLOOKUP(PROYECTOS2[[#This Row],[MUNICIPIO]],'4.CAP_ENDMNT'!B:B,'4.CAP_ENDMNT'!I:I,0,0,1)</f>
        <v>2561424191</v>
      </c>
      <c r="AC322" s="134">
        <f>+_xlfn.XLOOKUP(PROYECTOS2[[#This Row],[MUNICIPIO]],'4.CAP_ENDMNT'!B:B,'4.CAP_ENDMNT'!J:J,0,0,1)</f>
        <v>0.14581779374328047</v>
      </c>
      <c r="AD322" s="140">
        <f>+_xlfn.XLOOKUP(PROYECTOS2[[#This Row],[MUNICIPIO]],'4.CAP_ENDMNT'!B:B,'4.CAP_ENDMNT'!K:K,0,0,1)</f>
        <v>15004499179.843998</v>
      </c>
      <c r="AE322" s="140">
        <f>+_xlfn.XLOOKUP(PROYECTOS2[[#This Row],[MUNICIPIO]],'4.CAP_ENDMNT'!B:B,'4.CAP_ENDMNT'!L:L,0,0,1)</f>
        <v>12003599343.875198</v>
      </c>
      <c r="AF322" s="140">
        <f>+_xlfn.XLOOKUP(PROYECTOS2[[#This Row],[MUNICIPIO]],'4.CAP_ENDMNT'!B:B,'4.CAP_ENDMNT'!M:M,0,0,1)</f>
        <v>9002699507.9063988</v>
      </c>
      <c r="AG322" s="134">
        <f>+_xlfn.XLOOKUP(PROYECTOS2[[#This Row],[MUNICIPIO]],'4.CAP_ENDMNT'!B:B,'4.CAP_ENDMNT'!N:N,0,0,1)</f>
        <v>1</v>
      </c>
      <c r="AH322" s="134">
        <f>+_xlfn.XLOOKUP(PROYECTOS2[[#This Row],[MUNICIPIO]],'4.CAP_ENDMNT'!B:B,'4.CAP_ENDMNT'!O:O,0,0,1)</f>
        <v>0.64471709259563048</v>
      </c>
      <c r="AI322" s="134">
        <f>+_xlfn.XLOOKUP(PROYECTOS2[[#This Row],[MUNICIPIO]],'4.CAP_ENDMNT'!B:B,'4.CAP_ENDMNT'!P:P,0,0,1)</f>
        <v>0.8</v>
      </c>
      <c r="AJ322" s="44" t="str">
        <f>+_xlfn.XLOOKUP(PROYECTOS2[[#This Row],[MUNICIPIO]],'4.CAP_ENDMNT'!B:B,'4.CAP_ENDMNT'!Q:Q,0,0,1)</f>
        <v>Cumple</v>
      </c>
    </row>
    <row r="323" spans="1:36">
      <c r="A323" s="44">
        <v>346</v>
      </c>
      <c r="B323" s="37" t="s">
        <v>649</v>
      </c>
      <c r="C323" s="118">
        <v>45747</v>
      </c>
      <c r="D323" s="34" t="s">
        <v>470</v>
      </c>
      <c r="E323" s="47" t="str">
        <f>+_xlfn.XLOOKUP(PROYECTOS2[[#This Row],[MUNICIPIO]],MUNICIPIOS!A:A,MUNICIPIOS!E:E,0,0,1)</f>
        <v>Oriente</v>
      </c>
      <c r="F323" s="44" t="e" cm="1">
        <f t="array" ref="F323">+_xlfn.XLOOKUP(PROYECTOS2[[#This Row],[MUNICIPIO]],Table1[Municipio],MUNICIPIOS!F:F,0,0,1)</f>
        <v>#VALUE!</v>
      </c>
      <c r="G323" s="47" t="str">
        <f>+LOOKUP(PROYECTOS2[[#This Row],[MUNICIPIO]],Table1[Municipio],Table1[Latitud])</f>
        <v>6,149903</v>
      </c>
      <c r="H323" s="47">
        <f>+LOOKUP(PROYECTOS2[[#This Row],[MUNICIPIO]],Table1[Municipio],Table1[PDET])</f>
        <v>0</v>
      </c>
      <c r="I323" s="44">
        <f>+LOOKUP(PROYECTOS2[[#This Row],[MUNICIPIO]],Table1[Municipio],Table1[ZOMAC])</f>
        <v>0</v>
      </c>
      <c r="J323" s="3" t="str" cm="1">
        <f t="array" ref="J323">_xlfn.TEXTJOIN(", ", TRUE, IF(radicados[ID PROYECTOS]=A323, radicados[RADICADO], ""))</f>
        <v/>
      </c>
      <c r="K323" s="45">
        <v>1</v>
      </c>
      <c r="L323" s="45"/>
      <c r="M323" s="50"/>
      <c r="N323" s="48"/>
      <c r="O323" s="48"/>
      <c r="P323" s="48"/>
      <c r="Q323" s="148" t="s">
        <v>1067</v>
      </c>
      <c r="R323" s="40" t="s">
        <v>435</v>
      </c>
      <c r="S323" s="40" t="s">
        <v>397</v>
      </c>
      <c r="T323" s="40" t="s">
        <v>56</v>
      </c>
      <c r="U323" s="37" t="s">
        <v>495</v>
      </c>
      <c r="V323" s="44">
        <f>+_xlfn.XLOOKUP(PROYECTOS2[[#This Row],[MUNICIPIO]],'4.CAP_ENDMNT'!B:B,'4.CAP_ENDMNT'!C:C,0,0,1)</f>
        <v>6</v>
      </c>
      <c r="W323" s="139">
        <f>+_xlfn.XLOOKUP(PROYECTOS2[[#This Row],[MUNICIPIO]],'4.CAP_ENDMNT'!B:B,'4.CAP_ENDMNT'!D:D,0,0,1)</f>
        <v>17565923370.843998</v>
      </c>
      <c r="X323" s="140">
        <f>+_xlfn.XLOOKUP(PROYECTOS2[[#This Row],[MUNICIPIO]],'4.CAP_ENDMNT'!B:B,'4.CAP_ENDMNT'!E:E,0,0,1)</f>
        <v>4463335582.5100002</v>
      </c>
      <c r="Y323" s="140">
        <f>+_xlfn.XLOOKUP(PROYECTOS2[[#This Row],[MUNICIPIO]],'4.CAP_ENDMNT'!B:B,'4.CAP_ENDMNT'!F:F,0,0,1)</f>
        <v>13102587788.333998</v>
      </c>
      <c r="Z323" s="140">
        <f>+_xlfn.XLOOKUP(PROYECTOS2[[#This Row],[MUNICIPIO]],'4.CAP_ENDMNT'!B:B,'4.CAP_ENDMNT'!G:G,0,0,1)</f>
        <v>2561424191</v>
      </c>
      <c r="AA323" s="140">
        <f>+_xlfn.XLOOKUP(PROYECTOS2[[#This Row],[MUNICIPIO]],'4.CAP_ENDMNT'!B:B,'4.CAP_ENDMNT'!H:H,0,0,1)</f>
        <v>0</v>
      </c>
      <c r="AB323" s="140">
        <f>+_xlfn.XLOOKUP(PROYECTOS2[[#This Row],[MUNICIPIO]],'4.CAP_ENDMNT'!B:B,'4.CAP_ENDMNT'!I:I,0,0,1)</f>
        <v>2561424191</v>
      </c>
      <c r="AC323" s="134">
        <f>+_xlfn.XLOOKUP(PROYECTOS2[[#This Row],[MUNICIPIO]],'4.CAP_ENDMNT'!B:B,'4.CAP_ENDMNT'!J:J,0,0,1)</f>
        <v>0.14581779374328047</v>
      </c>
      <c r="AD323" s="140">
        <f>+_xlfn.XLOOKUP(PROYECTOS2[[#This Row],[MUNICIPIO]],'4.CAP_ENDMNT'!B:B,'4.CAP_ENDMNT'!K:K,0,0,1)</f>
        <v>15004499179.843998</v>
      </c>
      <c r="AE323" s="140">
        <f>+_xlfn.XLOOKUP(PROYECTOS2[[#This Row],[MUNICIPIO]],'4.CAP_ENDMNT'!B:B,'4.CAP_ENDMNT'!L:L,0,0,1)</f>
        <v>12003599343.875198</v>
      </c>
      <c r="AF323" s="140">
        <f>+_xlfn.XLOOKUP(PROYECTOS2[[#This Row],[MUNICIPIO]],'4.CAP_ENDMNT'!B:B,'4.CAP_ENDMNT'!M:M,0,0,1)</f>
        <v>9002699507.9063988</v>
      </c>
      <c r="AG323" s="134">
        <f>+_xlfn.XLOOKUP(PROYECTOS2[[#This Row],[MUNICIPIO]],'4.CAP_ENDMNT'!B:B,'4.CAP_ENDMNT'!N:N,0,0,1)</f>
        <v>1</v>
      </c>
      <c r="AH323" s="134">
        <f>+_xlfn.XLOOKUP(PROYECTOS2[[#This Row],[MUNICIPIO]],'4.CAP_ENDMNT'!B:B,'4.CAP_ENDMNT'!O:O,0,0,1)</f>
        <v>0.64471709259563048</v>
      </c>
      <c r="AI323" s="134">
        <f>+_xlfn.XLOOKUP(PROYECTOS2[[#This Row],[MUNICIPIO]],'4.CAP_ENDMNT'!B:B,'4.CAP_ENDMNT'!P:P,0,0,1)</f>
        <v>0.8</v>
      </c>
      <c r="AJ323" s="44" t="str">
        <f>+_xlfn.XLOOKUP(PROYECTOS2[[#This Row],[MUNICIPIO]],'4.CAP_ENDMNT'!B:B,'4.CAP_ENDMNT'!Q:Q,0,0,1)</f>
        <v>Cumple</v>
      </c>
    </row>
    <row r="324" spans="1:36">
      <c r="A324" s="44">
        <v>347</v>
      </c>
      <c r="B324" s="37" t="s">
        <v>650</v>
      </c>
      <c r="C324" s="118">
        <v>45747</v>
      </c>
      <c r="D324" s="34" t="s">
        <v>470</v>
      </c>
      <c r="E324" s="47" t="str">
        <f>+_xlfn.XLOOKUP(PROYECTOS2[[#This Row],[MUNICIPIO]],MUNICIPIOS!A:A,MUNICIPIOS!E:E,0,0,1)</f>
        <v>Oriente</v>
      </c>
      <c r="F324" s="44" t="e" cm="1">
        <f t="array" ref="F324">+_xlfn.XLOOKUP(PROYECTOS2[[#This Row],[MUNICIPIO]],Table1[Municipio],MUNICIPIOS!F:F,0,0,1)</f>
        <v>#VALUE!</v>
      </c>
      <c r="G324" s="47" t="str">
        <f>+LOOKUP(PROYECTOS2[[#This Row],[MUNICIPIO]],Table1[Municipio],Table1[Latitud])</f>
        <v>6,149903</v>
      </c>
      <c r="H324" s="47">
        <f>+LOOKUP(PROYECTOS2[[#This Row],[MUNICIPIO]],Table1[Municipio],Table1[PDET])</f>
        <v>0</v>
      </c>
      <c r="I324" s="44">
        <f>+LOOKUP(PROYECTOS2[[#This Row],[MUNICIPIO]],Table1[Municipio],Table1[ZOMAC])</f>
        <v>0</v>
      </c>
      <c r="J324" s="3" t="str" cm="1">
        <f t="array" ref="J324">_xlfn.TEXTJOIN(", ", TRUE, IF(radicados[ID PROYECTOS]=A324, radicados[RADICADO], ""))</f>
        <v/>
      </c>
      <c r="K324" s="45">
        <v>1</v>
      </c>
      <c r="L324" s="45"/>
      <c r="M324" s="50"/>
      <c r="N324" s="48"/>
      <c r="O324" s="48"/>
      <c r="P324" s="48"/>
      <c r="Q324" s="148" t="s">
        <v>1067</v>
      </c>
      <c r="R324" s="40" t="s">
        <v>435</v>
      </c>
      <c r="S324" s="40" t="s">
        <v>397</v>
      </c>
      <c r="T324" s="40" t="s">
        <v>56</v>
      </c>
      <c r="U324" s="37" t="s">
        <v>495</v>
      </c>
      <c r="V324" s="44">
        <f>+_xlfn.XLOOKUP(PROYECTOS2[[#This Row],[MUNICIPIO]],'4.CAP_ENDMNT'!B:B,'4.CAP_ENDMNT'!C:C,0,0,1)</f>
        <v>6</v>
      </c>
      <c r="W324" s="139">
        <f>+_xlfn.XLOOKUP(PROYECTOS2[[#This Row],[MUNICIPIO]],'4.CAP_ENDMNT'!B:B,'4.CAP_ENDMNT'!D:D,0,0,1)</f>
        <v>17565923370.843998</v>
      </c>
      <c r="X324" s="140">
        <f>+_xlfn.XLOOKUP(PROYECTOS2[[#This Row],[MUNICIPIO]],'4.CAP_ENDMNT'!B:B,'4.CAP_ENDMNT'!E:E,0,0,1)</f>
        <v>4463335582.5100002</v>
      </c>
      <c r="Y324" s="140">
        <f>+_xlfn.XLOOKUP(PROYECTOS2[[#This Row],[MUNICIPIO]],'4.CAP_ENDMNT'!B:B,'4.CAP_ENDMNT'!F:F,0,0,1)</f>
        <v>13102587788.333998</v>
      </c>
      <c r="Z324" s="140">
        <f>+_xlfn.XLOOKUP(PROYECTOS2[[#This Row],[MUNICIPIO]],'4.CAP_ENDMNT'!B:B,'4.CAP_ENDMNT'!G:G,0,0,1)</f>
        <v>2561424191</v>
      </c>
      <c r="AA324" s="140">
        <f>+_xlfn.XLOOKUP(PROYECTOS2[[#This Row],[MUNICIPIO]],'4.CAP_ENDMNT'!B:B,'4.CAP_ENDMNT'!H:H,0,0,1)</f>
        <v>0</v>
      </c>
      <c r="AB324" s="140">
        <f>+_xlfn.XLOOKUP(PROYECTOS2[[#This Row],[MUNICIPIO]],'4.CAP_ENDMNT'!B:B,'4.CAP_ENDMNT'!I:I,0,0,1)</f>
        <v>2561424191</v>
      </c>
      <c r="AC324" s="134">
        <f>+_xlfn.XLOOKUP(PROYECTOS2[[#This Row],[MUNICIPIO]],'4.CAP_ENDMNT'!B:B,'4.CAP_ENDMNT'!J:J,0,0,1)</f>
        <v>0.14581779374328047</v>
      </c>
      <c r="AD324" s="140">
        <f>+_xlfn.XLOOKUP(PROYECTOS2[[#This Row],[MUNICIPIO]],'4.CAP_ENDMNT'!B:B,'4.CAP_ENDMNT'!K:K,0,0,1)</f>
        <v>15004499179.843998</v>
      </c>
      <c r="AE324" s="140">
        <f>+_xlfn.XLOOKUP(PROYECTOS2[[#This Row],[MUNICIPIO]],'4.CAP_ENDMNT'!B:B,'4.CAP_ENDMNT'!L:L,0,0,1)</f>
        <v>12003599343.875198</v>
      </c>
      <c r="AF324" s="140">
        <f>+_xlfn.XLOOKUP(PROYECTOS2[[#This Row],[MUNICIPIO]],'4.CAP_ENDMNT'!B:B,'4.CAP_ENDMNT'!M:M,0,0,1)</f>
        <v>9002699507.9063988</v>
      </c>
      <c r="AG324" s="134">
        <f>+_xlfn.XLOOKUP(PROYECTOS2[[#This Row],[MUNICIPIO]],'4.CAP_ENDMNT'!B:B,'4.CAP_ENDMNT'!N:N,0,0,1)</f>
        <v>1</v>
      </c>
      <c r="AH324" s="134">
        <f>+_xlfn.XLOOKUP(PROYECTOS2[[#This Row],[MUNICIPIO]],'4.CAP_ENDMNT'!B:B,'4.CAP_ENDMNT'!O:O,0,0,1)</f>
        <v>0.64471709259563048</v>
      </c>
      <c r="AI324" s="134">
        <f>+_xlfn.XLOOKUP(PROYECTOS2[[#This Row],[MUNICIPIO]],'4.CAP_ENDMNT'!B:B,'4.CAP_ENDMNT'!P:P,0,0,1)</f>
        <v>0.8</v>
      </c>
      <c r="AJ324" s="44" t="str">
        <f>+_xlfn.XLOOKUP(PROYECTOS2[[#This Row],[MUNICIPIO]],'4.CAP_ENDMNT'!B:B,'4.CAP_ENDMNT'!Q:Q,0,0,1)</f>
        <v>Cumple</v>
      </c>
    </row>
    <row r="325" spans="1:36">
      <c r="A325" s="44">
        <v>348</v>
      </c>
      <c r="B325" s="37" t="s">
        <v>651</v>
      </c>
      <c r="C325" s="118">
        <v>45747</v>
      </c>
      <c r="D325" s="34" t="s">
        <v>470</v>
      </c>
      <c r="E325" s="47" t="str">
        <f>+_xlfn.XLOOKUP(PROYECTOS2[[#This Row],[MUNICIPIO]],MUNICIPIOS!A:A,MUNICIPIOS!E:E,0,0,1)</f>
        <v>Oriente</v>
      </c>
      <c r="F325" s="44" t="e" cm="1">
        <f t="array" ref="F325">+_xlfn.XLOOKUP(PROYECTOS2[[#This Row],[MUNICIPIO]],Table1[Municipio],MUNICIPIOS!F:F,0,0,1)</f>
        <v>#VALUE!</v>
      </c>
      <c r="G325" s="47" t="str">
        <f>+LOOKUP(PROYECTOS2[[#This Row],[MUNICIPIO]],Table1[Municipio],Table1[Latitud])</f>
        <v>6,149903</v>
      </c>
      <c r="H325" s="47">
        <f>+LOOKUP(PROYECTOS2[[#This Row],[MUNICIPIO]],Table1[Municipio],Table1[PDET])</f>
        <v>0</v>
      </c>
      <c r="I325" s="44">
        <f>+LOOKUP(PROYECTOS2[[#This Row],[MUNICIPIO]],Table1[Municipio],Table1[ZOMAC])</f>
        <v>0</v>
      </c>
      <c r="J325" s="3" t="str" cm="1">
        <f t="array" ref="J325">_xlfn.TEXTJOIN(", ", TRUE, IF(radicados[ID PROYECTOS]=A325, radicados[RADICADO], ""))</f>
        <v/>
      </c>
      <c r="K325" s="45">
        <v>1</v>
      </c>
      <c r="L325" s="45"/>
      <c r="M325" s="50"/>
      <c r="N325" s="48"/>
      <c r="O325" s="48"/>
      <c r="P325" s="48"/>
      <c r="Q325" s="148" t="s">
        <v>1067</v>
      </c>
      <c r="R325" s="40" t="s">
        <v>428</v>
      </c>
      <c r="S325" s="40" t="s">
        <v>397</v>
      </c>
      <c r="T325" s="40" t="s">
        <v>56</v>
      </c>
      <c r="U325" s="37" t="s">
        <v>495</v>
      </c>
      <c r="V325" s="44">
        <f>+_xlfn.XLOOKUP(PROYECTOS2[[#This Row],[MUNICIPIO]],'4.CAP_ENDMNT'!B:B,'4.CAP_ENDMNT'!C:C,0,0,1)</f>
        <v>6</v>
      </c>
      <c r="W325" s="139">
        <f>+_xlfn.XLOOKUP(PROYECTOS2[[#This Row],[MUNICIPIO]],'4.CAP_ENDMNT'!B:B,'4.CAP_ENDMNT'!D:D,0,0,1)</f>
        <v>17565923370.843998</v>
      </c>
      <c r="X325" s="140">
        <f>+_xlfn.XLOOKUP(PROYECTOS2[[#This Row],[MUNICIPIO]],'4.CAP_ENDMNT'!B:B,'4.CAP_ENDMNT'!E:E,0,0,1)</f>
        <v>4463335582.5100002</v>
      </c>
      <c r="Y325" s="140">
        <f>+_xlfn.XLOOKUP(PROYECTOS2[[#This Row],[MUNICIPIO]],'4.CAP_ENDMNT'!B:B,'4.CAP_ENDMNT'!F:F,0,0,1)</f>
        <v>13102587788.333998</v>
      </c>
      <c r="Z325" s="140">
        <f>+_xlfn.XLOOKUP(PROYECTOS2[[#This Row],[MUNICIPIO]],'4.CAP_ENDMNT'!B:B,'4.CAP_ENDMNT'!G:G,0,0,1)</f>
        <v>2561424191</v>
      </c>
      <c r="AA325" s="140">
        <f>+_xlfn.XLOOKUP(PROYECTOS2[[#This Row],[MUNICIPIO]],'4.CAP_ENDMNT'!B:B,'4.CAP_ENDMNT'!H:H,0,0,1)</f>
        <v>0</v>
      </c>
      <c r="AB325" s="140">
        <f>+_xlfn.XLOOKUP(PROYECTOS2[[#This Row],[MUNICIPIO]],'4.CAP_ENDMNT'!B:B,'4.CAP_ENDMNT'!I:I,0,0,1)</f>
        <v>2561424191</v>
      </c>
      <c r="AC325" s="134">
        <f>+_xlfn.XLOOKUP(PROYECTOS2[[#This Row],[MUNICIPIO]],'4.CAP_ENDMNT'!B:B,'4.CAP_ENDMNT'!J:J,0,0,1)</f>
        <v>0.14581779374328047</v>
      </c>
      <c r="AD325" s="140">
        <f>+_xlfn.XLOOKUP(PROYECTOS2[[#This Row],[MUNICIPIO]],'4.CAP_ENDMNT'!B:B,'4.CAP_ENDMNT'!K:K,0,0,1)</f>
        <v>15004499179.843998</v>
      </c>
      <c r="AE325" s="140">
        <f>+_xlfn.XLOOKUP(PROYECTOS2[[#This Row],[MUNICIPIO]],'4.CAP_ENDMNT'!B:B,'4.CAP_ENDMNT'!L:L,0,0,1)</f>
        <v>12003599343.875198</v>
      </c>
      <c r="AF325" s="140">
        <f>+_xlfn.XLOOKUP(PROYECTOS2[[#This Row],[MUNICIPIO]],'4.CAP_ENDMNT'!B:B,'4.CAP_ENDMNT'!M:M,0,0,1)</f>
        <v>9002699507.9063988</v>
      </c>
      <c r="AG325" s="134">
        <f>+_xlfn.XLOOKUP(PROYECTOS2[[#This Row],[MUNICIPIO]],'4.CAP_ENDMNT'!B:B,'4.CAP_ENDMNT'!N:N,0,0,1)</f>
        <v>1</v>
      </c>
      <c r="AH325" s="134">
        <f>+_xlfn.XLOOKUP(PROYECTOS2[[#This Row],[MUNICIPIO]],'4.CAP_ENDMNT'!B:B,'4.CAP_ENDMNT'!O:O,0,0,1)</f>
        <v>0.64471709259563048</v>
      </c>
      <c r="AI325" s="134">
        <f>+_xlfn.XLOOKUP(PROYECTOS2[[#This Row],[MUNICIPIO]],'4.CAP_ENDMNT'!B:B,'4.CAP_ENDMNT'!P:P,0,0,1)</f>
        <v>0.8</v>
      </c>
      <c r="AJ325" s="44" t="str">
        <f>+_xlfn.XLOOKUP(PROYECTOS2[[#This Row],[MUNICIPIO]],'4.CAP_ENDMNT'!B:B,'4.CAP_ENDMNT'!Q:Q,0,0,1)</f>
        <v>Cumple</v>
      </c>
    </row>
    <row r="326" spans="1:36">
      <c r="A326" s="44">
        <v>349</v>
      </c>
      <c r="B326" s="37" t="s">
        <v>652</v>
      </c>
      <c r="C326" s="118">
        <v>45747</v>
      </c>
      <c r="D326" s="34" t="s">
        <v>256</v>
      </c>
      <c r="E326" s="47" t="str">
        <f>+_xlfn.XLOOKUP(PROYECTOS2[[#This Row],[MUNICIPIO]],MUNICIPIOS!A:A,MUNICIPIOS!E:E,0,0,1)</f>
        <v>Occidente</v>
      </c>
      <c r="F326" s="44" t="e" cm="1">
        <f t="array" ref="F326">+_xlfn.XLOOKUP(PROYECTOS2[[#This Row],[MUNICIPIO]],Table1[Municipio],MUNICIPIOS!F:F,0,0,1)</f>
        <v>#VALUE!</v>
      </c>
      <c r="G326" s="47" t="str">
        <f>+LOOKUP(PROYECTOS2[[#This Row],[MUNICIPIO]],Table1[Municipio],Table1[Latitud])</f>
        <v>6,136871</v>
      </c>
      <c r="H326" s="47">
        <f>+LOOKUP(PROYECTOS2[[#This Row],[MUNICIPIO]],Table1[Municipio],Table1[PDET])</f>
        <v>0</v>
      </c>
      <c r="I326" s="44">
        <f>+LOOKUP(PROYECTOS2[[#This Row],[MUNICIPIO]],Table1[Municipio],Table1[ZOMAC])</f>
        <v>0</v>
      </c>
      <c r="J326" s="3" t="str" cm="1">
        <f t="array" ref="J326">_xlfn.TEXTJOIN(", ", TRUE, IF(radicados[ID PROYECTOS]=A326, radicados[RADICADO], ""))</f>
        <v/>
      </c>
      <c r="K326" s="45">
        <v>1</v>
      </c>
      <c r="L326" s="45"/>
      <c r="M326" s="50"/>
      <c r="N326" s="48">
        <v>1029455905</v>
      </c>
      <c r="O326" s="48"/>
      <c r="P326" s="48"/>
      <c r="Q326" s="148" t="s">
        <v>1067</v>
      </c>
      <c r="R326" s="40" t="s">
        <v>435</v>
      </c>
      <c r="S326" s="40" t="s">
        <v>398</v>
      </c>
      <c r="T326" s="40" t="s">
        <v>25</v>
      </c>
      <c r="U326" s="37"/>
      <c r="V326" s="44">
        <f>+_xlfn.XLOOKUP(PROYECTOS2[[#This Row],[MUNICIPIO]],'4.CAP_ENDMNT'!B:B,'4.CAP_ENDMNT'!C:C,0,0,1)</f>
        <v>6</v>
      </c>
      <c r="W326" s="139">
        <f>+_xlfn.XLOOKUP(PROYECTOS2[[#This Row],[MUNICIPIO]],'4.CAP_ENDMNT'!B:B,'4.CAP_ENDMNT'!D:D,0,0,1)</f>
        <v>15502017167.017002</v>
      </c>
      <c r="X326" s="140">
        <f>+_xlfn.XLOOKUP(PROYECTOS2[[#This Row],[MUNICIPIO]],'4.CAP_ENDMNT'!B:B,'4.CAP_ENDMNT'!E:E,0,0,1)</f>
        <v>4560047682.8000002</v>
      </c>
      <c r="Y326" s="140">
        <f>+_xlfn.XLOOKUP(PROYECTOS2[[#This Row],[MUNICIPIO]],'4.CAP_ENDMNT'!B:B,'4.CAP_ENDMNT'!F:F,0,0,1)</f>
        <v>10941969484.217003</v>
      </c>
      <c r="Z326" s="140">
        <f>+_xlfn.XLOOKUP(PROYECTOS2[[#This Row],[MUNICIPIO]],'4.CAP_ENDMNT'!B:B,'4.CAP_ENDMNT'!G:G,0,0,1)</f>
        <v>1591148139</v>
      </c>
      <c r="AA326" s="140">
        <f>+_xlfn.XLOOKUP(PROYECTOS2[[#This Row],[MUNICIPIO]],'4.CAP_ENDMNT'!B:B,'4.CAP_ENDMNT'!H:H,0,0,1)</f>
        <v>1671853559</v>
      </c>
      <c r="AB326" s="140">
        <f>+_xlfn.XLOOKUP(PROYECTOS2[[#This Row],[MUNICIPIO]],'4.CAP_ENDMNT'!B:B,'4.CAP_ENDMNT'!I:I,0,0,1)</f>
        <v>3263001698</v>
      </c>
      <c r="AC326" s="134">
        <f>+_xlfn.XLOOKUP(PROYECTOS2[[#This Row],[MUNICIPIO]],'4.CAP_ENDMNT'!B:B,'4.CAP_ENDMNT'!J:J,0,0,1)</f>
        <v>0.2104888456027873</v>
      </c>
      <c r="AD326" s="140">
        <f>+_xlfn.XLOOKUP(PROYECTOS2[[#This Row],[MUNICIPIO]],'4.CAP_ENDMNT'!B:B,'4.CAP_ENDMNT'!K:K,0,0,1)</f>
        <v>12239015469.017002</v>
      </c>
      <c r="AE326" s="140">
        <f>+_xlfn.XLOOKUP(PROYECTOS2[[#This Row],[MUNICIPIO]],'4.CAP_ENDMNT'!B:B,'4.CAP_ENDMNT'!L:L,0,0,1)</f>
        <v>9791212375.2136021</v>
      </c>
      <c r="AF326" s="140">
        <f>+_xlfn.XLOOKUP(PROYECTOS2[[#This Row],[MUNICIPIO]],'4.CAP_ENDMNT'!B:B,'4.CAP_ENDMNT'!M:M,0,0,1)</f>
        <v>7343409281.4102011</v>
      </c>
      <c r="AG326" s="134">
        <f>+_xlfn.XLOOKUP(PROYECTOS2[[#This Row],[MUNICIPIO]],'4.CAP_ENDMNT'!B:B,'4.CAP_ENDMNT'!N:N,0,0,1)</f>
        <v>0.4876332549796914</v>
      </c>
      <c r="AH326" s="134">
        <f>+_xlfn.XLOOKUP(PROYECTOS2[[#This Row],[MUNICIPIO]],'4.CAP_ENDMNT'!B:B,'4.CAP_ENDMNT'!O:O,0,0,1)</f>
        <v>0.42560105953702715</v>
      </c>
      <c r="AI326" s="134">
        <f>+_xlfn.XLOOKUP(PROYECTOS2[[#This Row],[MUNICIPIO]],'4.CAP_ENDMNT'!B:B,'4.CAP_ENDMNT'!P:P,0,0,1)</f>
        <v>0.8</v>
      </c>
      <c r="AJ326" s="44" t="str">
        <f>+_xlfn.XLOOKUP(PROYECTOS2[[#This Row],[MUNICIPIO]],'4.CAP_ENDMNT'!B:B,'4.CAP_ENDMNT'!Q:Q,0,0,1)</f>
        <v>Cumple</v>
      </c>
    </row>
    <row r="327" spans="1:36">
      <c r="A327" s="44">
        <v>350</v>
      </c>
      <c r="B327" s="37" t="s">
        <v>653</v>
      </c>
      <c r="C327" s="118">
        <v>45747</v>
      </c>
      <c r="D327" s="34" t="s">
        <v>256</v>
      </c>
      <c r="E327" s="47" t="str">
        <f>+_xlfn.XLOOKUP(PROYECTOS2[[#This Row],[MUNICIPIO]],MUNICIPIOS!A:A,MUNICIPIOS!E:E,0,0,1)</f>
        <v>Occidente</v>
      </c>
      <c r="F327" s="44" t="e" cm="1">
        <f t="array" ref="F327">+_xlfn.XLOOKUP(PROYECTOS2[[#This Row],[MUNICIPIO]],Table1[Municipio],MUNICIPIOS!F:F,0,0,1)</f>
        <v>#VALUE!</v>
      </c>
      <c r="G327" s="47" t="str">
        <f>+LOOKUP(PROYECTOS2[[#This Row],[MUNICIPIO]],Table1[Municipio],Table1[Latitud])</f>
        <v>6,136871</v>
      </c>
      <c r="H327" s="47">
        <f>+LOOKUP(PROYECTOS2[[#This Row],[MUNICIPIO]],Table1[Municipio],Table1[PDET])</f>
        <v>0</v>
      </c>
      <c r="I327" s="44">
        <f>+LOOKUP(PROYECTOS2[[#This Row],[MUNICIPIO]],Table1[Municipio],Table1[ZOMAC])</f>
        <v>0</v>
      </c>
      <c r="J327" s="3" t="str" cm="1">
        <f t="array" ref="J327">_xlfn.TEXTJOIN(", ", TRUE, IF(radicados[ID PROYECTOS]=A327, radicados[RADICADO], ""))</f>
        <v/>
      </c>
      <c r="K327" s="45">
        <v>1</v>
      </c>
      <c r="L327" s="45"/>
      <c r="M327" s="50"/>
      <c r="N327" s="48">
        <v>1279455905</v>
      </c>
      <c r="O327" s="48"/>
      <c r="P327" s="48"/>
      <c r="Q327" s="148" t="s">
        <v>1067</v>
      </c>
      <c r="R327" s="40" t="s">
        <v>435</v>
      </c>
      <c r="S327" s="40" t="s">
        <v>398</v>
      </c>
      <c r="T327" s="40" t="s">
        <v>25</v>
      </c>
      <c r="U327" s="37"/>
      <c r="V327" s="44">
        <f>+_xlfn.XLOOKUP(PROYECTOS2[[#This Row],[MUNICIPIO]],'4.CAP_ENDMNT'!B:B,'4.CAP_ENDMNT'!C:C,0,0,1)</f>
        <v>6</v>
      </c>
      <c r="W327" s="139">
        <f>+_xlfn.XLOOKUP(PROYECTOS2[[#This Row],[MUNICIPIO]],'4.CAP_ENDMNT'!B:B,'4.CAP_ENDMNT'!D:D,0,0,1)</f>
        <v>15502017167.017002</v>
      </c>
      <c r="X327" s="140">
        <f>+_xlfn.XLOOKUP(PROYECTOS2[[#This Row],[MUNICIPIO]],'4.CAP_ENDMNT'!B:B,'4.CAP_ENDMNT'!E:E,0,0,1)</f>
        <v>4560047682.8000002</v>
      </c>
      <c r="Y327" s="140">
        <f>+_xlfn.XLOOKUP(PROYECTOS2[[#This Row],[MUNICIPIO]],'4.CAP_ENDMNT'!B:B,'4.CAP_ENDMNT'!F:F,0,0,1)</f>
        <v>10941969484.217003</v>
      </c>
      <c r="Z327" s="140">
        <f>+_xlfn.XLOOKUP(PROYECTOS2[[#This Row],[MUNICIPIO]],'4.CAP_ENDMNT'!B:B,'4.CAP_ENDMNT'!G:G,0,0,1)</f>
        <v>1591148139</v>
      </c>
      <c r="AA327" s="140">
        <f>+_xlfn.XLOOKUP(PROYECTOS2[[#This Row],[MUNICIPIO]],'4.CAP_ENDMNT'!B:B,'4.CAP_ENDMNT'!H:H,0,0,1)</f>
        <v>1671853559</v>
      </c>
      <c r="AB327" s="140">
        <f>+_xlfn.XLOOKUP(PROYECTOS2[[#This Row],[MUNICIPIO]],'4.CAP_ENDMNT'!B:B,'4.CAP_ENDMNT'!I:I,0,0,1)</f>
        <v>3263001698</v>
      </c>
      <c r="AC327" s="134">
        <f>+_xlfn.XLOOKUP(PROYECTOS2[[#This Row],[MUNICIPIO]],'4.CAP_ENDMNT'!B:B,'4.CAP_ENDMNT'!J:J,0,0,1)</f>
        <v>0.2104888456027873</v>
      </c>
      <c r="AD327" s="140">
        <f>+_xlfn.XLOOKUP(PROYECTOS2[[#This Row],[MUNICIPIO]],'4.CAP_ENDMNT'!B:B,'4.CAP_ENDMNT'!K:K,0,0,1)</f>
        <v>12239015469.017002</v>
      </c>
      <c r="AE327" s="140">
        <f>+_xlfn.XLOOKUP(PROYECTOS2[[#This Row],[MUNICIPIO]],'4.CAP_ENDMNT'!B:B,'4.CAP_ENDMNT'!L:L,0,0,1)</f>
        <v>9791212375.2136021</v>
      </c>
      <c r="AF327" s="140">
        <f>+_xlfn.XLOOKUP(PROYECTOS2[[#This Row],[MUNICIPIO]],'4.CAP_ENDMNT'!B:B,'4.CAP_ENDMNT'!M:M,0,0,1)</f>
        <v>7343409281.4102011</v>
      </c>
      <c r="AG327" s="134">
        <f>+_xlfn.XLOOKUP(PROYECTOS2[[#This Row],[MUNICIPIO]],'4.CAP_ENDMNT'!B:B,'4.CAP_ENDMNT'!N:N,0,0,1)</f>
        <v>0.4876332549796914</v>
      </c>
      <c r="AH327" s="134">
        <f>+_xlfn.XLOOKUP(PROYECTOS2[[#This Row],[MUNICIPIO]],'4.CAP_ENDMNT'!B:B,'4.CAP_ENDMNT'!O:O,0,0,1)</f>
        <v>0.42560105953702715</v>
      </c>
      <c r="AI327" s="134">
        <f>+_xlfn.XLOOKUP(PROYECTOS2[[#This Row],[MUNICIPIO]],'4.CAP_ENDMNT'!B:B,'4.CAP_ENDMNT'!P:P,0,0,1)</f>
        <v>0.8</v>
      </c>
      <c r="AJ327" s="44" t="str">
        <f>+_xlfn.XLOOKUP(PROYECTOS2[[#This Row],[MUNICIPIO]],'4.CAP_ENDMNT'!B:B,'4.CAP_ENDMNT'!Q:Q,0,0,1)</f>
        <v>Cumple</v>
      </c>
    </row>
    <row r="328" spans="1:36">
      <c r="A328" s="44">
        <v>351</v>
      </c>
      <c r="B328" s="37" t="s">
        <v>654</v>
      </c>
      <c r="C328" s="118">
        <v>45747</v>
      </c>
      <c r="D328" s="34" t="s">
        <v>256</v>
      </c>
      <c r="E328" s="47" t="str">
        <f>+_xlfn.XLOOKUP(PROYECTOS2[[#This Row],[MUNICIPIO]],MUNICIPIOS!A:A,MUNICIPIOS!E:E,0,0,1)</f>
        <v>Occidente</v>
      </c>
      <c r="F328" s="44" t="e" cm="1">
        <f t="array" ref="F328">+_xlfn.XLOOKUP(PROYECTOS2[[#This Row],[MUNICIPIO]],Table1[Municipio],MUNICIPIOS!F:F,0,0,1)</f>
        <v>#VALUE!</v>
      </c>
      <c r="G328" s="47" t="str">
        <f>+LOOKUP(PROYECTOS2[[#This Row],[MUNICIPIO]],Table1[Municipio],Table1[Latitud])</f>
        <v>6,136871</v>
      </c>
      <c r="H328" s="47">
        <f>+LOOKUP(PROYECTOS2[[#This Row],[MUNICIPIO]],Table1[Municipio],Table1[PDET])</f>
        <v>0</v>
      </c>
      <c r="I328" s="44">
        <f>+LOOKUP(PROYECTOS2[[#This Row],[MUNICIPIO]],Table1[Municipio],Table1[ZOMAC])</f>
        <v>0</v>
      </c>
      <c r="J328" s="3" t="str" cm="1">
        <f t="array" ref="J328">_xlfn.TEXTJOIN(", ", TRUE, IF(radicados[ID PROYECTOS]=A328, radicados[RADICADO], ""))</f>
        <v/>
      </c>
      <c r="K328" s="45">
        <v>1</v>
      </c>
      <c r="L328" s="45"/>
      <c r="M328" s="50"/>
      <c r="N328" s="48">
        <v>1029455905</v>
      </c>
      <c r="O328" s="48"/>
      <c r="P328" s="48"/>
      <c r="Q328" s="148" t="s">
        <v>1067</v>
      </c>
      <c r="R328" s="40" t="s">
        <v>435</v>
      </c>
      <c r="S328" s="40" t="s">
        <v>398</v>
      </c>
      <c r="T328" s="40" t="s">
        <v>25</v>
      </c>
      <c r="U328" s="37"/>
      <c r="V328" s="44">
        <f>+_xlfn.XLOOKUP(PROYECTOS2[[#This Row],[MUNICIPIO]],'4.CAP_ENDMNT'!B:B,'4.CAP_ENDMNT'!C:C,0,0,1)</f>
        <v>6</v>
      </c>
      <c r="W328" s="139">
        <f>+_xlfn.XLOOKUP(PROYECTOS2[[#This Row],[MUNICIPIO]],'4.CAP_ENDMNT'!B:B,'4.CAP_ENDMNT'!D:D,0,0,1)</f>
        <v>15502017167.017002</v>
      </c>
      <c r="X328" s="140">
        <f>+_xlfn.XLOOKUP(PROYECTOS2[[#This Row],[MUNICIPIO]],'4.CAP_ENDMNT'!B:B,'4.CAP_ENDMNT'!E:E,0,0,1)</f>
        <v>4560047682.8000002</v>
      </c>
      <c r="Y328" s="140">
        <f>+_xlfn.XLOOKUP(PROYECTOS2[[#This Row],[MUNICIPIO]],'4.CAP_ENDMNT'!B:B,'4.CAP_ENDMNT'!F:F,0,0,1)</f>
        <v>10941969484.217003</v>
      </c>
      <c r="Z328" s="140">
        <f>+_xlfn.XLOOKUP(PROYECTOS2[[#This Row],[MUNICIPIO]],'4.CAP_ENDMNT'!B:B,'4.CAP_ENDMNT'!G:G,0,0,1)</f>
        <v>1591148139</v>
      </c>
      <c r="AA328" s="140">
        <f>+_xlfn.XLOOKUP(PROYECTOS2[[#This Row],[MUNICIPIO]],'4.CAP_ENDMNT'!B:B,'4.CAP_ENDMNT'!H:H,0,0,1)</f>
        <v>1671853559</v>
      </c>
      <c r="AB328" s="140">
        <f>+_xlfn.XLOOKUP(PROYECTOS2[[#This Row],[MUNICIPIO]],'4.CAP_ENDMNT'!B:B,'4.CAP_ENDMNT'!I:I,0,0,1)</f>
        <v>3263001698</v>
      </c>
      <c r="AC328" s="134">
        <f>+_xlfn.XLOOKUP(PROYECTOS2[[#This Row],[MUNICIPIO]],'4.CAP_ENDMNT'!B:B,'4.CAP_ENDMNT'!J:J,0,0,1)</f>
        <v>0.2104888456027873</v>
      </c>
      <c r="AD328" s="140">
        <f>+_xlfn.XLOOKUP(PROYECTOS2[[#This Row],[MUNICIPIO]],'4.CAP_ENDMNT'!B:B,'4.CAP_ENDMNT'!K:K,0,0,1)</f>
        <v>12239015469.017002</v>
      </c>
      <c r="AE328" s="140">
        <f>+_xlfn.XLOOKUP(PROYECTOS2[[#This Row],[MUNICIPIO]],'4.CAP_ENDMNT'!B:B,'4.CAP_ENDMNT'!L:L,0,0,1)</f>
        <v>9791212375.2136021</v>
      </c>
      <c r="AF328" s="140">
        <f>+_xlfn.XLOOKUP(PROYECTOS2[[#This Row],[MUNICIPIO]],'4.CAP_ENDMNT'!B:B,'4.CAP_ENDMNT'!M:M,0,0,1)</f>
        <v>7343409281.4102011</v>
      </c>
      <c r="AG328" s="134">
        <f>+_xlfn.XLOOKUP(PROYECTOS2[[#This Row],[MUNICIPIO]],'4.CAP_ENDMNT'!B:B,'4.CAP_ENDMNT'!N:N,0,0,1)</f>
        <v>0.4876332549796914</v>
      </c>
      <c r="AH328" s="134">
        <f>+_xlfn.XLOOKUP(PROYECTOS2[[#This Row],[MUNICIPIO]],'4.CAP_ENDMNT'!B:B,'4.CAP_ENDMNT'!O:O,0,0,1)</f>
        <v>0.42560105953702715</v>
      </c>
      <c r="AI328" s="134">
        <f>+_xlfn.XLOOKUP(PROYECTOS2[[#This Row],[MUNICIPIO]],'4.CAP_ENDMNT'!B:B,'4.CAP_ENDMNT'!P:P,0,0,1)</f>
        <v>0.8</v>
      </c>
      <c r="AJ328" s="44" t="str">
        <f>+_xlfn.XLOOKUP(PROYECTOS2[[#This Row],[MUNICIPIO]],'4.CAP_ENDMNT'!B:B,'4.CAP_ENDMNT'!Q:Q,0,0,1)</f>
        <v>Cumple</v>
      </c>
    </row>
    <row r="329" spans="1:36">
      <c r="A329" s="44">
        <v>352</v>
      </c>
      <c r="B329" t="s">
        <v>342</v>
      </c>
      <c r="C329" s="54">
        <f>+_xlfn.XLOOKUP(PROYECTOS2[[#This Row],[ID_NECESIDAD]],'1.RADICADOS'!G:G,'1.RADICADOS'!C:C,0,0,1)*1</f>
        <v>45714</v>
      </c>
      <c r="D329" s="46" t="s">
        <v>341</v>
      </c>
      <c r="E329" s="47" t="str">
        <f>+_xlfn.XLOOKUP(PROYECTOS2[[#This Row],[MUNICIPIO]],MUNICIPIOS!A:A,MUNICIPIOS!E:E,0,0,1)</f>
        <v>Norte</v>
      </c>
      <c r="F329" s="44" t="e" cm="1">
        <f t="array" ref="F329">+_xlfn.XLOOKUP(PROYECTOS2[[#This Row],[MUNICIPIO]],Table1[Municipio],MUNICIPIOS!F:F,0,0,1)</f>
        <v>#VALUE!</v>
      </c>
      <c r="G329" s="47" t="str">
        <f>+LOOKUP(PROYECTOS2[[#This Row],[MUNICIPIO]],Table1[Municipio],Table1[Latitud])</f>
        <v>7,074703</v>
      </c>
      <c r="H329" s="47">
        <f>+LOOKUP(PROYECTOS2[[#This Row],[MUNICIPIO]],Table1[Municipio],Table1[PDET])</f>
        <v>1</v>
      </c>
      <c r="I329" s="44">
        <f>+LOOKUP(PROYECTOS2[[#This Row],[MUNICIPIO]],Table1[Municipio],Table1[ZOMAC])</f>
        <v>1</v>
      </c>
      <c r="J329" s="3" t="str" cm="1">
        <f t="array" ref="J329">_xlfn.TEXTJOIN(", ", TRUE, IF(radicados[ID PROYECTOS]=A329, radicados[RADICADO], ""))</f>
        <v>2025010091549</v>
      </c>
      <c r="K329" s="45">
        <v>1</v>
      </c>
      <c r="L329" s="45"/>
      <c r="M329" s="50"/>
      <c r="N329" s="48">
        <v>104177379</v>
      </c>
      <c r="O329" s="48"/>
      <c r="P329" s="48"/>
      <c r="Q329" s="148" t="s">
        <v>1067</v>
      </c>
      <c r="R329" s="40" t="s">
        <v>407</v>
      </c>
      <c r="S329" s="40" t="s">
        <v>398</v>
      </c>
      <c r="T329" s="40" t="s">
        <v>25</v>
      </c>
      <c r="U329" s="37"/>
      <c r="V329" s="44">
        <f>+_xlfn.XLOOKUP(PROYECTOS2[[#This Row],[MUNICIPIO]],'4.CAP_ENDMNT'!B:B,'4.CAP_ENDMNT'!C:C,0,0,1)</f>
        <v>6</v>
      </c>
      <c r="W329" s="139">
        <f>+_xlfn.XLOOKUP(PROYECTOS2[[#This Row],[MUNICIPIO]],'4.CAP_ENDMNT'!B:B,'4.CAP_ENDMNT'!D:D,0,0,1)</f>
        <v>10160021082.964001</v>
      </c>
      <c r="X329" s="140">
        <f>+_xlfn.XLOOKUP(PROYECTOS2[[#This Row],[MUNICIPIO]],'4.CAP_ENDMNT'!B:B,'4.CAP_ENDMNT'!E:E,0,0,1)</f>
        <v>3265249234.6399999</v>
      </c>
      <c r="Y329" s="140">
        <f>+_xlfn.XLOOKUP(PROYECTOS2[[#This Row],[MUNICIPIO]],'4.CAP_ENDMNT'!B:B,'4.CAP_ENDMNT'!F:F,0,0,1)</f>
        <v>6894771848.3240013</v>
      </c>
      <c r="Z329" s="140">
        <f>+_xlfn.XLOOKUP(PROYECTOS2[[#This Row],[MUNICIPIO]],'4.CAP_ENDMNT'!B:B,'4.CAP_ENDMNT'!G:G,0,0,1)</f>
        <v>3316718973.96</v>
      </c>
      <c r="AA329" s="140">
        <f>+_xlfn.XLOOKUP(PROYECTOS2[[#This Row],[MUNICIPIO]],'4.CAP_ENDMNT'!B:B,'4.CAP_ENDMNT'!H:H,0,0,1)</f>
        <v>0</v>
      </c>
      <c r="AB329" s="140">
        <f>+_xlfn.XLOOKUP(PROYECTOS2[[#This Row],[MUNICIPIO]],'4.CAP_ENDMNT'!B:B,'4.CAP_ENDMNT'!I:I,0,0,1)</f>
        <v>3316718973.96</v>
      </c>
      <c r="AC329" s="134">
        <f>+_xlfn.XLOOKUP(PROYECTOS2[[#This Row],[MUNICIPIO]],'4.CAP_ENDMNT'!B:B,'4.CAP_ENDMNT'!J:J,0,0,1)</f>
        <v>0.32644804049879078</v>
      </c>
      <c r="AD329" s="140">
        <f>+_xlfn.XLOOKUP(PROYECTOS2[[#This Row],[MUNICIPIO]],'4.CAP_ENDMNT'!B:B,'4.CAP_ENDMNT'!K:K,0,0,1)</f>
        <v>6843302109.0040007</v>
      </c>
      <c r="AE329" s="140">
        <f>+_xlfn.XLOOKUP(PROYECTOS2[[#This Row],[MUNICIPIO]],'4.CAP_ENDMNT'!B:B,'4.CAP_ENDMNT'!L:L,0,0,1)</f>
        <v>5474641687.2032013</v>
      </c>
      <c r="AF329" s="140">
        <f>+_xlfn.XLOOKUP(PROYECTOS2[[#This Row],[MUNICIPIO]],'4.CAP_ENDMNT'!B:B,'4.CAP_ENDMNT'!M:M,0,0,1)</f>
        <v>4105981265.4024</v>
      </c>
      <c r="AG329" s="134">
        <f>+_xlfn.XLOOKUP(PROYECTOS2[[#This Row],[MUNICIPIO]],'4.CAP_ENDMNT'!B:B,'4.CAP_ENDMNT'!N:N,0,0,1)</f>
        <v>1</v>
      </c>
      <c r="AH329" s="134">
        <f>+_xlfn.XLOOKUP(PROYECTOS2[[#This Row],[MUNICIPIO]],'4.CAP_ENDMNT'!B:B,'4.CAP_ENDMNT'!O:O,0,0,1)</f>
        <v>0.59534208417675272</v>
      </c>
      <c r="AI329" s="134">
        <f>+_xlfn.XLOOKUP(PROYECTOS2[[#This Row],[MUNICIPIO]],'4.CAP_ENDMNT'!B:B,'4.CAP_ENDMNT'!P:P,0,0,1)</f>
        <v>0.8</v>
      </c>
      <c r="AJ329" s="44" t="str">
        <f>+_xlfn.XLOOKUP(PROYECTOS2[[#This Row],[MUNICIPIO]],'4.CAP_ENDMNT'!B:B,'4.CAP_ENDMNT'!Q:Q,0,0,1)</f>
        <v>Cumple</v>
      </c>
    </row>
    <row r="330" spans="1:36">
      <c r="A330" s="44">
        <v>353</v>
      </c>
      <c r="B330" t="s">
        <v>344</v>
      </c>
      <c r="C330" s="54">
        <f>+_xlfn.XLOOKUP(PROYECTOS2[[#This Row],[ID_NECESIDAD]],'1.RADICADOS'!G:G,'1.RADICADOS'!C:C,0,0,1)*1</f>
        <v>45719</v>
      </c>
      <c r="D330" s="46" t="s">
        <v>343</v>
      </c>
      <c r="E330" s="47" t="str">
        <f>+_xlfn.XLOOKUP(PROYECTOS2[[#This Row],[MUNICIPIO]],MUNICIPIOS!A:A,MUNICIPIOS!E:E,0,0,1)</f>
        <v>Valle de Aburrá</v>
      </c>
      <c r="F330" s="44" t="e" cm="1">
        <f t="array" ref="F330">+_xlfn.XLOOKUP(PROYECTOS2[[#This Row],[MUNICIPIO]],Table1[Municipio],MUNICIPIOS!F:F,0,0,1)</f>
        <v>#VALUE!</v>
      </c>
      <c r="G330" s="47" t="str">
        <f>+LOOKUP(PROYECTOS2[[#This Row],[MUNICIPIO]],Table1[Municipio],Table1[Latitud])</f>
        <v>7,074703</v>
      </c>
      <c r="H330" s="47">
        <f>+LOOKUP(PROYECTOS2[[#This Row],[MUNICIPIO]],Table1[Municipio],Table1[PDET])</f>
        <v>1</v>
      </c>
      <c r="I330" s="44">
        <f>+LOOKUP(PROYECTOS2[[#This Row],[MUNICIPIO]],Table1[Municipio],Table1[ZOMAC])</f>
        <v>1</v>
      </c>
      <c r="J330" s="3" t="str" cm="1">
        <f t="array" ref="J330">_xlfn.TEXTJOIN(", ", TRUE, IF(radicados[ID PROYECTOS]=A330, radicados[RADICADO], ""))</f>
        <v>2025010098088</v>
      </c>
      <c r="K330" s="45">
        <v>2</v>
      </c>
      <c r="L330" s="45"/>
      <c r="M330" s="50"/>
      <c r="N330" s="72"/>
      <c r="O330" s="72"/>
      <c r="P330" s="72"/>
      <c r="Q330" s="148" t="s">
        <v>1067</v>
      </c>
      <c r="R330" s="40" t="s">
        <v>288</v>
      </c>
      <c r="S330" s="40" t="s">
        <v>398</v>
      </c>
      <c r="T330" s="40" t="s">
        <v>25</v>
      </c>
      <c r="U330" s="37"/>
      <c r="V330" s="44">
        <f>+_xlfn.XLOOKUP(PROYECTOS2[[#This Row],[MUNICIPIO]],'4.CAP_ENDMNT'!B:B,'4.CAP_ENDMNT'!C:C,0,0,1)</f>
        <v>3</v>
      </c>
      <c r="W330" s="139">
        <f>+_xlfn.XLOOKUP(PROYECTOS2[[#This Row],[MUNICIPIO]],'4.CAP_ENDMNT'!B:B,'4.CAP_ENDMNT'!D:D,0,0,1)</f>
        <v>60283861588.903008</v>
      </c>
      <c r="X330" s="140">
        <f>+_xlfn.XLOOKUP(PROYECTOS2[[#This Row],[MUNICIPIO]],'4.CAP_ENDMNT'!B:B,'4.CAP_ENDMNT'!E:E,0,0,1)</f>
        <v>20841388380.529999</v>
      </c>
      <c r="Y330" s="140">
        <f>+_xlfn.XLOOKUP(PROYECTOS2[[#This Row],[MUNICIPIO]],'4.CAP_ENDMNT'!B:B,'4.CAP_ENDMNT'!F:F,0,0,1)</f>
        <v>39442473208.373009</v>
      </c>
      <c r="Z330" s="140">
        <f>+_xlfn.XLOOKUP(PROYECTOS2[[#This Row],[MUNICIPIO]],'4.CAP_ENDMNT'!B:B,'4.CAP_ENDMNT'!G:G,0,0,1)</f>
        <v>0</v>
      </c>
      <c r="AA330" s="140">
        <f>+_xlfn.XLOOKUP(PROYECTOS2[[#This Row],[MUNICIPIO]],'4.CAP_ENDMNT'!B:B,'4.CAP_ENDMNT'!H:H,0,0,1)</f>
        <v>16534829375</v>
      </c>
      <c r="AB330" s="140">
        <f>+_xlfn.XLOOKUP(PROYECTOS2[[#This Row],[MUNICIPIO]],'4.CAP_ENDMNT'!B:B,'4.CAP_ENDMNT'!I:I,0,0,1)</f>
        <v>16534829375</v>
      </c>
      <c r="AC330" s="134">
        <f>+_xlfn.XLOOKUP(PROYECTOS2[[#This Row],[MUNICIPIO]],'4.CAP_ENDMNT'!B:B,'4.CAP_ENDMNT'!J:J,0,0,1)</f>
        <v>0.27428285015576565</v>
      </c>
      <c r="AD330" s="140">
        <f>+_xlfn.XLOOKUP(PROYECTOS2[[#This Row],[MUNICIPIO]],'4.CAP_ENDMNT'!B:B,'4.CAP_ENDMNT'!K:K,0,0,1)</f>
        <v>43749032213.903008</v>
      </c>
      <c r="AE330" s="140">
        <f>+_xlfn.XLOOKUP(PROYECTOS2[[#This Row],[MUNICIPIO]],'4.CAP_ENDMNT'!B:B,'4.CAP_ENDMNT'!L:L,0,0,1)</f>
        <v>34999225771.122406</v>
      </c>
      <c r="AF330" s="140">
        <f>+_xlfn.XLOOKUP(PROYECTOS2[[#This Row],[MUNICIPIO]],'4.CAP_ENDMNT'!B:B,'4.CAP_ENDMNT'!M:M,0,0,1)</f>
        <v>26249419328.341805</v>
      </c>
      <c r="AG330" s="134">
        <f>+_xlfn.XLOOKUP(PROYECTOS2[[#This Row],[MUNICIPIO]],'4.CAP_ENDMNT'!B:B,'4.CAP_ENDMNT'!N:N,0,0,1)</f>
        <v>0</v>
      </c>
      <c r="AH330" s="134">
        <f>+_xlfn.XLOOKUP(PROYECTOS2[[#This Row],[MUNICIPIO]],'4.CAP_ENDMNT'!B:B,'4.CAP_ENDMNT'!O:O,0,0,1)</f>
        <v>0.44205372732348919</v>
      </c>
      <c r="AI330" s="134">
        <f>+_xlfn.XLOOKUP(PROYECTOS2[[#This Row],[MUNICIPIO]],'4.CAP_ENDMNT'!B:B,'4.CAP_ENDMNT'!P:P,0,0,1)</f>
        <v>0.7</v>
      </c>
      <c r="AJ330" s="44" t="str">
        <f>+_xlfn.XLOOKUP(PROYECTOS2[[#This Row],[MUNICIPIO]],'4.CAP_ENDMNT'!B:B,'4.CAP_ENDMNT'!Q:Q,0,0,1)</f>
        <v>Cumple</v>
      </c>
    </row>
    <row r="331" spans="1:36">
      <c r="A331" s="44">
        <v>354</v>
      </c>
      <c r="B331" s="37" t="s">
        <v>655</v>
      </c>
      <c r="C331" s="118">
        <v>45747</v>
      </c>
      <c r="D331" s="34" t="s">
        <v>227</v>
      </c>
      <c r="E331" s="47" t="str">
        <f>+_xlfn.XLOOKUP(PROYECTOS2[[#This Row],[MUNICIPIO]],MUNICIPIOS!A:A,MUNICIPIOS!E:E,0,0,1)</f>
        <v>Oriente</v>
      </c>
      <c r="F331" s="44" t="e" cm="1">
        <f t="array" ref="F331">+_xlfn.XLOOKUP(PROYECTOS2[[#This Row],[MUNICIPIO]],Table1[Municipio],MUNICIPIOS!F:F,0,0,1)</f>
        <v>#VALUE!</v>
      </c>
      <c r="G331" s="47" t="str">
        <f>+LOOKUP(PROYECTOS2[[#This Row],[MUNICIPIO]],Table1[Municipio],Table1[Latitud])</f>
        <v>6,142892</v>
      </c>
      <c r="H331" s="47">
        <f>+LOOKUP(PROYECTOS2[[#This Row],[MUNICIPIO]],Table1[Municipio],Table1[PDET])</f>
        <v>0</v>
      </c>
      <c r="I331" s="45">
        <f>+LOOKUP(PROYECTOS2[[#This Row],[MUNICIPIO]],Table1[Municipio],Table1[ZOMAC])</f>
        <v>1</v>
      </c>
      <c r="J331" s="34" t="str" cm="1">
        <f t="array" ref="J331">_xlfn.TEXTJOIN(", ", TRUE, IF(radicados[ID PROYECTOS]=A331, radicados[RADICADO], ""))</f>
        <v/>
      </c>
      <c r="K331" s="142">
        <v>2</v>
      </c>
      <c r="L331" s="45"/>
      <c r="M331" s="50"/>
      <c r="N331" s="48">
        <v>259900000</v>
      </c>
      <c r="O331" s="48"/>
      <c r="P331" s="48"/>
      <c r="Q331" s="148" t="s">
        <v>1067</v>
      </c>
      <c r="R331" s="40" t="s">
        <v>428</v>
      </c>
      <c r="S331" s="40" t="s">
        <v>398</v>
      </c>
      <c r="T331" s="40" t="s">
        <v>25</v>
      </c>
      <c r="U331" s="37" t="s">
        <v>973</v>
      </c>
      <c r="V331" s="44">
        <f>+_xlfn.XLOOKUP(PROYECTOS2[[#This Row],[MUNICIPIO]],'4.CAP_ENDMNT'!B:B,'4.CAP_ENDMNT'!C:C,0,0,1)</f>
        <v>6</v>
      </c>
      <c r="W331" s="139">
        <f>+_xlfn.XLOOKUP(PROYECTOS2[[#This Row],[MUNICIPIO]],'4.CAP_ENDMNT'!B:B,'4.CAP_ENDMNT'!D:D,0,0,1)</f>
        <v>9100976268.0305004</v>
      </c>
      <c r="X331" s="140">
        <f>+_xlfn.XLOOKUP(PROYECTOS2[[#This Row],[MUNICIPIO]],'4.CAP_ENDMNT'!B:B,'4.CAP_ENDMNT'!E:E,0,0,1)</f>
        <v>3221460794.1700001</v>
      </c>
      <c r="Y331" s="140">
        <f>+_xlfn.XLOOKUP(PROYECTOS2[[#This Row],[MUNICIPIO]],'4.CAP_ENDMNT'!B:B,'4.CAP_ENDMNT'!F:F,0,0,1)</f>
        <v>5879515473.8605003</v>
      </c>
      <c r="Z331" s="140">
        <f>+_xlfn.XLOOKUP(PROYECTOS2[[#This Row],[MUNICIPIO]],'4.CAP_ENDMNT'!B:B,'4.CAP_ENDMNT'!G:G,0,0,1)</f>
        <v>1026722956</v>
      </c>
      <c r="AA331" s="140">
        <f>+_xlfn.XLOOKUP(PROYECTOS2[[#This Row],[MUNICIPIO]],'4.CAP_ENDMNT'!B:B,'4.CAP_ENDMNT'!H:H,0,0,1)</f>
        <v>190000000</v>
      </c>
      <c r="AB331" s="140">
        <f>+_xlfn.XLOOKUP(PROYECTOS2[[#This Row],[MUNICIPIO]],'4.CAP_ENDMNT'!B:B,'4.CAP_ENDMNT'!I:I,0,0,1)</f>
        <v>1216722956</v>
      </c>
      <c r="AC331" s="134">
        <f>+_xlfn.XLOOKUP(PROYECTOS2[[#This Row],[MUNICIPIO]],'4.CAP_ENDMNT'!B:B,'4.CAP_ENDMNT'!J:J,0,0,1)</f>
        <v>0.13369147662477152</v>
      </c>
      <c r="AD331" s="140">
        <f>+_xlfn.XLOOKUP(PROYECTOS2[[#This Row],[MUNICIPIO]],'4.CAP_ENDMNT'!B:B,'4.CAP_ENDMNT'!K:K,0,0,1)</f>
        <v>7884253312.0305004</v>
      </c>
      <c r="AE331" s="140">
        <f>+_xlfn.XLOOKUP(PROYECTOS2[[#This Row],[MUNICIPIO]],'4.CAP_ENDMNT'!B:B,'4.CAP_ENDMNT'!L:L,0,0,1)</f>
        <v>6307402649.6244011</v>
      </c>
      <c r="AF331" s="140">
        <f>+_xlfn.XLOOKUP(PROYECTOS2[[#This Row],[MUNICIPIO]],'4.CAP_ENDMNT'!B:B,'4.CAP_ENDMNT'!M:M,0,0,1)</f>
        <v>4730551987.2182999</v>
      </c>
      <c r="AG331" s="134">
        <f>+_xlfn.XLOOKUP(PROYECTOS2[[#This Row],[MUNICIPIO]],'4.CAP_ENDMNT'!B:B,'4.CAP_ENDMNT'!N:N,0,0,1)</f>
        <v>0.84384284108140062</v>
      </c>
      <c r="AH331" s="134">
        <f>+_xlfn.XLOOKUP(PROYECTOS2[[#This Row],[MUNICIPIO]],'4.CAP_ENDMNT'!B:B,'4.CAP_ENDMNT'!O:O,0,0,1)</f>
        <v>0.65864601932480682</v>
      </c>
      <c r="AI331" s="134">
        <f>+_xlfn.XLOOKUP(PROYECTOS2[[#This Row],[MUNICIPIO]],'4.CAP_ENDMNT'!B:B,'4.CAP_ENDMNT'!P:P,0,0,1)</f>
        <v>0.8</v>
      </c>
      <c r="AJ331" s="44" t="str">
        <f>+_xlfn.XLOOKUP(PROYECTOS2[[#This Row],[MUNICIPIO]],'4.CAP_ENDMNT'!B:B,'4.CAP_ENDMNT'!Q:Q,0,0,1)</f>
        <v>Cumple</v>
      </c>
    </row>
    <row r="332" spans="1:36">
      <c r="A332" s="44">
        <v>355</v>
      </c>
      <c r="B332" s="37" t="s">
        <v>656</v>
      </c>
      <c r="C332" s="118">
        <v>45747</v>
      </c>
      <c r="D332" s="34" t="s">
        <v>465</v>
      </c>
      <c r="E332" s="47" t="str">
        <f>+_xlfn.XLOOKUP(PROYECTOS2[[#This Row],[MUNICIPIO]],MUNICIPIOS!A:A,MUNICIPIOS!E:E,0,0,1)</f>
        <v>Suroeste</v>
      </c>
      <c r="F332" s="44" t="e" cm="1">
        <f t="array" ref="F332">+_xlfn.XLOOKUP(PROYECTOS2[[#This Row],[MUNICIPIO]],Table1[Municipio],MUNICIPIOS!F:F,0,0,1)</f>
        <v>#VALUE!</v>
      </c>
      <c r="G332" s="47" t="e">
        <f>+LOOKUP(PROYECTOS2[[#This Row],[MUNICIPIO]],Table1[Municipio],Table1[Latitud])</f>
        <v>#N/A</v>
      </c>
      <c r="H332" s="47" t="e">
        <f>+LOOKUP(PROYECTOS2[[#This Row],[MUNICIPIO]],Table1[Municipio],Table1[PDET])</f>
        <v>#N/A</v>
      </c>
      <c r="I332" s="45" t="e">
        <f>+LOOKUP(PROYECTOS2[[#This Row],[MUNICIPIO]],Table1[Municipio],Table1[ZOMAC])</f>
        <v>#N/A</v>
      </c>
      <c r="J332" s="34" t="str" cm="1">
        <f t="array" ref="J332">_xlfn.TEXTJOIN(", ", TRUE, IF(radicados[ID PROYECTOS]=A332, radicados[RADICADO], ""))</f>
        <v/>
      </c>
      <c r="K332" s="45">
        <v>2</v>
      </c>
      <c r="L332" s="45"/>
      <c r="M332" s="50"/>
      <c r="N332" s="48">
        <v>1500000000</v>
      </c>
      <c r="O332" s="48"/>
      <c r="P332" s="48"/>
      <c r="Q332" s="148" t="s">
        <v>1067</v>
      </c>
      <c r="R332" s="40" t="s">
        <v>435</v>
      </c>
      <c r="S332" s="40" t="s">
        <v>398</v>
      </c>
      <c r="T332" s="40" t="s">
        <v>25</v>
      </c>
      <c r="U332" s="53" t="s">
        <v>657</v>
      </c>
      <c r="V332" s="44">
        <f>+_xlfn.XLOOKUP(PROYECTOS2[[#This Row],[MUNICIPIO]],'4.CAP_ENDMNT'!B:B,'4.CAP_ENDMNT'!C:C,0,0,1)</f>
        <v>5</v>
      </c>
      <c r="W332" s="139">
        <f>+_xlfn.XLOOKUP(PROYECTOS2[[#This Row],[MUNICIPIO]],'4.CAP_ENDMNT'!B:B,'4.CAP_ENDMNT'!D:D,0,0,1)</f>
        <v>7630980393.4579992</v>
      </c>
      <c r="X332" s="140">
        <f>+_xlfn.XLOOKUP(PROYECTOS2[[#This Row],[MUNICIPIO]],'4.CAP_ENDMNT'!B:B,'4.CAP_ENDMNT'!E:E,0,0,1)</f>
        <v>2836641555.8400002</v>
      </c>
      <c r="Y332" s="140">
        <f>+_xlfn.XLOOKUP(PROYECTOS2[[#This Row],[MUNICIPIO]],'4.CAP_ENDMNT'!B:B,'4.CAP_ENDMNT'!F:F,0,0,1)</f>
        <v>4794338837.6179991</v>
      </c>
      <c r="Z332" s="140">
        <f>+_xlfn.XLOOKUP(PROYECTOS2[[#This Row],[MUNICIPIO]],'4.CAP_ENDMNT'!B:B,'4.CAP_ENDMNT'!G:G,0,0,1)</f>
        <v>46770446.019999996</v>
      </c>
      <c r="AA332" s="140">
        <f>+_xlfn.XLOOKUP(PROYECTOS2[[#This Row],[MUNICIPIO]],'4.CAP_ENDMNT'!B:B,'4.CAP_ENDMNT'!H:H,0,0,1)</f>
        <v>1700000000</v>
      </c>
      <c r="AB332" s="140">
        <f>+_xlfn.XLOOKUP(PROYECTOS2[[#This Row],[MUNICIPIO]],'4.CAP_ENDMNT'!B:B,'4.CAP_ENDMNT'!I:I,0,0,1)</f>
        <v>1746770446.02</v>
      </c>
      <c r="AC332" s="134">
        <f>+_xlfn.XLOOKUP(PROYECTOS2[[#This Row],[MUNICIPIO]],'4.CAP_ENDMNT'!B:B,'4.CAP_ENDMNT'!J:J,0,0,1)</f>
        <v>0.22890511519561726</v>
      </c>
      <c r="AD332" s="140">
        <f>+_xlfn.XLOOKUP(PROYECTOS2[[#This Row],[MUNICIPIO]],'4.CAP_ENDMNT'!B:B,'4.CAP_ENDMNT'!K:K,0,0,1)</f>
        <v>5884209947.4379997</v>
      </c>
      <c r="AE332" s="140">
        <f>+_xlfn.XLOOKUP(PROYECTOS2[[#This Row],[MUNICIPIO]],'4.CAP_ENDMNT'!B:B,'4.CAP_ENDMNT'!L:L,0,0,1)</f>
        <v>4707367957.9504004</v>
      </c>
      <c r="AF332" s="140">
        <f>+_xlfn.XLOOKUP(PROYECTOS2[[#This Row],[MUNICIPIO]],'4.CAP_ENDMNT'!B:B,'4.CAP_ENDMNT'!M:M,0,0,1)</f>
        <v>3530525968.4627995</v>
      </c>
      <c r="AG332" s="134">
        <f>+_xlfn.XLOOKUP(PROYECTOS2[[#This Row],[MUNICIPIO]],'4.CAP_ENDMNT'!B:B,'4.CAP_ENDMNT'!N:N,0,0,1)</f>
        <v>2.6775382035210189E-2</v>
      </c>
      <c r="AH332" s="134">
        <f>+_xlfn.XLOOKUP(PROYECTOS2[[#This Row],[MUNICIPIO]],'4.CAP_ENDMNT'!B:B,'4.CAP_ENDMNT'!O:O,0,0,1)</f>
        <v>0.7580768893854527</v>
      </c>
      <c r="AI332" s="134">
        <f>+_xlfn.XLOOKUP(PROYECTOS2[[#This Row],[MUNICIPIO]],'4.CAP_ENDMNT'!B:B,'4.CAP_ENDMNT'!P:P,0,0,1)</f>
        <v>0.8</v>
      </c>
      <c r="AJ332" s="44" t="str">
        <f>+_xlfn.XLOOKUP(PROYECTOS2[[#This Row],[MUNICIPIO]],'4.CAP_ENDMNT'!B:B,'4.CAP_ENDMNT'!Q:Q,0,0,1)</f>
        <v>Riesgo</v>
      </c>
    </row>
    <row r="333" spans="1:36">
      <c r="A333" s="44">
        <v>356</v>
      </c>
      <c r="B333" s="37" t="s">
        <v>658</v>
      </c>
      <c r="C333" s="118">
        <v>45747</v>
      </c>
      <c r="D333" s="34" t="s">
        <v>168</v>
      </c>
      <c r="E333" s="47" t="str">
        <f>+_xlfn.XLOOKUP(PROYECTOS2[[#This Row],[MUNICIPIO]],MUNICIPIOS!A:A,MUNICIPIOS!E:E,0,0,1)</f>
        <v>Occidente</v>
      </c>
      <c r="F333" s="44" t="e" cm="1">
        <f t="array" ref="F333">+_xlfn.XLOOKUP(PROYECTOS2[[#This Row],[MUNICIPIO]],Table1[Municipio],MUNICIPIOS!F:F,0,0,1)</f>
        <v>#VALUE!</v>
      </c>
      <c r="G333" s="47" t="str">
        <f>+LOOKUP(PROYECTOS2[[#This Row],[MUNICIPIO]],Table1[Municipio],Table1[Latitud])</f>
        <v>7,074703</v>
      </c>
      <c r="H333" s="47">
        <f>+LOOKUP(PROYECTOS2[[#This Row],[MUNICIPIO]],Table1[Municipio],Table1[PDET])</f>
        <v>1</v>
      </c>
      <c r="I333" s="45">
        <f>+LOOKUP(PROYECTOS2[[#This Row],[MUNICIPIO]],Table1[Municipio],Table1[ZOMAC])</f>
        <v>1</v>
      </c>
      <c r="J333" s="34" t="str" cm="1">
        <f t="array" ref="J333">_xlfn.TEXTJOIN(", ", TRUE, IF(radicados[ID PROYECTOS]=A333, radicados[RADICADO], ""))</f>
        <v/>
      </c>
      <c r="K333" s="142">
        <v>2</v>
      </c>
      <c r="L333" s="45"/>
      <c r="M333" s="50"/>
      <c r="N333" s="48">
        <v>655000000</v>
      </c>
      <c r="O333" s="48"/>
      <c r="P333" s="48"/>
      <c r="Q333" s="148" t="s">
        <v>1067</v>
      </c>
      <c r="R333" s="40" t="s">
        <v>435</v>
      </c>
      <c r="S333" s="40" t="s">
        <v>398</v>
      </c>
      <c r="T333" s="40" t="s">
        <v>25</v>
      </c>
      <c r="U333" s="53" t="s">
        <v>951</v>
      </c>
      <c r="V333" s="44">
        <f>+_xlfn.XLOOKUP(PROYECTOS2[[#This Row],[MUNICIPIO]],'4.CAP_ENDMNT'!B:B,'4.CAP_ENDMNT'!C:C,0,0,1)</f>
        <v>6</v>
      </c>
      <c r="W333" s="139">
        <f>+_xlfn.XLOOKUP(PROYECTOS2[[#This Row],[MUNICIPIO]],'4.CAP_ENDMNT'!B:B,'4.CAP_ENDMNT'!D:D,0,0,1)</f>
        <v>7049911897.9460001</v>
      </c>
      <c r="X333" s="140">
        <f>+_xlfn.XLOOKUP(PROYECTOS2[[#This Row],[MUNICIPIO]],'4.CAP_ENDMNT'!B:B,'4.CAP_ENDMNT'!E:E,0,0,1)</f>
        <v>2502449802.4500003</v>
      </c>
      <c r="Y333" s="140">
        <f>+_xlfn.XLOOKUP(PROYECTOS2[[#This Row],[MUNICIPIO]],'4.CAP_ENDMNT'!B:B,'4.CAP_ENDMNT'!F:F,0,0,1)</f>
        <v>4547462095.4960003</v>
      </c>
      <c r="Z333" s="140">
        <f>+_xlfn.XLOOKUP(PROYECTOS2[[#This Row],[MUNICIPIO]],'4.CAP_ENDMNT'!B:B,'4.CAP_ENDMNT'!G:G,0,0,1)</f>
        <v>1083993787</v>
      </c>
      <c r="AA333" s="140">
        <f>+_xlfn.XLOOKUP(PROYECTOS2[[#This Row],[MUNICIPIO]],'4.CAP_ENDMNT'!B:B,'4.CAP_ENDMNT'!H:H,0,0,1)</f>
        <v>0</v>
      </c>
      <c r="AB333" s="140">
        <f>+_xlfn.XLOOKUP(PROYECTOS2[[#This Row],[MUNICIPIO]],'4.CAP_ENDMNT'!B:B,'4.CAP_ENDMNT'!I:I,0,0,1)</f>
        <v>1083993787</v>
      </c>
      <c r="AC333" s="134">
        <f>+_xlfn.XLOOKUP(PROYECTOS2[[#This Row],[MUNICIPIO]],'4.CAP_ENDMNT'!B:B,'4.CAP_ENDMNT'!J:J,0,0,1)</f>
        <v>0.15375990546999926</v>
      </c>
      <c r="AD333" s="140">
        <f>+_xlfn.XLOOKUP(PROYECTOS2[[#This Row],[MUNICIPIO]],'4.CAP_ENDMNT'!B:B,'4.CAP_ENDMNT'!K:K,0,0,1)</f>
        <v>5965918110.9460001</v>
      </c>
      <c r="AE333" s="140">
        <f>+_xlfn.XLOOKUP(PROYECTOS2[[#This Row],[MUNICIPIO]],'4.CAP_ENDMNT'!B:B,'4.CAP_ENDMNT'!L:L,0,0,1)</f>
        <v>4772734488.7568007</v>
      </c>
      <c r="AF333" s="140">
        <f>+_xlfn.XLOOKUP(PROYECTOS2[[#This Row],[MUNICIPIO]],'4.CAP_ENDMNT'!B:B,'4.CAP_ENDMNT'!M:M,0,0,1)</f>
        <v>3579550866.5675998</v>
      </c>
      <c r="AG333" s="134">
        <f>+_xlfn.XLOOKUP(PROYECTOS2[[#This Row],[MUNICIPIO]],'4.CAP_ENDMNT'!B:B,'4.CAP_ENDMNT'!N:N,0,0,1)</f>
        <v>1</v>
      </c>
      <c r="AH333" s="134">
        <f>+_xlfn.XLOOKUP(PROYECTOS2[[#This Row],[MUNICIPIO]],'4.CAP_ENDMNT'!B:B,'4.CAP_ENDMNT'!O:O,0,0,1)</f>
        <v>0.68972189795110483</v>
      </c>
      <c r="AI333" s="134">
        <f>+_xlfn.XLOOKUP(PROYECTOS2[[#This Row],[MUNICIPIO]],'4.CAP_ENDMNT'!B:B,'4.CAP_ENDMNT'!P:P,0,0,1)</f>
        <v>0.8</v>
      </c>
      <c r="AJ333" s="44" t="str">
        <f>+_xlfn.XLOOKUP(PROYECTOS2[[#This Row],[MUNICIPIO]],'4.CAP_ENDMNT'!B:B,'4.CAP_ENDMNT'!Q:Q,0,0,1)</f>
        <v>Cumple</v>
      </c>
    </row>
    <row r="334" spans="1:36">
      <c r="A334" s="44">
        <v>357</v>
      </c>
      <c r="B334" s="37" t="s">
        <v>659</v>
      </c>
      <c r="C334" s="118">
        <v>45747</v>
      </c>
      <c r="D334" s="34" t="s">
        <v>193</v>
      </c>
      <c r="E334" s="47" t="str">
        <f>+_xlfn.XLOOKUP(PROYECTOS2[[#This Row],[MUNICIPIO]],MUNICIPIOS!A:A,MUNICIPIOS!E:E,0,0,1)</f>
        <v>Urabá</v>
      </c>
      <c r="F334" s="44" t="e" cm="1">
        <f t="array" ref="F334">+_xlfn.XLOOKUP(PROYECTOS2[[#This Row],[MUNICIPIO]],Table1[Municipio],MUNICIPIOS!F:F,0,0,1)</f>
        <v>#VALUE!</v>
      </c>
      <c r="G334" s="47" t="str">
        <f>+LOOKUP(PROYECTOS2[[#This Row],[MUNICIPIO]],Table1[Municipio],Table1[Latitud])</f>
        <v>7,074703</v>
      </c>
      <c r="H334" s="47">
        <f>+LOOKUP(PROYECTOS2[[#This Row],[MUNICIPIO]],Table1[Municipio],Table1[PDET])</f>
        <v>1</v>
      </c>
      <c r="I334" s="45">
        <f>+LOOKUP(PROYECTOS2[[#This Row],[MUNICIPIO]],Table1[Municipio],Table1[ZOMAC])</f>
        <v>1</v>
      </c>
      <c r="J334" s="34" t="str" cm="1">
        <f t="array" ref="J334">_xlfn.TEXTJOIN(", ", TRUE, IF(radicados[ID PROYECTOS]=A334, radicados[RADICADO], ""))</f>
        <v>2025010265694</v>
      </c>
      <c r="K334" s="142">
        <v>2</v>
      </c>
      <c r="L334" s="45"/>
      <c r="M334" s="50"/>
      <c r="N334" s="48">
        <v>1350000000</v>
      </c>
      <c r="O334" s="48"/>
      <c r="P334" s="48"/>
      <c r="Q334" s="148" t="s">
        <v>1067</v>
      </c>
      <c r="R334" s="40" t="s">
        <v>435</v>
      </c>
      <c r="S334" s="40" t="s">
        <v>398</v>
      </c>
      <c r="T334" s="40" t="s">
        <v>25</v>
      </c>
      <c r="U334" s="53" t="s">
        <v>657</v>
      </c>
      <c r="V334" s="44">
        <f>+_xlfn.XLOOKUP(PROYECTOS2[[#This Row],[MUNICIPIO]],'4.CAP_ENDMNT'!B:B,'4.CAP_ENDMNT'!C:C,0,0,1)</f>
        <v>6</v>
      </c>
      <c r="W334" s="139">
        <f>+_xlfn.XLOOKUP(PROYECTOS2[[#This Row],[MUNICIPIO]],'4.CAP_ENDMNT'!B:B,'4.CAP_ENDMNT'!D:D,0,0,1)</f>
        <v>19782037469.424</v>
      </c>
      <c r="X334" s="140">
        <f>+_xlfn.XLOOKUP(PROYECTOS2[[#This Row],[MUNICIPIO]],'4.CAP_ENDMNT'!B:B,'4.CAP_ENDMNT'!E:E,0,0,1)</f>
        <v>6224691780.3400002</v>
      </c>
      <c r="Y334" s="140">
        <f>+_xlfn.XLOOKUP(PROYECTOS2[[#This Row],[MUNICIPIO]],'4.CAP_ENDMNT'!B:B,'4.CAP_ENDMNT'!F:F,0,0,1)</f>
        <v>13557345689.084</v>
      </c>
      <c r="Z334" s="140">
        <f>+_xlfn.XLOOKUP(PROYECTOS2[[#This Row],[MUNICIPIO]],'4.CAP_ENDMNT'!B:B,'4.CAP_ENDMNT'!G:G,0,0,1)</f>
        <v>5530076291</v>
      </c>
      <c r="AA334" s="140">
        <f>+_xlfn.XLOOKUP(PROYECTOS2[[#This Row],[MUNICIPIO]],'4.CAP_ENDMNT'!B:B,'4.CAP_ENDMNT'!H:H,0,0,1)</f>
        <v>135075758</v>
      </c>
      <c r="AB334" s="140">
        <f>+_xlfn.XLOOKUP(PROYECTOS2[[#This Row],[MUNICIPIO]],'4.CAP_ENDMNT'!B:B,'4.CAP_ENDMNT'!I:I,0,0,1)</f>
        <v>5665152049</v>
      </c>
      <c r="AC334" s="134">
        <f>+_xlfn.XLOOKUP(PROYECTOS2[[#This Row],[MUNICIPIO]],'4.CAP_ENDMNT'!B:B,'4.CAP_ENDMNT'!J:J,0,0,1)</f>
        <v>0.28637859258715448</v>
      </c>
      <c r="AD334" s="140">
        <f>+_xlfn.XLOOKUP(PROYECTOS2[[#This Row],[MUNICIPIO]],'4.CAP_ENDMNT'!B:B,'4.CAP_ENDMNT'!K:K,0,0,1)</f>
        <v>14116885420.424</v>
      </c>
      <c r="AE334" s="140">
        <f>+_xlfn.XLOOKUP(PROYECTOS2[[#This Row],[MUNICIPIO]],'4.CAP_ENDMNT'!B:B,'4.CAP_ENDMNT'!L:L,0,0,1)</f>
        <v>11293508336.339201</v>
      </c>
      <c r="AF334" s="140">
        <f>+_xlfn.XLOOKUP(PROYECTOS2[[#This Row],[MUNICIPIO]],'4.CAP_ENDMNT'!B:B,'4.CAP_ENDMNT'!M:M,0,0,1)</f>
        <v>8470131252.2543993</v>
      </c>
      <c r="AG334" s="134">
        <f>+_xlfn.XLOOKUP(PROYECTOS2[[#This Row],[MUNICIPIO]],'4.CAP_ENDMNT'!B:B,'4.CAP_ENDMNT'!N:N,0,0,1)</f>
        <v>0.97615672856938707</v>
      </c>
      <c r="AH334" s="134">
        <f>+_xlfn.XLOOKUP(PROYECTOS2[[#This Row],[MUNICIPIO]],'4.CAP_ENDMNT'!B:B,'4.CAP_ENDMNT'!O:O,0,0,1)</f>
        <v>0.63121490876418529</v>
      </c>
      <c r="AI334" s="134">
        <f>+_xlfn.XLOOKUP(PROYECTOS2[[#This Row],[MUNICIPIO]],'4.CAP_ENDMNT'!B:B,'4.CAP_ENDMNT'!P:P,0,0,1)</f>
        <v>0.8</v>
      </c>
      <c r="AJ334" s="44" t="str">
        <f>+_xlfn.XLOOKUP(PROYECTOS2[[#This Row],[MUNICIPIO]],'4.CAP_ENDMNT'!B:B,'4.CAP_ENDMNT'!Q:Q,0,0,1)</f>
        <v>Cumple</v>
      </c>
    </row>
    <row r="335" spans="1:36">
      <c r="A335" s="44">
        <v>358</v>
      </c>
      <c r="B335" s="37" t="s">
        <v>660</v>
      </c>
      <c r="C335" s="118">
        <v>45747</v>
      </c>
      <c r="D335" s="34" t="s">
        <v>193</v>
      </c>
      <c r="E335" s="47" t="str">
        <f>+_xlfn.XLOOKUP(PROYECTOS2[[#This Row],[MUNICIPIO]],MUNICIPIOS!A:A,MUNICIPIOS!E:E,0,0,1)</f>
        <v>Urabá</v>
      </c>
      <c r="F335" s="44" t="e" cm="1">
        <f t="array" ref="F335">+_xlfn.XLOOKUP(PROYECTOS2[[#This Row],[MUNICIPIO]],Table1[Municipio],MUNICIPIOS!F:F,0,0,1)</f>
        <v>#VALUE!</v>
      </c>
      <c r="G335" s="47" t="str">
        <f>+LOOKUP(PROYECTOS2[[#This Row],[MUNICIPIO]],Table1[Municipio],Table1[Latitud])</f>
        <v>7,074703</v>
      </c>
      <c r="H335" s="47">
        <f>+LOOKUP(PROYECTOS2[[#This Row],[MUNICIPIO]],Table1[Municipio],Table1[PDET])</f>
        <v>1</v>
      </c>
      <c r="I335" s="45">
        <f>+LOOKUP(PROYECTOS2[[#This Row],[MUNICIPIO]],Table1[Municipio],Table1[ZOMAC])</f>
        <v>1</v>
      </c>
      <c r="J335" s="34" t="str" cm="1">
        <f t="array" ref="J335">_xlfn.TEXTJOIN(", ", TRUE, IF(radicados[ID PROYECTOS]=A335, radicados[RADICADO], ""))</f>
        <v/>
      </c>
      <c r="K335" s="142">
        <v>2</v>
      </c>
      <c r="L335" s="45"/>
      <c r="M335" s="50"/>
      <c r="N335" s="48">
        <v>1760641952</v>
      </c>
      <c r="O335" s="48"/>
      <c r="P335" s="48"/>
      <c r="Q335" s="148" t="s">
        <v>1067</v>
      </c>
      <c r="R335" s="40" t="s">
        <v>435</v>
      </c>
      <c r="S335" s="40" t="s">
        <v>398</v>
      </c>
      <c r="T335" s="40" t="s">
        <v>25</v>
      </c>
      <c r="U335" s="53" t="s">
        <v>657</v>
      </c>
      <c r="V335" s="44">
        <f>+_xlfn.XLOOKUP(PROYECTOS2[[#This Row],[MUNICIPIO]],'4.CAP_ENDMNT'!B:B,'4.CAP_ENDMNT'!C:C,0,0,1)</f>
        <v>6</v>
      </c>
      <c r="W335" s="139">
        <f>+_xlfn.XLOOKUP(PROYECTOS2[[#This Row],[MUNICIPIO]],'4.CAP_ENDMNT'!B:B,'4.CAP_ENDMNT'!D:D,0,0,1)</f>
        <v>19782037469.424</v>
      </c>
      <c r="X335" s="140">
        <f>+_xlfn.XLOOKUP(PROYECTOS2[[#This Row],[MUNICIPIO]],'4.CAP_ENDMNT'!B:B,'4.CAP_ENDMNT'!E:E,0,0,1)</f>
        <v>6224691780.3400002</v>
      </c>
      <c r="Y335" s="140">
        <f>+_xlfn.XLOOKUP(PROYECTOS2[[#This Row],[MUNICIPIO]],'4.CAP_ENDMNT'!B:B,'4.CAP_ENDMNT'!F:F,0,0,1)</f>
        <v>13557345689.084</v>
      </c>
      <c r="Z335" s="140">
        <f>+_xlfn.XLOOKUP(PROYECTOS2[[#This Row],[MUNICIPIO]],'4.CAP_ENDMNT'!B:B,'4.CAP_ENDMNT'!G:G,0,0,1)</f>
        <v>5530076291</v>
      </c>
      <c r="AA335" s="140">
        <f>+_xlfn.XLOOKUP(PROYECTOS2[[#This Row],[MUNICIPIO]],'4.CAP_ENDMNT'!B:B,'4.CAP_ENDMNT'!H:H,0,0,1)</f>
        <v>135075758</v>
      </c>
      <c r="AB335" s="140">
        <f>+_xlfn.XLOOKUP(PROYECTOS2[[#This Row],[MUNICIPIO]],'4.CAP_ENDMNT'!B:B,'4.CAP_ENDMNT'!I:I,0,0,1)</f>
        <v>5665152049</v>
      </c>
      <c r="AC335" s="134">
        <f>+_xlfn.XLOOKUP(PROYECTOS2[[#This Row],[MUNICIPIO]],'4.CAP_ENDMNT'!B:B,'4.CAP_ENDMNT'!J:J,0,0,1)</f>
        <v>0.28637859258715448</v>
      </c>
      <c r="AD335" s="140">
        <f>+_xlfn.XLOOKUP(PROYECTOS2[[#This Row],[MUNICIPIO]],'4.CAP_ENDMNT'!B:B,'4.CAP_ENDMNT'!K:K,0,0,1)</f>
        <v>14116885420.424</v>
      </c>
      <c r="AE335" s="140">
        <f>+_xlfn.XLOOKUP(PROYECTOS2[[#This Row],[MUNICIPIO]],'4.CAP_ENDMNT'!B:B,'4.CAP_ENDMNT'!L:L,0,0,1)</f>
        <v>11293508336.339201</v>
      </c>
      <c r="AF335" s="140">
        <f>+_xlfn.XLOOKUP(PROYECTOS2[[#This Row],[MUNICIPIO]],'4.CAP_ENDMNT'!B:B,'4.CAP_ENDMNT'!M:M,0,0,1)</f>
        <v>8470131252.2543993</v>
      </c>
      <c r="AG335" s="134">
        <f>+_xlfn.XLOOKUP(PROYECTOS2[[#This Row],[MUNICIPIO]],'4.CAP_ENDMNT'!B:B,'4.CAP_ENDMNT'!N:N,0,0,1)</f>
        <v>0.97615672856938707</v>
      </c>
      <c r="AH335" s="134">
        <f>+_xlfn.XLOOKUP(PROYECTOS2[[#This Row],[MUNICIPIO]],'4.CAP_ENDMNT'!B:B,'4.CAP_ENDMNT'!O:O,0,0,1)</f>
        <v>0.63121490876418529</v>
      </c>
      <c r="AI335" s="134">
        <f>+_xlfn.XLOOKUP(PROYECTOS2[[#This Row],[MUNICIPIO]],'4.CAP_ENDMNT'!B:B,'4.CAP_ENDMNT'!P:P,0,0,1)</f>
        <v>0.8</v>
      </c>
      <c r="AJ335" s="44" t="str">
        <f>+_xlfn.XLOOKUP(PROYECTOS2[[#This Row],[MUNICIPIO]],'4.CAP_ENDMNT'!B:B,'4.CAP_ENDMNT'!Q:Q,0,0,1)</f>
        <v>Cumple</v>
      </c>
    </row>
    <row r="336" spans="1:36">
      <c r="A336" s="44">
        <v>359</v>
      </c>
      <c r="B336" s="37" t="s">
        <v>661</v>
      </c>
      <c r="C336" s="118">
        <v>45747</v>
      </c>
      <c r="D336" s="34" t="s">
        <v>127</v>
      </c>
      <c r="E336" s="47" t="str">
        <f>+_xlfn.XLOOKUP(PROYECTOS2[[#This Row],[MUNICIPIO]],MUNICIPIOS!A:A,MUNICIPIOS!E:E,0,0,1)</f>
        <v>Suroeste</v>
      </c>
      <c r="F336" s="44" t="e" cm="1">
        <f t="array" ref="F336">+_xlfn.XLOOKUP(PROYECTOS2[[#This Row],[MUNICIPIO]],Table1[Municipio],MUNICIPIOS!F:F,0,0,1)</f>
        <v>#VALUE!</v>
      </c>
      <c r="G336" s="47" t="str">
        <f>+LOOKUP(PROYECTOS2[[#This Row],[MUNICIPIO]],Table1[Municipio],Table1[Latitud])</f>
        <v>7,074703</v>
      </c>
      <c r="H336" s="47">
        <f>+LOOKUP(PROYECTOS2[[#This Row],[MUNICIPIO]],Table1[Municipio],Table1[PDET])</f>
        <v>1</v>
      </c>
      <c r="I336" s="45">
        <f>+LOOKUP(PROYECTOS2[[#This Row],[MUNICIPIO]],Table1[Municipio],Table1[ZOMAC])</f>
        <v>1</v>
      </c>
      <c r="J336" s="34" t="str" cm="1">
        <f t="array" ref="J336">_xlfn.TEXTJOIN(", ", TRUE, IF(radicados[ID PROYECTOS]=A336, radicados[RADICADO], ""))</f>
        <v>2025010247574</v>
      </c>
      <c r="K336" s="45">
        <v>2</v>
      </c>
      <c r="L336" s="45"/>
      <c r="M336" s="50"/>
      <c r="N336" s="48">
        <v>1500000000</v>
      </c>
      <c r="O336" s="48"/>
      <c r="P336" s="48"/>
      <c r="Q336" s="148" t="s">
        <v>1067</v>
      </c>
      <c r="R336" s="40" t="s">
        <v>435</v>
      </c>
      <c r="S336" s="40" t="s">
        <v>398</v>
      </c>
      <c r="T336" s="40" t="s">
        <v>25</v>
      </c>
      <c r="U336" s="53" t="s">
        <v>657</v>
      </c>
      <c r="V336" s="44">
        <f>+_xlfn.XLOOKUP(PROYECTOS2[[#This Row],[MUNICIPIO]],'4.CAP_ENDMNT'!B:B,'4.CAP_ENDMNT'!C:C,0,0,1)</f>
        <v>6</v>
      </c>
      <c r="W336" s="139">
        <f>+_xlfn.XLOOKUP(PROYECTOS2[[#This Row],[MUNICIPIO]],'4.CAP_ENDMNT'!B:B,'4.CAP_ENDMNT'!D:D,0,0,1)</f>
        <v>9197355968.8835011</v>
      </c>
      <c r="X336" s="140">
        <f>+_xlfn.XLOOKUP(PROYECTOS2[[#This Row],[MUNICIPIO]],'4.CAP_ENDMNT'!B:B,'4.CAP_ENDMNT'!E:E,0,0,1)</f>
        <v>3350398615.7000003</v>
      </c>
      <c r="Y336" s="140">
        <f>+_xlfn.XLOOKUP(PROYECTOS2[[#This Row],[MUNICIPIO]],'4.CAP_ENDMNT'!B:B,'4.CAP_ENDMNT'!F:F,0,0,1)</f>
        <v>5846957353.1835003</v>
      </c>
      <c r="Z336" s="140">
        <f>+_xlfn.XLOOKUP(PROYECTOS2[[#This Row],[MUNICIPIO]],'4.CAP_ENDMNT'!B:B,'4.CAP_ENDMNT'!G:G,0,0,1)</f>
        <v>958841544</v>
      </c>
      <c r="AA336" s="140">
        <f>+_xlfn.XLOOKUP(PROYECTOS2[[#This Row],[MUNICIPIO]],'4.CAP_ENDMNT'!B:B,'4.CAP_ENDMNT'!H:H,0,0,1)</f>
        <v>680000000</v>
      </c>
      <c r="AB336" s="140">
        <f>+_xlfn.XLOOKUP(PROYECTOS2[[#This Row],[MUNICIPIO]],'4.CAP_ENDMNT'!B:B,'4.CAP_ENDMNT'!I:I,0,0,1)</f>
        <v>1638841544</v>
      </c>
      <c r="AC336" s="134">
        <f>+_xlfn.XLOOKUP(PROYECTOS2[[#This Row],[MUNICIPIO]],'4.CAP_ENDMNT'!B:B,'4.CAP_ENDMNT'!J:J,0,0,1)</f>
        <v>0.17818616019044273</v>
      </c>
      <c r="AD336" s="140">
        <f>+_xlfn.XLOOKUP(PROYECTOS2[[#This Row],[MUNICIPIO]],'4.CAP_ENDMNT'!B:B,'4.CAP_ENDMNT'!K:K,0,0,1)</f>
        <v>7558514424.8835011</v>
      </c>
      <c r="AE336" s="140">
        <f>+_xlfn.XLOOKUP(PROYECTOS2[[#This Row],[MUNICIPIO]],'4.CAP_ENDMNT'!B:B,'4.CAP_ENDMNT'!L:L,0,0,1)</f>
        <v>6046811539.9068012</v>
      </c>
      <c r="AF336" s="140">
        <f>+_xlfn.XLOOKUP(PROYECTOS2[[#This Row],[MUNICIPIO]],'4.CAP_ENDMNT'!B:B,'4.CAP_ENDMNT'!M:M,0,0,1)</f>
        <v>4535108654.9301004</v>
      </c>
      <c r="AG336" s="134">
        <f>+_xlfn.XLOOKUP(PROYECTOS2[[#This Row],[MUNICIPIO]],'4.CAP_ENDMNT'!B:B,'4.CAP_ENDMNT'!N:N,0,0,1)</f>
        <v>0.58507275917579493</v>
      </c>
      <c r="AH336" s="134">
        <f>+_xlfn.XLOOKUP(PROYECTOS2[[#This Row],[MUNICIPIO]],'4.CAP_ENDMNT'!B:B,'4.CAP_ENDMNT'!O:O,0,0,1)</f>
        <v>0.53687312631507866</v>
      </c>
      <c r="AI336" s="134">
        <f>+_xlfn.XLOOKUP(PROYECTOS2[[#This Row],[MUNICIPIO]],'4.CAP_ENDMNT'!B:B,'4.CAP_ENDMNT'!P:P,0,0,1)</f>
        <v>0.8</v>
      </c>
      <c r="AJ336" s="44" t="str">
        <f>+_xlfn.XLOOKUP(PROYECTOS2[[#This Row],[MUNICIPIO]],'4.CAP_ENDMNT'!B:B,'4.CAP_ENDMNT'!Q:Q,0,0,1)</f>
        <v>Cumple</v>
      </c>
    </row>
    <row r="337" spans="1:36">
      <c r="A337" s="44">
        <v>360</v>
      </c>
      <c r="B337" s="37" t="s">
        <v>662</v>
      </c>
      <c r="C337" s="118">
        <v>45747</v>
      </c>
      <c r="D337" s="34" t="s">
        <v>136</v>
      </c>
      <c r="E337" s="47" t="str">
        <f>+_xlfn.XLOOKUP(PROYECTOS2[[#This Row],[MUNICIPIO]],MUNICIPIOS!A:A,MUNICIPIOS!E:E,0,0,1)</f>
        <v>Norte</v>
      </c>
      <c r="F337" s="44" t="e" cm="1">
        <f t="array" ref="F337">+_xlfn.XLOOKUP(PROYECTOS2[[#This Row],[MUNICIPIO]],Table1[Municipio],MUNICIPIOS!F:F,0,0,1)</f>
        <v>#VALUE!</v>
      </c>
      <c r="G337" s="47" t="str">
        <f>+LOOKUP(PROYECTOS2[[#This Row],[MUNICIPIO]],Table1[Municipio],Table1[Latitud])</f>
        <v>7,074703</v>
      </c>
      <c r="H337" s="47">
        <f>+LOOKUP(PROYECTOS2[[#This Row],[MUNICIPIO]],Table1[Municipio],Table1[PDET])</f>
        <v>1</v>
      </c>
      <c r="I337" s="45">
        <f>+LOOKUP(PROYECTOS2[[#This Row],[MUNICIPIO]],Table1[Municipio],Table1[ZOMAC])</f>
        <v>1</v>
      </c>
      <c r="J337" s="34" t="str" cm="1">
        <f t="array" ref="J337">_xlfn.TEXTJOIN(", ", TRUE, IF(radicados[ID PROYECTOS]=A337, radicados[RADICADO], ""))</f>
        <v/>
      </c>
      <c r="K337" s="128">
        <v>2</v>
      </c>
      <c r="L337" s="45"/>
      <c r="M337" s="50"/>
      <c r="N337" s="48">
        <v>350000000</v>
      </c>
      <c r="O337" s="48"/>
      <c r="P337" s="48"/>
      <c r="Q337" s="148" t="s">
        <v>1067</v>
      </c>
      <c r="R337" s="40" t="s">
        <v>435</v>
      </c>
      <c r="S337" s="40" t="s">
        <v>398</v>
      </c>
      <c r="T337" s="40" t="s">
        <v>25</v>
      </c>
      <c r="U337" s="53" t="s">
        <v>657</v>
      </c>
      <c r="V337" s="44">
        <f>+_xlfn.XLOOKUP(PROYECTOS2[[#This Row],[MUNICIPIO]],'4.CAP_ENDMNT'!B:B,'4.CAP_ENDMNT'!C:C,0,0,1)</f>
        <v>6</v>
      </c>
      <c r="W337" s="139">
        <f>+_xlfn.XLOOKUP(PROYECTOS2[[#This Row],[MUNICIPIO]],'4.CAP_ENDMNT'!B:B,'4.CAP_ENDMNT'!D:D,0,0,1)</f>
        <v>15936675551.976999</v>
      </c>
      <c r="X337" s="140">
        <f>+_xlfn.XLOOKUP(PROYECTOS2[[#This Row],[MUNICIPIO]],'4.CAP_ENDMNT'!B:B,'4.CAP_ENDMNT'!E:E,0,0,1)</f>
        <v>6355203503.6700001</v>
      </c>
      <c r="Y337" s="140">
        <f>+_xlfn.XLOOKUP(PROYECTOS2[[#This Row],[MUNICIPIO]],'4.CAP_ENDMNT'!B:B,'4.CAP_ENDMNT'!F:F,0,0,1)</f>
        <v>9581472048.3069992</v>
      </c>
      <c r="Z337" s="140">
        <f>+_xlfn.XLOOKUP(PROYECTOS2[[#This Row],[MUNICIPIO]],'4.CAP_ENDMNT'!B:B,'4.CAP_ENDMNT'!G:G,0,0,1)</f>
        <v>166905356.59</v>
      </c>
      <c r="AA337" s="140">
        <f>+_xlfn.XLOOKUP(PROYECTOS2[[#This Row],[MUNICIPIO]],'4.CAP_ENDMNT'!B:B,'4.CAP_ENDMNT'!H:H,0,0,1)</f>
        <v>5064590198</v>
      </c>
      <c r="AB337" s="140">
        <f>+_xlfn.XLOOKUP(PROYECTOS2[[#This Row],[MUNICIPIO]],'4.CAP_ENDMNT'!B:B,'4.CAP_ENDMNT'!I:I,0,0,1)</f>
        <v>5231495554.5900002</v>
      </c>
      <c r="AC337" s="134">
        <f>+_xlfn.XLOOKUP(PROYECTOS2[[#This Row],[MUNICIPIO]],'4.CAP_ENDMNT'!B:B,'4.CAP_ENDMNT'!J:J,0,0,1)</f>
        <v>0.32826768277534613</v>
      </c>
      <c r="AD337" s="140">
        <f>+_xlfn.XLOOKUP(PROYECTOS2[[#This Row],[MUNICIPIO]],'4.CAP_ENDMNT'!B:B,'4.CAP_ENDMNT'!K:K,0,0,1)</f>
        <v>10705179997.386999</v>
      </c>
      <c r="AE337" s="140">
        <f>+_xlfn.XLOOKUP(PROYECTOS2[[#This Row],[MUNICIPIO]],'4.CAP_ENDMNT'!B:B,'4.CAP_ENDMNT'!L:L,0,0,1)</f>
        <v>8564143997.9095993</v>
      </c>
      <c r="AF337" s="140">
        <f>+_xlfn.XLOOKUP(PROYECTOS2[[#This Row],[MUNICIPIO]],'4.CAP_ENDMNT'!B:B,'4.CAP_ENDMNT'!M:M,0,0,1)</f>
        <v>6423107998.4321995</v>
      </c>
      <c r="AG337" s="134">
        <f>+_xlfn.XLOOKUP(PROYECTOS2[[#This Row],[MUNICIPIO]],'4.CAP_ENDMNT'!B:B,'4.CAP_ENDMNT'!N:N,0,0,1)</f>
        <v>3.1903946939907245E-2</v>
      </c>
      <c r="AH337" s="134">
        <f>+_xlfn.XLOOKUP(PROYECTOS2[[#This Row],[MUNICIPIO]],'4.CAP_ENDMNT'!B:B,'4.CAP_ENDMNT'!O:O,0,0,1)</f>
        <v>0.65192157878949775</v>
      </c>
      <c r="AI337" s="134">
        <f>+_xlfn.XLOOKUP(PROYECTOS2[[#This Row],[MUNICIPIO]],'4.CAP_ENDMNT'!B:B,'4.CAP_ENDMNT'!P:P,0,0,1)</f>
        <v>0.8</v>
      </c>
      <c r="AJ337" s="44" t="str">
        <f>+_xlfn.XLOOKUP(PROYECTOS2[[#This Row],[MUNICIPIO]],'4.CAP_ENDMNT'!B:B,'4.CAP_ENDMNT'!Q:Q,0,0,1)</f>
        <v>Cumple</v>
      </c>
    </row>
    <row r="338" spans="1:36">
      <c r="A338" s="44">
        <v>361</v>
      </c>
      <c r="B338" s="37" t="s">
        <v>663</v>
      </c>
      <c r="C338" s="118">
        <v>45747</v>
      </c>
      <c r="D338" s="34" t="s">
        <v>136</v>
      </c>
      <c r="E338" s="47" t="str">
        <f>+_xlfn.XLOOKUP(PROYECTOS2[[#This Row],[MUNICIPIO]],MUNICIPIOS!A:A,MUNICIPIOS!E:E,0,0,1)</f>
        <v>Norte</v>
      </c>
      <c r="F338" s="44" t="e" cm="1">
        <f t="array" ref="F338">+_xlfn.XLOOKUP(PROYECTOS2[[#This Row],[MUNICIPIO]],Table1[Municipio],MUNICIPIOS!F:F,0,0,1)</f>
        <v>#VALUE!</v>
      </c>
      <c r="G338" s="47" t="str">
        <f>+LOOKUP(PROYECTOS2[[#This Row],[MUNICIPIO]],Table1[Municipio],Table1[Latitud])</f>
        <v>7,074703</v>
      </c>
      <c r="H338" s="47">
        <f>+LOOKUP(PROYECTOS2[[#This Row],[MUNICIPIO]],Table1[Municipio],Table1[PDET])</f>
        <v>1</v>
      </c>
      <c r="I338" s="45">
        <f>+LOOKUP(PROYECTOS2[[#This Row],[MUNICIPIO]],Table1[Municipio],Table1[ZOMAC])</f>
        <v>1</v>
      </c>
      <c r="J338" s="34" t="str" cm="1">
        <f t="array" ref="J338">_xlfn.TEXTJOIN(", ", TRUE, IF(radicados[ID PROYECTOS]=A338, radicados[RADICADO], ""))</f>
        <v/>
      </c>
      <c r="K338" s="128">
        <v>2</v>
      </c>
      <c r="L338" s="45"/>
      <c r="M338" s="50"/>
      <c r="N338" s="48">
        <v>750000000</v>
      </c>
      <c r="O338" s="48"/>
      <c r="P338" s="48"/>
      <c r="Q338" s="148" t="s">
        <v>1067</v>
      </c>
      <c r="R338" s="40" t="s">
        <v>435</v>
      </c>
      <c r="S338" s="40" t="s">
        <v>398</v>
      </c>
      <c r="T338" s="40" t="s">
        <v>25</v>
      </c>
      <c r="U338" s="53" t="s">
        <v>657</v>
      </c>
      <c r="V338" s="44">
        <f>+_xlfn.XLOOKUP(PROYECTOS2[[#This Row],[MUNICIPIO]],'4.CAP_ENDMNT'!B:B,'4.CAP_ENDMNT'!C:C,0,0,1)</f>
        <v>6</v>
      </c>
      <c r="W338" s="139">
        <f>+_xlfn.XLOOKUP(PROYECTOS2[[#This Row],[MUNICIPIO]],'4.CAP_ENDMNT'!B:B,'4.CAP_ENDMNT'!D:D,0,0,1)</f>
        <v>15936675551.976999</v>
      </c>
      <c r="X338" s="140">
        <f>+_xlfn.XLOOKUP(PROYECTOS2[[#This Row],[MUNICIPIO]],'4.CAP_ENDMNT'!B:B,'4.CAP_ENDMNT'!E:E,0,0,1)</f>
        <v>6355203503.6700001</v>
      </c>
      <c r="Y338" s="140">
        <f>+_xlfn.XLOOKUP(PROYECTOS2[[#This Row],[MUNICIPIO]],'4.CAP_ENDMNT'!B:B,'4.CAP_ENDMNT'!F:F,0,0,1)</f>
        <v>9581472048.3069992</v>
      </c>
      <c r="Z338" s="140">
        <f>+_xlfn.XLOOKUP(PROYECTOS2[[#This Row],[MUNICIPIO]],'4.CAP_ENDMNT'!B:B,'4.CAP_ENDMNT'!G:G,0,0,1)</f>
        <v>166905356.59</v>
      </c>
      <c r="AA338" s="140">
        <f>+_xlfn.XLOOKUP(PROYECTOS2[[#This Row],[MUNICIPIO]],'4.CAP_ENDMNT'!B:B,'4.CAP_ENDMNT'!H:H,0,0,1)</f>
        <v>5064590198</v>
      </c>
      <c r="AB338" s="140">
        <f>+_xlfn.XLOOKUP(PROYECTOS2[[#This Row],[MUNICIPIO]],'4.CAP_ENDMNT'!B:B,'4.CAP_ENDMNT'!I:I,0,0,1)</f>
        <v>5231495554.5900002</v>
      </c>
      <c r="AC338" s="134">
        <f>+_xlfn.XLOOKUP(PROYECTOS2[[#This Row],[MUNICIPIO]],'4.CAP_ENDMNT'!B:B,'4.CAP_ENDMNT'!J:J,0,0,1)</f>
        <v>0.32826768277534613</v>
      </c>
      <c r="AD338" s="140">
        <f>+_xlfn.XLOOKUP(PROYECTOS2[[#This Row],[MUNICIPIO]],'4.CAP_ENDMNT'!B:B,'4.CAP_ENDMNT'!K:K,0,0,1)</f>
        <v>10705179997.386999</v>
      </c>
      <c r="AE338" s="140">
        <f>+_xlfn.XLOOKUP(PROYECTOS2[[#This Row],[MUNICIPIO]],'4.CAP_ENDMNT'!B:B,'4.CAP_ENDMNT'!L:L,0,0,1)</f>
        <v>8564143997.9095993</v>
      </c>
      <c r="AF338" s="140">
        <f>+_xlfn.XLOOKUP(PROYECTOS2[[#This Row],[MUNICIPIO]],'4.CAP_ENDMNT'!B:B,'4.CAP_ENDMNT'!M:M,0,0,1)</f>
        <v>6423107998.4321995</v>
      </c>
      <c r="AG338" s="134">
        <f>+_xlfn.XLOOKUP(PROYECTOS2[[#This Row],[MUNICIPIO]],'4.CAP_ENDMNT'!B:B,'4.CAP_ENDMNT'!N:N,0,0,1)</f>
        <v>3.1903946939907245E-2</v>
      </c>
      <c r="AH338" s="134">
        <f>+_xlfn.XLOOKUP(PROYECTOS2[[#This Row],[MUNICIPIO]],'4.CAP_ENDMNT'!B:B,'4.CAP_ENDMNT'!O:O,0,0,1)</f>
        <v>0.65192157878949775</v>
      </c>
      <c r="AI338" s="134">
        <f>+_xlfn.XLOOKUP(PROYECTOS2[[#This Row],[MUNICIPIO]],'4.CAP_ENDMNT'!B:B,'4.CAP_ENDMNT'!P:P,0,0,1)</f>
        <v>0.8</v>
      </c>
      <c r="AJ338" s="44" t="str">
        <f>+_xlfn.XLOOKUP(PROYECTOS2[[#This Row],[MUNICIPIO]],'4.CAP_ENDMNT'!B:B,'4.CAP_ENDMNT'!Q:Q,0,0,1)</f>
        <v>Cumple</v>
      </c>
    </row>
    <row r="339" spans="1:36">
      <c r="A339" s="44">
        <v>362</v>
      </c>
      <c r="B339" s="37" t="s">
        <v>664</v>
      </c>
      <c r="C339" s="118">
        <v>45747</v>
      </c>
      <c r="D339" s="34" t="s">
        <v>170</v>
      </c>
      <c r="E339" s="47" t="str">
        <f>+_xlfn.XLOOKUP(PROYECTOS2[[#This Row],[MUNICIPIO]],MUNICIPIOS!A:A,MUNICIPIOS!E:E,0,0,1)</f>
        <v>Bajo Cauca</v>
      </c>
      <c r="F339" s="44" t="e" cm="1">
        <f t="array" ref="F339">+_xlfn.XLOOKUP(PROYECTOS2[[#This Row],[MUNICIPIO]],Table1[Municipio],MUNICIPIOS!F:F,0,0,1)</f>
        <v>#VALUE!</v>
      </c>
      <c r="G339" s="47" t="str">
        <f>+LOOKUP(PROYECTOS2[[#This Row],[MUNICIPIO]],Table1[Municipio],Table1[Latitud])</f>
        <v>6,394348</v>
      </c>
      <c r="H339" s="47">
        <f>+LOOKUP(PROYECTOS2[[#This Row],[MUNICIPIO]],Table1[Municipio],Table1[PDET])</f>
        <v>0</v>
      </c>
      <c r="I339" s="45">
        <f>+LOOKUP(PROYECTOS2[[#This Row],[MUNICIPIO]],Table1[Municipio],Table1[ZOMAC])</f>
        <v>1</v>
      </c>
      <c r="J339" s="34" t="str" cm="1">
        <f t="array" ref="J339">_xlfn.TEXTJOIN(", ", TRUE, IF(radicados[ID PROYECTOS]=A339, radicados[RADICADO], ""))</f>
        <v/>
      </c>
      <c r="K339" s="45">
        <v>1</v>
      </c>
      <c r="L339" s="45"/>
      <c r="M339" s="50"/>
      <c r="N339" s="48"/>
      <c r="O339" s="48"/>
      <c r="P339" s="48"/>
      <c r="Q339" s="148" t="s">
        <v>1067</v>
      </c>
      <c r="R339" s="40" t="s">
        <v>435</v>
      </c>
      <c r="S339" s="40" t="s">
        <v>398</v>
      </c>
      <c r="T339" s="40" t="s">
        <v>25</v>
      </c>
      <c r="U339" s="53" t="s">
        <v>657</v>
      </c>
      <c r="V339" s="44">
        <f>+_xlfn.XLOOKUP(PROYECTOS2[[#This Row],[MUNICIPIO]],'4.CAP_ENDMNT'!B:B,'4.CAP_ENDMNT'!C:C,0,0,1)</f>
        <v>6</v>
      </c>
      <c r="W339" s="139">
        <f>+_xlfn.XLOOKUP(PROYECTOS2[[#This Row],[MUNICIPIO]],'4.CAP_ENDMNT'!B:B,'4.CAP_ENDMNT'!D:D,0,0,1)</f>
        <v>50634494381.026505</v>
      </c>
      <c r="X339" s="140">
        <f>+_xlfn.XLOOKUP(PROYECTOS2[[#This Row],[MUNICIPIO]],'4.CAP_ENDMNT'!B:B,'4.CAP_ENDMNT'!E:E,0,0,1)</f>
        <v>15839182742.690001</v>
      </c>
      <c r="Y339" s="140">
        <f>+_xlfn.XLOOKUP(PROYECTOS2[[#This Row],[MUNICIPIO]],'4.CAP_ENDMNT'!B:B,'4.CAP_ENDMNT'!F:F,0,0,1)</f>
        <v>34795311638.336502</v>
      </c>
      <c r="Z339" s="140">
        <f>+_xlfn.XLOOKUP(PROYECTOS2[[#This Row],[MUNICIPIO]],'4.CAP_ENDMNT'!B:B,'4.CAP_ENDMNT'!G:G,0,0,1)</f>
        <v>67652077</v>
      </c>
      <c r="AA339" s="140">
        <f>+_xlfn.XLOOKUP(PROYECTOS2[[#This Row],[MUNICIPIO]],'4.CAP_ENDMNT'!B:B,'4.CAP_ENDMNT'!H:H,0,0,1)</f>
        <v>17477834894.650002</v>
      </c>
      <c r="AB339" s="140">
        <f>+_xlfn.XLOOKUP(PROYECTOS2[[#This Row],[MUNICIPIO]],'4.CAP_ENDMNT'!B:B,'4.CAP_ENDMNT'!I:I,0,0,1)</f>
        <v>17545486971.650002</v>
      </c>
      <c r="AC339" s="134">
        <f>+_xlfn.XLOOKUP(PROYECTOS2[[#This Row],[MUNICIPIO]],'4.CAP_ENDMNT'!B:B,'4.CAP_ENDMNT'!J:J,0,0,1)</f>
        <v>0.34651253431345719</v>
      </c>
      <c r="AD339" s="140">
        <f>+_xlfn.XLOOKUP(PROYECTOS2[[#This Row],[MUNICIPIO]],'4.CAP_ENDMNT'!B:B,'4.CAP_ENDMNT'!K:K,0,0,1)</f>
        <v>33089007409.376503</v>
      </c>
      <c r="AE339" s="140">
        <f>+_xlfn.XLOOKUP(PROYECTOS2[[#This Row],[MUNICIPIO]],'4.CAP_ENDMNT'!B:B,'4.CAP_ENDMNT'!L:L,0,0,1)</f>
        <v>26471205927.501205</v>
      </c>
      <c r="AF339" s="140">
        <f>+_xlfn.XLOOKUP(PROYECTOS2[[#This Row],[MUNICIPIO]],'4.CAP_ENDMNT'!B:B,'4.CAP_ENDMNT'!M:M,0,0,1)</f>
        <v>19853404445.6259</v>
      </c>
      <c r="AG339" s="134">
        <f>+_xlfn.XLOOKUP(PROYECTOS2[[#This Row],[MUNICIPIO]],'4.CAP_ENDMNT'!B:B,'4.CAP_ENDMNT'!N:N,0,0,1)</f>
        <v>3.8558107340829141E-3</v>
      </c>
      <c r="AH339" s="134">
        <f>+_xlfn.XLOOKUP(PROYECTOS2[[#This Row],[MUNICIPIO]],'4.CAP_ENDMNT'!B:B,'4.CAP_ENDMNT'!O:O,0,0,1)</f>
        <v>0.40594992695874271</v>
      </c>
      <c r="AI339" s="134">
        <f>+_xlfn.XLOOKUP(PROYECTOS2[[#This Row],[MUNICIPIO]],'4.CAP_ENDMNT'!B:B,'4.CAP_ENDMNT'!P:P,0,0,1)</f>
        <v>0.8</v>
      </c>
      <c r="AJ339" s="44" t="str">
        <f>+_xlfn.XLOOKUP(PROYECTOS2[[#This Row],[MUNICIPIO]],'4.CAP_ENDMNT'!B:B,'4.CAP_ENDMNT'!Q:Q,0,0,1)</f>
        <v>Cumple</v>
      </c>
    </row>
    <row r="340" spans="1:36">
      <c r="A340" s="44">
        <v>363</v>
      </c>
      <c r="B340" s="37" t="s">
        <v>665</v>
      </c>
      <c r="C340" s="118">
        <v>45747</v>
      </c>
      <c r="D340" s="34" t="s">
        <v>332</v>
      </c>
      <c r="E340" s="47" t="str">
        <f>+_xlfn.XLOOKUP(PROYECTOS2[[#This Row],[MUNICIPIO]],MUNICIPIOS!A:A,MUNICIPIOS!E:E,0,0,1)</f>
        <v>Oriente</v>
      </c>
      <c r="F340" s="44" t="e" cm="1">
        <f t="array" ref="F340">+_xlfn.XLOOKUP(PROYECTOS2[[#This Row],[MUNICIPIO]],Table1[Municipio],MUNICIPIOS!F:F,0,0,1)</f>
        <v>#VALUE!</v>
      </c>
      <c r="G340" s="47" t="str">
        <f>+LOOKUP(PROYECTOS2[[#This Row],[MUNICIPIO]],Table1[Municipio],Table1[Latitud])</f>
        <v>6,219349</v>
      </c>
      <c r="H340" s="47">
        <f>+LOOKUP(PROYECTOS2[[#This Row],[MUNICIPIO]],Table1[Municipio],Table1[PDET])</f>
        <v>0</v>
      </c>
      <c r="I340" s="45">
        <f>+LOOKUP(PROYECTOS2[[#This Row],[MUNICIPIO]],Table1[Municipio],Table1[ZOMAC])</f>
        <v>0</v>
      </c>
      <c r="J340" s="34" t="str" cm="1">
        <f t="array" ref="J340">_xlfn.TEXTJOIN(", ", TRUE, IF(radicados[ID PROYECTOS]=A340, radicados[RADICADO], ""))</f>
        <v/>
      </c>
      <c r="K340" s="45">
        <v>2</v>
      </c>
      <c r="L340" s="45"/>
      <c r="M340" s="50"/>
      <c r="N340" s="48">
        <v>160000000</v>
      </c>
      <c r="O340" s="48"/>
      <c r="P340" s="48"/>
      <c r="Q340" s="148" t="s">
        <v>1067</v>
      </c>
      <c r="R340" s="40" t="s">
        <v>435</v>
      </c>
      <c r="S340" s="40" t="s">
        <v>398</v>
      </c>
      <c r="T340" s="40" t="s">
        <v>25</v>
      </c>
      <c r="U340" s="53" t="s">
        <v>657</v>
      </c>
      <c r="V340" s="44">
        <f>+_xlfn.XLOOKUP(PROYECTOS2[[#This Row],[MUNICIPIO]],'4.CAP_ENDMNT'!B:B,'4.CAP_ENDMNT'!C:C,0,0,1)</f>
        <v>6</v>
      </c>
      <c r="W340" s="139">
        <f>+_xlfn.XLOOKUP(PROYECTOS2[[#This Row],[MUNICIPIO]],'4.CAP_ENDMNT'!B:B,'4.CAP_ENDMNT'!D:D,0,0,1)</f>
        <v>28258567441.100002</v>
      </c>
      <c r="X340" s="140">
        <f>+_xlfn.XLOOKUP(PROYECTOS2[[#This Row],[MUNICIPIO]],'4.CAP_ENDMNT'!B:B,'4.CAP_ENDMNT'!E:E,0,0,1)</f>
        <v>6469994311.25</v>
      </c>
      <c r="Y340" s="140">
        <f>+_xlfn.XLOOKUP(PROYECTOS2[[#This Row],[MUNICIPIO]],'4.CAP_ENDMNT'!B:B,'4.CAP_ENDMNT'!F:F,0,0,1)</f>
        <v>21788573129.850002</v>
      </c>
      <c r="Z340" s="140">
        <f>+_xlfn.XLOOKUP(PROYECTOS2[[#This Row],[MUNICIPIO]],'4.CAP_ENDMNT'!B:B,'4.CAP_ENDMNT'!G:G,0,0,1)</f>
        <v>1548230438</v>
      </c>
      <c r="AA340" s="140">
        <f>+_xlfn.XLOOKUP(PROYECTOS2[[#This Row],[MUNICIPIO]],'4.CAP_ENDMNT'!B:B,'4.CAP_ENDMNT'!H:H,0,0,1)</f>
        <v>3356151670</v>
      </c>
      <c r="AB340" s="140">
        <f>+_xlfn.XLOOKUP(PROYECTOS2[[#This Row],[MUNICIPIO]],'4.CAP_ENDMNT'!B:B,'4.CAP_ENDMNT'!I:I,0,0,1)</f>
        <v>4904382108</v>
      </c>
      <c r="AC340" s="134">
        <f>+_xlfn.XLOOKUP(PROYECTOS2[[#This Row],[MUNICIPIO]],'4.CAP_ENDMNT'!B:B,'4.CAP_ENDMNT'!J:J,0,0,1)</f>
        <v>0.17355381224551877</v>
      </c>
      <c r="AD340" s="140">
        <f>+_xlfn.XLOOKUP(PROYECTOS2[[#This Row],[MUNICIPIO]],'4.CAP_ENDMNT'!B:B,'4.CAP_ENDMNT'!K:K,0,0,1)</f>
        <v>23354185333.100002</v>
      </c>
      <c r="AE340" s="140">
        <f>+_xlfn.XLOOKUP(PROYECTOS2[[#This Row],[MUNICIPIO]],'4.CAP_ENDMNT'!B:B,'4.CAP_ENDMNT'!L:L,0,0,1)</f>
        <v>18683348266.480003</v>
      </c>
      <c r="AF340" s="140">
        <f>+_xlfn.XLOOKUP(PROYECTOS2[[#This Row],[MUNICIPIO]],'4.CAP_ENDMNT'!B:B,'4.CAP_ENDMNT'!M:M,0,0,1)</f>
        <v>14012511199.860001</v>
      </c>
      <c r="AG340" s="134">
        <f>+_xlfn.XLOOKUP(PROYECTOS2[[#This Row],[MUNICIPIO]],'4.CAP_ENDMNT'!B:B,'4.CAP_ENDMNT'!N:N,0,0,1)</f>
        <v>0.31568307768567533</v>
      </c>
      <c r="AH340" s="134">
        <f>+_xlfn.XLOOKUP(PROYECTOS2[[#This Row],[MUNICIPIO]],'4.CAP_ENDMNT'!B:B,'4.CAP_ENDMNT'!O:O,0,0,1)</f>
        <v>0.29902452385532635</v>
      </c>
      <c r="AI340" s="134">
        <f>+_xlfn.XLOOKUP(PROYECTOS2[[#This Row],[MUNICIPIO]],'4.CAP_ENDMNT'!B:B,'4.CAP_ENDMNT'!P:P,0,0,1)</f>
        <v>0.8</v>
      </c>
      <c r="AJ340" s="44" t="str">
        <f>+_xlfn.XLOOKUP(PROYECTOS2[[#This Row],[MUNICIPIO]],'4.CAP_ENDMNT'!B:B,'4.CAP_ENDMNT'!Q:Q,0,0,1)</f>
        <v>Cumple</v>
      </c>
    </row>
    <row r="341" spans="1:36">
      <c r="A341" s="44">
        <v>364</v>
      </c>
      <c r="B341" s="37" t="s">
        <v>666</v>
      </c>
      <c r="C341" s="118">
        <v>45747</v>
      </c>
      <c r="D341" s="34" t="s">
        <v>332</v>
      </c>
      <c r="E341" s="47" t="str">
        <f>+_xlfn.XLOOKUP(PROYECTOS2[[#This Row],[MUNICIPIO]],MUNICIPIOS!A:A,MUNICIPIOS!E:E,0,0,1)</f>
        <v>Oriente</v>
      </c>
      <c r="F341" s="44" t="e" cm="1">
        <f t="array" ref="F341">+_xlfn.XLOOKUP(PROYECTOS2[[#This Row],[MUNICIPIO]],Table1[Municipio],MUNICIPIOS!F:F,0,0,1)</f>
        <v>#VALUE!</v>
      </c>
      <c r="G341" s="47" t="str">
        <f>+LOOKUP(PROYECTOS2[[#This Row],[MUNICIPIO]],Table1[Municipio],Table1[Latitud])</f>
        <v>6,219349</v>
      </c>
      <c r="H341" s="47">
        <f>+LOOKUP(PROYECTOS2[[#This Row],[MUNICIPIO]],Table1[Municipio],Table1[PDET])</f>
        <v>0</v>
      </c>
      <c r="I341" s="45">
        <f>+LOOKUP(PROYECTOS2[[#This Row],[MUNICIPIO]],Table1[Municipio],Table1[ZOMAC])</f>
        <v>0</v>
      </c>
      <c r="J341" s="34" t="str" cm="1">
        <f t="array" ref="J341">_xlfn.TEXTJOIN(", ", TRUE, IF(radicados[ID PROYECTOS]=A341, radicados[RADICADO], ""))</f>
        <v/>
      </c>
      <c r="K341" s="45">
        <v>2</v>
      </c>
      <c r="L341" s="45"/>
      <c r="M341" s="50"/>
      <c r="N341" s="48">
        <v>320000000</v>
      </c>
      <c r="O341" s="48"/>
      <c r="P341" s="48"/>
      <c r="Q341" s="148" t="s">
        <v>1067</v>
      </c>
      <c r="R341" s="40" t="s">
        <v>435</v>
      </c>
      <c r="S341" s="40" t="s">
        <v>398</v>
      </c>
      <c r="T341" s="40" t="s">
        <v>25</v>
      </c>
      <c r="U341" s="53" t="s">
        <v>657</v>
      </c>
      <c r="V341" s="44">
        <f>+_xlfn.XLOOKUP(PROYECTOS2[[#This Row],[MUNICIPIO]],'4.CAP_ENDMNT'!B:B,'4.CAP_ENDMNT'!C:C,0,0,1)</f>
        <v>6</v>
      </c>
      <c r="W341" s="139">
        <f>+_xlfn.XLOOKUP(PROYECTOS2[[#This Row],[MUNICIPIO]],'4.CAP_ENDMNT'!B:B,'4.CAP_ENDMNT'!D:D,0,0,1)</f>
        <v>28258567441.100002</v>
      </c>
      <c r="X341" s="140">
        <f>+_xlfn.XLOOKUP(PROYECTOS2[[#This Row],[MUNICIPIO]],'4.CAP_ENDMNT'!B:B,'4.CAP_ENDMNT'!E:E,0,0,1)</f>
        <v>6469994311.25</v>
      </c>
      <c r="Y341" s="140">
        <f>+_xlfn.XLOOKUP(PROYECTOS2[[#This Row],[MUNICIPIO]],'4.CAP_ENDMNT'!B:B,'4.CAP_ENDMNT'!F:F,0,0,1)</f>
        <v>21788573129.850002</v>
      </c>
      <c r="Z341" s="140">
        <f>+_xlfn.XLOOKUP(PROYECTOS2[[#This Row],[MUNICIPIO]],'4.CAP_ENDMNT'!B:B,'4.CAP_ENDMNT'!G:G,0,0,1)</f>
        <v>1548230438</v>
      </c>
      <c r="AA341" s="140">
        <f>+_xlfn.XLOOKUP(PROYECTOS2[[#This Row],[MUNICIPIO]],'4.CAP_ENDMNT'!B:B,'4.CAP_ENDMNT'!H:H,0,0,1)</f>
        <v>3356151670</v>
      </c>
      <c r="AB341" s="140">
        <f>+_xlfn.XLOOKUP(PROYECTOS2[[#This Row],[MUNICIPIO]],'4.CAP_ENDMNT'!B:B,'4.CAP_ENDMNT'!I:I,0,0,1)</f>
        <v>4904382108</v>
      </c>
      <c r="AC341" s="134">
        <f>+_xlfn.XLOOKUP(PROYECTOS2[[#This Row],[MUNICIPIO]],'4.CAP_ENDMNT'!B:B,'4.CAP_ENDMNT'!J:J,0,0,1)</f>
        <v>0.17355381224551877</v>
      </c>
      <c r="AD341" s="140">
        <f>+_xlfn.XLOOKUP(PROYECTOS2[[#This Row],[MUNICIPIO]],'4.CAP_ENDMNT'!B:B,'4.CAP_ENDMNT'!K:K,0,0,1)</f>
        <v>23354185333.100002</v>
      </c>
      <c r="AE341" s="140">
        <f>+_xlfn.XLOOKUP(PROYECTOS2[[#This Row],[MUNICIPIO]],'4.CAP_ENDMNT'!B:B,'4.CAP_ENDMNT'!L:L,0,0,1)</f>
        <v>18683348266.480003</v>
      </c>
      <c r="AF341" s="140">
        <f>+_xlfn.XLOOKUP(PROYECTOS2[[#This Row],[MUNICIPIO]],'4.CAP_ENDMNT'!B:B,'4.CAP_ENDMNT'!M:M,0,0,1)</f>
        <v>14012511199.860001</v>
      </c>
      <c r="AG341" s="134">
        <f>+_xlfn.XLOOKUP(PROYECTOS2[[#This Row],[MUNICIPIO]],'4.CAP_ENDMNT'!B:B,'4.CAP_ENDMNT'!N:N,0,0,1)</f>
        <v>0.31568307768567533</v>
      </c>
      <c r="AH341" s="134">
        <f>+_xlfn.XLOOKUP(PROYECTOS2[[#This Row],[MUNICIPIO]],'4.CAP_ENDMNT'!B:B,'4.CAP_ENDMNT'!O:O,0,0,1)</f>
        <v>0.29902452385532635</v>
      </c>
      <c r="AI341" s="134">
        <f>+_xlfn.XLOOKUP(PROYECTOS2[[#This Row],[MUNICIPIO]],'4.CAP_ENDMNT'!B:B,'4.CAP_ENDMNT'!P:P,0,0,1)</f>
        <v>0.8</v>
      </c>
      <c r="AJ341" s="44" t="str">
        <f>+_xlfn.XLOOKUP(PROYECTOS2[[#This Row],[MUNICIPIO]],'4.CAP_ENDMNT'!B:B,'4.CAP_ENDMNT'!Q:Q,0,0,1)</f>
        <v>Cumple</v>
      </c>
    </row>
    <row r="342" spans="1:36">
      <c r="A342" s="44">
        <v>365</v>
      </c>
      <c r="B342" s="37" t="s">
        <v>667</v>
      </c>
      <c r="C342" s="118">
        <v>45747</v>
      </c>
      <c r="D342" s="34" t="s">
        <v>153</v>
      </c>
      <c r="E342" s="47" t="str">
        <f>+_xlfn.XLOOKUP(PROYECTOS2[[#This Row],[MUNICIPIO]],MUNICIPIOS!A:A,MUNICIPIOS!E:E,0,0,1)</f>
        <v>Urabá</v>
      </c>
      <c r="F342" s="44" t="e" cm="1">
        <f t="array" ref="F342">+_xlfn.XLOOKUP(PROYECTOS2[[#This Row],[MUNICIPIO]],Table1[Municipio],MUNICIPIOS!F:F,0,0,1)</f>
        <v>#VALUE!</v>
      </c>
      <c r="G342" s="47" t="str">
        <f>+LOOKUP(PROYECTOS2[[#This Row],[MUNICIPIO]],Table1[Municipio],Table1[Latitud])</f>
        <v>6,246631</v>
      </c>
      <c r="H342" s="47">
        <f>+LOOKUP(PROYECTOS2[[#This Row],[MUNICIPIO]],Table1[Municipio],Table1[PDET])</f>
        <v>0</v>
      </c>
      <c r="I342" s="45">
        <f>+LOOKUP(PROYECTOS2[[#This Row],[MUNICIPIO]],Table1[Municipio],Table1[ZOMAC])</f>
        <v>0</v>
      </c>
      <c r="J342" s="34" t="str" cm="1">
        <f t="array" ref="J342">_xlfn.TEXTJOIN(", ", TRUE, IF(radicados[ID PROYECTOS]=A342, radicados[RADICADO], ""))</f>
        <v/>
      </c>
      <c r="K342" s="45">
        <v>2</v>
      </c>
      <c r="L342" s="45"/>
      <c r="M342" s="50"/>
      <c r="N342" s="48">
        <v>2017000000</v>
      </c>
      <c r="O342" s="48"/>
      <c r="P342" s="48"/>
      <c r="Q342" s="148" t="s">
        <v>1067</v>
      </c>
      <c r="R342" s="40" t="s">
        <v>435</v>
      </c>
      <c r="S342" s="40" t="s">
        <v>398</v>
      </c>
      <c r="T342" s="40" t="s">
        <v>25</v>
      </c>
      <c r="U342" s="53" t="s">
        <v>657</v>
      </c>
      <c r="V342" s="44">
        <f>+_xlfn.XLOOKUP(PROYECTOS2[[#This Row],[MUNICIPIO]],'4.CAP_ENDMNT'!B:B,'4.CAP_ENDMNT'!C:C,0,0,1)</f>
        <v>6</v>
      </c>
      <c r="W342" s="139">
        <f>+_xlfn.XLOOKUP(PROYECTOS2[[#This Row],[MUNICIPIO]],'4.CAP_ENDMNT'!B:B,'4.CAP_ENDMNT'!D:D,0,0,1)</f>
        <v>30137297790.127998</v>
      </c>
      <c r="X342" s="140">
        <f>+_xlfn.XLOOKUP(PROYECTOS2[[#This Row],[MUNICIPIO]],'4.CAP_ENDMNT'!B:B,'4.CAP_ENDMNT'!E:E,0,0,1)</f>
        <v>12298726691.530001</v>
      </c>
      <c r="Y342" s="140">
        <f>+_xlfn.XLOOKUP(PROYECTOS2[[#This Row],[MUNICIPIO]],'4.CAP_ENDMNT'!B:B,'4.CAP_ENDMNT'!F:F,0,0,1)</f>
        <v>17838571098.598</v>
      </c>
      <c r="Z342" s="140">
        <f>+_xlfn.XLOOKUP(PROYECTOS2[[#This Row],[MUNICIPIO]],'4.CAP_ENDMNT'!B:B,'4.CAP_ENDMNT'!G:G,0,0,1)</f>
        <v>2369107602</v>
      </c>
      <c r="AA342" s="140">
        <f>+_xlfn.XLOOKUP(PROYECTOS2[[#This Row],[MUNICIPIO]],'4.CAP_ENDMNT'!B:B,'4.CAP_ENDMNT'!H:H,0,0,1)</f>
        <v>13974896585</v>
      </c>
      <c r="AB342" s="140">
        <f>+_xlfn.XLOOKUP(PROYECTOS2[[#This Row],[MUNICIPIO]],'4.CAP_ENDMNT'!B:B,'4.CAP_ENDMNT'!I:I,0,0,1)</f>
        <v>16344004187</v>
      </c>
      <c r="AC342" s="134">
        <f>+_xlfn.XLOOKUP(PROYECTOS2[[#This Row],[MUNICIPIO]],'4.CAP_ENDMNT'!B:B,'4.CAP_ENDMNT'!J:J,0,0,1)</f>
        <v>0.54231817002364979</v>
      </c>
      <c r="AD342" s="140">
        <f>+_xlfn.XLOOKUP(PROYECTOS2[[#This Row],[MUNICIPIO]],'4.CAP_ENDMNT'!B:B,'4.CAP_ENDMNT'!K:K,0,0,1)</f>
        <v>13793293603.127998</v>
      </c>
      <c r="AE342" s="140">
        <f>+_xlfn.XLOOKUP(PROYECTOS2[[#This Row],[MUNICIPIO]],'4.CAP_ENDMNT'!B:B,'4.CAP_ENDMNT'!L:L,0,0,1)</f>
        <v>11034634882.502399</v>
      </c>
      <c r="AF342" s="140">
        <f>+_xlfn.XLOOKUP(PROYECTOS2[[#This Row],[MUNICIPIO]],'4.CAP_ENDMNT'!B:B,'4.CAP_ENDMNT'!M:M,0,0,1)</f>
        <v>8275976161.8767986</v>
      </c>
      <c r="AG342" s="134">
        <f>+_xlfn.XLOOKUP(PROYECTOS2[[#This Row],[MUNICIPIO]],'4.CAP_ENDMNT'!B:B,'4.CAP_ENDMNT'!N:N,0,0,1)</f>
        <v>0.1449527040554961</v>
      </c>
      <c r="AH342" s="134">
        <f>+_xlfn.XLOOKUP(PROYECTOS2[[#This Row],[MUNICIPIO]],'4.CAP_ENDMNT'!B:B,'4.CAP_ENDMNT'!O:O,0,0,1)</f>
        <v>0.58055985759165929</v>
      </c>
      <c r="AI342" s="134">
        <f>+_xlfn.XLOOKUP(PROYECTOS2[[#This Row],[MUNICIPIO]],'4.CAP_ENDMNT'!B:B,'4.CAP_ENDMNT'!P:P,0,0,1)</f>
        <v>0.8</v>
      </c>
      <c r="AJ342" s="44" t="str">
        <f>+_xlfn.XLOOKUP(PROYECTOS2[[#This Row],[MUNICIPIO]],'4.CAP_ENDMNT'!B:B,'4.CAP_ENDMNT'!Q:Q,0,0,1)</f>
        <v>Cumple</v>
      </c>
    </row>
    <row r="343" spans="1:36">
      <c r="A343" s="44">
        <v>366</v>
      </c>
      <c r="B343" s="37" t="s">
        <v>668</v>
      </c>
      <c r="C343" s="118">
        <v>45747</v>
      </c>
      <c r="D343" s="34" t="s">
        <v>452</v>
      </c>
      <c r="E343" s="47" t="str">
        <f>+_xlfn.XLOOKUP(PROYECTOS2[[#This Row],[MUNICIPIO]],MUNICIPIOS!A:A,MUNICIPIOS!E:E,0,0,1)</f>
        <v>Occidente</v>
      </c>
      <c r="F343" s="44" t="e" cm="1">
        <f t="array" ref="F343">+_xlfn.XLOOKUP(PROYECTOS2[[#This Row],[MUNICIPIO]],Table1[Municipio],MUNICIPIOS!F:F,0,0,1)</f>
        <v>#VALUE!</v>
      </c>
      <c r="G343" s="47" t="str">
        <f>+LOOKUP(PROYECTOS2[[#This Row],[MUNICIPIO]],Table1[Municipio],Table1[Latitud])</f>
        <v>6,246631</v>
      </c>
      <c r="H343" s="47">
        <f>+LOOKUP(PROYECTOS2[[#This Row],[MUNICIPIO]],Table1[Municipio],Table1[PDET])</f>
        <v>0</v>
      </c>
      <c r="I343" s="45">
        <f>+LOOKUP(PROYECTOS2[[#This Row],[MUNICIPIO]],Table1[Municipio],Table1[ZOMAC])</f>
        <v>0</v>
      </c>
      <c r="J343" s="34" t="str" cm="1">
        <f t="array" ref="J343">_xlfn.TEXTJOIN(", ", TRUE, IF(radicados[ID PROYECTOS]=A343, radicados[RADICADO], ""))</f>
        <v/>
      </c>
      <c r="K343" s="142">
        <v>2</v>
      </c>
      <c r="L343" s="45"/>
      <c r="M343" s="50"/>
      <c r="N343" s="48">
        <v>180000000</v>
      </c>
      <c r="O343" s="48"/>
      <c r="P343" s="48"/>
      <c r="Q343" s="148" t="s">
        <v>1067</v>
      </c>
      <c r="R343" s="40" t="s">
        <v>435</v>
      </c>
      <c r="S343" s="40" t="s">
        <v>398</v>
      </c>
      <c r="T343" s="40" t="s">
        <v>25</v>
      </c>
      <c r="U343" s="53" t="s">
        <v>956</v>
      </c>
      <c r="V343" s="44">
        <f>+_xlfn.XLOOKUP(PROYECTOS2[[#This Row],[MUNICIPIO]],'4.CAP_ENDMNT'!B:B,'4.CAP_ENDMNT'!C:C,0,0,1)</f>
        <v>6</v>
      </c>
      <c r="W343" s="139">
        <f>+_xlfn.XLOOKUP(PROYECTOS2[[#This Row],[MUNICIPIO]],'4.CAP_ENDMNT'!B:B,'4.CAP_ENDMNT'!D:D,0,0,1)</f>
        <v>13002660545.618999</v>
      </c>
      <c r="X343" s="140">
        <f>+_xlfn.XLOOKUP(PROYECTOS2[[#This Row],[MUNICIPIO]],'4.CAP_ENDMNT'!B:B,'4.CAP_ENDMNT'!E:E,0,0,1)</f>
        <v>2851909764.96</v>
      </c>
      <c r="Y343" s="140">
        <f>+_xlfn.XLOOKUP(PROYECTOS2[[#This Row],[MUNICIPIO]],'4.CAP_ENDMNT'!B:B,'4.CAP_ENDMNT'!F:F,0,0,1)</f>
        <v>10150750780.659</v>
      </c>
      <c r="Z343" s="140">
        <f>+_xlfn.XLOOKUP(PROYECTOS2[[#This Row],[MUNICIPIO]],'4.CAP_ENDMNT'!B:B,'4.CAP_ENDMNT'!G:G,0,0,1)</f>
        <v>3580400217</v>
      </c>
      <c r="AA343" s="140">
        <f>+_xlfn.XLOOKUP(PROYECTOS2[[#This Row],[MUNICIPIO]],'4.CAP_ENDMNT'!B:B,'4.CAP_ENDMNT'!H:H,0,0,1)</f>
        <v>0</v>
      </c>
      <c r="AB343" s="140">
        <f>+_xlfn.XLOOKUP(PROYECTOS2[[#This Row],[MUNICIPIO]],'4.CAP_ENDMNT'!B:B,'4.CAP_ENDMNT'!I:I,0,0,1)</f>
        <v>3580400217</v>
      </c>
      <c r="AC343" s="134">
        <f>+_xlfn.XLOOKUP(PROYECTOS2[[#This Row],[MUNICIPIO]],'4.CAP_ENDMNT'!B:B,'4.CAP_ENDMNT'!J:J,0,0,1)</f>
        <v>0.27535904705336234</v>
      </c>
      <c r="AD343" s="140">
        <f>+_xlfn.XLOOKUP(PROYECTOS2[[#This Row],[MUNICIPIO]],'4.CAP_ENDMNT'!B:B,'4.CAP_ENDMNT'!K:K,0,0,1)</f>
        <v>9422260328.6189995</v>
      </c>
      <c r="AE343" s="140">
        <f>+_xlfn.XLOOKUP(PROYECTOS2[[#This Row],[MUNICIPIO]],'4.CAP_ENDMNT'!B:B,'4.CAP_ENDMNT'!L:L,0,0,1)</f>
        <v>7537808262.8951998</v>
      </c>
      <c r="AF343" s="140">
        <f>+_xlfn.XLOOKUP(PROYECTOS2[[#This Row],[MUNICIPIO]],'4.CAP_ENDMNT'!B:B,'4.CAP_ENDMNT'!M:M,0,0,1)</f>
        <v>5653356197.1713991</v>
      </c>
      <c r="AG343" s="134">
        <f>+_xlfn.XLOOKUP(PROYECTOS2[[#This Row],[MUNICIPIO]],'4.CAP_ENDMNT'!B:B,'4.CAP_ENDMNT'!N:N,0,0,1)</f>
        <v>1</v>
      </c>
      <c r="AH343" s="134">
        <f>+_xlfn.XLOOKUP(PROYECTOS2[[#This Row],[MUNICIPIO]],'4.CAP_ENDMNT'!B:B,'4.CAP_ENDMNT'!O:O,0,0,1)</f>
        <v>0.60546314083774588</v>
      </c>
      <c r="AI343" s="134">
        <f>+_xlfn.XLOOKUP(PROYECTOS2[[#This Row],[MUNICIPIO]],'4.CAP_ENDMNT'!B:B,'4.CAP_ENDMNT'!P:P,0,0,1)</f>
        <v>0.8</v>
      </c>
      <c r="AJ343" s="44" t="str">
        <f>+_xlfn.XLOOKUP(PROYECTOS2[[#This Row],[MUNICIPIO]],'4.CAP_ENDMNT'!B:B,'4.CAP_ENDMNT'!Q:Q,0,0,1)</f>
        <v>Cumple</v>
      </c>
    </row>
    <row r="344" spans="1:36">
      <c r="A344" s="44">
        <v>367</v>
      </c>
      <c r="B344" s="37" t="s">
        <v>669</v>
      </c>
      <c r="C344" s="118">
        <v>45747</v>
      </c>
      <c r="D344" s="34" t="s">
        <v>88</v>
      </c>
      <c r="E344" s="47" t="str">
        <f>+_xlfn.XLOOKUP(PROYECTOS2[[#This Row],[MUNICIPIO]],MUNICIPIOS!A:A,MUNICIPIOS!E:E,0,0,1)</f>
        <v>Suroeste</v>
      </c>
      <c r="F344" s="44" t="e" cm="1">
        <f t="array" ref="F344">+_xlfn.XLOOKUP(PROYECTOS2[[#This Row],[MUNICIPIO]],Table1[Municipio],MUNICIPIOS!F:F,0,0,1)</f>
        <v>#VALUE!</v>
      </c>
      <c r="G344" s="47" t="str">
        <f>+LOOKUP(PROYECTOS2[[#This Row],[MUNICIPIO]],Table1[Municipio],Table1[Latitud])</f>
        <v>6,246631</v>
      </c>
      <c r="H344" s="47">
        <f>+LOOKUP(PROYECTOS2[[#This Row],[MUNICIPIO]],Table1[Municipio],Table1[PDET])</f>
        <v>0</v>
      </c>
      <c r="I344" s="45">
        <f>+LOOKUP(PROYECTOS2[[#This Row],[MUNICIPIO]],Table1[Municipio],Table1[ZOMAC])</f>
        <v>0</v>
      </c>
      <c r="J344" s="34" t="str" cm="1">
        <f t="array" ref="J344">_xlfn.TEXTJOIN(", ", TRUE, IF(radicados[ID PROYECTOS]=A344, radicados[RADICADO], ""))</f>
        <v/>
      </c>
      <c r="K344" s="45">
        <v>2</v>
      </c>
      <c r="L344" s="45"/>
      <c r="M344" s="50"/>
      <c r="N344" s="48">
        <v>300000000</v>
      </c>
      <c r="O344" s="48"/>
      <c r="P344" s="48"/>
      <c r="Q344" s="148" t="s">
        <v>1067</v>
      </c>
      <c r="R344" s="40" t="s">
        <v>435</v>
      </c>
      <c r="S344" s="40" t="s">
        <v>398</v>
      </c>
      <c r="T344" s="40" t="s">
        <v>25</v>
      </c>
      <c r="U344" s="53" t="s">
        <v>657</v>
      </c>
      <c r="V344" s="44">
        <f>+_xlfn.XLOOKUP(PROYECTOS2[[#This Row],[MUNICIPIO]],'4.CAP_ENDMNT'!B:B,'4.CAP_ENDMNT'!C:C,0,0,1)</f>
        <v>6</v>
      </c>
      <c r="W344" s="139">
        <f>+_xlfn.XLOOKUP(PROYECTOS2[[#This Row],[MUNICIPIO]],'4.CAP_ENDMNT'!B:B,'4.CAP_ENDMNT'!D:D,0,0,1)</f>
        <v>7408957946.4439993</v>
      </c>
      <c r="X344" s="140">
        <f>+_xlfn.XLOOKUP(PROYECTOS2[[#This Row],[MUNICIPIO]],'4.CAP_ENDMNT'!B:B,'4.CAP_ENDMNT'!E:E,0,0,1)</f>
        <v>2726179218.2000003</v>
      </c>
      <c r="Y344" s="140">
        <f>+_xlfn.XLOOKUP(PROYECTOS2[[#This Row],[MUNICIPIO]],'4.CAP_ENDMNT'!B:B,'4.CAP_ENDMNT'!F:F,0,0,1)</f>
        <v>4682778728.2439995</v>
      </c>
      <c r="Z344" s="140">
        <f>+_xlfn.XLOOKUP(PROYECTOS2[[#This Row],[MUNICIPIO]],'4.CAP_ENDMNT'!B:B,'4.CAP_ENDMNT'!G:G,0,0,1)</f>
        <v>1117539497</v>
      </c>
      <c r="AA344" s="140">
        <f>+_xlfn.XLOOKUP(PROYECTOS2[[#This Row],[MUNICIPIO]],'4.CAP_ENDMNT'!B:B,'4.CAP_ENDMNT'!H:H,0,0,1)</f>
        <v>0</v>
      </c>
      <c r="AB344" s="140">
        <f>+_xlfn.XLOOKUP(PROYECTOS2[[#This Row],[MUNICIPIO]],'4.CAP_ENDMNT'!B:B,'4.CAP_ENDMNT'!I:I,0,0,1)</f>
        <v>1117539497</v>
      </c>
      <c r="AC344" s="134">
        <f>+_xlfn.XLOOKUP(PROYECTOS2[[#This Row],[MUNICIPIO]],'4.CAP_ENDMNT'!B:B,'4.CAP_ENDMNT'!J:J,0,0,1)</f>
        <v>0.15083625863153588</v>
      </c>
      <c r="AD344" s="140">
        <f>+_xlfn.XLOOKUP(PROYECTOS2[[#This Row],[MUNICIPIO]],'4.CAP_ENDMNT'!B:B,'4.CAP_ENDMNT'!K:K,0,0,1)</f>
        <v>6291418449.4439993</v>
      </c>
      <c r="AE344" s="140">
        <f>+_xlfn.XLOOKUP(PROYECTOS2[[#This Row],[MUNICIPIO]],'4.CAP_ENDMNT'!B:B,'4.CAP_ENDMNT'!L:L,0,0,1)</f>
        <v>5033134759.5551996</v>
      </c>
      <c r="AF344" s="140">
        <f>+_xlfn.XLOOKUP(PROYECTOS2[[#This Row],[MUNICIPIO]],'4.CAP_ENDMNT'!B:B,'4.CAP_ENDMNT'!M:M,0,0,1)</f>
        <v>3774851069.6663995</v>
      </c>
      <c r="AG344" s="134">
        <f>+_xlfn.XLOOKUP(PROYECTOS2[[#This Row],[MUNICIPIO]],'4.CAP_ENDMNT'!B:B,'4.CAP_ENDMNT'!N:N,0,0,1)</f>
        <v>1</v>
      </c>
      <c r="AH344" s="134">
        <f>+_xlfn.XLOOKUP(PROYECTOS2[[#This Row],[MUNICIPIO]],'4.CAP_ENDMNT'!B:B,'4.CAP_ENDMNT'!O:O,0,0,1)</f>
        <v>0.78495373596781126</v>
      </c>
      <c r="AI344" s="134">
        <f>+_xlfn.XLOOKUP(PROYECTOS2[[#This Row],[MUNICIPIO]],'4.CAP_ENDMNT'!B:B,'4.CAP_ENDMNT'!P:P,0,0,1)</f>
        <v>0.8</v>
      </c>
      <c r="AJ344" s="44" t="str">
        <f>+_xlfn.XLOOKUP(PROYECTOS2[[#This Row],[MUNICIPIO]],'4.CAP_ENDMNT'!B:B,'4.CAP_ENDMNT'!Q:Q,0,0,1)</f>
        <v>Riesgo</v>
      </c>
    </row>
    <row r="345" spans="1:36">
      <c r="A345" s="44">
        <v>368</v>
      </c>
      <c r="B345" s="37" t="s">
        <v>670</v>
      </c>
      <c r="C345" s="118">
        <v>45747</v>
      </c>
      <c r="D345" s="34" t="s">
        <v>63</v>
      </c>
      <c r="E345" s="47" t="str">
        <f>+_xlfn.XLOOKUP(PROYECTOS2[[#This Row],[MUNICIPIO]],MUNICIPIOS!A:A,MUNICIPIOS!E:E,0,0,1)</f>
        <v>Urabá</v>
      </c>
      <c r="F345" s="44" t="e" cm="1">
        <f t="array" ref="F345">+_xlfn.XLOOKUP(PROYECTOS2[[#This Row],[MUNICIPIO]],Table1[Municipio],MUNICIPIOS!F:F,0,0,1)</f>
        <v>#VALUE!</v>
      </c>
      <c r="G345" s="47" t="str">
        <f>+LOOKUP(PROYECTOS2[[#This Row],[MUNICIPIO]],Table1[Municipio],Table1[Latitud])</f>
        <v>6,149903</v>
      </c>
      <c r="H345" s="47">
        <f>+LOOKUP(PROYECTOS2[[#This Row],[MUNICIPIO]],Table1[Municipio],Table1[PDET])</f>
        <v>0</v>
      </c>
      <c r="I345" s="45">
        <f>+LOOKUP(PROYECTOS2[[#This Row],[MUNICIPIO]],Table1[Municipio],Table1[ZOMAC])</f>
        <v>0</v>
      </c>
      <c r="J345" s="34" t="str" cm="1">
        <f t="array" ref="J345">_xlfn.TEXTJOIN(", ", TRUE, IF(radicados[ID PROYECTOS]=A345, radicados[RADICADO], ""))</f>
        <v/>
      </c>
      <c r="K345" s="45">
        <v>2</v>
      </c>
      <c r="L345" s="45"/>
      <c r="M345" s="50"/>
      <c r="N345" s="48">
        <v>2000000000</v>
      </c>
      <c r="O345" s="48"/>
      <c r="P345" s="48"/>
      <c r="Q345" s="148" t="s">
        <v>1067</v>
      </c>
      <c r="R345" s="40" t="s">
        <v>435</v>
      </c>
      <c r="S345" s="40" t="s">
        <v>398</v>
      </c>
      <c r="T345" s="40" t="s">
        <v>25</v>
      </c>
      <c r="U345" s="53" t="s">
        <v>657</v>
      </c>
      <c r="V345" s="44">
        <f>+_xlfn.XLOOKUP(PROYECTOS2[[#This Row],[MUNICIPIO]],'4.CAP_ENDMNT'!B:B,'4.CAP_ENDMNT'!C:C,0,0,1)</f>
        <v>6</v>
      </c>
      <c r="W345" s="139">
        <f>+_xlfn.XLOOKUP(PROYECTOS2[[#This Row],[MUNICIPIO]],'4.CAP_ENDMNT'!B:B,'4.CAP_ENDMNT'!D:D,0,0,1)</f>
        <v>19508372714.52</v>
      </c>
      <c r="X345" s="140">
        <f>+_xlfn.XLOOKUP(PROYECTOS2[[#This Row],[MUNICIPIO]],'4.CAP_ENDMNT'!B:B,'4.CAP_ENDMNT'!E:E,0,0,1)</f>
        <v>5389834315.5</v>
      </c>
      <c r="Y345" s="140">
        <f>+_xlfn.XLOOKUP(PROYECTOS2[[#This Row],[MUNICIPIO]],'4.CAP_ENDMNT'!B:B,'4.CAP_ENDMNT'!F:F,0,0,1)</f>
        <v>14118538399.02</v>
      </c>
      <c r="Z345" s="140">
        <f>+_xlfn.XLOOKUP(PROYECTOS2[[#This Row],[MUNICIPIO]],'4.CAP_ENDMNT'!B:B,'4.CAP_ENDMNT'!G:G,0,0,1)</f>
        <v>2594281047</v>
      </c>
      <c r="AA345" s="140">
        <f>+_xlfn.XLOOKUP(PROYECTOS2[[#This Row],[MUNICIPIO]],'4.CAP_ENDMNT'!B:B,'4.CAP_ENDMNT'!H:H,0,0,1)</f>
        <v>1833333333</v>
      </c>
      <c r="AB345" s="140">
        <f>+_xlfn.XLOOKUP(PROYECTOS2[[#This Row],[MUNICIPIO]],'4.CAP_ENDMNT'!B:B,'4.CAP_ENDMNT'!I:I,0,0,1)</f>
        <v>4427614380</v>
      </c>
      <c r="AC345" s="134">
        <f>+_xlfn.XLOOKUP(PROYECTOS2[[#This Row],[MUNICIPIO]],'4.CAP_ENDMNT'!B:B,'4.CAP_ENDMNT'!J:J,0,0,1)</f>
        <v>0.22695969801235882</v>
      </c>
      <c r="AD345" s="140">
        <f>+_xlfn.XLOOKUP(PROYECTOS2[[#This Row],[MUNICIPIO]],'4.CAP_ENDMNT'!B:B,'4.CAP_ENDMNT'!K:K,0,0,1)</f>
        <v>15080758334.52</v>
      </c>
      <c r="AE345" s="140">
        <f>+_xlfn.XLOOKUP(PROYECTOS2[[#This Row],[MUNICIPIO]],'4.CAP_ENDMNT'!B:B,'4.CAP_ENDMNT'!L:L,0,0,1)</f>
        <v>12064606667.616001</v>
      </c>
      <c r="AF345" s="140">
        <f>+_xlfn.XLOOKUP(PROYECTOS2[[#This Row],[MUNICIPIO]],'4.CAP_ENDMNT'!B:B,'4.CAP_ENDMNT'!M:M,0,0,1)</f>
        <v>9048455000.7119999</v>
      </c>
      <c r="AG345" s="134">
        <f>+_xlfn.XLOOKUP(PROYECTOS2[[#This Row],[MUNICIPIO]],'4.CAP_ENDMNT'!B:B,'4.CAP_ENDMNT'!N:N,0,0,1)</f>
        <v>0.58593202215591322</v>
      </c>
      <c r="AH345" s="134">
        <f>+_xlfn.XLOOKUP(PROYECTOS2[[#This Row],[MUNICIPIO]],'4.CAP_ENDMNT'!B:B,'4.CAP_ENDMNT'!O:O,0,0,1)</f>
        <v>0.58851112900500024</v>
      </c>
      <c r="AI345" s="134">
        <f>+_xlfn.XLOOKUP(PROYECTOS2[[#This Row],[MUNICIPIO]],'4.CAP_ENDMNT'!B:B,'4.CAP_ENDMNT'!P:P,0,0,1)</f>
        <v>0.8</v>
      </c>
      <c r="AJ345" s="44" t="str">
        <f>+_xlfn.XLOOKUP(PROYECTOS2[[#This Row],[MUNICIPIO]],'4.CAP_ENDMNT'!B:B,'4.CAP_ENDMNT'!Q:Q,0,0,1)</f>
        <v>Cumple</v>
      </c>
    </row>
    <row r="346" spans="1:36">
      <c r="A346" s="44">
        <v>369</v>
      </c>
      <c r="B346" s="37" t="s">
        <v>671</v>
      </c>
      <c r="C346" s="118">
        <v>45747</v>
      </c>
      <c r="D346" s="34" t="s">
        <v>90</v>
      </c>
      <c r="E346" s="47" t="str">
        <f>+_xlfn.XLOOKUP(PROYECTOS2[[#This Row],[MUNICIPIO]],MUNICIPIOS!A:A,MUNICIPIOS!E:E,0,0,1)</f>
        <v>Suroeste</v>
      </c>
      <c r="F346" s="44" t="e" cm="1">
        <f t="array" ref="F346">+_xlfn.XLOOKUP(PROYECTOS2[[#This Row],[MUNICIPIO]],Table1[Municipio],MUNICIPIOS!F:F,0,0,1)</f>
        <v>#VALUE!</v>
      </c>
      <c r="G346" s="47" t="str">
        <f>+LOOKUP(PROYECTOS2[[#This Row],[MUNICIPIO]],Table1[Municipio],Table1[Latitud])</f>
        <v>6,149903</v>
      </c>
      <c r="H346" s="47">
        <f>+LOOKUP(PROYECTOS2[[#This Row],[MUNICIPIO]],Table1[Municipio],Table1[PDET])</f>
        <v>0</v>
      </c>
      <c r="I346" s="45">
        <f>+LOOKUP(PROYECTOS2[[#This Row],[MUNICIPIO]],Table1[Municipio],Table1[ZOMAC])</f>
        <v>0</v>
      </c>
      <c r="J346" s="34" t="str" cm="1">
        <f t="array" ref="J346">_xlfn.TEXTJOIN(", ", TRUE, IF(radicados[ID PROYECTOS]=A346, radicados[RADICADO], ""))</f>
        <v/>
      </c>
      <c r="K346" s="45">
        <v>2</v>
      </c>
      <c r="L346" s="45"/>
      <c r="M346" s="50"/>
      <c r="N346" s="48">
        <v>500000000</v>
      </c>
      <c r="O346" s="48"/>
      <c r="P346" s="48"/>
      <c r="Q346" s="148" t="s">
        <v>1067</v>
      </c>
      <c r="R346" s="40" t="s">
        <v>435</v>
      </c>
      <c r="S346" s="40" t="s">
        <v>398</v>
      </c>
      <c r="T346" s="40" t="s">
        <v>25</v>
      </c>
      <c r="U346" s="53" t="s">
        <v>657</v>
      </c>
      <c r="V346" s="44">
        <f>+_xlfn.XLOOKUP(PROYECTOS2[[#This Row],[MUNICIPIO]],'4.CAP_ENDMNT'!B:B,'4.CAP_ENDMNT'!C:C,0,0,1)</f>
        <v>6</v>
      </c>
      <c r="W346" s="139">
        <f>+_xlfn.XLOOKUP(PROYECTOS2[[#This Row],[MUNICIPIO]],'4.CAP_ENDMNT'!B:B,'4.CAP_ENDMNT'!D:D,0,0,1)</f>
        <v>6485715716.868001</v>
      </c>
      <c r="X346" s="140">
        <f>+_xlfn.XLOOKUP(PROYECTOS2[[#This Row],[MUNICIPIO]],'4.CAP_ENDMNT'!B:B,'4.CAP_ENDMNT'!E:E,0,0,1)</f>
        <v>3717110032.7600002</v>
      </c>
      <c r="Y346" s="140">
        <f>+_xlfn.XLOOKUP(PROYECTOS2[[#This Row],[MUNICIPIO]],'4.CAP_ENDMNT'!B:B,'4.CAP_ENDMNT'!F:F,0,0,1)</f>
        <v>2768605684.1080008</v>
      </c>
      <c r="Z346" s="140">
        <f>+_xlfn.XLOOKUP(PROYECTOS2[[#This Row],[MUNICIPIO]],'4.CAP_ENDMNT'!B:B,'4.CAP_ENDMNT'!G:G,0,0,1)</f>
        <v>598561755.20000005</v>
      </c>
      <c r="AA346" s="140">
        <f>+_xlfn.XLOOKUP(PROYECTOS2[[#This Row],[MUNICIPIO]],'4.CAP_ENDMNT'!B:B,'4.CAP_ENDMNT'!H:H,0,0,1)</f>
        <v>823222224</v>
      </c>
      <c r="AB346" s="140">
        <f>+_xlfn.XLOOKUP(PROYECTOS2[[#This Row],[MUNICIPIO]],'4.CAP_ENDMNT'!B:B,'4.CAP_ENDMNT'!I:I,0,0,1)</f>
        <v>1421783979.2</v>
      </c>
      <c r="AC346" s="134">
        <f>+_xlfn.XLOOKUP(PROYECTOS2[[#This Row],[MUNICIPIO]],'4.CAP_ENDMNT'!B:B,'4.CAP_ENDMNT'!J:J,0,0,1)</f>
        <v>0.21921774577665112</v>
      </c>
      <c r="AD346" s="140">
        <f>+_xlfn.XLOOKUP(PROYECTOS2[[#This Row],[MUNICIPIO]],'4.CAP_ENDMNT'!B:B,'4.CAP_ENDMNT'!K:K,0,0,1)</f>
        <v>5063931737.6680012</v>
      </c>
      <c r="AE346" s="140">
        <f>+_xlfn.XLOOKUP(PROYECTOS2[[#This Row],[MUNICIPIO]],'4.CAP_ENDMNT'!B:B,'4.CAP_ENDMNT'!L:L,0,0,1)</f>
        <v>4051145390.1344013</v>
      </c>
      <c r="AF346" s="140">
        <f>+_xlfn.XLOOKUP(PROYECTOS2[[#This Row],[MUNICIPIO]],'4.CAP_ENDMNT'!B:B,'4.CAP_ENDMNT'!M:M,0,0,1)</f>
        <v>3038359042.6008005</v>
      </c>
      <c r="AG346" s="134">
        <f>+_xlfn.XLOOKUP(PROYECTOS2[[#This Row],[MUNICIPIO]],'4.CAP_ENDMNT'!B:B,'4.CAP_ENDMNT'!N:N,0,0,1)</f>
        <v>0.42099345889155032</v>
      </c>
      <c r="AH346" s="134">
        <f>+_xlfn.XLOOKUP(PROYECTOS2[[#This Row],[MUNICIPIO]],'4.CAP_ENDMNT'!B:B,'4.CAP_ENDMNT'!O:O,0,0,1)</f>
        <v>0.68598337343648785</v>
      </c>
      <c r="AI346" s="134">
        <f>+_xlfn.XLOOKUP(PROYECTOS2[[#This Row],[MUNICIPIO]],'4.CAP_ENDMNT'!B:B,'4.CAP_ENDMNT'!P:P,0,0,1)</f>
        <v>0.8</v>
      </c>
      <c r="AJ346" s="44" t="str">
        <f>+_xlfn.XLOOKUP(PROYECTOS2[[#This Row],[MUNICIPIO]],'4.CAP_ENDMNT'!B:B,'4.CAP_ENDMNT'!Q:Q,0,0,1)</f>
        <v>Cumple</v>
      </c>
    </row>
    <row r="347" spans="1:36">
      <c r="A347" s="44">
        <v>370</v>
      </c>
      <c r="B347" s="37" t="s">
        <v>672</v>
      </c>
      <c r="C347" s="118">
        <v>45747</v>
      </c>
      <c r="D347" s="34" t="s">
        <v>148</v>
      </c>
      <c r="E347" s="47" t="str">
        <f>+_xlfn.XLOOKUP(PROYECTOS2[[#This Row],[MUNICIPIO]],MUNICIPIOS!A:A,MUNICIPIOS!E:E,0,0,1)</f>
        <v>Urabá</v>
      </c>
      <c r="F347" s="44" t="e" cm="1">
        <f t="array" ref="F347">+_xlfn.XLOOKUP(PROYECTOS2[[#This Row],[MUNICIPIO]],Table1[Municipio],MUNICIPIOS!F:F,0,0,1)</f>
        <v>#VALUE!</v>
      </c>
      <c r="G347" s="47" t="str">
        <f>+LOOKUP(PROYECTOS2[[#This Row],[MUNICIPIO]],Table1[Municipio],Table1[Latitud])</f>
        <v>6,149903</v>
      </c>
      <c r="H347" s="47">
        <f>+LOOKUP(PROYECTOS2[[#This Row],[MUNICIPIO]],Table1[Municipio],Table1[PDET])</f>
        <v>0</v>
      </c>
      <c r="I347" s="45">
        <f>+LOOKUP(PROYECTOS2[[#This Row],[MUNICIPIO]],Table1[Municipio],Table1[ZOMAC])</f>
        <v>0</v>
      </c>
      <c r="J347" s="34" t="str" cm="1">
        <f t="array" ref="J347">_xlfn.TEXTJOIN(", ", TRUE, IF(radicados[ID PROYECTOS]=A347, radicados[RADICADO], ""))</f>
        <v/>
      </c>
      <c r="K347" s="142">
        <v>2</v>
      </c>
      <c r="L347" s="45"/>
      <c r="M347" s="50"/>
      <c r="N347" s="48">
        <v>2000000000</v>
      </c>
      <c r="O347" s="48"/>
      <c r="P347" s="48"/>
      <c r="Q347" s="148" t="s">
        <v>1067</v>
      </c>
      <c r="R347" s="40" t="s">
        <v>435</v>
      </c>
      <c r="S347" s="40" t="s">
        <v>398</v>
      </c>
      <c r="T347" s="40" t="s">
        <v>25</v>
      </c>
      <c r="U347" s="53" t="s">
        <v>657</v>
      </c>
      <c r="V347" s="44">
        <f>+_xlfn.XLOOKUP(PROYECTOS2[[#This Row],[MUNICIPIO]],'4.CAP_ENDMNT'!B:B,'4.CAP_ENDMNT'!C:C,0,0,1)</f>
        <v>6</v>
      </c>
      <c r="W347" s="139">
        <f>+_xlfn.XLOOKUP(PROYECTOS2[[#This Row],[MUNICIPIO]],'4.CAP_ENDMNT'!B:B,'4.CAP_ENDMNT'!D:D,0,0,1)</f>
        <v>18943215673.273502</v>
      </c>
      <c r="X347" s="140">
        <f>+_xlfn.XLOOKUP(PROYECTOS2[[#This Row],[MUNICIPIO]],'4.CAP_ENDMNT'!B:B,'4.CAP_ENDMNT'!E:E,0,0,1)</f>
        <v>6022595389.6999998</v>
      </c>
      <c r="Y347" s="140">
        <f>+_xlfn.XLOOKUP(PROYECTOS2[[#This Row],[MUNICIPIO]],'4.CAP_ENDMNT'!B:B,'4.CAP_ENDMNT'!F:F,0,0,1)</f>
        <v>12920620283.573502</v>
      </c>
      <c r="Z347" s="140">
        <f>+_xlfn.XLOOKUP(PROYECTOS2[[#This Row],[MUNICIPIO]],'4.CAP_ENDMNT'!B:B,'4.CAP_ENDMNT'!G:G,0,0,1)</f>
        <v>4570267145</v>
      </c>
      <c r="AA347" s="140">
        <f>+_xlfn.XLOOKUP(PROYECTOS2[[#This Row],[MUNICIPIO]],'4.CAP_ENDMNT'!B:B,'4.CAP_ENDMNT'!H:H,0,0,1)</f>
        <v>0</v>
      </c>
      <c r="AB347" s="140">
        <f>+_xlfn.XLOOKUP(PROYECTOS2[[#This Row],[MUNICIPIO]],'4.CAP_ENDMNT'!B:B,'4.CAP_ENDMNT'!I:I,0,0,1)</f>
        <v>4570267145</v>
      </c>
      <c r="AC347" s="134">
        <f>+_xlfn.XLOOKUP(PROYECTOS2[[#This Row],[MUNICIPIO]],'4.CAP_ENDMNT'!B:B,'4.CAP_ENDMNT'!J:J,0,0,1)</f>
        <v>0.24126142170508424</v>
      </c>
      <c r="AD347" s="140">
        <f>+_xlfn.XLOOKUP(PROYECTOS2[[#This Row],[MUNICIPIO]],'4.CAP_ENDMNT'!B:B,'4.CAP_ENDMNT'!K:K,0,0,1)</f>
        <v>14372948528.273502</v>
      </c>
      <c r="AE347" s="140">
        <f>+_xlfn.XLOOKUP(PROYECTOS2[[#This Row],[MUNICIPIO]],'4.CAP_ENDMNT'!B:B,'4.CAP_ENDMNT'!L:L,0,0,1)</f>
        <v>11498358822.618803</v>
      </c>
      <c r="AF347" s="140">
        <f>+_xlfn.XLOOKUP(PROYECTOS2[[#This Row],[MUNICIPIO]],'4.CAP_ENDMNT'!B:B,'4.CAP_ENDMNT'!M:M,0,0,1)</f>
        <v>8623769116.9641018</v>
      </c>
      <c r="AG347" s="134">
        <f>+_xlfn.XLOOKUP(PROYECTOS2[[#This Row],[MUNICIPIO]],'4.CAP_ENDMNT'!B:B,'4.CAP_ENDMNT'!N:N,0,0,1)</f>
        <v>1</v>
      </c>
      <c r="AH347" s="134">
        <f>+_xlfn.XLOOKUP(PROYECTOS2[[#This Row],[MUNICIPIO]],'4.CAP_ENDMNT'!B:B,'4.CAP_ENDMNT'!O:O,0,0,1)</f>
        <v>0.63532752805182191</v>
      </c>
      <c r="AI347" s="134">
        <f>+_xlfn.XLOOKUP(PROYECTOS2[[#This Row],[MUNICIPIO]],'4.CAP_ENDMNT'!B:B,'4.CAP_ENDMNT'!P:P,0,0,1)</f>
        <v>0.8</v>
      </c>
      <c r="AJ347" s="44" t="str">
        <f>+_xlfn.XLOOKUP(PROYECTOS2[[#This Row],[MUNICIPIO]],'4.CAP_ENDMNT'!B:B,'4.CAP_ENDMNT'!Q:Q,0,0,1)</f>
        <v>Cumple</v>
      </c>
    </row>
    <row r="348" spans="1:36">
      <c r="A348" s="44">
        <v>371</v>
      </c>
      <c r="B348" s="37" t="s">
        <v>673</v>
      </c>
      <c r="C348" s="118">
        <v>45747</v>
      </c>
      <c r="D348" s="34" t="s">
        <v>67</v>
      </c>
      <c r="E348" s="47" t="str">
        <f>+_xlfn.XLOOKUP(PROYECTOS2[[#This Row],[MUNICIPIO]],MUNICIPIOS!A:A,MUNICIPIOS!E:E,0,0,1)</f>
        <v>Nordeste</v>
      </c>
      <c r="F348" s="44" t="e" cm="1">
        <f t="array" ref="F348">+_xlfn.XLOOKUP(PROYECTOS2[[#This Row],[MUNICIPIO]],Table1[Municipio],MUNICIPIOS!F:F,0,0,1)</f>
        <v>#VALUE!</v>
      </c>
      <c r="G348" s="47" t="str">
        <f>+LOOKUP(PROYECTOS2[[#This Row],[MUNICIPIO]],Table1[Municipio],Table1[Latitud])</f>
        <v>6,149903</v>
      </c>
      <c r="H348" s="47">
        <f>+LOOKUP(PROYECTOS2[[#This Row],[MUNICIPIO]],Table1[Municipio],Table1[PDET])</f>
        <v>0</v>
      </c>
      <c r="I348" s="45">
        <f>+LOOKUP(PROYECTOS2[[#This Row],[MUNICIPIO]],Table1[Municipio],Table1[ZOMAC])</f>
        <v>0</v>
      </c>
      <c r="J348" s="34" t="str" cm="1">
        <f t="array" ref="J348">_xlfn.TEXTJOIN(", ", TRUE, IF(radicados[ID PROYECTOS]=A348, radicados[RADICADO], ""))</f>
        <v/>
      </c>
      <c r="K348" s="45">
        <v>1</v>
      </c>
      <c r="L348" s="45"/>
      <c r="M348" s="50"/>
      <c r="N348" s="48">
        <v>600000000</v>
      </c>
      <c r="O348" s="48"/>
      <c r="P348" s="48"/>
      <c r="Q348" s="148" t="s">
        <v>1067</v>
      </c>
      <c r="R348" s="40" t="s">
        <v>435</v>
      </c>
      <c r="S348" s="40" t="s">
        <v>398</v>
      </c>
      <c r="T348" s="40" t="s">
        <v>25</v>
      </c>
      <c r="U348" s="53" t="s">
        <v>657</v>
      </c>
      <c r="V348" s="44">
        <f>+_xlfn.XLOOKUP(PROYECTOS2[[#This Row],[MUNICIPIO]],'4.CAP_ENDMNT'!B:B,'4.CAP_ENDMNT'!C:C,0,0,1)</f>
        <v>6</v>
      </c>
      <c r="W348" s="139">
        <f>+_xlfn.XLOOKUP(PROYECTOS2[[#This Row],[MUNICIPIO]],'4.CAP_ENDMNT'!B:B,'4.CAP_ENDMNT'!D:D,0,0,1)</f>
        <v>18632663202.9925</v>
      </c>
      <c r="X348" s="140">
        <f>+_xlfn.XLOOKUP(PROYECTOS2[[#This Row],[MUNICIPIO]],'4.CAP_ENDMNT'!B:B,'4.CAP_ENDMNT'!E:E,0,0,1)</f>
        <v>4332293517.3299999</v>
      </c>
      <c r="Y348" s="140">
        <f>+_xlfn.XLOOKUP(PROYECTOS2[[#This Row],[MUNICIPIO]],'4.CAP_ENDMNT'!B:B,'4.CAP_ENDMNT'!F:F,0,0,1)</f>
        <v>14300369685.6625</v>
      </c>
      <c r="Z348" s="140">
        <f>+_xlfn.XLOOKUP(PROYECTOS2[[#This Row],[MUNICIPIO]],'4.CAP_ENDMNT'!B:B,'4.CAP_ENDMNT'!G:G,0,0,1)</f>
        <v>3970281006</v>
      </c>
      <c r="AA348" s="140">
        <f>+_xlfn.XLOOKUP(PROYECTOS2[[#This Row],[MUNICIPIO]],'4.CAP_ENDMNT'!B:B,'4.CAP_ENDMNT'!H:H,0,0,1)</f>
        <v>1500000000</v>
      </c>
      <c r="AB348" s="140">
        <f>+_xlfn.XLOOKUP(PROYECTOS2[[#This Row],[MUNICIPIO]],'4.CAP_ENDMNT'!B:B,'4.CAP_ENDMNT'!I:I,0,0,1)</f>
        <v>5470281006</v>
      </c>
      <c r="AC348" s="134">
        <f>+_xlfn.XLOOKUP(PROYECTOS2[[#This Row],[MUNICIPIO]],'4.CAP_ENDMNT'!B:B,'4.CAP_ENDMNT'!J:J,0,0,1)</f>
        <v>0.29358556779588252</v>
      </c>
      <c r="AD348" s="140">
        <f>+_xlfn.XLOOKUP(PROYECTOS2[[#This Row],[MUNICIPIO]],'4.CAP_ENDMNT'!B:B,'4.CAP_ENDMNT'!K:K,0,0,1)</f>
        <v>13162382196.9925</v>
      </c>
      <c r="AE348" s="140">
        <f>+_xlfn.XLOOKUP(PROYECTOS2[[#This Row],[MUNICIPIO]],'4.CAP_ENDMNT'!B:B,'4.CAP_ENDMNT'!L:L,0,0,1)</f>
        <v>10529905757.594002</v>
      </c>
      <c r="AF348" s="140">
        <f>+_xlfn.XLOOKUP(PROYECTOS2[[#This Row],[MUNICIPIO]],'4.CAP_ENDMNT'!B:B,'4.CAP_ENDMNT'!M:M,0,0,1)</f>
        <v>7897429318.1954994</v>
      </c>
      <c r="AG348" s="134">
        <f>+_xlfn.XLOOKUP(PROYECTOS2[[#This Row],[MUNICIPIO]],'4.CAP_ENDMNT'!B:B,'4.CAP_ENDMNT'!N:N,0,0,1)</f>
        <v>0.72579105198531002</v>
      </c>
      <c r="AH348" s="134">
        <f>+_xlfn.XLOOKUP(PROYECTOS2[[#This Row],[MUNICIPIO]],'4.CAP_ENDMNT'!B:B,'4.CAP_ENDMNT'!O:O,0,0,1)</f>
        <v>0.44683077557401057</v>
      </c>
      <c r="AI348" s="134">
        <f>+_xlfn.XLOOKUP(PROYECTOS2[[#This Row],[MUNICIPIO]],'4.CAP_ENDMNT'!B:B,'4.CAP_ENDMNT'!P:P,0,0,1)</f>
        <v>0.8</v>
      </c>
      <c r="AJ348" s="44" t="str">
        <f>+_xlfn.XLOOKUP(PROYECTOS2[[#This Row],[MUNICIPIO]],'4.CAP_ENDMNT'!B:B,'4.CAP_ENDMNT'!Q:Q,0,0,1)</f>
        <v>Cumple</v>
      </c>
    </row>
    <row r="349" spans="1:36">
      <c r="A349" s="44">
        <v>372</v>
      </c>
      <c r="B349" s="37" t="s">
        <v>674</v>
      </c>
      <c r="C349" s="118">
        <v>45747</v>
      </c>
      <c r="D349" s="34" t="s">
        <v>200</v>
      </c>
      <c r="E349" s="47" t="str">
        <f>+_xlfn.XLOOKUP(PROYECTOS2[[#This Row],[MUNICIPIO]],MUNICIPIOS!A:A,MUNICIPIOS!E:E,0,0,1)</f>
        <v>Bajo Cauca</v>
      </c>
      <c r="F349" s="44" t="e" cm="1">
        <f t="array" ref="F349">+_xlfn.XLOOKUP(PROYECTOS2[[#This Row],[MUNICIPIO]],Table1[Municipio],MUNICIPIOS!F:F,0,0,1)</f>
        <v>#VALUE!</v>
      </c>
      <c r="G349" s="47" t="str">
        <f>+LOOKUP(PROYECTOS2[[#This Row],[MUNICIPIO]],Table1[Municipio],Table1[Latitud])</f>
        <v>6,149903</v>
      </c>
      <c r="H349" s="47">
        <f>+LOOKUP(PROYECTOS2[[#This Row],[MUNICIPIO]],Table1[Municipio],Table1[PDET])</f>
        <v>0</v>
      </c>
      <c r="I349" s="45">
        <f>+LOOKUP(PROYECTOS2[[#This Row],[MUNICIPIO]],Table1[Municipio],Table1[ZOMAC])</f>
        <v>0</v>
      </c>
      <c r="J349" s="34" t="str" cm="1">
        <f t="array" ref="J349">_xlfn.TEXTJOIN(", ", TRUE, IF(radicados[ID PROYECTOS]=A349, radicados[RADICADO], ""))</f>
        <v/>
      </c>
      <c r="K349" s="45">
        <v>2</v>
      </c>
      <c r="L349" s="45"/>
      <c r="M349" s="50"/>
      <c r="N349" s="48">
        <v>3500000000</v>
      </c>
      <c r="O349" s="48"/>
      <c r="P349" s="48"/>
      <c r="Q349" s="148" t="s">
        <v>1067</v>
      </c>
      <c r="R349" s="40" t="s">
        <v>435</v>
      </c>
      <c r="S349" s="40" t="s">
        <v>398</v>
      </c>
      <c r="T349" s="40" t="s">
        <v>25</v>
      </c>
      <c r="U349" s="53" t="s">
        <v>947</v>
      </c>
      <c r="V349" s="44">
        <f>+_xlfn.XLOOKUP(PROYECTOS2[[#This Row],[MUNICIPIO]],'4.CAP_ENDMNT'!B:B,'4.CAP_ENDMNT'!C:C,0,0,1)</f>
        <v>6</v>
      </c>
      <c r="W349" s="139">
        <f>+_xlfn.XLOOKUP(PROYECTOS2[[#This Row],[MUNICIPIO]],'4.CAP_ENDMNT'!B:B,'4.CAP_ENDMNT'!D:D,0,0,1)</f>
        <v>26491016162.216</v>
      </c>
      <c r="X349" s="140">
        <f>+_xlfn.XLOOKUP(PROYECTOS2[[#This Row],[MUNICIPIO]],'4.CAP_ENDMNT'!B:B,'4.CAP_ENDMNT'!E:E,0,0,1)</f>
        <v>7986352410.1199999</v>
      </c>
      <c r="Y349" s="140">
        <f>+_xlfn.XLOOKUP(PROYECTOS2[[#This Row],[MUNICIPIO]],'4.CAP_ENDMNT'!B:B,'4.CAP_ENDMNT'!F:F,0,0,1)</f>
        <v>18504663752.096001</v>
      </c>
      <c r="Z349" s="140">
        <f>+_xlfn.XLOOKUP(PROYECTOS2[[#This Row],[MUNICIPIO]],'4.CAP_ENDMNT'!B:B,'4.CAP_ENDMNT'!G:G,0,0,1)</f>
        <v>6804069561</v>
      </c>
      <c r="AA349" s="140">
        <f>+_xlfn.XLOOKUP(PROYECTOS2[[#This Row],[MUNICIPIO]],'4.CAP_ENDMNT'!B:B,'4.CAP_ENDMNT'!H:H,0,0,1)</f>
        <v>0</v>
      </c>
      <c r="AB349" s="140">
        <f>+_xlfn.XLOOKUP(PROYECTOS2[[#This Row],[MUNICIPIO]],'4.CAP_ENDMNT'!B:B,'4.CAP_ENDMNT'!I:I,0,0,1)</f>
        <v>6804069561</v>
      </c>
      <c r="AC349" s="134">
        <f>+_xlfn.XLOOKUP(PROYECTOS2[[#This Row],[MUNICIPIO]],'4.CAP_ENDMNT'!B:B,'4.CAP_ENDMNT'!J:J,0,0,1)</f>
        <v>0.25684441545525194</v>
      </c>
      <c r="AD349" s="140">
        <f>+_xlfn.XLOOKUP(PROYECTOS2[[#This Row],[MUNICIPIO]],'4.CAP_ENDMNT'!B:B,'4.CAP_ENDMNT'!K:K,0,0,1)</f>
        <v>19686946601.216</v>
      </c>
      <c r="AE349" s="140">
        <f>+_xlfn.XLOOKUP(PROYECTOS2[[#This Row],[MUNICIPIO]],'4.CAP_ENDMNT'!B:B,'4.CAP_ENDMNT'!L:L,0,0,1)</f>
        <v>15749557280.972801</v>
      </c>
      <c r="AF349" s="140">
        <f>+_xlfn.XLOOKUP(PROYECTOS2[[#This Row],[MUNICIPIO]],'4.CAP_ENDMNT'!B:B,'4.CAP_ENDMNT'!M:M,0,0,1)</f>
        <v>11812167960.729599</v>
      </c>
      <c r="AG349" s="134">
        <f>+_xlfn.XLOOKUP(PROYECTOS2[[#This Row],[MUNICIPIO]],'4.CAP_ENDMNT'!B:B,'4.CAP_ENDMNT'!N:N,0,0,1)</f>
        <v>1</v>
      </c>
      <c r="AH349" s="134">
        <f>+_xlfn.XLOOKUP(PROYECTOS2[[#This Row],[MUNICIPIO]],'4.CAP_ENDMNT'!B:B,'4.CAP_ENDMNT'!O:O,0,0,1)</f>
        <v>0.54140540347070121</v>
      </c>
      <c r="AI349" s="134">
        <f>+_xlfn.XLOOKUP(PROYECTOS2[[#This Row],[MUNICIPIO]],'4.CAP_ENDMNT'!B:B,'4.CAP_ENDMNT'!P:P,0,0,1)</f>
        <v>0.8</v>
      </c>
      <c r="AJ349" s="44" t="str">
        <f>+_xlfn.XLOOKUP(PROYECTOS2[[#This Row],[MUNICIPIO]],'4.CAP_ENDMNT'!B:B,'4.CAP_ENDMNT'!Q:Q,0,0,1)</f>
        <v>Cumple</v>
      </c>
    </row>
    <row r="350" spans="1:36">
      <c r="A350" s="44">
        <v>373</v>
      </c>
      <c r="B350" s="37" t="s">
        <v>675</v>
      </c>
      <c r="C350" s="118">
        <v>45747</v>
      </c>
      <c r="D350" s="34" t="s">
        <v>200</v>
      </c>
      <c r="E350" s="47" t="str">
        <f>+_xlfn.XLOOKUP(PROYECTOS2[[#This Row],[MUNICIPIO]],MUNICIPIOS!A:A,MUNICIPIOS!E:E,0,0,1)</f>
        <v>Bajo Cauca</v>
      </c>
      <c r="F350" s="44" t="e" cm="1">
        <f t="array" ref="F350">+_xlfn.XLOOKUP(PROYECTOS2[[#This Row],[MUNICIPIO]],Table1[Municipio],MUNICIPIOS!F:F,0,0,1)</f>
        <v>#VALUE!</v>
      </c>
      <c r="G350" s="47" t="str">
        <f>+LOOKUP(PROYECTOS2[[#This Row],[MUNICIPIO]],Table1[Municipio],Table1[Latitud])</f>
        <v>6,149903</v>
      </c>
      <c r="H350" s="47">
        <f>+LOOKUP(PROYECTOS2[[#This Row],[MUNICIPIO]],Table1[Municipio],Table1[PDET])</f>
        <v>0</v>
      </c>
      <c r="I350" s="45">
        <f>+LOOKUP(PROYECTOS2[[#This Row],[MUNICIPIO]],Table1[Municipio],Table1[ZOMAC])</f>
        <v>0</v>
      </c>
      <c r="J350" s="34" t="str" cm="1">
        <f t="array" ref="J350">_xlfn.TEXTJOIN(", ", TRUE, IF(radicados[ID PROYECTOS]=A350, radicados[RADICADO], ""))</f>
        <v/>
      </c>
      <c r="K350" s="45">
        <v>2</v>
      </c>
      <c r="L350" s="45"/>
      <c r="M350" s="50"/>
      <c r="N350" s="48">
        <v>3300000000</v>
      </c>
      <c r="O350" s="48"/>
      <c r="P350" s="48"/>
      <c r="Q350" s="148" t="s">
        <v>1067</v>
      </c>
      <c r="R350" s="40" t="s">
        <v>435</v>
      </c>
      <c r="S350" s="40" t="s">
        <v>398</v>
      </c>
      <c r="T350" s="40" t="s">
        <v>25</v>
      </c>
      <c r="U350" s="53" t="s">
        <v>947</v>
      </c>
      <c r="V350" s="44">
        <f>+_xlfn.XLOOKUP(PROYECTOS2[[#This Row],[MUNICIPIO]],'4.CAP_ENDMNT'!B:B,'4.CAP_ENDMNT'!C:C,0,0,1)</f>
        <v>6</v>
      </c>
      <c r="W350" s="139">
        <f>+_xlfn.XLOOKUP(PROYECTOS2[[#This Row],[MUNICIPIO]],'4.CAP_ENDMNT'!B:B,'4.CAP_ENDMNT'!D:D,0,0,1)</f>
        <v>26491016162.216</v>
      </c>
      <c r="X350" s="140">
        <f>+_xlfn.XLOOKUP(PROYECTOS2[[#This Row],[MUNICIPIO]],'4.CAP_ENDMNT'!B:B,'4.CAP_ENDMNT'!E:E,0,0,1)</f>
        <v>7986352410.1199999</v>
      </c>
      <c r="Y350" s="140">
        <f>+_xlfn.XLOOKUP(PROYECTOS2[[#This Row],[MUNICIPIO]],'4.CAP_ENDMNT'!B:B,'4.CAP_ENDMNT'!F:F,0,0,1)</f>
        <v>18504663752.096001</v>
      </c>
      <c r="Z350" s="140">
        <f>+_xlfn.XLOOKUP(PROYECTOS2[[#This Row],[MUNICIPIO]],'4.CAP_ENDMNT'!B:B,'4.CAP_ENDMNT'!G:G,0,0,1)</f>
        <v>6804069561</v>
      </c>
      <c r="AA350" s="140">
        <f>+_xlfn.XLOOKUP(PROYECTOS2[[#This Row],[MUNICIPIO]],'4.CAP_ENDMNT'!B:B,'4.CAP_ENDMNT'!H:H,0,0,1)</f>
        <v>0</v>
      </c>
      <c r="AB350" s="140">
        <f>+_xlfn.XLOOKUP(PROYECTOS2[[#This Row],[MUNICIPIO]],'4.CAP_ENDMNT'!B:B,'4.CAP_ENDMNT'!I:I,0,0,1)</f>
        <v>6804069561</v>
      </c>
      <c r="AC350" s="134">
        <f>+_xlfn.XLOOKUP(PROYECTOS2[[#This Row],[MUNICIPIO]],'4.CAP_ENDMNT'!B:B,'4.CAP_ENDMNT'!J:J,0,0,1)</f>
        <v>0.25684441545525194</v>
      </c>
      <c r="AD350" s="140">
        <f>+_xlfn.XLOOKUP(PROYECTOS2[[#This Row],[MUNICIPIO]],'4.CAP_ENDMNT'!B:B,'4.CAP_ENDMNT'!K:K,0,0,1)</f>
        <v>19686946601.216</v>
      </c>
      <c r="AE350" s="140">
        <f>+_xlfn.XLOOKUP(PROYECTOS2[[#This Row],[MUNICIPIO]],'4.CAP_ENDMNT'!B:B,'4.CAP_ENDMNT'!L:L,0,0,1)</f>
        <v>15749557280.972801</v>
      </c>
      <c r="AF350" s="140">
        <f>+_xlfn.XLOOKUP(PROYECTOS2[[#This Row],[MUNICIPIO]],'4.CAP_ENDMNT'!B:B,'4.CAP_ENDMNT'!M:M,0,0,1)</f>
        <v>11812167960.729599</v>
      </c>
      <c r="AG350" s="134">
        <f>+_xlfn.XLOOKUP(PROYECTOS2[[#This Row],[MUNICIPIO]],'4.CAP_ENDMNT'!B:B,'4.CAP_ENDMNT'!N:N,0,0,1)</f>
        <v>1</v>
      </c>
      <c r="AH350" s="134">
        <f>+_xlfn.XLOOKUP(PROYECTOS2[[#This Row],[MUNICIPIO]],'4.CAP_ENDMNT'!B:B,'4.CAP_ENDMNT'!O:O,0,0,1)</f>
        <v>0.54140540347070121</v>
      </c>
      <c r="AI350" s="134">
        <f>+_xlfn.XLOOKUP(PROYECTOS2[[#This Row],[MUNICIPIO]],'4.CAP_ENDMNT'!B:B,'4.CAP_ENDMNT'!P:P,0,0,1)</f>
        <v>0.8</v>
      </c>
      <c r="AJ350" s="44" t="str">
        <f>+_xlfn.XLOOKUP(PROYECTOS2[[#This Row],[MUNICIPIO]],'4.CAP_ENDMNT'!B:B,'4.CAP_ENDMNT'!Q:Q,0,0,1)</f>
        <v>Cumple</v>
      </c>
    </row>
    <row r="351" spans="1:36">
      <c r="A351" s="44">
        <v>374</v>
      </c>
      <c r="B351" s="37" t="s">
        <v>676</v>
      </c>
      <c r="C351" s="118">
        <v>45747</v>
      </c>
      <c r="D351" s="34" t="s">
        <v>477</v>
      </c>
      <c r="E351" s="47" t="str">
        <f>+_xlfn.XLOOKUP(PROYECTOS2[[#This Row],[MUNICIPIO]],MUNICIPIOS!A:A,MUNICIPIOS!E:E,0,0,1)</f>
        <v>Norte</v>
      </c>
      <c r="F351" s="44" t="e" cm="1">
        <f t="array" ref="F351">+_xlfn.XLOOKUP(PROYECTOS2[[#This Row],[MUNICIPIO]],Table1[Municipio],MUNICIPIOS!F:F,0,0,1)</f>
        <v>#VALUE!</v>
      </c>
      <c r="G351" s="47" t="e">
        <f>+LOOKUP(PROYECTOS2[[#This Row],[MUNICIPIO]],Table1[Municipio],Table1[Latitud])</f>
        <v>#N/A</v>
      </c>
      <c r="H351" s="47" t="e">
        <f>+LOOKUP(PROYECTOS2[[#This Row],[MUNICIPIO]],Table1[Municipio],Table1[PDET])</f>
        <v>#N/A</v>
      </c>
      <c r="I351" s="45" t="e">
        <f>+LOOKUP(PROYECTOS2[[#This Row],[MUNICIPIO]],Table1[Municipio],Table1[ZOMAC])</f>
        <v>#N/A</v>
      </c>
      <c r="J351" s="34" t="str" cm="1">
        <f t="array" ref="J351">_xlfn.TEXTJOIN(", ", TRUE, IF(radicados[ID PROYECTOS]=A351, radicados[RADICADO], ""))</f>
        <v/>
      </c>
      <c r="K351" s="128">
        <v>1</v>
      </c>
      <c r="L351" s="45"/>
      <c r="M351" s="50"/>
      <c r="N351" s="48">
        <v>1500000000</v>
      </c>
      <c r="O351" s="48"/>
      <c r="P351" s="48"/>
      <c r="Q351" s="148" t="s">
        <v>1067</v>
      </c>
      <c r="R351" s="40" t="s">
        <v>435</v>
      </c>
      <c r="S351" s="40" t="s">
        <v>398</v>
      </c>
      <c r="T351" s="40" t="s">
        <v>25</v>
      </c>
      <c r="U351" s="53" t="s">
        <v>657</v>
      </c>
      <c r="V351" s="44">
        <f>+_xlfn.XLOOKUP(PROYECTOS2[[#This Row],[MUNICIPIO]],'4.CAP_ENDMNT'!B:B,'4.CAP_ENDMNT'!C:C,0,0,1)</f>
        <v>6</v>
      </c>
      <c r="W351" s="139">
        <f>+_xlfn.XLOOKUP(PROYECTOS2[[#This Row],[MUNICIPIO]],'4.CAP_ENDMNT'!B:B,'4.CAP_ENDMNT'!D:D,0,0,1)</f>
        <v>12764062914.553999</v>
      </c>
      <c r="X351" s="140">
        <f>+_xlfn.XLOOKUP(PROYECTOS2[[#This Row],[MUNICIPIO]],'4.CAP_ENDMNT'!B:B,'4.CAP_ENDMNT'!E:E,0,0,1)</f>
        <v>4266060462.2200003</v>
      </c>
      <c r="Y351" s="140">
        <f>+_xlfn.XLOOKUP(PROYECTOS2[[#This Row],[MUNICIPIO]],'4.CAP_ENDMNT'!B:B,'4.CAP_ENDMNT'!F:F,0,0,1)</f>
        <v>8498002452.3339987</v>
      </c>
      <c r="Z351" s="140">
        <f>+_xlfn.XLOOKUP(PROYECTOS2[[#This Row],[MUNICIPIO]],'4.CAP_ENDMNT'!B:B,'4.CAP_ENDMNT'!G:G,0,0,1)</f>
        <v>4258957687</v>
      </c>
      <c r="AA351" s="140">
        <f>+_xlfn.XLOOKUP(PROYECTOS2[[#This Row],[MUNICIPIO]],'4.CAP_ENDMNT'!B:B,'4.CAP_ENDMNT'!H:H,0,0,1)</f>
        <v>500000000</v>
      </c>
      <c r="AB351" s="140">
        <f>+_xlfn.XLOOKUP(PROYECTOS2[[#This Row],[MUNICIPIO]],'4.CAP_ENDMNT'!B:B,'4.CAP_ENDMNT'!I:I,0,0,1)</f>
        <v>4758957687</v>
      </c>
      <c r="AC351" s="134">
        <f>+_xlfn.XLOOKUP(PROYECTOS2[[#This Row],[MUNICIPIO]],'4.CAP_ENDMNT'!B:B,'4.CAP_ENDMNT'!J:J,0,0,1)</f>
        <v>0.37284035019708983</v>
      </c>
      <c r="AD351" s="140">
        <f>+_xlfn.XLOOKUP(PROYECTOS2[[#This Row],[MUNICIPIO]],'4.CAP_ENDMNT'!B:B,'4.CAP_ENDMNT'!K:K,0,0,1)</f>
        <v>8005105227.5539989</v>
      </c>
      <c r="AE351" s="140">
        <f>+_xlfn.XLOOKUP(PROYECTOS2[[#This Row],[MUNICIPIO]],'4.CAP_ENDMNT'!B:B,'4.CAP_ENDMNT'!L:L,0,0,1)</f>
        <v>6404084182.0431995</v>
      </c>
      <c r="AF351" s="140">
        <f>+_xlfn.XLOOKUP(PROYECTOS2[[#This Row],[MUNICIPIO]],'4.CAP_ENDMNT'!B:B,'4.CAP_ENDMNT'!M:M,0,0,1)</f>
        <v>4803063136.5323992</v>
      </c>
      <c r="AG351" s="134">
        <f>+_xlfn.XLOOKUP(PROYECTOS2[[#This Row],[MUNICIPIO]],'4.CAP_ENDMNT'!B:B,'4.CAP_ENDMNT'!N:N,0,0,1)</f>
        <v>0.89493497675639244</v>
      </c>
      <c r="AH351" s="134">
        <f>+_xlfn.XLOOKUP(PROYECTOS2[[#This Row],[MUNICIPIO]],'4.CAP_ENDMNT'!B:B,'4.CAP_ENDMNT'!O:O,0,0,1)</f>
        <v>0.64132957807138946</v>
      </c>
      <c r="AI351" s="134">
        <f>+_xlfn.XLOOKUP(PROYECTOS2[[#This Row],[MUNICIPIO]],'4.CAP_ENDMNT'!B:B,'4.CAP_ENDMNT'!P:P,0,0,1)</f>
        <v>0.8</v>
      </c>
      <c r="AJ351" s="44" t="str">
        <f>+_xlfn.XLOOKUP(PROYECTOS2[[#This Row],[MUNICIPIO]],'4.CAP_ENDMNT'!B:B,'4.CAP_ENDMNT'!Q:Q,0,0,1)</f>
        <v>Cumple</v>
      </c>
    </row>
    <row r="352" spans="1:36">
      <c r="A352" s="44">
        <v>375</v>
      </c>
      <c r="B352" s="37" t="s">
        <v>677</v>
      </c>
      <c r="C352" s="118">
        <v>45747</v>
      </c>
      <c r="D352" s="34" t="s">
        <v>63</v>
      </c>
      <c r="E352" s="47" t="str">
        <f>+_xlfn.XLOOKUP(PROYECTOS2[[#This Row],[MUNICIPIO]],MUNICIPIOS!A:A,MUNICIPIOS!E:E,0,0,1)</f>
        <v>Urabá</v>
      </c>
      <c r="F352" s="44" t="e" cm="1">
        <f t="array" ref="F352">+_xlfn.XLOOKUP(PROYECTOS2[[#This Row],[MUNICIPIO]],Table1[Municipio],MUNICIPIOS!F:F,0,0,1)</f>
        <v>#VALUE!</v>
      </c>
      <c r="G352" s="47" t="str">
        <f>+LOOKUP(PROYECTOS2[[#This Row],[MUNICIPIO]],Table1[Municipio],Table1[Latitud])</f>
        <v>6,149903</v>
      </c>
      <c r="H352" s="47">
        <f>+LOOKUP(PROYECTOS2[[#This Row],[MUNICIPIO]],Table1[Municipio],Table1[PDET])</f>
        <v>0</v>
      </c>
      <c r="I352" s="45">
        <f>+LOOKUP(PROYECTOS2[[#This Row],[MUNICIPIO]],Table1[Municipio],Table1[ZOMAC])</f>
        <v>0</v>
      </c>
      <c r="J352" s="34" t="str" cm="1">
        <f t="array" ref="J352">_xlfn.TEXTJOIN(", ", TRUE, IF(radicados[ID PROYECTOS]=A352, radicados[RADICADO], ""))</f>
        <v/>
      </c>
      <c r="K352" s="45">
        <v>2</v>
      </c>
      <c r="L352" s="45"/>
      <c r="M352" s="50"/>
      <c r="N352" s="48">
        <v>1800000000</v>
      </c>
      <c r="O352" s="48"/>
      <c r="P352" s="48"/>
      <c r="Q352" s="148" t="s">
        <v>1067</v>
      </c>
      <c r="R352" s="40" t="s">
        <v>435</v>
      </c>
      <c r="S352" s="40" t="s">
        <v>398</v>
      </c>
      <c r="T352" s="40" t="s">
        <v>25</v>
      </c>
      <c r="U352" s="53" t="s">
        <v>657</v>
      </c>
      <c r="V352" s="44">
        <f>+_xlfn.XLOOKUP(PROYECTOS2[[#This Row],[MUNICIPIO]],'4.CAP_ENDMNT'!B:B,'4.CAP_ENDMNT'!C:C,0,0,1)</f>
        <v>6</v>
      </c>
      <c r="W352" s="139">
        <f>+_xlfn.XLOOKUP(PROYECTOS2[[#This Row],[MUNICIPIO]],'4.CAP_ENDMNT'!B:B,'4.CAP_ENDMNT'!D:D,0,0,1)</f>
        <v>19508372714.52</v>
      </c>
      <c r="X352" s="140">
        <f>+_xlfn.XLOOKUP(PROYECTOS2[[#This Row],[MUNICIPIO]],'4.CAP_ENDMNT'!B:B,'4.CAP_ENDMNT'!E:E,0,0,1)</f>
        <v>5389834315.5</v>
      </c>
      <c r="Y352" s="140">
        <f>+_xlfn.XLOOKUP(PROYECTOS2[[#This Row],[MUNICIPIO]],'4.CAP_ENDMNT'!B:B,'4.CAP_ENDMNT'!F:F,0,0,1)</f>
        <v>14118538399.02</v>
      </c>
      <c r="Z352" s="140">
        <f>+_xlfn.XLOOKUP(PROYECTOS2[[#This Row],[MUNICIPIO]],'4.CAP_ENDMNT'!B:B,'4.CAP_ENDMNT'!G:G,0,0,1)</f>
        <v>2594281047</v>
      </c>
      <c r="AA352" s="140">
        <f>+_xlfn.XLOOKUP(PROYECTOS2[[#This Row],[MUNICIPIO]],'4.CAP_ENDMNT'!B:B,'4.CAP_ENDMNT'!H:H,0,0,1)</f>
        <v>1833333333</v>
      </c>
      <c r="AB352" s="140">
        <f>+_xlfn.XLOOKUP(PROYECTOS2[[#This Row],[MUNICIPIO]],'4.CAP_ENDMNT'!B:B,'4.CAP_ENDMNT'!I:I,0,0,1)</f>
        <v>4427614380</v>
      </c>
      <c r="AC352" s="134">
        <f>+_xlfn.XLOOKUP(PROYECTOS2[[#This Row],[MUNICIPIO]],'4.CAP_ENDMNT'!B:B,'4.CAP_ENDMNT'!J:J,0,0,1)</f>
        <v>0.22695969801235882</v>
      </c>
      <c r="AD352" s="140">
        <f>+_xlfn.XLOOKUP(PROYECTOS2[[#This Row],[MUNICIPIO]],'4.CAP_ENDMNT'!B:B,'4.CAP_ENDMNT'!K:K,0,0,1)</f>
        <v>15080758334.52</v>
      </c>
      <c r="AE352" s="140">
        <f>+_xlfn.XLOOKUP(PROYECTOS2[[#This Row],[MUNICIPIO]],'4.CAP_ENDMNT'!B:B,'4.CAP_ENDMNT'!L:L,0,0,1)</f>
        <v>12064606667.616001</v>
      </c>
      <c r="AF352" s="140">
        <f>+_xlfn.XLOOKUP(PROYECTOS2[[#This Row],[MUNICIPIO]],'4.CAP_ENDMNT'!B:B,'4.CAP_ENDMNT'!M:M,0,0,1)</f>
        <v>9048455000.7119999</v>
      </c>
      <c r="AG352" s="134">
        <f>+_xlfn.XLOOKUP(PROYECTOS2[[#This Row],[MUNICIPIO]],'4.CAP_ENDMNT'!B:B,'4.CAP_ENDMNT'!N:N,0,0,1)</f>
        <v>0.58593202215591322</v>
      </c>
      <c r="AH352" s="134">
        <f>+_xlfn.XLOOKUP(PROYECTOS2[[#This Row],[MUNICIPIO]],'4.CAP_ENDMNT'!B:B,'4.CAP_ENDMNT'!O:O,0,0,1)</f>
        <v>0.58851112900500024</v>
      </c>
      <c r="AI352" s="134">
        <f>+_xlfn.XLOOKUP(PROYECTOS2[[#This Row],[MUNICIPIO]],'4.CAP_ENDMNT'!B:B,'4.CAP_ENDMNT'!P:P,0,0,1)</f>
        <v>0.8</v>
      </c>
      <c r="AJ352" s="44" t="str">
        <f>+_xlfn.XLOOKUP(PROYECTOS2[[#This Row],[MUNICIPIO]],'4.CAP_ENDMNT'!B:B,'4.CAP_ENDMNT'!Q:Q,0,0,1)</f>
        <v>Cumple</v>
      </c>
    </row>
    <row r="353" spans="1:36">
      <c r="A353" s="44">
        <v>376</v>
      </c>
      <c r="B353" s="37" t="s">
        <v>678</v>
      </c>
      <c r="C353" s="118">
        <v>45747</v>
      </c>
      <c r="D353" s="34" t="s">
        <v>477</v>
      </c>
      <c r="E353" s="47" t="str">
        <f>+_xlfn.XLOOKUP(PROYECTOS2[[#This Row],[MUNICIPIO]],MUNICIPIOS!A:A,MUNICIPIOS!E:E,0,0,1)</f>
        <v>Norte</v>
      </c>
      <c r="F353" s="44" t="e" cm="1">
        <f t="array" ref="F353">+_xlfn.XLOOKUP(PROYECTOS2[[#This Row],[MUNICIPIO]],Table1[Municipio],MUNICIPIOS!F:F,0,0,1)</f>
        <v>#VALUE!</v>
      </c>
      <c r="G353" s="47" t="e">
        <f>+LOOKUP(PROYECTOS2[[#This Row],[MUNICIPIO]],Table1[Municipio],Table1[Latitud])</f>
        <v>#N/A</v>
      </c>
      <c r="H353" s="47" t="e">
        <f>+LOOKUP(PROYECTOS2[[#This Row],[MUNICIPIO]],Table1[Municipio],Table1[PDET])</f>
        <v>#N/A</v>
      </c>
      <c r="I353" s="45" t="e">
        <f>+LOOKUP(PROYECTOS2[[#This Row],[MUNICIPIO]],Table1[Municipio],Table1[ZOMAC])</f>
        <v>#N/A</v>
      </c>
      <c r="J353" s="34" t="str" cm="1">
        <f t="array" ref="J353">_xlfn.TEXTJOIN(", ", TRUE, IF(radicados[ID PROYECTOS]=A353, radicados[RADICADO], ""))</f>
        <v/>
      </c>
      <c r="K353" s="128">
        <v>1</v>
      </c>
      <c r="L353" s="45"/>
      <c r="M353" s="50"/>
      <c r="N353" s="48">
        <v>1400000000</v>
      </c>
      <c r="O353" s="48"/>
      <c r="P353" s="48"/>
      <c r="Q353" s="148" t="s">
        <v>1067</v>
      </c>
      <c r="R353" s="40" t="s">
        <v>435</v>
      </c>
      <c r="S353" s="40" t="s">
        <v>398</v>
      </c>
      <c r="T353" s="40" t="s">
        <v>25</v>
      </c>
      <c r="U353" s="53" t="s">
        <v>657</v>
      </c>
      <c r="V353" s="44">
        <f>+_xlfn.XLOOKUP(PROYECTOS2[[#This Row],[MUNICIPIO]],'4.CAP_ENDMNT'!B:B,'4.CAP_ENDMNT'!C:C,0,0,1)</f>
        <v>6</v>
      </c>
      <c r="W353" s="139">
        <f>+_xlfn.XLOOKUP(PROYECTOS2[[#This Row],[MUNICIPIO]],'4.CAP_ENDMNT'!B:B,'4.CAP_ENDMNT'!D:D,0,0,1)</f>
        <v>12764062914.553999</v>
      </c>
      <c r="X353" s="140">
        <f>+_xlfn.XLOOKUP(PROYECTOS2[[#This Row],[MUNICIPIO]],'4.CAP_ENDMNT'!B:B,'4.CAP_ENDMNT'!E:E,0,0,1)</f>
        <v>4266060462.2200003</v>
      </c>
      <c r="Y353" s="140">
        <f>+_xlfn.XLOOKUP(PROYECTOS2[[#This Row],[MUNICIPIO]],'4.CAP_ENDMNT'!B:B,'4.CAP_ENDMNT'!F:F,0,0,1)</f>
        <v>8498002452.3339987</v>
      </c>
      <c r="Z353" s="140">
        <f>+_xlfn.XLOOKUP(PROYECTOS2[[#This Row],[MUNICIPIO]],'4.CAP_ENDMNT'!B:B,'4.CAP_ENDMNT'!G:G,0,0,1)</f>
        <v>4258957687</v>
      </c>
      <c r="AA353" s="140">
        <f>+_xlfn.XLOOKUP(PROYECTOS2[[#This Row],[MUNICIPIO]],'4.CAP_ENDMNT'!B:B,'4.CAP_ENDMNT'!H:H,0,0,1)</f>
        <v>500000000</v>
      </c>
      <c r="AB353" s="140">
        <f>+_xlfn.XLOOKUP(PROYECTOS2[[#This Row],[MUNICIPIO]],'4.CAP_ENDMNT'!B:B,'4.CAP_ENDMNT'!I:I,0,0,1)</f>
        <v>4758957687</v>
      </c>
      <c r="AC353" s="134">
        <f>+_xlfn.XLOOKUP(PROYECTOS2[[#This Row],[MUNICIPIO]],'4.CAP_ENDMNT'!B:B,'4.CAP_ENDMNT'!J:J,0,0,1)</f>
        <v>0.37284035019708983</v>
      </c>
      <c r="AD353" s="140">
        <f>+_xlfn.XLOOKUP(PROYECTOS2[[#This Row],[MUNICIPIO]],'4.CAP_ENDMNT'!B:B,'4.CAP_ENDMNT'!K:K,0,0,1)</f>
        <v>8005105227.5539989</v>
      </c>
      <c r="AE353" s="140">
        <f>+_xlfn.XLOOKUP(PROYECTOS2[[#This Row],[MUNICIPIO]],'4.CAP_ENDMNT'!B:B,'4.CAP_ENDMNT'!L:L,0,0,1)</f>
        <v>6404084182.0431995</v>
      </c>
      <c r="AF353" s="140">
        <f>+_xlfn.XLOOKUP(PROYECTOS2[[#This Row],[MUNICIPIO]],'4.CAP_ENDMNT'!B:B,'4.CAP_ENDMNT'!M:M,0,0,1)</f>
        <v>4803063136.5323992</v>
      </c>
      <c r="AG353" s="134">
        <f>+_xlfn.XLOOKUP(PROYECTOS2[[#This Row],[MUNICIPIO]],'4.CAP_ENDMNT'!B:B,'4.CAP_ENDMNT'!N:N,0,0,1)</f>
        <v>0.89493497675639244</v>
      </c>
      <c r="AH353" s="134">
        <f>+_xlfn.XLOOKUP(PROYECTOS2[[#This Row],[MUNICIPIO]],'4.CAP_ENDMNT'!B:B,'4.CAP_ENDMNT'!O:O,0,0,1)</f>
        <v>0.64132957807138946</v>
      </c>
      <c r="AI353" s="134">
        <f>+_xlfn.XLOOKUP(PROYECTOS2[[#This Row],[MUNICIPIO]],'4.CAP_ENDMNT'!B:B,'4.CAP_ENDMNT'!P:P,0,0,1)</f>
        <v>0.8</v>
      </c>
      <c r="AJ353" s="44" t="str">
        <f>+_xlfn.XLOOKUP(PROYECTOS2[[#This Row],[MUNICIPIO]],'4.CAP_ENDMNT'!B:B,'4.CAP_ENDMNT'!Q:Q,0,0,1)</f>
        <v>Cumple</v>
      </c>
    </row>
    <row r="354" spans="1:36">
      <c r="A354" s="44">
        <v>377</v>
      </c>
      <c r="B354" s="37" t="s">
        <v>679</v>
      </c>
      <c r="C354" s="118">
        <v>45747</v>
      </c>
      <c r="D354" s="34" t="s">
        <v>477</v>
      </c>
      <c r="E354" s="47" t="str">
        <f>+_xlfn.XLOOKUP(PROYECTOS2[[#This Row],[MUNICIPIO]],MUNICIPIOS!A:A,MUNICIPIOS!E:E,0,0,1)</f>
        <v>Norte</v>
      </c>
      <c r="F354" s="44" t="e" cm="1">
        <f t="array" ref="F354">+_xlfn.XLOOKUP(PROYECTOS2[[#This Row],[MUNICIPIO]],Table1[Municipio],MUNICIPIOS!F:F,0,0,1)</f>
        <v>#VALUE!</v>
      </c>
      <c r="G354" s="47" t="e">
        <f>+LOOKUP(PROYECTOS2[[#This Row],[MUNICIPIO]],Table1[Municipio],Table1[Latitud])</f>
        <v>#N/A</v>
      </c>
      <c r="H354" s="47" t="e">
        <f>+LOOKUP(PROYECTOS2[[#This Row],[MUNICIPIO]],Table1[Municipio],Table1[PDET])</f>
        <v>#N/A</v>
      </c>
      <c r="I354" s="45" t="e">
        <f>+LOOKUP(PROYECTOS2[[#This Row],[MUNICIPIO]],Table1[Municipio],Table1[ZOMAC])</f>
        <v>#N/A</v>
      </c>
      <c r="J354" s="34" t="str" cm="1">
        <f t="array" ref="J354">_xlfn.TEXTJOIN(", ", TRUE, IF(radicados[ID PROYECTOS]=A354, radicados[RADICADO], ""))</f>
        <v/>
      </c>
      <c r="K354" s="128">
        <v>1</v>
      </c>
      <c r="L354" s="45"/>
      <c r="M354" s="50"/>
      <c r="N354" s="48">
        <v>600000000</v>
      </c>
      <c r="O354" s="48"/>
      <c r="P354" s="48"/>
      <c r="Q354" s="148" t="s">
        <v>1067</v>
      </c>
      <c r="R354" s="40" t="s">
        <v>435</v>
      </c>
      <c r="S354" s="40" t="s">
        <v>398</v>
      </c>
      <c r="T354" s="40" t="s">
        <v>25</v>
      </c>
      <c r="U354" s="53" t="s">
        <v>657</v>
      </c>
      <c r="V354" s="44">
        <f>+_xlfn.XLOOKUP(PROYECTOS2[[#This Row],[MUNICIPIO]],'4.CAP_ENDMNT'!B:B,'4.CAP_ENDMNT'!C:C,0,0,1)</f>
        <v>6</v>
      </c>
      <c r="W354" s="139">
        <f>+_xlfn.XLOOKUP(PROYECTOS2[[#This Row],[MUNICIPIO]],'4.CAP_ENDMNT'!B:B,'4.CAP_ENDMNT'!D:D,0,0,1)</f>
        <v>12764062914.553999</v>
      </c>
      <c r="X354" s="140">
        <f>+_xlfn.XLOOKUP(PROYECTOS2[[#This Row],[MUNICIPIO]],'4.CAP_ENDMNT'!B:B,'4.CAP_ENDMNT'!E:E,0,0,1)</f>
        <v>4266060462.2200003</v>
      </c>
      <c r="Y354" s="140">
        <f>+_xlfn.XLOOKUP(PROYECTOS2[[#This Row],[MUNICIPIO]],'4.CAP_ENDMNT'!B:B,'4.CAP_ENDMNT'!F:F,0,0,1)</f>
        <v>8498002452.3339987</v>
      </c>
      <c r="Z354" s="140">
        <f>+_xlfn.XLOOKUP(PROYECTOS2[[#This Row],[MUNICIPIO]],'4.CAP_ENDMNT'!B:B,'4.CAP_ENDMNT'!G:G,0,0,1)</f>
        <v>4258957687</v>
      </c>
      <c r="AA354" s="140">
        <f>+_xlfn.XLOOKUP(PROYECTOS2[[#This Row],[MUNICIPIO]],'4.CAP_ENDMNT'!B:B,'4.CAP_ENDMNT'!H:H,0,0,1)</f>
        <v>500000000</v>
      </c>
      <c r="AB354" s="140">
        <f>+_xlfn.XLOOKUP(PROYECTOS2[[#This Row],[MUNICIPIO]],'4.CAP_ENDMNT'!B:B,'4.CAP_ENDMNT'!I:I,0,0,1)</f>
        <v>4758957687</v>
      </c>
      <c r="AC354" s="134">
        <f>+_xlfn.XLOOKUP(PROYECTOS2[[#This Row],[MUNICIPIO]],'4.CAP_ENDMNT'!B:B,'4.CAP_ENDMNT'!J:J,0,0,1)</f>
        <v>0.37284035019708983</v>
      </c>
      <c r="AD354" s="140">
        <f>+_xlfn.XLOOKUP(PROYECTOS2[[#This Row],[MUNICIPIO]],'4.CAP_ENDMNT'!B:B,'4.CAP_ENDMNT'!K:K,0,0,1)</f>
        <v>8005105227.5539989</v>
      </c>
      <c r="AE354" s="140">
        <f>+_xlfn.XLOOKUP(PROYECTOS2[[#This Row],[MUNICIPIO]],'4.CAP_ENDMNT'!B:B,'4.CAP_ENDMNT'!L:L,0,0,1)</f>
        <v>6404084182.0431995</v>
      </c>
      <c r="AF354" s="140">
        <f>+_xlfn.XLOOKUP(PROYECTOS2[[#This Row],[MUNICIPIO]],'4.CAP_ENDMNT'!B:B,'4.CAP_ENDMNT'!M:M,0,0,1)</f>
        <v>4803063136.5323992</v>
      </c>
      <c r="AG354" s="134">
        <f>+_xlfn.XLOOKUP(PROYECTOS2[[#This Row],[MUNICIPIO]],'4.CAP_ENDMNT'!B:B,'4.CAP_ENDMNT'!N:N,0,0,1)</f>
        <v>0.89493497675639244</v>
      </c>
      <c r="AH354" s="134">
        <f>+_xlfn.XLOOKUP(PROYECTOS2[[#This Row],[MUNICIPIO]],'4.CAP_ENDMNT'!B:B,'4.CAP_ENDMNT'!O:O,0,0,1)</f>
        <v>0.64132957807138946</v>
      </c>
      <c r="AI354" s="134">
        <f>+_xlfn.XLOOKUP(PROYECTOS2[[#This Row],[MUNICIPIO]],'4.CAP_ENDMNT'!B:B,'4.CAP_ENDMNT'!P:P,0,0,1)</f>
        <v>0.8</v>
      </c>
      <c r="AJ354" s="44" t="str">
        <f>+_xlfn.XLOOKUP(PROYECTOS2[[#This Row],[MUNICIPIO]],'4.CAP_ENDMNT'!B:B,'4.CAP_ENDMNT'!Q:Q,0,0,1)</f>
        <v>Cumple</v>
      </c>
    </row>
    <row r="355" spans="1:36">
      <c r="A355" s="44">
        <v>378</v>
      </c>
      <c r="B355" s="37" t="s">
        <v>680</v>
      </c>
      <c r="C355" s="118">
        <v>45747</v>
      </c>
      <c r="D355" s="34" t="s">
        <v>477</v>
      </c>
      <c r="E355" s="47" t="str">
        <f>+_xlfn.XLOOKUP(PROYECTOS2[[#This Row],[MUNICIPIO]],MUNICIPIOS!A:A,MUNICIPIOS!E:E,0,0,1)</f>
        <v>Norte</v>
      </c>
      <c r="F355" s="44" t="e" cm="1">
        <f t="array" ref="F355">+_xlfn.XLOOKUP(PROYECTOS2[[#This Row],[MUNICIPIO]],Table1[Municipio],MUNICIPIOS!F:F,0,0,1)</f>
        <v>#VALUE!</v>
      </c>
      <c r="G355" s="47" t="e">
        <f>+LOOKUP(PROYECTOS2[[#This Row],[MUNICIPIO]],Table1[Municipio],Table1[Latitud])</f>
        <v>#N/A</v>
      </c>
      <c r="H355" s="47" t="e">
        <f>+LOOKUP(PROYECTOS2[[#This Row],[MUNICIPIO]],Table1[Municipio],Table1[PDET])</f>
        <v>#N/A</v>
      </c>
      <c r="I355" s="45" t="e">
        <f>+LOOKUP(PROYECTOS2[[#This Row],[MUNICIPIO]],Table1[Municipio],Table1[ZOMAC])</f>
        <v>#N/A</v>
      </c>
      <c r="J355" s="34" t="str" cm="1">
        <f t="array" ref="J355">_xlfn.TEXTJOIN(", ", TRUE, IF(radicados[ID PROYECTOS]=A355, radicados[RADICADO], ""))</f>
        <v/>
      </c>
      <c r="K355" s="128">
        <v>1</v>
      </c>
      <c r="L355" s="45"/>
      <c r="M355" s="50"/>
      <c r="N355" s="48">
        <v>1800000000</v>
      </c>
      <c r="O355" s="48"/>
      <c r="P355" s="48"/>
      <c r="Q355" s="148" t="s">
        <v>1067</v>
      </c>
      <c r="R355" s="40" t="s">
        <v>435</v>
      </c>
      <c r="S355" s="40" t="s">
        <v>398</v>
      </c>
      <c r="T355" s="40" t="s">
        <v>25</v>
      </c>
      <c r="U355" s="53" t="s">
        <v>657</v>
      </c>
      <c r="V355" s="44">
        <f>+_xlfn.XLOOKUP(PROYECTOS2[[#This Row],[MUNICIPIO]],'4.CAP_ENDMNT'!B:B,'4.CAP_ENDMNT'!C:C,0,0,1)</f>
        <v>6</v>
      </c>
      <c r="W355" s="139">
        <f>+_xlfn.XLOOKUP(PROYECTOS2[[#This Row],[MUNICIPIO]],'4.CAP_ENDMNT'!B:B,'4.CAP_ENDMNT'!D:D,0,0,1)</f>
        <v>12764062914.553999</v>
      </c>
      <c r="X355" s="140">
        <f>+_xlfn.XLOOKUP(PROYECTOS2[[#This Row],[MUNICIPIO]],'4.CAP_ENDMNT'!B:B,'4.CAP_ENDMNT'!E:E,0,0,1)</f>
        <v>4266060462.2200003</v>
      </c>
      <c r="Y355" s="140">
        <f>+_xlfn.XLOOKUP(PROYECTOS2[[#This Row],[MUNICIPIO]],'4.CAP_ENDMNT'!B:B,'4.CAP_ENDMNT'!F:F,0,0,1)</f>
        <v>8498002452.3339987</v>
      </c>
      <c r="Z355" s="140">
        <f>+_xlfn.XLOOKUP(PROYECTOS2[[#This Row],[MUNICIPIO]],'4.CAP_ENDMNT'!B:B,'4.CAP_ENDMNT'!G:G,0,0,1)</f>
        <v>4258957687</v>
      </c>
      <c r="AA355" s="140">
        <f>+_xlfn.XLOOKUP(PROYECTOS2[[#This Row],[MUNICIPIO]],'4.CAP_ENDMNT'!B:B,'4.CAP_ENDMNT'!H:H,0,0,1)</f>
        <v>500000000</v>
      </c>
      <c r="AB355" s="140">
        <f>+_xlfn.XLOOKUP(PROYECTOS2[[#This Row],[MUNICIPIO]],'4.CAP_ENDMNT'!B:B,'4.CAP_ENDMNT'!I:I,0,0,1)</f>
        <v>4758957687</v>
      </c>
      <c r="AC355" s="134">
        <f>+_xlfn.XLOOKUP(PROYECTOS2[[#This Row],[MUNICIPIO]],'4.CAP_ENDMNT'!B:B,'4.CAP_ENDMNT'!J:J,0,0,1)</f>
        <v>0.37284035019708983</v>
      </c>
      <c r="AD355" s="140">
        <f>+_xlfn.XLOOKUP(PROYECTOS2[[#This Row],[MUNICIPIO]],'4.CAP_ENDMNT'!B:B,'4.CAP_ENDMNT'!K:K,0,0,1)</f>
        <v>8005105227.5539989</v>
      </c>
      <c r="AE355" s="140">
        <f>+_xlfn.XLOOKUP(PROYECTOS2[[#This Row],[MUNICIPIO]],'4.CAP_ENDMNT'!B:B,'4.CAP_ENDMNT'!L:L,0,0,1)</f>
        <v>6404084182.0431995</v>
      </c>
      <c r="AF355" s="140">
        <f>+_xlfn.XLOOKUP(PROYECTOS2[[#This Row],[MUNICIPIO]],'4.CAP_ENDMNT'!B:B,'4.CAP_ENDMNT'!M:M,0,0,1)</f>
        <v>4803063136.5323992</v>
      </c>
      <c r="AG355" s="134">
        <f>+_xlfn.XLOOKUP(PROYECTOS2[[#This Row],[MUNICIPIO]],'4.CAP_ENDMNT'!B:B,'4.CAP_ENDMNT'!N:N,0,0,1)</f>
        <v>0.89493497675639244</v>
      </c>
      <c r="AH355" s="134">
        <f>+_xlfn.XLOOKUP(PROYECTOS2[[#This Row],[MUNICIPIO]],'4.CAP_ENDMNT'!B:B,'4.CAP_ENDMNT'!O:O,0,0,1)</f>
        <v>0.64132957807138946</v>
      </c>
      <c r="AI355" s="134">
        <f>+_xlfn.XLOOKUP(PROYECTOS2[[#This Row],[MUNICIPIO]],'4.CAP_ENDMNT'!B:B,'4.CAP_ENDMNT'!P:P,0,0,1)</f>
        <v>0.8</v>
      </c>
      <c r="AJ355" s="44" t="str">
        <f>+_xlfn.XLOOKUP(PROYECTOS2[[#This Row],[MUNICIPIO]],'4.CAP_ENDMNT'!B:B,'4.CAP_ENDMNT'!Q:Q,0,0,1)</f>
        <v>Cumple</v>
      </c>
    </row>
    <row r="356" spans="1:36">
      <c r="A356" s="44">
        <v>379</v>
      </c>
      <c r="B356" s="37" t="s">
        <v>681</v>
      </c>
      <c r="C356" s="118">
        <v>45747</v>
      </c>
      <c r="D356" s="34" t="s">
        <v>74</v>
      </c>
      <c r="E356" s="47" t="str">
        <f>+_xlfn.XLOOKUP(PROYECTOS2[[#This Row],[MUNICIPIO]],MUNICIPIOS!A:A,MUNICIPIOS!E:E,0,0,1)</f>
        <v>Urabá</v>
      </c>
      <c r="F356" s="44" t="e" cm="1">
        <f t="array" ref="F356">+_xlfn.XLOOKUP(PROYECTOS2[[#This Row],[MUNICIPIO]],Table1[Municipio],MUNICIPIOS!F:F,0,0,1)</f>
        <v>#VALUE!</v>
      </c>
      <c r="G356" s="47" t="str">
        <f>+LOOKUP(PROYECTOS2[[#This Row],[MUNICIPIO]],Table1[Municipio],Table1[Latitud])</f>
        <v>6,149903</v>
      </c>
      <c r="H356" s="47">
        <f>+LOOKUP(PROYECTOS2[[#This Row],[MUNICIPIO]],Table1[Municipio],Table1[PDET])</f>
        <v>0</v>
      </c>
      <c r="I356" s="45">
        <f>+LOOKUP(PROYECTOS2[[#This Row],[MUNICIPIO]],Table1[Municipio],Table1[ZOMAC])</f>
        <v>0</v>
      </c>
      <c r="J356" s="34" t="str" cm="1">
        <f t="array" ref="J356">_xlfn.TEXTJOIN(", ", TRUE, IF(radicados[ID PROYECTOS]=A356, radicados[RADICADO], ""))</f>
        <v/>
      </c>
      <c r="K356" s="142">
        <v>2</v>
      </c>
      <c r="L356" s="45"/>
      <c r="M356" s="50"/>
      <c r="N356" s="48">
        <v>6530000000</v>
      </c>
      <c r="O356" s="48"/>
      <c r="P356" s="48"/>
      <c r="Q356" s="148" t="s">
        <v>1067</v>
      </c>
      <c r="R356" s="40" t="s">
        <v>435</v>
      </c>
      <c r="S356" s="40" t="s">
        <v>398</v>
      </c>
      <c r="T356" s="40" t="s">
        <v>25</v>
      </c>
      <c r="U356" s="53" t="s">
        <v>657</v>
      </c>
      <c r="V356" s="44">
        <f>+_xlfn.XLOOKUP(PROYECTOS2[[#This Row],[MUNICIPIO]],'4.CAP_ENDMNT'!B:B,'4.CAP_ENDMNT'!C:C,0,0,1)</f>
        <v>5</v>
      </c>
      <c r="W356" s="139">
        <f>+_xlfn.XLOOKUP(PROYECTOS2[[#This Row],[MUNICIPIO]],'4.CAP_ENDMNT'!B:B,'4.CAP_ENDMNT'!D:D,0,0,1)</f>
        <v>57277943756.629501</v>
      </c>
      <c r="X356" s="140">
        <f>+_xlfn.XLOOKUP(PROYECTOS2[[#This Row],[MUNICIPIO]],'4.CAP_ENDMNT'!B:B,'4.CAP_ENDMNT'!E:E,0,0,1)</f>
        <v>34159399600.959999</v>
      </c>
      <c r="Y356" s="140">
        <f>+_xlfn.XLOOKUP(PROYECTOS2[[#This Row],[MUNICIPIO]],'4.CAP_ENDMNT'!B:B,'4.CAP_ENDMNT'!F:F,0,0,1)</f>
        <v>23118544155.669502</v>
      </c>
      <c r="Z356" s="140">
        <f>+_xlfn.XLOOKUP(PROYECTOS2[[#This Row],[MUNICIPIO]],'4.CAP_ENDMNT'!B:B,'4.CAP_ENDMNT'!G:G,0,0,1)</f>
        <v>3450000000</v>
      </c>
      <c r="AA356" s="140">
        <f>+_xlfn.XLOOKUP(PROYECTOS2[[#This Row],[MUNICIPIO]],'4.CAP_ENDMNT'!B:B,'4.CAP_ENDMNT'!H:H,0,0,1)</f>
        <v>21452083665</v>
      </c>
      <c r="AB356" s="140">
        <f>+_xlfn.XLOOKUP(PROYECTOS2[[#This Row],[MUNICIPIO]],'4.CAP_ENDMNT'!B:B,'4.CAP_ENDMNT'!I:I,0,0,1)</f>
        <v>24902083665</v>
      </c>
      <c r="AC356" s="134">
        <f>+_xlfn.XLOOKUP(PROYECTOS2[[#This Row],[MUNICIPIO]],'4.CAP_ENDMNT'!B:B,'4.CAP_ENDMNT'!J:J,0,0,1)</f>
        <v>0.43475868775610099</v>
      </c>
      <c r="AD356" s="140">
        <f>+_xlfn.XLOOKUP(PROYECTOS2[[#This Row],[MUNICIPIO]],'4.CAP_ENDMNT'!B:B,'4.CAP_ENDMNT'!K:K,0,0,1)</f>
        <v>32375860091.629501</v>
      </c>
      <c r="AE356" s="140">
        <f>+_xlfn.XLOOKUP(PROYECTOS2[[#This Row],[MUNICIPIO]],'4.CAP_ENDMNT'!B:B,'4.CAP_ENDMNT'!L:L,0,0,1)</f>
        <v>25900688073.303604</v>
      </c>
      <c r="AF356" s="140">
        <f>+_xlfn.XLOOKUP(PROYECTOS2[[#This Row],[MUNICIPIO]],'4.CAP_ENDMNT'!B:B,'4.CAP_ENDMNT'!M:M,0,0,1)</f>
        <v>19425516054.977699</v>
      </c>
      <c r="AG356" s="134">
        <f>+_xlfn.XLOOKUP(PROYECTOS2[[#This Row],[MUNICIPIO]],'4.CAP_ENDMNT'!B:B,'4.CAP_ENDMNT'!N:N,0,0,1)</f>
        <v>0.13854262343712995</v>
      </c>
      <c r="AH356" s="134">
        <f>+_xlfn.XLOOKUP(PROYECTOS2[[#This Row],[MUNICIPIO]],'4.CAP_ENDMNT'!B:B,'4.CAP_ENDMNT'!O:O,0,0,1)</f>
        <v>0.87015152665365447</v>
      </c>
      <c r="AI356" s="134">
        <f>+_xlfn.XLOOKUP(PROYECTOS2[[#This Row],[MUNICIPIO]],'4.CAP_ENDMNT'!B:B,'4.CAP_ENDMNT'!P:P,0,0,1)</f>
        <v>0.8</v>
      </c>
      <c r="AJ356" s="44" t="str">
        <f>+_xlfn.XLOOKUP(PROYECTOS2[[#This Row],[MUNICIPIO]],'4.CAP_ENDMNT'!B:B,'4.CAP_ENDMNT'!Q:Q,0,0,1)</f>
        <v>Incumple</v>
      </c>
    </row>
    <row r="357" spans="1:36">
      <c r="A357" s="44">
        <v>380</v>
      </c>
      <c r="B357" s="37" t="s">
        <v>682</v>
      </c>
      <c r="C357" s="118">
        <v>45747</v>
      </c>
      <c r="D357" s="34" t="s">
        <v>74</v>
      </c>
      <c r="E357" s="47" t="str">
        <f>+_xlfn.XLOOKUP(PROYECTOS2[[#This Row],[MUNICIPIO]],MUNICIPIOS!A:A,MUNICIPIOS!E:E,0,0,1)</f>
        <v>Urabá</v>
      </c>
      <c r="F357" s="44" t="e" cm="1">
        <f t="array" ref="F357">+_xlfn.XLOOKUP(PROYECTOS2[[#This Row],[MUNICIPIO]],Table1[Municipio],MUNICIPIOS!F:F,0,0,1)</f>
        <v>#VALUE!</v>
      </c>
      <c r="G357" s="47" t="str">
        <f>+LOOKUP(PROYECTOS2[[#This Row],[MUNICIPIO]],Table1[Municipio],Table1[Latitud])</f>
        <v>6,149903</v>
      </c>
      <c r="H357" s="47">
        <f>+LOOKUP(PROYECTOS2[[#This Row],[MUNICIPIO]],Table1[Municipio],Table1[PDET])</f>
        <v>0</v>
      </c>
      <c r="I357" s="45">
        <f>+LOOKUP(PROYECTOS2[[#This Row],[MUNICIPIO]],Table1[Municipio],Table1[ZOMAC])</f>
        <v>0</v>
      </c>
      <c r="J357" s="34" t="str" cm="1">
        <f t="array" ref="J357">_xlfn.TEXTJOIN(", ", TRUE, IF(radicados[ID PROYECTOS]=A357, radicados[RADICADO], ""))</f>
        <v/>
      </c>
      <c r="K357" s="142">
        <v>2</v>
      </c>
      <c r="L357" s="45"/>
      <c r="M357" s="50"/>
      <c r="N357" s="48">
        <v>3350000000</v>
      </c>
      <c r="O357" s="48"/>
      <c r="P357" s="48"/>
      <c r="Q357" s="148" t="s">
        <v>1067</v>
      </c>
      <c r="R357" s="40" t="s">
        <v>435</v>
      </c>
      <c r="S357" s="40" t="s">
        <v>398</v>
      </c>
      <c r="T357" s="40" t="s">
        <v>25</v>
      </c>
      <c r="U357" s="53" t="s">
        <v>657</v>
      </c>
      <c r="V357" s="44">
        <f>+_xlfn.XLOOKUP(PROYECTOS2[[#This Row],[MUNICIPIO]],'4.CAP_ENDMNT'!B:B,'4.CAP_ENDMNT'!C:C,0,0,1)</f>
        <v>5</v>
      </c>
      <c r="W357" s="139">
        <f>+_xlfn.XLOOKUP(PROYECTOS2[[#This Row],[MUNICIPIO]],'4.CAP_ENDMNT'!B:B,'4.CAP_ENDMNT'!D:D,0,0,1)</f>
        <v>57277943756.629501</v>
      </c>
      <c r="X357" s="140">
        <f>+_xlfn.XLOOKUP(PROYECTOS2[[#This Row],[MUNICIPIO]],'4.CAP_ENDMNT'!B:B,'4.CAP_ENDMNT'!E:E,0,0,1)</f>
        <v>34159399600.959999</v>
      </c>
      <c r="Y357" s="140">
        <f>+_xlfn.XLOOKUP(PROYECTOS2[[#This Row],[MUNICIPIO]],'4.CAP_ENDMNT'!B:B,'4.CAP_ENDMNT'!F:F,0,0,1)</f>
        <v>23118544155.669502</v>
      </c>
      <c r="Z357" s="140">
        <f>+_xlfn.XLOOKUP(PROYECTOS2[[#This Row],[MUNICIPIO]],'4.CAP_ENDMNT'!B:B,'4.CAP_ENDMNT'!G:G,0,0,1)</f>
        <v>3450000000</v>
      </c>
      <c r="AA357" s="140">
        <f>+_xlfn.XLOOKUP(PROYECTOS2[[#This Row],[MUNICIPIO]],'4.CAP_ENDMNT'!B:B,'4.CAP_ENDMNT'!H:H,0,0,1)</f>
        <v>21452083665</v>
      </c>
      <c r="AB357" s="140">
        <f>+_xlfn.XLOOKUP(PROYECTOS2[[#This Row],[MUNICIPIO]],'4.CAP_ENDMNT'!B:B,'4.CAP_ENDMNT'!I:I,0,0,1)</f>
        <v>24902083665</v>
      </c>
      <c r="AC357" s="134">
        <f>+_xlfn.XLOOKUP(PROYECTOS2[[#This Row],[MUNICIPIO]],'4.CAP_ENDMNT'!B:B,'4.CAP_ENDMNT'!J:J,0,0,1)</f>
        <v>0.43475868775610099</v>
      </c>
      <c r="AD357" s="140">
        <f>+_xlfn.XLOOKUP(PROYECTOS2[[#This Row],[MUNICIPIO]],'4.CAP_ENDMNT'!B:B,'4.CAP_ENDMNT'!K:K,0,0,1)</f>
        <v>32375860091.629501</v>
      </c>
      <c r="AE357" s="140">
        <f>+_xlfn.XLOOKUP(PROYECTOS2[[#This Row],[MUNICIPIO]],'4.CAP_ENDMNT'!B:B,'4.CAP_ENDMNT'!L:L,0,0,1)</f>
        <v>25900688073.303604</v>
      </c>
      <c r="AF357" s="140">
        <f>+_xlfn.XLOOKUP(PROYECTOS2[[#This Row],[MUNICIPIO]],'4.CAP_ENDMNT'!B:B,'4.CAP_ENDMNT'!M:M,0,0,1)</f>
        <v>19425516054.977699</v>
      </c>
      <c r="AG357" s="134">
        <f>+_xlfn.XLOOKUP(PROYECTOS2[[#This Row],[MUNICIPIO]],'4.CAP_ENDMNT'!B:B,'4.CAP_ENDMNT'!N:N,0,0,1)</f>
        <v>0.13854262343712995</v>
      </c>
      <c r="AH357" s="134">
        <f>+_xlfn.XLOOKUP(PROYECTOS2[[#This Row],[MUNICIPIO]],'4.CAP_ENDMNT'!B:B,'4.CAP_ENDMNT'!O:O,0,0,1)</f>
        <v>0.87015152665365447</v>
      </c>
      <c r="AI357" s="134">
        <f>+_xlfn.XLOOKUP(PROYECTOS2[[#This Row],[MUNICIPIO]],'4.CAP_ENDMNT'!B:B,'4.CAP_ENDMNT'!P:P,0,0,1)</f>
        <v>0.8</v>
      </c>
      <c r="AJ357" s="44" t="str">
        <f>+_xlfn.XLOOKUP(PROYECTOS2[[#This Row],[MUNICIPIO]],'4.CAP_ENDMNT'!B:B,'4.CAP_ENDMNT'!Q:Q,0,0,1)</f>
        <v>Incumple</v>
      </c>
    </row>
    <row r="358" spans="1:36">
      <c r="A358" s="44">
        <v>381</v>
      </c>
      <c r="B358" s="37" t="s">
        <v>683</v>
      </c>
      <c r="C358" s="118">
        <v>45747</v>
      </c>
      <c r="D358" s="34" t="s">
        <v>125</v>
      </c>
      <c r="E358" s="47" t="str">
        <f>+_xlfn.XLOOKUP(PROYECTOS2[[#This Row],[MUNICIPIO]],MUNICIPIOS!A:A,MUNICIPIOS!E:E,0,0,1)</f>
        <v>Oriente</v>
      </c>
      <c r="F358" s="44" t="e" cm="1">
        <f t="array" ref="F358">+_xlfn.XLOOKUP(PROYECTOS2[[#This Row],[MUNICIPIO]],Table1[Municipio],MUNICIPIOS!F:F,0,0,1)</f>
        <v>#VALUE!</v>
      </c>
      <c r="G358" s="47" t="str">
        <f>+LOOKUP(PROYECTOS2[[#This Row],[MUNICIPIO]],Table1[Municipio],Table1[Latitud])</f>
        <v>6,058295</v>
      </c>
      <c r="H358" s="47">
        <f>+LOOKUP(PROYECTOS2[[#This Row],[MUNICIPIO]],Table1[Municipio],Table1[PDET])</f>
        <v>0</v>
      </c>
      <c r="I358" s="45">
        <f>+LOOKUP(PROYECTOS2[[#This Row],[MUNICIPIO]],Table1[Municipio],Table1[ZOMAC])</f>
        <v>1</v>
      </c>
      <c r="J358" s="34" t="str" cm="1">
        <f t="array" ref="J358">_xlfn.TEXTJOIN(", ", TRUE, IF(radicados[ID PROYECTOS]=A358, radicados[RADICADO], ""))</f>
        <v/>
      </c>
      <c r="K358" s="45">
        <v>2</v>
      </c>
      <c r="L358" s="45"/>
      <c r="M358" s="50"/>
      <c r="N358" s="48">
        <v>1300000000</v>
      </c>
      <c r="O358" s="48"/>
      <c r="P358" s="48"/>
      <c r="Q358" s="148" t="s">
        <v>1067</v>
      </c>
      <c r="R358" s="40" t="s">
        <v>435</v>
      </c>
      <c r="S358" s="40" t="s">
        <v>398</v>
      </c>
      <c r="T358" s="40" t="s">
        <v>25</v>
      </c>
      <c r="U358" s="53" t="s">
        <v>657</v>
      </c>
      <c r="V358" s="44">
        <f>+_xlfn.XLOOKUP(PROYECTOS2[[#This Row],[MUNICIPIO]],'4.CAP_ENDMNT'!B:B,'4.CAP_ENDMNT'!C:C,0,0,1)</f>
        <v>6</v>
      </c>
      <c r="W358" s="139">
        <f>+_xlfn.XLOOKUP(PROYECTOS2[[#This Row],[MUNICIPIO]],'4.CAP_ENDMNT'!B:B,'4.CAP_ENDMNT'!D:D,0,0,1)</f>
        <v>12327690626.8465</v>
      </c>
      <c r="X358" s="140">
        <f>+_xlfn.XLOOKUP(PROYECTOS2[[#This Row],[MUNICIPIO]],'4.CAP_ENDMNT'!B:B,'4.CAP_ENDMNT'!E:E,0,0,1)</f>
        <v>4723680091.2799997</v>
      </c>
      <c r="Y358" s="140">
        <f>+_xlfn.XLOOKUP(PROYECTOS2[[#This Row],[MUNICIPIO]],'4.CAP_ENDMNT'!B:B,'4.CAP_ENDMNT'!F:F,0,0,1)</f>
        <v>7604010535.5665007</v>
      </c>
      <c r="Z358" s="140">
        <f>+_xlfn.XLOOKUP(PROYECTOS2[[#This Row],[MUNICIPIO]],'4.CAP_ENDMNT'!B:B,'4.CAP_ENDMNT'!G:G,0,0,1)</f>
        <v>445297438</v>
      </c>
      <c r="AA358" s="140">
        <f>+_xlfn.XLOOKUP(PROYECTOS2[[#This Row],[MUNICIPIO]],'4.CAP_ENDMNT'!B:B,'4.CAP_ENDMNT'!H:H,0,0,1)</f>
        <v>33508702</v>
      </c>
      <c r="AB358" s="140">
        <f>+_xlfn.XLOOKUP(PROYECTOS2[[#This Row],[MUNICIPIO]],'4.CAP_ENDMNT'!B:B,'4.CAP_ENDMNT'!I:I,0,0,1)</f>
        <v>478806140</v>
      </c>
      <c r="AC358" s="134">
        <f>+_xlfn.XLOOKUP(PROYECTOS2[[#This Row],[MUNICIPIO]],'4.CAP_ENDMNT'!B:B,'4.CAP_ENDMNT'!J:J,0,0,1)</f>
        <v>3.8839889359105498E-2</v>
      </c>
      <c r="AD358" s="140">
        <f>+_xlfn.XLOOKUP(PROYECTOS2[[#This Row],[MUNICIPIO]],'4.CAP_ENDMNT'!B:B,'4.CAP_ENDMNT'!K:K,0,0,1)</f>
        <v>11848884486.8465</v>
      </c>
      <c r="AE358" s="140">
        <f>+_xlfn.XLOOKUP(PROYECTOS2[[#This Row],[MUNICIPIO]],'4.CAP_ENDMNT'!B:B,'4.CAP_ENDMNT'!L:L,0,0,1)</f>
        <v>9479107589.4772015</v>
      </c>
      <c r="AF358" s="140">
        <f>+_xlfn.XLOOKUP(PROYECTOS2[[#This Row],[MUNICIPIO]],'4.CAP_ENDMNT'!B:B,'4.CAP_ENDMNT'!M:M,0,0,1)</f>
        <v>7109330692.1078997</v>
      </c>
      <c r="AG358" s="134">
        <f>+_xlfn.XLOOKUP(PROYECTOS2[[#This Row],[MUNICIPIO]],'4.CAP_ENDMNT'!B:B,'4.CAP_ENDMNT'!N:N,0,0,1)</f>
        <v>0.93001613972619479</v>
      </c>
      <c r="AH358" s="134">
        <f>+_xlfn.XLOOKUP(PROYECTOS2[[#This Row],[MUNICIPIO]],'4.CAP_ENDMNT'!B:B,'4.CAP_ENDMNT'!O:O,0,0,1)</f>
        <v>0.63996045822337311</v>
      </c>
      <c r="AI358" s="134">
        <f>+_xlfn.XLOOKUP(PROYECTOS2[[#This Row],[MUNICIPIO]],'4.CAP_ENDMNT'!B:B,'4.CAP_ENDMNT'!P:P,0,0,1)</f>
        <v>0.8</v>
      </c>
      <c r="AJ358" s="44" t="str">
        <f>+_xlfn.XLOOKUP(PROYECTOS2[[#This Row],[MUNICIPIO]],'4.CAP_ENDMNT'!B:B,'4.CAP_ENDMNT'!Q:Q,0,0,1)</f>
        <v>Cumple</v>
      </c>
    </row>
    <row r="359" spans="1:36">
      <c r="A359" s="44">
        <v>382</v>
      </c>
      <c r="B359" s="37" t="s">
        <v>684</v>
      </c>
      <c r="C359" s="118">
        <v>45747</v>
      </c>
      <c r="D359" s="34" t="s">
        <v>11</v>
      </c>
      <c r="E359" s="47" t="str">
        <f>+_xlfn.XLOOKUP(PROYECTOS2[[#This Row],[MUNICIPIO]],MUNICIPIOS!A:A,MUNICIPIOS!E:E,0,0,1)</f>
        <v>Magdalena Medio</v>
      </c>
      <c r="F359" s="44" t="e" cm="1">
        <f t="array" ref="F359">+_xlfn.XLOOKUP(PROYECTOS2[[#This Row],[MUNICIPIO]],Table1[Municipio],MUNICIPIOS!F:F,0,0,1)</f>
        <v>#VALUE!</v>
      </c>
      <c r="G359" s="47" t="str">
        <f>+LOOKUP(PROYECTOS2[[#This Row],[MUNICIPIO]],Table1[Municipio],Table1[Latitud])</f>
        <v>6,246631</v>
      </c>
      <c r="H359" s="47">
        <f>+LOOKUP(PROYECTOS2[[#This Row],[MUNICIPIO]],Table1[Municipio],Table1[PDET])</f>
        <v>0</v>
      </c>
      <c r="I359" s="45">
        <f>+LOOKUP(PROYECTOS2[[#This Row],[MUNICIPIO]],Table1[Municipio],Table1[ZOMAC])</f>
        <v>0</v>
      </c>
      <c r="J359" s="34" t="str" cm="1">
        <f t="array" ref="J359">_xlfn.TEXTJOIN(", ", TRUE, IF(radicados[ID PROYECTOS]=A359, radicados[RADICADO], ""))</f>
        <v/>
      </c>
      <c r="K359" s="45">
        <v>2</v>
      </c>
      <c r="L359" s="45"/>
      <c r="M359" s="50"/>
      <c r="N359" s="72"/>
      <c r="O359" s="72"/>
      <c r="P359" s="72"/>
      <c r="Q359" s="148" t="s">
        <v>1067</v>
      </c>
      <c r="R359" s="40" t="s">
        <v>435</v>
      </c>
      <c r="S359" s="40" t="s">
        <v>397</v>
      </c>
      <c r="T359" s="40" t="s">
        <v>56</v>
      </c>
      <c r="U359" s="58" t="s">
        <v>685</v>
      </c>
      <c r="V359" s="44">
        <f>+_xlfn.XLOOKUP(PROYECTOS2[[#This Row],[MUNICIPIO]],'4.CAP_ENDMNT'!B:B,'4.CAP_ENDMNT'!C:C,0,0,1)</f>
        <v>6</v>
      </c>
      <c r="W359" s="139">
        <f>+_xlfn.XLOOKUP(PROYECTOS2[[#This Row],[MUNICIPIO]],'4.CAP_ENDMNT'!B:B,'4.CAP_ENDMNT'!D:D,0,0,1)</f>
        <v>22896432570.9105</v>
      </c>
      <c r="X359" s="140">
        <f>+_xlfn.XLOOKUP(PROYECTOS2[[#This Row],[MUNICIPIO]],'4.CAP_ENDMNT'!B:B,'4.CAP_ENDMNT'!E:E,0,0,1)</f>
        <v>6514105665.9899998</v>
      </c>
      <c r="Y359" s="140">
        <f>+_xlfn.XLOOKUP(PROYECTOS2[[#This Row],[MUNICIPIO]],'4.CAP_ENDMNT'!B:B,'4.CAP_ENDMNT'!F:F,0,0,1)</f>
        <v>16382326904.9205</v>
      </c>
      <c r="Z359" s="140">
        <f>+_xlfn.XLOOKUP(PROYECTOS2[[#This Row],[MUNICIPIO]],'4.CAP_ENDMNT'!B:B,'4.CAP_ENDMNT'!G:G,0,0,1)</f>
        <v>15087488121</v>
      </c>
      <c r="AA359" s="140">
        <f>+_xlfn.XLOOKUP(PROYECTOS2[[#This Row],[MUNICIPIO]],'4.CAP_ENDMNT'!B:B,'4.CAP_ENDMNT'!H:H,0,0,1)</f>
        <v>152370595</v>
      </c>
      <c r="AB359" s="140">
        <f>+_xlfn.XLOOKUP(PROYECTOS2[[#This Row],[MUNICIPIO]],'4.CAP_ENDMNT'!B:B,'4.CAP_ENDMNT'!I:I,0,0,1)</f>
        <v>15239858716</v>
      </c>
      <c r="AC359" s="134">
        <f>+_xlfn.XLOOKUP(PROYECTOS2[[#This Row],[MUNICIPIO]],'4.CAP_ENDMNT'!B:B,'4.CAP_ENDMNT'!J:J,0,0,1)</f>
        <v>0.66559970287082904</v>
      </c>
      <c r="AD359" s="140">
        <f>+_xlfn.XLOOKUP(PROYECTOS2[[#This Row],[MUNICIPIO]],'4.CAP_ENDMNT'!B:B,'4.CAP_ENDMNT'!K:K,0,0,1)</f>
        <v>7656573854.9104996</v>
      </c>
      <c r="AE359" s="140">
        <f>+_xlfn.XLOOKUP(PROYECTOS2[[#This Row],[MUNICIPIO]],'4.CAP_ENDMNT'!B:B,'4.CAP_ENDMNT'!L:L,0,0,1)</f>
        <v>6125259083.9284</v>
      </c>
      <c r="AF359" s="140">
        <f>+_xlfn.XLOOKUP(PROYECTOS2[[#This Row],[MUNICIPIO]],'4.CAP_ENDMNT'!B:B,'4.CAP_ENDMNT'!M:M,0,0,1)</f>
        <v>4593944312.9462996</v>
      </c>
      <c r="AG359" s="134">
        <f>+_xlfn.XLOOKUP(PROYECTOS2[[#This Row],[MUNICIPIO]],'4.CAP_ENDMNT'!B:B,'4.CAP_ENDMNT'!N:N,0,0,1)</f>
        <v>0.99000183677293352</v>
      </c>
      <c r="AH359" s="134">
        <f>+_xlfn.XLOOKUP(PROYECTOS2[[#This Row],[MUNICIPIO]],'4.CAP_ENDMNT'!B:B,'4.CAP_ENDMNT'!O:O,0,0,1)</f>
        <v>0.53987925149269589</v>
      </c>
      <c r="AI359" s="134">
        <f>+_xlfn.XLOOKUP(PROYECTOS2[[#This Row],[MUNICIPIO]],'4.CAP_ENDMNT'!B:B,'4.CAP_ENDMNT'!P:P,0,0,1)</f>
        <v>0.8</v>
      </c>
      <c r="AJ359" s="44" t="str">
        <f>+_xlfn.XLOOKUP(PROYECTOS2[[#This Row],[MUNICIPIO]],'4.CAP_ENDMNT'!B:B,'4.CAP_ENDMNT'!Q:Q,0,0,1)</f>
        <v>Cumple</v>
      </c>
    </row>
    <row r="360" spans="1:36">
      <c r="A360" s="44">
        <v>383</v>
      </c>
      <c r="B360" s="37" t="s">
        <v>348</v>
      </c>
      <c r="C360" s="118">
        <f>+_xlfn.XLOOKUP(PROYECTOS2[[#This Row],[ID_NECESIDAD]],'1.RADICADOS'!G:G,'1.RADICADOS'!C:C,0,0,1)*1</f>
        <v>45712</v>
      </c>
      <c r="D360" s="34" t="s">
        <v>244</v>
      </c>
      <c r="E360" s="47" t="str">
        <f>+_xlfn.XLOOKUP(PROYECTOS2[[#This Row],[MUNICIPIO]],MUNICIPIOS!A:A,MUNICIPIOS!E:E,0,0,1)</f>
        <v>Nordeste</v>
      </c>
      <c r="F360" s="44" t="e" cm="1">
        <f t="array" ref="F360">+_xlfn.XLOOKUP(PROYECTOS2[[#This Row],[MUNICIPIO]],Table1[Municipio],MUNICIPIOS!F:F,0,0,1)</f>
        <v>#VALUE!</v>
      </c>
      <c r="G360" s="47" t="str">
        <f>+LOOKUP(PROYECTOS2[[#This Row],[MUNICIPIO]],Table1[Municipio],Table1[Latitud])</f>
        <v>6,537829</v>
      </c>
      <c r="H360" s="47">
        <f>+LOOKUP(PROYECTOS2[[#This Row],[MUNICIPIO]],Table1[Municipio],Table1[PDET])</f>
        <v>0</v>
      </c>
      <c r="I360" s="45">
        <f>+LOOKUP(PROYECTOS2[[#This Row],[MUNICIPIO]],Table1[Municipio],Table1[ZOMAC])</f>
        <v>0</v>
      </c>
      <c r="J360" s="34" t="str" cm="1">
        <f t="array" ref="J360">_xlfn.TEXTJOIN(", ", TRUE, IF(radicados[ID PROYECTOS]=A360, radicados[RADICADO], ""))</f>
        <v>2025010087091</v>
      </c>
      <c r="K360" s="45">
        <v>3</v>
      </c>
      <c r="L360" s="45"/>
      <c r="M360" s="50"/>
      <c r="N360" s="48">
        <v>5134606831</v>
      </c>
      <c r="O360" s="48"/>
      <c r="P360" s="48"/>
      <c r="Q360" s="148" t="s">
        <v>1067</v>
      </c>
      <c r="R360" s="40" t="s">
        <v>288</v>
      </c>
      <c r="S360" s="92" t="s">
        <v>398</v>
      </c>
      <c r="T360" s="92" t="s">
        <v>25</v>
      </c>
      <c r="U360" s="37" t="s">
        <v>349</v>
      </c>
      <c r="V360" s="44">
        <f>+_xlfn.XLOOKUP(PROYECTOS2[[#This Row],[MUNICIPIO]],'4.CAP_ENDMNT'!B:B,'4.CAP_ENDMNT'!C:C,0,0,1)</f>
        <v>6</v>
      </c>
      <c r="W360" s="139">
        <f>+_xlfn.XLOOKUP(PROYECTOS2[[#This Row],[MUNICIPIO]],'4.CAP_ENDMNT'!B:B,'4.CAP_ENDMNT'!D:D,0,0,1)</f>
        <v>11769915072.3085</v>
      </c>
      <c r="X360" s="140">
        <f>+_xlfn.XLOOKUP(PROYECTOS2[[#This Row],[MUNICIPIO]],'4.CAP_ENDMNT'!B:B,'4.CAP_ENDMNT'!E:E,0,0,1)</f>
        <v>4043512144.3800001</v>
      </c>
      <c r="Y360" s="140">
        <f>+_xlfn.XLOOKUP(PROYECTOS2[[#This Row],[MUNICIPIO]],'4.CAP_ENDMNT'!B:B,'4.CAP_ENDMNT'!F:F,0,0,1)</f>
        <v>7726402927.9285002</v>
      </c>
      <c r="Z360" s="140">
        <f>+_xlfn.XLOOKUP(PROYECTOS2[[#This Row],[MUNICIPIO]],'4.CAP_ENDMNT'!B:B,'4.CAP_ENDMNT'!G:G,0,0,1)</f>
        <v>3010151420</v>
      </c>
      <c r="AA360" s="140">
        <f>+_xlfn.XLOOKUP(PROYECTOS2[[#This Row],[MUNICIPIO]],'4.CAP_ENDMNT'!B:B,'4.CAP_ENDMNT'!H:H,0,0,1)</f>
        <v>0</v>
      </c>
      <c r="AB360" s="140">
        <f>+_xlfn.XLOOKUP(PROYECTOS2[[#This Row],[MUNICIPIO]],'4.CAP_ENDMNT'!B:B,'4.CAP_ENDMNT'!I:I,0,0,1)</f>
        <v>3010151420</v>
      </c>
      <c r="AC360" s="134">
        <f>+_xlfn.XLOOKUP(PROYECTOS2[[#This Row],[MUNICIPIO]],'4.CAP_ENDMNT'!B:B,'4.CAP_ENDMNT'!J:J,0,0,1)</f>
        <v>0.255749629585866</v>
      </c>
      <c r="AD360" s="140">
        <f>+_xlfn.XLOOKUP(PROYECTOS2[[#This Row],[MUNICIPIO]],'4.CAP_ENDMNT'!B:B,'4.CAP_ENDMNT'!K:K,0,0,1)</f>
        <v>8759763652.3085003</v>
      </c>
      <c r="AE360" s="140">
        <f>+_xlfn.XLOOKUP(PROYECTOS2[[#This Row],[MUNICIPIO]],'4.CAP_ENDMNT'!B:B,'4.CAP_ENDMNT'!L:L,0,0,1)</f>
        <v>7007810921.8468008</v>
      </c>
      <c r="AF360" s="140">
        <f>+_xlfn.XLOOKUP(PROYECTOS2[[#This Row],[MUNICIPIO]],'4.CAP_ENDMNT'!B:B,'4.CAP_ENDMNT'!M:M,0,0,1)</f>
        <v>5255858191.3851004</v>
      </c>
      <c r="AG360" s="134">
        <f>+_xlfn.XLOOKUP(PROYECTOS2[[#This Row],[MUNICIPIO]],'4.CAP_ENDMNT'!B:B,'4.CAP_ENDMNT'!N:N,0,0,1)</f>
        <v>1</v>
      </c>
      <c r="AH360" s="134">
        <f>+_xlfn.XLOOKUP(PROYECTOS2[[#This Row],[MUNICIPIO]],'4.CAP_ENDMNT'!B:B,'4.CAP_ENDMNT'!O:O,0,0,1)</f>
        <v>0.52320001604697897</v>
      </c>
      <c r="AI360" s="134">
        <f>+_xlfn.XLOOKUP(PROYECTOS2[[#This Row],[MUNICIPIO]],'4.CAP_ENDMNT'!B:B,'4.CAP_ENDMNT'!P:P,0,0,1)</f>
        <v>0.8</v>
      </c>
      <c r="AJ360" s="44" t="str">
        <f>+_xlfn.XLOOKUP(PROYECTOS2[[#This Row],[MUNICIPIO]],'4.CAP_ENDMNT'!B:B,'4.CAP_ENDMNT'!Q:Q,0,0,1)</f>
        <v>Cumple</v>
      </c>
    </row>
    <row r="361" spans="1:36">
      <c r="A361" s="44">
        <v>384</v>
      </c>
      <c r="B361" s="37" t="s">
        <v>350</v>
      </c>
      <c r="C361" s="118">
        <f>+_xlfn.XLOOKUP(PROYECTOS2[[#This Row],[ID_NECESIDAD]],'1.RADICADOS'!G:G,'1.RADICADOS'!C:C,0,0,1)*1</f>
        <v>45712</v>
      </c>
      <c r="D361" s="34" t="s">
        <v>244</v>
      </c>
      <c r="E361" s="47" t="str">
        <f>+_xlfn.XLOOKUP(PROYECTOS2[[#This Row],[MUNICIPIO]],MUNICIPIOS!A:A,MUNICIPIOS!E:E,0,0,1)</f>
        <v>Nordeste</v>
      </c>
      <c r="F361" s="44" t="e" cm="1">
        <f t="array" ref="F361">+_xlfn.XLOOKUP(PROYECTOS2[[#This Row],[MUNICIPIO]],Table1[Municipio],MUNICIPIOS!F:F,0,0,1)</f>
        <v>#VALUE!</v>
      </c>
      <c r="G361" s="47" t="str">
        <f>+LOOKUP(PROYECTOS2[[#This Row],[MUNICIPIO]],Table1[Municipio],Table1[Latitud])</f>
        <v>6,537829</v>
      </c>
      <c r="H361" s="47">
        <f>+LOOKUP(PROYECTOS2[[#This Row],[MUNICIPIO]],Table1[Municipio],Table1[PDET])</f>
        <v>0</v>
      </c>
      <c r="I361" s="45">
        <f>+LOOKUP(PROYECTOS2[[#This Row],[MUNICIPIO]],Table1[Municipio],Table1[ZOMAC])</f>
        <v>0</v>
      </c>
      <c r="J361" s="34" t="str" cm="1">
        <f t="array" ref="J361">_xlfn.TEXTJOIN(", ", TRUE, IF(radicados[ID PROYECTOS]=A361, radicados[RADICADO], ""))</f>
        <v>2025010087091</v>
      </c>
      <c r="K361" s="45">
        <v>3</v>
      </c>
      <c r="L361" s="45"/>
      <c r="M361" s="50"/>
      <c r="N361" s="48">
        <v>7365388005</v>
      </c>
      <c r="O361" s="48"/>
      <c r="P361" s="48"/>
      <c r="Q361" s="148" t="s">
        <v>1067</v>
      </c>
      <c r="R361" s="40" t="s">
        <v>401</v>
      </c>
      <c r="S361" s="92" t="s">
        <v>394</v>
      </c>
      <c r="T361" s="92" t="s">
        <v>18</v>
      </c>
      <c r="U361" s="37" t="s">
        <v>351</v>
      </c>
      <c r="V361" s="44">
        <f>+_xlfn.XLOOKUP(PROYECTOS2[[#This Row],[MUNICIPIO]],'4.CAP_ENDMNT'!B:B,'4.CAP_ENDMNT'!C:C,0,0,1)</f>
        <v>6</v>
      </c>
      <c r="W361" s="139">
        <f>+_xlfn.XLOOKUP(PROYECTOS2[[#This Row],[MUNICIPIO]],'4.CAP_ENDMNT'!B:B,'4.CAP_ENDMNT'!D:D,0,0,1)</f>
        <v>11769915072.3085</v>
      </c>
      <c r="X361" s="140">
        <f>+_xlfn.XLOOKUP(PROYECTOS2[[#This Row],[MUNICIPIO]],'4.CAP_ENDMNT'!B:B,'4.CAP_ENDMNT'!E:E,0,0,1)</f>
        <v>4043512144.3800001</v>
      </c>
      <c r="Y361" s="140">
        <f>+_xlfn.XLOOKUP(PROYECTOS2[[#This Row],[MUNICIPIO]],'4.CAP_ENDMNT'!B:B,'4.CAP_ENDMNT'!F:F,0,0,1)</f>
        <v>7726402927.9285002</v>
      </c>
      <c r="Z361" s="140">
        <f>+_xlfn.XLOOKUP(PROYECTOS2[[#This Row],[MUNICIPIO]],'4.CAP_ENDMNT'!B:B,'4.CAP_ENDMNT'!G:G,0,0,1)</f>
        <v>3010151420</v>
      </c>
      <c r="AA361" s="140">
        <f>+_xlfn.XLOOKUP(PROYECTOS2[[#This Row],[MUNICIPIO]],'4.CAP_ENDMNT'!B:B,'4.CAP_ENDMNT'!H:H,0,0,1)</f>
        <v>0</v>
      </c>
      <c r="AB361" s="140">
        <f>+_xlfn.XLOOKUP(PROYECTOS2[[#This Row],[MUNICIPIO]],'4.CAP_ENDMNT'!B:B,'4.CAP_ENDMNT'!I:I,0,0,1)</f>
        <v>3010151420</v>
      </c>
      <c r="AC361" s="134">
        <f>+_xlfn.XLOOKUP(PROYECTOS2[[#This Row],[MUNICIPIO]],'4.CAP_ENDMNT'!B:B,'4.CAP_ENDMNT'!J:J,0,0,1)</f>
        <v>0.255749629585866</v>
      </c>
      <c r="AD361" s="140">
        <f>+_xlfn.XLOOKUP(PROYECTOS2[[#This Row],[MUNICIPIO]],'4.CAP_ENDMNT'!B:B,'4.CAP_ENDMNT'!K:K,0,0,1)</f>
        <v>8759763652.3085003</v>
      </c>
      <c r="AE361" s="140">
        <f>+_xlfn.XLOOKUP(PROYECTOS2[[#This Row],[MUNICIPIO]],'4.CAP_ENDMNT'!B:B,'4.CAP_ENDMNT'!L:L,0,0,1)</f>
        <v>7007810921.8468008</v>
      </c>
      <c r="AF361" s="140">
        <f>+_xlfn.XLOOKUP(PROYECTOS2[[#This Row],[MUNICIPIO]],'4.CAP_ENDMNT'!B:B,'4.CAP_ENDMNT'!M:M,0,0,1)</f>
        <v>5255858191.3851004</v>
      </c>
      <c r="AG361" s="134">
        <f>+_xlfn.XLOOKUP(PROYECTOS2[[#This Row],[MUNICIPIO]],'4.CAP_ENDMNT'!B:B,'4.CAP_ENDMNT'!N:N,0,0,1)</f>
        <v>1</v>
      </c>
      <c r="AH361" s="134">
        <f>+_xlfn.XLOOKUP(PROYECTOS2[[#This Row],[MUNICIPIO]],'4.CAP_ENDMNT'!B:B,'4.CAP_ENDMNT'!O:O,0,0,1)</f>
        <v>0.52320001604697897</v>
      </c>
      <c r="AI361" s="134">
        <f>+_xlfn.XLOOKUP(PROYECTOS2[[#This Row],[MUNICIPIO]],'4.CAP_ENDMNT'!B:B,'4.CAP_ENDMNT'!P:P,0,0,1)</f>
        <v>0.8</v>
      </c>
      <c r="AJ361" s="44" t="str">
        <f>+_xlfn.XLOOKUP(PROYECTOS2[[#This Row],[MUNICIPIO]],'4.CAP_ENDMNT'!B:B,'4.CAP_ENDMNT'!Q:Q,0,0,1)</f>
        <v>Cumple</v>
      </c>
    </row>
    <row r="362" spans="1:36">
      <c r="A362" s="44">
        <v>385</v>
      </c>
      <c r="B362" s="37" t="s">
        <v>355</v>
      </c>
      <c r="C362" s="118">
        <f>+_xlfn.XLOOKUP(PROYECTOS2[[#This Row],[ID_NECESIDAD]],'1.RADICADOS'!G:G,'1.RADICADOS'!C:C,0,0,1)*1</f>
        <v>45713</v>
      </c>
      <c r="D362" s="67" t="s">
        <v>193</v>
      </c>
      <c r="E362" s="47" t="str">
        <f>+_xlfn.XLOOKUP(PROYECTOS2[[#This Row],[MUNICIPIO]],MUNICIPIOS!A:A,MUNICIPIOS!E:E,0,0,1)</f>
        <v>Urabá</v>
      </c>
      <c r="F362" s="44" t="e" cm="1">
        <f t="array" ref="F362">+_xlfn.XLOOKUP(PROYECTOS2[[#This Row],[MUNICIPIO]],Table1[Municipio],MUNICIPIOS!F:F,0,0,1)</f>
        <v>#VALUE!</v>
      </c>
      <c r="G362" s="47" t="str">
        <f>+LOOKUP(PROYECTOS2[[#This Row],[MUNICIPIO]],Table1[Municipio],Table1[Latitud])</f>
        <v>7,074703</v>
      </c>
      <c r="H362" s="47">
        <f>+LOOKUP(PROYECTOS2[[#This Row],[MUNICIPIO]],Table1[Municipio],Table1[PDET])</f>
        <v>1</v>
      </c>
      <c r="I362" s="45">
        <f>+LOOKUP(PROYECTOS2[[#This Row],[MUNICIPIO]],Table1[Municipio],Table1[ZOMAC])</f>
        <v>1</v>
      </c>
      <c r="J362" s="34" t="str" cm="1">
        <f t="array" ref="J362">_xlfn.TEXTJOIN(", ", TRUE, IF(radicados[ID PROYECTOS]=A362, radicados[RADICADO], ""))</f>
        <v>2025010088949</v>
      </c>
      <c r="K362" s="45">
        <v>3</v>
      </c>
      <c r="L362" s="45"/>
      <c r="M362" s="50"/>
      <c r="N362" s="48">
        <v>16142060924</v>
      </c>
      <c r="O362" s="48"/>
      <c r="P362" s="48"/>
      <c r="Q362" s="148" t="s">
        <v>1067</v>
      </c>
      <c r="R362" s="40" t="s">
        <v>401</v>
      </c>
      <c r="S362" s="92" t="s">
        <v>398</v>
      </c>
      <c r="T362" s="92" t="s">
        <v>25</v>
      </c>
      <c r="U362" s="69" t="s">
        <v>356</v>
      </c>
      <c r="V362" s="44">
        <f>+_xlfn.XLOOKUP(PROYECTOS2[[#This Row],[MUNICIPIO]],'4.CAP_ENDMNT'!B:B,'4.CAP_ENDMNT'!C:C,0,0,1)</f>
        <v>6</v>
      </c>
      <c r="W362" s="139">
        <f>+_xlfn.XLOOKUP(PROYECTOS2[[#This Row],[MUNICIPIO]],'4.CAP_ENDMNT'!B:B,'4.CAP_ENDMNT'!D:D,0,0,1)</f>
        <v>19782037469.424</v>
      </c>
      <c r="X362" s="140">
        <f>+_xlfn.XLOOKUP(PROYECTOS2[[#This Row],[MUNICIPIO]],'4.CAP_ENDMNT'!B:B,'4.CAP_ENDMNT'!E:E,0,0,1)</f>
        <v>6224691780.3400002</v>
      </c>
      <c r="Y362" s="140">
        <f>+_xlfn.XLOOKUP(PROYECTOS2[[#This Row],[MUNICIPIO]],'4.CAP_ENDMNT'!B:B,'4.CAP_ENDMNT'!F:F,0,0,1)</f>
        <v>13557345689.084</v>
      </c>
      <c r="Z362" s="140">
        <f>+_xlfn.XLOOKUP(PROYECTOS2[[#This Row],[MUNICIPIO]],'4.CAP_ENDMNT'!B:B,'4.CAP_ENDMNT'!G:G,0,0,1)</f>
        <v>5530076291</v>
      </c>
      <c r="AA362" s="140">
        <f>+_xlfn.XLOOKUP(PROYECTOS2[[#This Row],[MUNICIPIO]],'4.CAP_ENDMNT'!B:B,'4.CAP_ENDMNT'!H:H,0,0,1)</f>
        <v>135075758</v>
      </c>
      <c r="AB362" s="140">
        <f>+_xlfn.XLOOKUP(PROYECTOS2[[#This Row],[MUNICIPIO]],'4.CAP_ENDMNT'!B:B,'4.CAP_ENDMNT'!I:I,0,0,1)</f>
        <v>5665152049</v>
      </c>
      <c r="AC362" s="134">
        <f>+_xlfn.XLOOKUP(PROYECTOS2[[#This Row],[MUNICIPIO]],'4.CAP_ENDMNT'!B:B,'4.CAP_ENDMNT'!J:J,0,0,1)</f>
        <v>0.28637859258715448</v>
      </c>
      <c r="AD362" s="140">
        <f>+_xlfn.XLOOKUP(PROYECTOS2[[#This Row],[MUNICIPIO]],'4.CAP_ENDMNT'!B:B,'4.CAP_ENDMNT'!K:K,0,0,1)</f>
        <v>14116885420.424</v>
      </c>
      <c r="AE362" s="140">
        <f>+_xlfn.XLOOKUP(PROYECTOS2[[#This Row],[MUNICIPIO]],'4.CAP_ENDMNT'!B:B,'4.CAP_ENDMNT'!L:L,0,0,1)</f>
        <v>11293508336.339201</v>
      </c>
      <c r="AF362" s="140">
        <f>+_xlfn.XLOOKUP(PROYECTOS2[[#This Row],[MUNICIPIO]],'4.CAP_ENDMNT'!B:B,'4.CAP_ENDMNT'!M:M,0,0,1)</f>
        <v>8470131252.2543993</v>
      </c>
      <c r="AG362" s="134">
        <f>+_xlfn.XLOOKUP(PROYECTOS2[[#This Row],[MUNICIPIO]],'4.CAP_ENDMNT'!B:B,'4.CAP_ENDMNT'!N:N,0,0,1)</f>
        <v>0.97615672856938707</v>
      </c>
      <c r="AH362" s="134">
        <f>+_xlfn.XLOOKUP(PROYECTOS2[[#This Row],[MUNICIPIO]],'4.CAP_ENDMNT'!B:B,'4.CAP_ENDMNT'!O:O,0,0,1)</f>
        <v>0.63121490876418529</v>
      </c>
      <c r="AI362" s="134">
        <f>+_xlfn.XLOOKUP(PROYECTOS2[[#This Row],[MUNICIPIO]],'4.CAP_ENDMNT'!B:B,'4.CAP_ENDMNT'!P:P,0,0,1)</f>
        <v>0.8</v>
      </c>
      <c r="AJ362" s="44" t="str">
        <f>+_xlfn.XLOOKUP(PROYECTOS2[[#This Row],[MUNICIPIO]],'4.CAP_ENDMNT'!B:B,'4.CAP_ENDMNT'!Q:Q,0,0,1)</f>
        <v>Cumple</v>
      </c>
    </row>
    <row r="363" spans="1:36">
      <c r="A363" s="44">
        <v>386</v>
      </c>
      <c r="B363" s="37" t="s">
        <v>357</v>
      </c>
      <c r="C363" s="118">
        <f>+_xlfn.XLOOKUP(PROYECTOS2[[#This Row],[ID_NECESIDAD]],'1.RADICADOS'!G:G,'1.RADICADOS'!C:C,0,0,1)*1</f>
        <v>45713</v>
      </c>
      <c r="D363" s="34" t="s">
        <v>115</v>
      </c>
      <c r="E363" s="47" t="str">
        <f>+_xlfn.XLOOKUP(PROYECTOS2[[#This Row],[MUNICIPIO]],MUNICIPIOS!A:A,MUNICIPIOS!E:E,0,0,1)</f>
        <v>Oriente</v>
      </c>
      <c r="F363" s="44" t="e" cm="1">
        <f t="array" ref="F363">+_xlfn.XLOOKUP(PROYECTOS2[[#This Row],[MUNICIPIO]],Table1[Municipio],MUNICIPIOS!F:F,0,0,1)</f>
        <v>#VALUE!</v>
      </c>
      <c r="G363" s="47" t="str">
        <f>+LOOKUP(PROYECTOS2[[#This Row],[MUNICIPIO]],Table1[Municipio],Table1[Latitud])</f>
        <v>6,028062</v>
      </c>
      <c r="H363" s="47">
        <f>+LOOKUP(PROYECTOS2[[#This Row],[MUNICIPIO]],Table1[Municipio],Table1[PDET])</f>
        <v>0</v>
      </c>
      <c r="I363" s="45">
        <f>+LOOKUP(PROYECTOS2[[#This Row],[MUNICIPIO]],Table1[Municipio],Table1[ZOMAC])</f>
        <v>0</v>
      </c>
      <c r="J363" s="34" t="str" cm="1">
        <f t="array" ref="J363">_xlfn.TEXTJOIN(", ", TRUE, IF(radicados[ID PROYECTOS]=A363, radicados[RADICADO], ""))</f>
        <v>2025010089650</v>
      </c>
      <c r="K363" s="45">
        <v>1</v>
      </c>
      <c r="L363" s="45"/>
      <c r="M363" s="50"/>
      <c r="N363" s="48"/>
      <c r="O363" s="48"/>
      <c r="P363" s="48"/>
      <c r="Q363" s="148" t="s">
        <v>1067</v>
      </c>
      <c r="R363" s="40" t="s">
        <v>288</v>
      </c>
      <c r="S363" s="92" t="s">
        <v>398</v>
      </c>
      <c r="T363" s="92" t="s">
        <v>25</v>
      </c>
      <c r="U363" s="13" t="s">
        <v>978</v>
      </c>
      <c r="V363" s="44">
        <f>+_xlfn.XLOOKUP(PROYECTOS2[[#This Row],[MUNICIPIO]],'4.CAP_ENDMNT'!B:B,'4.CAP_ENDMNT'!C:C,0,0,1)</f>
        <v>2</v>
      </c>
      <c r="W363" s="139">
        <f>+_xlfn.XLOOKUP(PROYECTOS2[[#This Row],[MUNICIPIO]],'4.CAP_ENDMNT'!B:B,'4.CAP_ENDMNT'!D:D,0,0,1)</f>
        <v>102691614388.099</v>
      </c>
      <c r="X363" s="140">
        <f>+_xlfn.XLOOKUP(PROYECTOS2[[#This Row],[MUNICIPIO]],'4.CAP_ENDMNT'!B:B,'4.CAP_ENDMNT'!E:E,0,0,1)</f>
        <v>29123622287.32</v>
      </c>
      <c r="Y363" s="140">
        <f>+_xlfn.XLOOKUP(PROYECTOS2[[#This Row],[MUNICIPIO]],'4.CAP_ENDMNT'!B:B,'4.CAP_ENDMNT'!F:F,0,0,1)</f>
        <v>73567992100.778992</v>
      </c>
      <c r="Z363" s="140">
        <f>+_xlfn.XLOOKUP(PROYECTOS2[[#This Row],[MUNICIPIO]],'4.CAP_ENDMNT'!B:B,'4.CAP_ENDMNT'!G:G,0,0,1)</f>
        <v>5166195556</v>
      </c>
      <c r="AA363" s="140">
        <f>+_xlfn.XLOOKUP(PROYECTOS2[[#This Row],[MUNICIPIO]],'4.CAP_ENDMNT'!B:B,'4.CAP_ENDMNT'!H:H,0,0,1)</f>
        <v>27283390599</v>
      </c>
      <c r="AB363" s="140">
        <f>+_xlfn.XLOOKUP(PROYECTOS2[[#This Row],[MUNICIPIO]],'4.CAP_ENDMNT'!B:B,'4.CAP_ENDMNT'!I:I,0,0,1)</f>
        <v>32449586155</v>
      </c>
      <c r="AC363" s="134">
        <f>+_xlfn.XLOOKUP(PROYECTOS2[[#This Row],[MUNICIPIO]],'4.CAP_ENDMNT'!B:B,'4.CAP_ENDMNT'!J:J,0,0,1)</f>
        <v>0.3159906127521217</v>
      </c>
      <c r="AD363" s="140">
        <f>+_xlfn.XLOOKUP(PROYECTOS2[[#This Row],[MUNICIPIO]],'4.CAP_ENDMNT'!B:B,'4.CAP_ENDMNT'!K:K,0,0,1)</f>
        <v>70242028233.098999</v>
      </c>
      <c r="AE363" s="140">
        <f>+_xlfn.XLOOKUP(PROYECTOS2[[#This Row],[MUNICIPIO]],'4.CAP_ENDMNT'!B:B,'4.CAP_ENDMNT'!L:L,0,0,1)</f>
        <v>56193622586.479202</v>
      </c>
      <c r="AF363" s="140">
        <f>+_xlfn.XLOOKUP(PROYECTOS2[[#This Row],[MUNICIPIO]],'4.CAP_ENDMNT'!B:B,'4.CAP_ENDMNT'!M:M,0,0,1)</f>
        <v>42145216939.859398</v>
      </c>
      <c r="AG363" s="134">
        <f>+_xlfn.XLOOKUP(PROYECTOS2[[#This Row],[MUNICIPIO]],'4.CAP_ENDMNT'!B:B,'4.CAP_ENDMNT'!N:N,0,0,1)</f>
        <v>0.15920682412783146</v>
      </c>
      <c r="AH363" s="134">
        <f>+_xlfn.XLOOKUP(PROYECTOS2[[#This Row],[MUNICIPIO]],'4.CAP_ENDMNT'!B:B,'4.CAP_ENDMNT'!O:O,0,0,1)</f>
        <v>0.28977187660096981</v>
      </c>
      <c r="AI363" s="134">
        <f>+_xlfn.XLOOKUP(PROYECTOS2[[#This Row],[MUNICIPIO]],'4.CAP_ENDMNT'!B:B,'4.CAP_ENDMNT'!P:P,0,0,1)</f>
        <v>0.7</v>
      </c>
      <c r="AJ363" s="44" t="str">
        <f>+_xlfn.XLOOKUP(PROYECTOS2[[#This Row],[MUNICIPIO]],'4.CAP_ENDMNT'!B:B,'4.CAP_ENDMNT'!Q:Q,0,0,1)</f>
        <v>Cumple</v>
      </c>
    </row>
    <row r="364" spans="1:36">
      <c r="A364" s="44">
        <v>387</v>
      </c>
      <c r="B364" s="37" t="s">
        <v>360</v>
      </c>
      <c r="C364" s="118">
        <f>+_xlfn.XLOOKUP(PROYECTOS2[[#This Row],[ID_NECESIDAD]],'1.RADICADOS'!G:G,'1.RADICADOS'!C:C,0,0,1)*1</f>
        <v>45720</v>
      </c>
      <c r="D364" s="34" t="s">
        <v>359</v>
      </c>
      <c r="E364" s="47" t="str">
        <f>+_xlfn.XLOOKUP(PROYECTOS2[[#This Row],[MUNICIPIO]],MUNICIPIOS!A:A,MUNICIPIOS!E:E,0,0,1)</f>
        <v>Suroeste</v>
      </c>
      <c r="F364" s="44" t="e" cm="1">
        <f t="array" ref="F364">+_xlfn.XLOOKUP(PROYECTOS2[[#This Row],[MUNICIPIO]],Table1[Municipio],MUNICIPIOS!F:F,0,0,1)</f>
        <v>#VALUE!</v>
      </c>
      <c r="G364" s="47" t="str">
        <f>+LOOKUP(PROYECTOS2[[#This Row],[MUNICIPIO]],Table1[Municipio],Table1[Latitud])</f>
        <v>7,074703</v>
      </c>
      <c r="H364" s="47">
        <f>+LOOKUP(PROYECTOS2[[#This Row],[MUNICIPIO]],Table1[Municipio],Table1[PDET])</f>
        <v>1</v>
      </c>
      <c r="I364" s="45">
        <f>+LOOKUP(PROYECTOS2[[#This Row],[MUNICIPIO]],Table1[Municipio],Table1[ZOMAC])</f>
        <v>1</v>
      </c>
      <c r="J364" s="34" t="str" cm="1">
        <f t="array" ref="J364">_xlfn.TEXTJOIN(", ", TRUE, IF(radicados[ID PROYECTOS]=A364, radicados[RADICADO], ""))</f>
        <v>2025010102267</v>
      </c>
      <c r="K364" s="45">
        <v>3</v>
      </c>
      <c r="L364" s="45"/>
      <c r="M364" s="50"/>
      <c r="N364" s="48">
        <v>4178212674</v>
      </c>
      <c r="O364" s="48"/>
      <c r="P364" s="48"/>
      <c r="Q364" s="148" t="s">
        <v>1067</v>
      </c>
      <c r="R364" s="40" t="s">
        <v>288</v>
      </c>
      <c r="S364" s="92" t="s">
        <v>398</v>
      </c>
      <c r="T364" s="92" t="s">
        <v>25</v>
      </c>
      <c r="U364" s="69" t="s">
        <v>361</v>
      </c>
      <c r="V364" s="44">
        <f>+_xlfn.XLOOKUP(PROYECTOS2[[#This Row],[MUNICIPIO]],'4.CAP_ENDMNT'!B:B,'4.CAP_ENDMNT'!C:C,0,0,1)</f>
        <v>6</v>
      </c>
      <c r="W364" s="139">
        <f>+_xlfn.XLOOKUP(PROYECTOS2[[#This Row],[MUNICIPIO]],'4.CAP_ENDMNT'!B:B,'4.CAP_ENDMNT'!D:D,0,0,1)</f>
        <v>4632250570.3755007</v>
      </c>
      <c r="X364" s="140">
        <f>+_xlfn.XLOOKUP(PROYECTOS2[[#This Row],[MUNICIPIO]],'4.CAP_ENDMNT'!B:B,'4.CAP_ENDMNT'!E:E,0,0,1)</f>
        <v>2678094476.75</v>
      </c>
      <c r="Y364" s="140">
        <f>+_xlfn.XLOOKUP(PROYECTOS2[[#This Row],[MUNICIPIO]],'4.CAP_ENDMNT'!B:B,'4.CAP_ENDMNT'!F:F,0,0,1)</f>
        <v>1954156093.6255007</v>
      </c>
      <c r="Z364" s="140">
        <f>+_xlfn.XLOOKUP(PROYECTOS2[[#This Row],[MUNICIPIO]],'4.CAP_ENDMNT'!B:B,'4.CAP_ENDMNT'!G:G,0,0,1)</f>
        <v>1940610936.6700001</v>
      </c>
      <c r="AA364" s="140">
        <f>+_xlfn.XLOOKUP(PROYECTOS2[[#This Row],[MUNICIPIO]],'4.CAP_ENDMNT'!B:B,'4.CAP_ENDMNT'!H:H,0,0,1)</f>
        <v>0</v>
      </c>
      <c r="AB364" s="140">
        <f>+_xlfn.XLOOKUP(PROYECTOS2[[#This Row],[MUNICIPIO]],'4.CAP_ENDMNT'!B:B,'4.CAP_ENDMNT'!I:I,0,0,1)</f>
        <v>1940610936.6700001</v>
      </c>
      <c r="AC364" s="134">
        <f>+_xlfn.XLOOKUP(PROYECTOS2[[#This Row],[MUNICIPIO]],'4.CAP_ENDMNT'!B:B,'4.CAP_ENDMNT'!J:J,0,0,1)</f>
        <v>0.41893479361430352</v>
      </c>
      <c r="AD364" s="140">
        <f>+_xlfn.XLOOKUP(PROYECTOS2[[#This Row],[MUNICIPIO]],'4.CAP_ENDMNT'!B:B,'4.CAP_ENDMNT'!K:K,0,0,1)</f>
        <v>2691639633.7055006</v>
      </c>
      <c r="AE364" s="140">
        <f>+_xlfn.XLOOKUP(PROYECTOS2[[#This Row],[MUNICIPIO]],'4.CAP_ENDMNT'!B:B,'4.CAP_ENDMNT'!L:L,0,0,1)</f>
        <v>2153311706.9644008</v>
      </c>
      <c r="AF364" s="140">
        <f>+_xlfn.XLOOKUP(PROYECTOS2[[#This Row],[MUNICIPIO]],'4.CAP_ENDMNT'!B:B,'4.CAP_ENDMNT'!M:M,0,0,1)</f>
        <v>1614983780.2233002</v>
      </c>
      <c r="AG364" s="134">
        <f>+_xlfn.XLOOKUP(PROYECTOS2[[#This Row],[MUNICIPIO]],'4.CAP_ENDMNT'!B:B,'4.CAP_ENDMNT'!N:N,0,0,1)</f>
        <v>1</v>
      </c>
      <c r="AH364" s="134">
        <f>+_xlfn.XLOOKUP(PROYECTOS2[[#This Row],[MUNICIPIO]],'4.CAP_ENDMNT'!B:B,'4.CAP_ENDMNT'!O:O,0,0,1)</f>
        <v>0.76459744811231467</v>
      </c>
      <c r="AI364" s="134">
        <f>+_xlfn.XLOOKUP(PROYECTOS2[[#This Row],[MUNICIPIO]],'4.CAP_ENDMNT'!B:B,'4.CAP_ENDMNT'!P:P,0,0,1)</f>
        <v>0.8</v>
      </c>
      <c r="AJ364" s="44" t="str">
        <f>+_xlfn.XLOOKUP(PROYECTOS2[[#This Row],[MUNICIPIO]],'4.CAP_ENDMNT'!B:B,'4.CAP_ENDMNT'!Q:Q,0,0,1)</f>
        <v>Riesgo</v>
      </c>
    </row>
    <row r="365" spans="1:36">
      <c r="A365" s="44">
        <v>388</v>
      </c>
      <c r="B365" s="37" t="s">
        <v>363</v>
      </c>
      <c r="C365" s="118">
        <f>+_xlfn.XLOOKUP(PROYECTOS2[[#This Row],[ID_NECESIDAD]],'1.RADICADOS'!G:G,'1.RADICADOS'!C:C,0,0,1)*1</f>
        <v>45721</v>
      </c>
      <c r="D365" s="34" t="s">
        <v>362</v>
      </c>
      <c r="E365" s="47" t="str">
        <f>+_xlfn.XLOOKUP(PROYECTOS2[[#This Row],[MUNICIPIO]],MUNICIPIOS!A:A,MUNICIPIOS!E:E,0,0,1)</f>
        <v>Occidente</v>
      </c>
      <c r="F365" s="44" t="e" cm="1">
        <f t="array" ref="F365">+_xlfn.XLOOKUP(PROYECTOS2[[#This Row],[MUNICIPIO]],Table1[Municipio],MUNICIPIOS!F:F,0,0,1)</f>
        <v>#VALUE!</v>
      </c>
      <c r="G365" s="47" t="str">
        <f>+LOOKUP(PROYECTOS2[[#This Row],[MUNICIPIO]],Table1[Municipio],Table1[Latitud])</f>
        <v>6,394348</v>
      </c>
      <c r="H365" s="47">
        <f>+LOOKUP(PROYECTOS2[[#This Row],[MUNICIPIO]],Table1[Municipio],Table1[PDET])</f>
        <v>0</v>
      </c>
      <c r="I365" s="45">
        <f>+LOOKUP(PROYECTOS2[[#This Row],[MUNICIPIO]],Table1[Municipio],Table1[ZOMAC])</f>
        <v>1</v>
      </c>
      <c r="J365" s="34" t="str" cm="1">
        <f t="array" ref="J365">_xlfn.TEXTJOIN(", ", TRUE, IF(radicados[ID PROYECTOS]=A365, radicados[RADICADO], ""))</f>
        <v>2025010105056, 2025010105063</v>
      </c>
      <c r="K365" s="45">
        <v>3</v>
      </c>
      <c r="L365" s="45"/>
      <c r="M365" s="50"/>
      <c r="N365" s="48"/>
      <c r="O365" s="48"/>
      <c r="P365" s="48"/>
      <c r="Q365" s="148" t="s">
        <v>1067</v>
      </c>
      <c r="R365" s="40" t="s">
        <v>288</v>
      </c>
      <c r="S365" s="92" t="s">
        <v>398</v>
      </c>
      <c r="T365" s="92" t="s">
        <v>25</v>
      </c>
      <c r="U365" s="69" t="s">
        <v>364</v>
      </c>
      <c r="V365" s="44">
        <f>+_xlfn.XLOOKUP(PROYECTOS2[[#This Row],[MUNICIPIO]],'4.CAP_ENDMNT'!B:B,'4.CAP_ENDMNT'!C:C,0,0,1)</f>
        <v>6</v>
      </c>
      <c r="W365" s="139">
        <f>+_xlfn.XLOOKUP(PROYECTOS2[[#This Row],[MUNICIPIO]],'4.CAP_ENDMNT'!B:B,'4.CAP_ENDMNT'!D:D,0,0,1)</f>
        <v>24612921465.534</v>
      </c>
      <c r="X365" s="140">
        <f>+_xlfn.XLOOKUP(PROYECTOS2[[#This Row],[MUNICIPIO]],'4.CAP_ENDMNT'!B:B,'4.CAP_ENDMNT'!E:E,0,0,1)</f>
        <v>6692367651.6599998</v>
      </c>
      <c r="Y365" s="140">
        <f>+_xlfn.XLOOKUP(PROYECTOS2[[#This Row],[MUNICIPIO]],'4.CAP_ENDMNT'!B:B,'4.CAP_ENDMNT'!F:F,0,0,1)</f>
        <v>17920553813.874001</v>
      </c>
      <c r="Z365" s="140">
        <f>+_xlfn.XLOOKUP(PROYECTOS2[[#This Row],[MUNICIPIO]],'4.CAP_ENDMNT'!B:B,'4.CAP_ENDMNT'!G:G,0,0,1)</f>
        <v>830923107</v>
      </c>
      <c r="AA365" s="140">
        <f>+_xlfn.XLOOKUP(PROYECTOS2[[#This Row],[MUNICIPIO]],'4.CAP_ENDMNT'!B:B,'4.CAP_ENDMNT'!H:H,0,0,1)</f>
        <v>8409573820</v>
      </c>
      <c r="AB365" s="140">
        <f>+_xlfn.XLOOKUP(PROYECTOS2[[#This Row],[MUNICIPIO]],'4.CAP_ENDMNT'!B:B,'4.CAP_ENDMNT'!I:I,0,0,1)</f>
        <v>9240496927</v>
      </c>
      <c r="AC365" s="134">
        <f>+_xlfn.XLOOKUP(PROYECTOS2[[#This Row],[MUNICIPIO]],'4.CAP_ENDMNT'!B:B,'4.CAP_ENDMNT'!J:J,0,0,1)</f>
        <v>0.37543275551176097</v>
      </c>
      <c r="AD365" s="140">
        <f>+_xlfn.XLOOKUP(PROYECTOS2[[#This Row],[MUNICIPIO]],'4.CAP_ENDMNT'!B:B,'4.CAP_ENDMNT'!K:K,0,0,1)</f>
        <v>15372424538.534</v>
      </c>
      <c r="AE365" s="140">
        <f>+_xlfn.XLOOKUP(PROYECTOS2[[#This Row],[MUNICIPIO]],'4.CAP_ENDMNT'!B:B,'4.CAP_ENDMNT'!L:L,0,0,1)</f>
        <v>12297939630.827202</v>
      </c>
      <c r="AF365" s="140">
        <f>+_xlfn.XLOOKUP(PROYECTOS2[[#This Row],[MUNICIPIO]],'4.CAP_ENDMNT'!B:B,'4.CAP_ENDMNT'!M:M,0,0,1)</f>
        <v>9223454723.1203995</v>
      </c>
      <c r="AG365" s="134">
        <f>+_xlfn.XLOOKUP(PROYECTOS2[[#This Row],[MUNICIPIO]],'4.CAP_ENDMNT'!B:B,'4.CAP_ENDMNT'!N:N,0,0,1)</f>
        <v>8.9921907183596203E-2</v>
      </c>
      <c r="AH365" s="134">
        <f>+_xlfn.XLOOKUP(PROYECTOS2[[#This Row],[MUNICIPIO]],'4.CAP_ENDMNT'!B:B,'4.CAP_ENDMNT'!O:O,0,0,1)</f>
        <v>0.49254696748300181</v>
      </c>
      <c r="AI365" s="134">
        <f>+_xlfn.XLOOKUP(PROYECTOS2[[#This Row],[MUNICIPIO]],'4.CAP_ENDMNT'!B:B,'4.CAP_ENDMNT'!P:P,0,0,1)</f>
        <v>0.8</v>
      </c>
      <c r="AJ365" s="44" t="str">
        <f>+_xlfn.XLOOKUP(PROYECTOS2[[#This Row],[MUNICIPIO]],'4.CAP_ENDMNT'!B:B,'4.CAP_ENDMNT'!Q:Q,0,0,1)</f>
        <v>Cumple</v>
      </c>
    </row>
    <row r="366" spans="1:36">
      <c r="A366" s="44">
        <v>389</v>
      </c>
      <c r="B366" s="37" t="s">
        <v>686</v>
      </c>
      <c r="C366" s="118">
        <v>45747</v>
      </c>
      <c r="D366" s="34" t="s">
        <v>45</v>
      </c>
      <c r="E366" s="47" t="str">
        <f>+_xlfn.XLOOKUP(PROYECTOS2[[#This Row],[MUNICIPIO]],MUNICIPIOS!A:A,MUNICIPIOS!E:E,0,0,1)</f>
        <v>Bajo Cauca</v>
      </c>
      <c r="F366" s="44" t="e" cm="1">
        <f t="array" ref="F366">+_xlfn.XLOOKUP(PROYECTOS2[[#This Row],[MUNICIPIO]],Table1[Municipio],MUNICIPIOS!F:F,0,0,1)</f>
        <v>#VALUE!</v>
      </c>
      <c r="G366" s="47" t="str">
        <f>+LOOKUP(PROYECTOS2[[#This Row],[MUNICIPIO]],Table1[Municipio],Table1[Latitud])</f>
        <v>7,074703</v>
      </c>
      <c r="H366" s="47">
        <f>+LOOKUP(PROYECTOS2[[#This Row],[MUNICIPIO]],Table1[Municipio],Table1[PDET])</f>
        <v>1</v>
      </c>
      <c r="I366" s="45">
        <f>+LOOKUP(PROYECTOS2[[#This Row],[MUNICIPIO]],Table1[Municipio],Table1[ZOMAC])</f>
        <v>1</v>
      </c>
      <c r="J366" s="34" t="str" cm="1">
        <f t="array" ref="J366">_xlfn.TEXTJOIN(", ", TRUE, IF(radicados[ID PROYECTOS]=A366, radicados[RADICADO], ""))</f>
        <v/>
      </c>
      <c r="K366" s="45">
        <v>3</v>
      </c>
      <c r="L366" s="45"/>
      <c r="M366" s="50"/>
      <c r="N366" s="48">
        <v>2800000000</v>
      </c>
      <c r="O366" s="48"/>
      <c r="P366" s="48"/>
      <c r="Q366" s="148" t="s">
        <v>1067</v>
      </c>
      <c r="R366" s="34" t="s">
        <v>288</v>
      </c>
      <c r="S366" s="40"/>
      <c r="T366" s="40"/>
      <c r="U366" s="37" t="s">
        <v>687</v>
      </c>
      <c r="V366" s="44">
        <f>+_xlfn.XLOOKUP(PROYECTOS2[[#This Row],[MUNICIPIO]],'4.CAP_ENDMNT'!B:B,'4.CAP_ENDMNT'!C:C,0,0,1)</f>
        <v>5</v>
      </c>
      <c r="W366" s="139">
        <f>+_xlfn.XLOOKUP(PROYECTOS2[[#This Row],[MUNICIPIO]],'4.CAP_ENDMNT'!B:B,'4.CAP_ENDMNT'!D:D,0,0,1)</f>
        <v>55415011363.643501</v>
      </c>
      <c r="X366" s="140">
        <f>+_xlfn.XLOOKUP(PROYECTOS2[[#This Row],[MUNICIPIO]],'4.CAP_ENDMNT'!B:B,'4.CAP_ENDMNT'!E:E,0,0,1)</f>
        <v>24252117123.400002</v>
      </c>
      <c r="Y366" s="140">
        <f>+_xlfn.XLOOKUP(PROYECTOS2[[#This Row],[MUNICIPIO]],'4.CAP_ENDMNT'!B:B,'4.CAP_ENDMNT'!F:F,0,0,1)</f>
        <v>31162894240.2435</v>
      </c>
      <c r="Z366" s="140">
        <f>+_xlfn.XLOOKUP(PROYECTOS2[[#This Row],[MUNICIPIO]],'4.CAP_ENDMNT'!B:B,'4.CAP_ENDMNT'!G:G,0,0,1)</f>
        <v>8970758412</v>
      </c>
      <c r="AA366" s="140">
        <f>+_xlfn.XLOOKUP(PROYECTOS2[[#This Row],[MUNICIPIO]],'4.CAP_ENDMNT'!B:B,'4.CAP_ENDMNT'!H:H,0,0,1)</f>
        <v>3572173854.98</v>
      </c>
      <c r="AB366" s="140">
        <f>+_xlfn.XLOOKUP(PROYECTOS2[[#This Row],[MUNICIPIO]],'4.CAP_ENDMNT'!B:B,'4.CAP_ENDMNT'!I:I,0,0,1)</f>
        <v>12542932266.98</v>
      </c>
      <c r="AC366" s="134">
        <f>+_xlfn.XLOOKUP(PROYECTOS2[[#This Row],[MUNICIPIO]],'4.CAP_ENDMNT'!B:B,'4.CAP_ENDMNT'!J:J,0,0,1)</f>
        <v>0.22634538834019124</v>
      </c>
      <c r="AD366" s="140">
        <f>+_xlfn.XLOOKUP(PROYECTOS2[[#This Row],[MUNICIPIO]],'4.CAP_ENDMNT'!B:B,'4.CAP_ENDMNT'!K:K,0,0,1)</f>
        <v>42872079096.663498</v>
      </c>
      <c r="AE366" s="140">
        <f>+_xlfn.XLOOKUP(PROYECTOS2[[#This Row],[MUNICIPIO]],'4.CAP_ENDMNT'!B:B,'4.CAP_ENDMNT'!L:L,0,0,1)</f>
        <v>34297663277.330799</v>
      </c>
      <c r="AF366" s="140">
        <f>+_xlfn.XLOOKUP(PROYECTOS2[[#This Row],[MUNICIPIO]],'4.CAP_ENDMNT'!B:B,'4.CAP_ENDMNT'!M:M,0,0,1)</f>
        <v>25723247457.998096</v>
      </c>
      <c r="AG366" s="134">
        <f>+_xlfn.XLOOKUP(PROYECTOS2[[#This Row],[MUNICIPIO]],'4.CAP_ENDMNT'!B:B,'4.CAP_ENDMNT'!N:N,0,0,1)</f>
        <v>0.71520424578996133</v>
      </c>
      <c r="AH366" s="134">
        <f>+_xlfn.XLOOKUP(PROYECTOS2[[#This Row],[MUNICIPIO]],'4.CAP_ENDMNT'!B:B,'4.CAP_ENDMNT'!O:O,0,0,1)</f>
        <v>0.67052010826145281</v>
      </c>
      <c r="AI366" s="134">
        <f>+_xlfn.XLOOKUP(PROYECTOS2[[#This Row],[MUNICIPIO]],'4.CAP_ENDMNT'!B:B,'4.CAP_ENDMNT'!P:P,0,0,1)</f>
        <v>0.8</v>
      </c>
      <c r="AJ366" s="44" t="str">
        <f>+_xlfn.XLOOKUP(PROYECTOS2[[#This Row],[MUNICIPIO]],'4.CAP_ENDMNT'!B:B,'4.CAP_ENDMNT'!Q:Q,0,0,1)</f>
        <v>Cumple</v>
      </c>
    </row>
    <row r="367" spans="1:36">
      <c r="A367" s="44">
        <v>390</v>
      </c>
      <c r="B367" s="37" t="s">
        <v>688</v>
      </c>
      <c r="C367" s="118">
        <v>45747</v>
      </c>
      <c r="D367" s="34" t="s">
        <v>45</v>
      </c>
      <c r="E367" s="47" t="str">
        <f>+_xlfn.XLOOKUP(PROYECTOS2[[#This Row],[MUNICIPIO]],MUNICIPIOS!A:A,MUNICIPIOS!E:E,0,0,1)</f>
        <v>Bajo Cauca</v>
      </c>
      <c r="F367" s="44" t="e" cm="1">
        <f t="array" ref="F367">+_xlfn.XLOOKUP(PROYECTOS2[[#This Row],[MUNICIPIO]],Table1[Municipio],MUNICIPIOS!F:F,0,0,1)</f>
        <v>#VALUE!</v>
      </c>
      <c r="G367" s="47" t="str">
        <f>+LOOKUP(PROYECTOS2[[#This Row],[MUNICIPIO]],Table1[Municipio],Table1[Latitud])</f>
        <v>7,074703</v>
      </c>
      <c r="H367" s="47">
        <f>+LOOKUP(PROYECTOS2[[#This Row],[MUNICIPIO]],Table1[Municipio],Table1[PDET])</f>
        <v>1</v>
      </c>
      <c r="I367" s="45">
        <f>+LOOKUP(PROYECTOS2[[#This Row],[MUNICIPIO]],Table1[Municipio],Table1[ZOMAC])</f>
        <v>1</v>
      </c>
      <c r="J367" s="34" t="str" cm="1">
        <f t="array" ref="J367">_xlfn.TEXTJOIN(", ", TRUE, IF(radicados[ID PROYECTOS]=A367, radicados[RADICADO], ""))</f>
        <v/>
      </c>
      <c r="K367" s="45">
        <v>3</v>
      </c>
      <c r="L367" s="45"/>
      <c r="M367" s="50"/>
      <c r="N367" s="48">
        <v>3000000000</v>
      </c>
      <c r="O367" s="48"/>
      <c r="P367" s="48"/>
      <c r="Q367" s="148" t="s">
        <v>1067</v>
      </c>
      <c r="R367" s="34" t="s">
        <v>288</v>
      </c>
      <c r="S367" s="40"/>
      <c r="T367" s="40"/>
      <c r="U367" s="37" t="s">
        <v>687</v>
      </c>
      <c r="V367" s="44">
        <f>+_xlfn.XLOOKUP(PROYECTOS2[[#This Row],[MUNICIPIO]],'4.CAP_ENDMNT'!B:B,'4.CAP_ENDMNT'!C:C,0,0,1)</f>
        <v>5</v>
      </c>
      <c r="W367" s="139">
        <f>+_xlfn.XLOOKUP(PROYECTOS2[[#This Row],[MUNICIPIO]],'4.CAP_ENDMNT'!B:B,'4.CAP_ENDMNT'!D:D,0,0,1)</f>
        <v>55415011363.643501</v>
      </c>
      <c r="X367" s="140">
        <f>+_xlfn.XLOOKUP(PROYECTOS2[[#This Row],[MUNICIPIO]],'4.CAP_ENDMNT'!B:B,'4.CAP_ENDMNT'!E:E,0,0,1)</f>
        <v>24252117123.400002</v>
      </c>
      <c r="Y367" s="140">
        <f>+_xlfn.XLOOKUP(PROYECTOS2[[#This Row],[MUNICIPIO]],'4.CAP_ENDMNT'!B:B,'4.CAP_ENDMNT'!F:F,0,0,1)</f>
        <v>31162894240.2435</v>
      </c>
      <c r="Z367" s="140">
        <f>+_xlfn.XLOOKUP(PROYECTOS2[[#This Row],[MUNICIPIO]],'4.CAP_ENDMNT'!B:B,'4.CAP_ENDMNT'!G:G,0,0,1)</f>
        <v>8970758412</v>
      </c>
      <c r="AA367" s="140">
        <f>+_xlfn.XLOOKUP(PROYECTOS2[[#This Row],[MUNICIPIO]],'4.CAP_ENDMNT'!B:B,'4.CAP_ENDMNT'!H:H,0,0,1)</f>
        <v>3572173854.98</v>
      </c>
      <c r="AB367" s="140">
        <f>+_xlfn.XLOOKUP(PROYECTOS2[[#This Row],[MUNICIPIO]],'4.CAP_ENDMNT'!B:B,'4.CAP_ENDMNT'!I:I,0,0,1)</f>
        <v>12542932266.98</v>
      </c>
      <c r="AC367" s="134">
        <f>+_xlfn.XLOOKUP(PROYECTOS2[[#This Row],[MUNICIPIO]],'4.CAP_ENDMNT'!B:B,'4.CAP_ENDMNT'!J:J,0,0,1)</f>
        <v>0.22634538834019124</v>
      </c>
      <c r="AD367" s="140">
        <f>+_xlfn.XLOOKUP(PROYECTOS2[[#This Row],[MUNICIPIO]],'4.CAP_ENDMNT'!B:B,'4.CAP_ENDMNT'!K:K,0,0,1)</f>
        <v>42872079096.663498</v>
      </c>
      <c r="AE367" s="140">
        <f>+_xlfn.XLOOKUP(PROYECTOS2[[#This Row],[MUNICIPIO]],'4.CAP_ENDMNT'!B:B,'4.CAP_ENDMNT'!L:L,0,0,1)</f>
        <v>34297663277.330799</v>
      </c>
      <c r="AF367" s="140">
        <f>+_xlfn.XLOOKUP(PROYECTOS2[[#This Row],[MUNICIPIO]],'4.CAP_ENDMNT'!B:B,'4.CAP_ENDMNT'!M:M,0,0,1)</f>
        <v>25723247457.998096</v>
      </c>
      <c r="AG367" s="134">
        <f>+_xlfn.XLOOKUP(PROYECTOS2[[#This Row],[MUNICIPIO]],'4.CAP_ENDMNT'!B:B,'4.CAP_ENDMNT'!N:N,0,0,1)</f>
        <v>0.71520424578996133</v>
      </c>
      <c r="AH367" s="134">
        <f>+_xlfn.XLOOKUP(PROYECTOS2[[#This Row],[MUNICIPIO]],'4.CAP_ENDMNT'!B:B,'4.CAP_ENDMNT'!O:O,0,0,1)</f>
        <v>0.67052010826145281</v>
      </c>
      <c r="AI367" s="134">
        <f>+_xlfn.XLOOKUP(PROYECTOS2[[#This Row],[MUNICIPIO]],'4.CAP_ENDMNT'!B:B,'4.CAP_ENDMNT'!P:P,0,0,1)</f>
        <v>0.8</v>
      </c>
      <c r="AJ367" s="44" t="str">
        <f>+_xlfn.XLOOKUP(PROYECTOS2[[#This Row],[MUNICIPIO]],'4.CAP_ENDMNT'!B:B,'4.CAP_ENDMNT'!Q:Q,0,0,1)</f>
        <v>Cumple</v>
      </c>
    </row>
    <row r="368" spans="1:36">
      <c r="A368" s="44">
        <v>391</v>
      </c>
      <c r="B368" s="37" t="s">
        <v>689</v>
      </c>
      <c r="C368" s="118">
        <v>45747</v>
      </c>
      <c r="D368" s="34" t="s">
        <v>45</v>
      </c>
      <c r="E368" s="47" t="str">
        <f>+_xlfn.XLOOKUP(PROYECTOS2[[#This Row],[MUNICIPIO]],MUNICIPIOS!A:A,MUNICIPIOS!E:E,0,0,1)</f>
        <v>Bajo Cauca</v>
      </c>
      <c r="F368" s="44" t="e" cm="1">
        <f t="array" ref="F368">+_xlfn.XLOOKUP(PROYECTOS2[[#This Row],[MUNICIPIO]],Table1[Municipio],MUNICIPIOS!F:F,0,0,1)</f>
        <v>#VALUE!</v>
      </c>
      <c r="G368" s="47" t="str">
        <f>+LOOKUP(PROYECTOS2[[#This Row],[MUNICIPIO]],Table1[Municipio],Table1[Latitud])</f>
        <v>7,074703</v>
      </c>
      <c r="H368" s="47">
        <f>+LOOKUP(PROYECTOS2[[#This Row],[MUNICIPIO]],Table1[Municipio],Table1[PDET])</f>
        <v>1</v>
      </c>
      <c r="I368" s="45">
        <f>+LOOKUP(PROYECTOS2[[#This Row],[MUNICIPIO]],Table1[Municipio],Table1[ZOMAC])</f>
        <v>1</v>
      </c>
      <c r="J368" s="34" t="str" cm="1">
        <f t="array" ref="J368">_xlfn.TEXTJOIN(", ", TRUE, IF(radicados[ID PROYECTOS]=A368, radicados[RADICADO], ""))</f>
        <v/>
      </c>
      <c r="K368" s="45">
        <v>3</v>
      </c>
      <c r="L368" s="45"/>
      <c r="M368" s="50"/>
      <c r="N368" s="48">
        <v>8000000000</v>
      </c>
      <c r="O368" s="48"/>
      <c r="P368" s="48"/>
      <c r="Q368" s="148" t="s">
        <v>1067</v>
      </c>
      <c r="R368" s="34" t="s">
        <v>288</v>
      </c>
      <c r="S368" s="40"/>
      <c r="T368" s="40"/>
      <c r="U368" s="37" t="s">
        <v>687</v>
      </c>
      <c r="V368" s="44">
        <f>+_xlfn.XLOOKUP(PROYECTOS2[[#This Row],[MUNICIPIO]],'4.CAP_ENDMNT'!B:B,'4.CAP_ENDMNT'!C:C,0,0,1)</f>
        <v>5</v>
      </c>
      <c r="W368" s="139">
        <f>+_xlfn.XLOOKUP(PROYECTOS2[[#This Row],[MUNICIPIO]],'4.CAP_ENDMNT'!B:B,'4.CAP_ENDMNT'!D:D,0,0,1)</f>
        <v>55415011363.643501</v>
      </c>
      <c r="X368" s="140">
        <f>+_xlfn.XLOOKUP(PROYECTOS2[[#This Row],[MUNICIPIO]],'4.CAP_ENDMNT'!B:B,'4.CAP_ENDMNT'!E:E,0,0,1)</f>
        <v>24252117123.400002</v>
      </c>
      <c r="Y368" s="140">
        <f>+_xlfn.XLOOKUP(PROYECTOS2[[#This Row],[MUNICIPIO]],'4.CAP_ENDMNT'!B:B,'4.CAP_ENDMNT'!F:F,0,0,1)</f>
        <v>31162894240.2435</v>
      </c>
      <c r="Z368" s="140">
        <f>+_xlfn.XLOOKUP(PROYECTOS2[[#This Row],[MUNICIPIO]],'4.CAP_ENDMNT'!B:B,'4.CAP_ENDMNT'!G:G,0,0,1)</f>
        <v>8970758412</v>
      </c>
      <c r="AA368" s="140">
        <f>+_xlfn.XLOOKUP(PROYECTOS2[[#This Row],[MUNICIPIO]],'4.CAP_ENDMNT'!B:B,'4.CAP_ENDMNT'!H:H,0,0,1)</f>
        <v>3572173854.98</v>
      </c>
      <c r="AB368" s="140">
        <f>+_xlfn.XLOOKUP(PROYECTOS2[[#This Row],[MUNICIPIO]],'4.CAP_ENDMNT'!B:B,'4.CAP_ENDMNT'!I:I,0,0,1)</f>
        <v>12542932266.98</v>
      </c>
      <c r="AC368" s="134">
        <f>+_xlfn.XLOOKUP(PROYECTOS2[[#This Row],[MUNICIPIO]],'4.CAP_ENDMNT'!B:B,'4.CAP_ENDMNT'!J:J,0,0,1)</f>
        <v>0.22634538834019124</v>
      </c>
      <c r="AD368" s="140">
        <f>+_xlfn.XLOOKUP(PROYECTOS2[[#This Row],[MUNICIPIO]],'4.CAP_ENDMNT'!B:B,'4.CAP_ENDMNT'!K:K,0,0,1)</f>
        <v>42872079096.663498</v>
      </c>
      <c r="AE368" s="140">
        <f>+_xlfn.XLOOKUP(PROYECTOS2[[#This Row],[MUNICIPIO]],'4.CAP_ENDMNT'!B:B,'4.CAP_ENDMNT'!L:L,0,0,1)</f>
        <v>34297663277.330799</v>
      </c>
      <c r="AF368" s="140">
        <f>+_xlfn.XLOOKUP(PROYECTOS2[[#This Row],[MUNICIPIO]],'4.CAP_ENDMNT'!B:B,'4.CAP_ENDMNT'!M:M,0,0,1)</f>
        <v>25723247457.998096</v>
      </c>
      <c r="AG368" s="134">
        <f>+_xlfn.XLOOKUP(PROYECTOS2[[#This Row],[MUNICIPIO]],'4.CAP_ENDMNT'!B:B,'4.CAP_ENDMNT'!N:N,0,0,1)</f>
        <v>0.71520424578996133</v>
      </c>
      <c r="AH368" s="134">
        <f>+_xlfn.XLOOKUP(PROYECTOS2[[#This Row],[MUNICIPIO]],'4.CAP_ENDMNT'!B:B,'4.CAP_ENDMNT'!O:O,0,0,1)</f>
        <v>0.67052010826145281</v>
      </c>
      <c r="AI368" s="134">
        <f>+_xlfn.XLOOKUP(PROYECTOS2[[#This Row],[MUNICIPIO]],'4.CAP_ENDMNT'!B:B,'4.CAP_ENDMNT'!P:P,0,0,1)</f>
        <v>0.8</v>
      </c>
      <c r="AJ368" s="44" t="str">
        <f>+_xlfn.XLOOKUP(PROYECTOS2[[#This Row],[MUNICIPIO]],'4.CAP_ENDMNT'!B:B,'4.CAP_ENDMNT'!Q:Q,0,0,1)</f>
        <v>Cumple</v>
      </c>
    </row>
    <row r="369" spans="1:36">
      <c r="A369" s="44">
        <v>392</v>
      </c>
      <c r="B369" s="37" t="s">
        <v>690</v>
      </c>
      <c r="C369" s="118">
        <v>45747</v>
      </c>
      <c r="D369" s="34" t="s">
        <v>45</v>
      </c>
      <c r="E369" s="47" t="str">
        <f>+_xlfn.XLOOKUP(PROYECTOS2[[#This Row],[MUNICIPIO]],MUNICIPIOS!A:A,MUNICIPIOS!E:E,0,0,1)</f>
        <v>Bajo Cauca</v>
      </c>
      <c r="F369" s="44" t="e" cm="1">
        <f t="array" ref="F369">+_xlfn.XLOOKUP(PROYECTOS2[[#This Row],[MUNICIPIO]],Table1[Municipio],MUNICIPIOS!F:F,0,0,1)</f>
        <v>#VALUE!</v>
      </c>
      <c r="G369" s="47" t="str">
        <f>+LOOKUP(PROYECTOS2[[#This Row],[MUNICIPIO]],Table1[Municipio],Table1[Latitud])</f>
        <v>7,074703</v>
      </c>
      <c r="H369" s="47">
        <f>+LOOKUP(PROYECTOS2[[#This Row],[MUNICIPIO]],Table1[Municipio],Table1[PDET])</f>
        <v>1</v>
      </c>
      <c r="I369" s="45">
        <f>+LOOKUP(PROYECTOS2[[#This Row],[MUNICIPIO]],Table1[Municipio],Table1[ZOMAC])</f>
        <v>1</v>
      </c>
      <c r="J369" s="34" t="str" cm="1">
        <f t="array" ref="J369">_xlfn.TEXTJOIN(", ", TRUE, IF(radicados[ID PROYECTOS]=A369, radicados[RADICADO], ""))</f>
        <v/>
      </c>
      <c r="K369" s="45">
        <v>3</v>
      </c>
      <c r="L369" s="45"/>
      <c r="M369" s="50"/>
      <c r="N369" s="48">
        <v>1800000000</v>
      </c>
      <c r="O369" s="48"/>
      <c r="P369" s="48"/>
      <c r="Q369" s="148" t="s">
        <v>1067</v>
      </c>
      <c r="R369" s="34" t="s">
        <v>401</v>
      </c>
      <c r="S369" s="40"/>
      <c r="T369" s="40"/>
      <c r="U369" s="37" t="s">
        <v>687</v>
      </c>
      <c r="V369" s="44">
        <f>+_xlfn.XLOOKUP(PROYECTOS2[[#This Row],[MUNICIPIO]],'4.CAP_ENDMNT'!B:B,'4.CAP_ENDMNT'!C:C,0,0,1)</f>
        <v>5</v>
      </c>
      <c r="W369" s="139">
        <f>+_xlfn.XLOOKUP(PROYECTOS2[[#This Row],[MUNICIPIO]],'4.CAP_ENDMNT'!B:B,'4.CAP_ENDMNT'!D:D,0,0,1)</f>
        <v>55415011363.643501</v>
      </c>
      <c r="X369" s="140">
        <f>+_xlfn.XLOOKUP(PROYECTOS2[[#This Row],[MUNICIPIO]],'4.CAP_ENDMNT'!B:B,'4.CAP_ENDMNT'!E:E,0,0,1)</f>
        <v>24252117123.400002</v>
      </c>
      <c r="Y369" s="140">
        <f>+_xlfn.XLOOKUP(PROYECTOS2[[#This Row],[MUNICIPIO]],'4.CAP_ENDMNT'!B:B,'4.CAP_ENDMNT'!F:F,0,0,1)</f>
        <v>31162894240.2435</v>
      </c>
      <c r="Z369" s="140">
        <f>+_xlfn.XLOOKUP(PROYECTOS2[[#This Row],[MUNICIPIO]],'4.CAP_ENDMNT'!B:B,'4.CAP_ENDMNT'!G:G,0,0,1)</f>
        <v>8970758412</v>
      </c>
      <c r="AA369" s="140">
        <f>+_xlfn.XLOOKUP(PROYECTOS2[[#This Row],[MUNICIPIO]],'4.CAP_ENDMNT'!B:B,'4.CAP_ENDMNT'!H:H,0,0,1)</f>
        <v>3572173854.98</v>
      </c>
      <c r="AB369" s="140">
        <f>+_xlfn.XLOOKUP(PROYECTOS2[[#This Row],[MUNICIPIO]],'4.CAP_ENDMNT'!B:B,'4.CAP_ENDMNT'!I:I,0,0,1)</f>
        <v>12542932266.98</v>
      </c>
      <c r="AC369" s="134">
        <f>+_xlfn.XLOOKUP(PROYECTOS2[[#This Row],[MUNICIPIO]],'4.CAP_ENDMNT'!B:B,'4.CAP_ENDMNT'!J:J,0,0,1)</f>
        <v>0.22634538834019124</v>
      </c>
      <c r="AD369" s="140">
        <f>+_xlfn.XLOOKUP(PROYECTOS2[[#This Row],[MUNICIPIO]],'4.CAP_ENDMNT'!B:B,'4.CAP_ENDMNT'!K:K,0,0,1)</f>
        <v>42872079096.663498</v>
      </c>
      <c r="AE369" s="140">
        <f>+_xlfn.XLOOKUP(PROYECTOS2[[#This Row],[MUNICIPIO]],'4.CAP_ENDMNT'!B:B,'4.CAP_ENDMNT'!L:L,0,0,1)</f>
        <v>34297663277.330799</v>
      </c>
      <c r="AF369" s="140">
        <f>+_xlfn.XLOOKUP(PROYECTOS2[[#This Row],[MUNICIPIO]],'4.CAP_ENDMNT'!B:B,'4.CAP_ENDMNT'!M:M,0,0,1)</f>
        <v>25723247457.998096</v>
      </c>
      <c r="AG369" s="134">
        <f>+_xlfn.XLOOKUP(PROYECTOS2[[#This Row],[MUNICIPIO]],'4.CAP_ENDMNT'!B:B,'4.CAP_ENDMNT'!N:N,0,0,1)</f>
        <v>0.71520424578996133</v>
      </c>
      <c r="AH369" s="134">
        <f>+_xlfn.XLOOKUP(PROYECTOS2[[#This Row],[MUNICIPIO]],'4.CAP_ENDMNT'!B:B,'4.CAP_ENDMNT'!O:O,0,0,1)</f>
        <v>0.67052010826145281</v>
      </c>
      <c r="AI369" s="134">
        <f>+_xlfn.XLOOKUP(PROYECTOS2[[#This Row],[MUNICIPIO]],'4.CAP_ENDMNT'!B:B,'4.CAP_ENDMNT'!P:P,0,0,1)</f>
        <v>0.8</v>
      </c>
      <c r="AJ369" s="44" t="str">
        <f>+_xlfn.XLOOKUP(PROYECTOS2[[#This Row],[MUNICIPIO]],'4.CAP_ENDMNT'!B:B,'4.CAP_ENDMNT'!Q:Q,0,0,1)</f>
        <v>Cumple</v>
      </c>
    </row>
    <row r="370" spans="1:36">
      <c r="A370" s="44">
        <v>393</v>
      </c>
      <c r="B370" s="37" t="s">
        <v>691</v>
      </c>
      <c r="C370" s="118">
        <v>45747</v>
      </c>
      <c r="D370" s="34" t="s">
        <v>692</v>
      </c>
      <c r="E370" s="47" t="str">
        <f>+_xlfn.XLOOKUP(PROYECTOS2[[#This Row],[MUNICIPIO]],MUNICIPIOS!A:A,MUNICIPIOS!E:E,0,0,1)</f>
        <v>Bajo Cauca</v>
      </c>
      <c r="F370" s="44" t="e" cm="1">
        <f t="array" ref="F370">+_xlfn.XLOOKUP(PROYECTOS2[[#This Row],[MUNICIPIO]],Table1[Municipio],MUNICIPIOS!F:F,0,0,1)</f>
        <v>#VALUE!</v>
      </c>
      <c r="G370" s="47" t="str">
        <f>+LOOKUP(PROYECTOS2[[#This Row],[MUNICIPIO]],Table1[Municipio],Table1[Latitud])</f>
        <v>6,149903</v>
      </c>
      <c r="H370" s="47">
        <f>+LOOKUP(PROYECTOS2[[#This Row],[MUNICIPIO]],Table1[Municipio],Table1[PDET])</f>
        <v>0</v>
      </c>
      <c r="I370" s="45">
        <f>+LOOKUP(PROYECTOS2[[#This Row],[MUNICIPIO]],Table1[Municipio],Table1[ZOMAC])</f>
        <v>0</v>
      </c>
      <c r="J370" s="34" t="str" cm="1">
        <f t="array" ref="J370">_xlfn.TEXTJOIN(", ", TRUE, IF(radicados[ID PROYECTOS]=A370, radicados[RADICADO], ""))</f>
        <v/>
      </c>
      <c r="K370" s="45">
        <v>3</v>
      </c>
      <c r="L370" s="45"/>
      <c r="M370" s="50"/>
      <c r="N370" s="48">
        <v>4000000000</v>
      </c>
      <c r="O370" s="48"/>
      <c r="P370" s="48"/>
      <c r="Q370" s="148" t="s">
        <v>1067</v>
      </c>
      <c r="R370" s="34" t="s">
        <v>401</v>
      </c>
      <c r="S370" s="40"/>
      <c r="T370" s="40"/>
      <c r="U370" s="37" t="s">
        <v>687</v>
      </c>
      <c r="V370" s="44">
        <f>+_xlfn.XLOOKUP(PROYECTOS2[[#This Row],[MUNICIPIO]],'4.CAP_ENDMNT'!B:B,'4.CAP_ENDMNT'!C:C,0,0,1)</f>
        <v>6</v>
      </c>
      <c r="W370" s="139">
        <f>+_xlfn.XLOOKUP(PROYECTOS2[[#This Row],[MUNICIPIO]],'4.CAP_ENDMNT'!B:B,'4.CAP_ENDMNT'!D:D,0,0,1)</f>
        <v>12386294028.284</v>
      </c>
      <c r="X370" s="140">
        <f>+_xlfn.XLOOKUP(PROYECTOS2[[#This Row],[MUNICIPIO]],'4.CAP_ENDMNT'!B:B,'4.CAP_ENDMNT'!E:E,0,0,1)</f>
        <v>5371610026.9800005</v>
      </c>
      <c r="Y370" s="140">
        <f>+_xlfn.XLOOKUP(PROYECTOS2[[#This Row],[MUNICIPIO]],'4.CAP_ENDMNT'!B:B,'4.CAP_ENDMNT'!F:F,0,0,1)</f>
        <v>7014684001.3039999</v>
      </c>
      <c r="Z370" s="140">
        <f>+_xlfn.XLOOKUP(PROYECTOS2[[#This Row],[MUNICIPIO]],'4.CAP_ENDMNT'!B:B,'4.CAP_ENDMNT'!G:G,0,0,1)</f>
        <v>1476389847</v>
      </c>
      <c r="AA370" s="140">
        <f>+_xlfn.XLOOKUP(PROYECTOS2[[#This Row],[MUNICIPIO]],'4.CAP_ENDMNT'!B:B,'4.CAP_ENDMNT'!H:H,0,0,1)</f>
        <v>1615533927.0799999</v>
      </c>
      <c r="AB370" s="140">
        <f>+_xlfn.XLOOKUP(PROYECTOS2[[#This Row],[MUNICIPIO]],'4.CAP_ENDMNT'!B:B,'4.CAP_ENDMNT'!I:I,0,0,1)</f>
        <v>3091923774.0799999</v>
      </c>
      <c r="AC370" s="134">
        <f>+_xlfn.XLOOKUP(PROYECTOS2[[#This Row],[MUNICIPIO]],'4.CAP_ENDMNT'!B:B,'4.CAP_ENDMNT'!J:J,0,0,1)</f>
        <v>0.24962460660304184</v>
      </c>
      <c r="AD370" s="140">
        <f>+_xlfn.XLOOKUP(PROYECTOS2[[#This Row],[MUNICIPIO]],'4.CAP_ENDMNT'!B:B,'4.CAP_ENDMNT'!K:K,0,0,1)</f>
        <v>9294370254.2040005</v>
      </c>
      <c r="AE370" s="140">
        <f>+_xlfn.XLOOKUP(PROYECTOS2[[#This Row],[MUNICIPIO]],'4.CAP_ENDMNT'!B:B,'4.CAP_ENDMNT'!L:L,0,0,1)</f>
        <v>7435496203.3632011</v>
      </c>
      <c r="AF370" s="140">
        <f>+_xlfn.XLOOKUP(PROYECTOS2[[#This Row],[MUNICIPIO]],'4.CAP_ENDMNT'!B:B,'4.CAP_ENDMNT'!M:M,0,0,1)</f>
        <v>5576622152.5223999</v>
      </c>
      <c r="AG370" s="134">
        <f>+_xlfn.XLOOKUP(PROYECTOS2[[#This Row],[MUNICIPIO]],'4.CAP_ENDMNT'!B:B,'4.CAP_ENDMNT'!N:N,0,0,1)</f>
        <v>0.47749878550589397</v>
      </c>
      <c r="AH370" s="134">
        <f>+_xlfn.XLOOKUP(PROYECTOS2[[#This Row],[MUNICIPIO]],'4.CAP_ENDMNT'!B:B,'4.CAP_ENDMNT'!O:O,0,0,1)</f>
        <v>0.88953529502502671</v>
      </c>
      <c r="AI370" s="134">
        <f>+_xlfn.XLOOKUP(PROYECTOS2[[#This Row],[MUNICIPIO]],'4.CAP_ENDMNT'!B:B,'4.CAP_ENDMNT'!P:P,0,0,1)</f>
        <v>0.8</v>
      </c>
      <c r="AJ370" s="44" t="str">
        <f>+_xlfn.XLOOKUP(PROYECTOS2[[#This Row],[MUNICIPIO]],'4.CAP_ENDMNT'!B:B,'4.CAP_ENDMNT'!Q:Q,0,0,1)</f>
        <v>Incumple</v>
      </c>
    </row>
    <row r="371" spans="1:36">
      <c r="A371" s="44">
        <v>394</v>
      </c>
      <c r="B371" s="37" t="s">
        <v>693</v>
      </c>
      <c r="C371" s="118">
        <v>45747</v>
      </c>
      <c r="D371" s="34" t="s">
        <v>329</v>
      </c>
      <c r="E371" s="47" t="str">
        <f>+_xlfn.XLOOKUP(PROYECTOS2[[#This Row],[MUNICIPIO]],MUNICIPIOS!A:A,MUNICIPIOS!E:E,0,0,1)</f>
        <v>Bajo Cauca</v>
      </c>
      <c r="F371" s="44" t="e" cm="1">
        <f t="array" ref="F371">+_xlfn.XLOOKUP(PROYECTOS2[[#This Row],[MUNICIPIO]],Table1[Municipio],MUNICIPIOS!F:F,0,0,1)</f>
        <v>#VALUE!</v>
      </c>
      <c r="G371" s="47" t="str">
        <f>+LOOKUP(PROYECTOS2[[#This Row],[MUNICIPIO]],Table1[Municipio],Table1[Latitud])</f>
        <v>6,246631</v>
      </c>
      <c r="H371" s="47">
        <f>+LOOKUP(PROYECTOS2[[#This Row],[MUNICIPIO]],Table1[Municipio],Table1[PDET])</f>
        <v>0</v>
      </c>
      <c r="I371" s="45">
        <f>+LOOKUP(PROYECTOS2[[#This Row],[MUNICIPIO]],Table1[Municipio],Table1[ZOMAC])</f>
        <v>0</v>
      </c>
      <c r="J371" s="34" t="str" cm="1">
        <f t="array" ref="J371">_xlfn.TEXTJOIN(", ", TRUE, IF(radicados[ID PROYECTOS]=A371, radicados[RADICADO], ""))</f>
        <v/>
      </c>
      <c r="K371" s="45">
        <v>1</v>
      </c>
      <c r="L371" s="45"/>
      <c r="M371" s="50"/>
      <c r="N371" s="72"/>
      <c r="O371" s="72"/>
      <c r="P371" s="72"/>
      <c r="Q371" s="148" t="s">
        <v>1067</v>
      </c>
      <c r="R371" s="34" t="s">
        <v>396</v>
      </c>
      <c r="S371" s="40" t="s">
        <v>397</v>
      </c>
      <c r="T371" s="40" t="s">
        <v>56</v>
      </c>
      <c r="U371" s="37" t="s">
        <v>687</v>
      </c>
      <c r="V371" s="44">
        <f>+_xlfn.XLOOKUP(PROYECTOS2[[#This Row],[MUNICIPIO]],'4.CAP_ENDMNT'!B:B,'4.CAP_ENDMNT'!C:C,0,0,1)</f>
        <v>6</v>
      </c>
      <c r="W371" s="139">
        <f>+_xlfn.XLOOKUP(PROYECTOS2[[#This Row],[MUNICIPIO]],'4.CAP_ENDMNT'!B:B,'4.CAP_ENDMNT'!D:D,0,0,1)</f>
        <v>17207529181.433002</v>
      </c>
      <c r="X371" s="140">
        <f>+_xlfn.XLOOKUP(PROYECTOS2[[#This Row],[MUNICIPIO]],'4.CAP_ENDMNT'!B:B,'4.CAP_ENDMNT'!E:E,0,0,1)</f>
        <v>3556882387.1300001</v>
      </c>
      <c r="Y371" s="140">
        <f>+_xlfn.XLOOKUP(PROYECTOS2[[#This Row],[MUNICIPIO]],'4.CAP_ENDMNT'!B:B,'4.CAP_ENDMNT'!F:F,0,0,1)</f>
        <v>13650646794.303001</v>
      </c>
      <c r="Z371" s="140">
        <f>+_xlfn.XLOOKUP(PROYECTOS2[[#This Row],[MUNICIPIO]],'4.CAP_ENDMNT'!B:B,'4.CAP_ENDMNT'!G:G,0,0,1)</f>
        <v>2981910160</v>
      </c>
      <c r="AA371" s="140">
        <f>+_xlfn.XLOOKUP(PROYECTOS2[[#This Row],[MUNICIPIO]],'4.CAP_ENDMNT'!B:B,'4.CAP_ENDMNT'!H:H,0,0,1)</f>
        <v>5898924731</v>
      </c>
      <c r="AB371" s="140">
        <f>+_xlfn.XLOOKUP(PROYECTOS2[[#This Row],[MUNICIPIO]],'4.CAP_ENDMNT'!B:B,'4.CAP_ENDMNT'!I:I,0,0,1)</f>
        <v>8880834891</v>
      </c>
      <c r="AC371" s="134">
        <f>+_xlfn.XLOOKUP(PROYECTOS2[[#This Row],[MUNICIPIO]],'4.CAP_ENDMNT'!B:B,'4.CAP_ENDMNT'!J:J,0,0,1)</f>
        <v>0.51610168998478057</v>
      </c>
      <c r="AD371" s="140">
        <f>+_xlfn.XLOOKUP(PROYECTOS2[[#This Row],[MUNICIPIO]],'4.CAP_ENDMNT'!B:B,'4.CAP_ENDMNT'!K:K,0,0,1)</f>
        <v>8326694290.4330025</v>
      </c>
      <c r="AE371" s="140">
        <f>+_xlfn.XLOOKUP(PROYECTOS2[[#This Row],[MUNICIPIO]],'4.CAP_ENDMNT'!B:B,'4.CAP_ENDMNT'!L:L,0,0,1)</f>
        <v>6661355432.3464022</v>
      </c>
      <c r="AF371" s="140">
        <f>+_xlfn.XLOOKUP(PROYECTOS2[[#This Row],[MUNICIPIO]],'4.CAP_ENDMNT'!B:B,'4.CAP_ENDMNT'!M:M,0,0,1)</f>
        <v>4996016574.2598009</v>
      </c>
      <c r="AG371" s="134">
        <f>+_xlfn.XLOOKUP(PROYECTOS2[[#This Row],[MUNICIPIO]],'4.CAP_ENDMNT'!B:B,'4.CAP_ENDMNT'!N:N,0,0,1)</f>
        <v>0.3357691249301259</v>
      </c>
      <c r="AH371" s="134">
        <f>+_xlfn.XLOOKUP(PROYECTOS2[[#This Row],[MUNICIPIO]],'4.CAP_ENDMNT'!B:B,'4.CAP_ENDMNT'!O:O,0,0,1)</f>
        <v>0.46603493316730282</v>
      </c>
      <c r="AI371" s="134">
        <f>+_xlfn.XLOOKUP(PROYECTOS2[[#This Row],[MUNICIPIO]],'4.CAP_ENDMNT'!B:B,'4.CAP_ENDMNT'!P:P,0,0,1)</f>
        <v>0.8</v>
      </c>
      <c r="AJ371" s="44" t="str">
        <f>+_xlfn.XLOOKUP(PROYECTOS2[[#This Row],[MUNICIPIO]],'4.CAP_ENDMNT'!B:B,'4.CAP_ENDMNT'!Q:Q,0,0,1)</f>
        <v>Cumple</v>
      </c>
    </row>
    <row r="372" spans="1:36">
      <c r="A372" s="44">
        <v>395</v>
      </c>
      <c r="B372" s="37" t="s">
        <v>694</v>
      </c>
      <c r="C372" s="118">
        <v>45747</v>
      </c>
      <c r="D372" s="34" t="s">
        <v>170</v>
      </c>
      <c r="E372" s="47" t="str">
        <f>+_xlfn.XLOOKUP(PROYECTOS2[[#This Row],[MUNICIPIO]],MUNICIPIOS!A:A,MUNICIPIOS!E:E,0,0,1)</f>
        <v>Bajo Cauca</v>
      </c>
      <c r="F372" s="44" t="e" cm="1">
        <f t="array" ref="F372">+_xlfn.XLOOKUP(PROYECTOS2[[#This Row],[MUNICIPIO]],Table1[Municipio],MUNICIPIOS!F:F,0,0,1)</f>
        <v>#VALUE!</v>
      </c>
      <c r="G372" s="47" t="str">
        <f>+LOOKUP(PROYECTOS2[[#This Row],[MUNICIPIO]],Table1[Municipio],Table1[Latitud])</f>
        <v>6,394348</v>
      </c>
      <c r="H372" s="47">
        <f>+LOOKUP(PROYECTOS2[[#This Row],[MUNICIPIO]],Table1[Municipio],Table1[PDET])</f>
        <v>0</v>
      </c>
      <c r="I372" s="45">
        <f>+LOOKUP(PROYECTOS2[[#This Row],[MUNICIPIO]],Table1[Municipio],Table1[ZOMAC])</f>
        <v>1</v>
      </c>
      <c r="J372" s="34" t="str" cm="1">
        <f t="array" ref="J372">_xlfn.TEXTJOIN(", ", TRUE, IF(radicados[ID PROYECTOS]=A372, radicados[RADICADO], ""))</f>
        <v/>
      </c>
      <c r="K372" s="45">
        <v>1</v>
      </c>
      <c r="L372" s="45"/>
      <c r="M372" s="50"/>
      <c r="N372" s="72">
        <v>6000000000</v>
      </c>
      <c r="O372" s="72"/>
      <c r="P372" s="72"/>
      <c r="Q372" s="148" t="s">
        <v>1067</v>
      </c>
      <c r="R372" s="34" t="s">
        <v>288</v>
      </c>
      <c r="S372" s="40"/>
      <c r="T372" s="40"/>
      <c r="U372" s="37" t="s">
        <v>687</v>
      </c>
      <c r="V372" s="44">
        <f>+_xlfn.XLOOKUP(PROYECTOS2[[#This Row],[MUNICIPIO]],'4.CAP_ENDMNT'!B:B,'4.CAP_ENDMNT'!C:C,0,0,1)</f>
        <v>6</v>
      </c>
      <c r="W372" s="139">
        <f>+_xlfn.XLOOKUP(PROYECTOS2[[#This Row],[MUNICIPIO]],'4.CAP_ENDMNT'!B:B,'4.CAP_ENDMNT'!D:D,0,0,1)</f>
        <v>50634494381.026505</v>
      </c>
      <c r="X372" s="140">
        <f>+_xlfn.XLOOKUP(PROYECTOS2[[#This Row],[MUNICIPIO]],'4.CAP_ENDMNT'!B:B,'4.CAP_ENDMNT'!E:E,0,0,1)</f>
        <v>15839182742.690001</v>
      </c>
      <c r="Y372" s="140">
        <f>+_xlfn.XLOOKUP(PROYECTOS2[[#This Row],[MUNICIPIO]],'4.CAP_ENDMNT'!B:B,'4.CAP_ENDMNT'!F:F,0,0,1)</f>
        <v>34795311638.336502</v>
      </c>
      <c r="Z372" s="140">
        <f>+_xlfn.XLOOKUP(PROYECTOS2[[#This Row],[MUNICIPIO]],'4.CAP_ENDMNT'!B:B,'4.CAP_ENDMNT'!G:G,0,0,1)</f>
        <v>67652077</v>
      </c>
      <c r="AA372" s="140">
        <f>+_xlfn.XLOOKUP(PROYECTOS2[[#This Row],[MUNICIPIO]],'4.CAP_ENDMNT'!B:B,'4.CAP_ENDMNT'!H:H,0,0,1)</f>
        <v>17477834894.650002</v>
      </c>
      <c r="AB372" s="140">
        <f>+_xlfn.XLOOKUP(PROYECTOS2[[#This Row],[MUNICIPIO]],'4.CAP_ENDMNT'!B:B,'4.CAP_ENDMNT'!I:I,0,0,1)</f>
        <v>17545486971.650002</v>
      </c>
      <c r="AC372" s="134">
        <f>+_xlfn.XLOOKUP(PROYECTOS2[[#This Row],[MUNICIPIO]],'4.CAP_ENDMNT'!B:B,'4.CAP_ENDMNT'!J:J,0,0,1)</f>
        <v>0.34651253431345719</v>
      </c>
      <c r="AD372" s="140">
        <f>+_xlfn.XLOOKUP(PROYECTOS2[[#This Row],[MUNICIPIO]],'4.CAP_ENDMNT'!B:B,'4.CAP_ENDMNT'!K:K,0,0,1)</f>
        <v>33089007409.376503</v>
      </c>
      <c r="AE372" s="140">
        <f>+_xlfn.XLOOKUP(PROYECTOS2[[#This Row],[MUNICIPIO]],'4.CAP_ENDMNT'!B:B,'4.CAP_ENDMNT'!L:L,0,0,1)</f>
        <v>26471205927.501205</v>
      </c>
      <c r="AF372" s="140">
        <f>+_xlfn.XLOOKUP(PROYECTOS2[[#This Row],[MUNICIPIO]],'4.CAP_ENDMNT'!B:B,'4.CAP_ENDMNT'!M:M,0,0,1)</f>
        <v>19853404445.6259</v>
      </c>
      <c r="AG372" s="134">
        <f>+_xlfn.XLOOKUP(PROYECTOS2[[#This Row],[MUNICIPIO]],'4.CAP_ENDMNT'!B:B,'4.CAP_ENDMNT'!N:N,0,0,1)</f>
        <v>3.8558107340829141E-3</v>
      </c>
      <c r="AH372" s="134">
        <f>+_xlfn.XLOOKUP(PROYECTOS2[[#This Row],[MUNICIPIO]],'4.CAP_ENDMNT'!B:B,'4.CAP_ENDMNT'!O:O,0,0,1)</f>
        <v>0.40594992695874271</v>
      </c>
      <c r="AI372" s="134">
        <f>+_xlfn.XLOOKUP(PROYECTOS2[[#This Row],[MUNICIPIO]],'4.CAP_ENDMNT'!B:B,'4.CAP_ENDMNT'!P:P,0,0,1)</f>
        <v>0.8</v>
      </c>
      <c r="AJ372" s="44" t="str">
        <f>+_xlfn.XLOOKUP(PROYECTOS2[[#This Row],[MUNICIPIO]],'4.CAP_ENDMNT'!B:B,'4.CAP_ENDMNT'!Q:Q,0,0,1)</f>
        <v>Cumple</v>
      </c>
    </row>
    <row r="373" spans="1:36">
      <c r="A373" s="44">
        <v>396</v>
      </c>
      <c r="B373" s="37" t="s">
        <v>695</v>
      </c>
      <c r="C373" s="118">
        <v>45747</v>
      </c>
      <c r="D373" s="34" t="s">
        <v>170</v>
      </c>
      <c r="E373" s="47" t="str">
        <f>+_xlfn.XLOOKUP(PROYECTOS2[[#This Row],[MUNICIPIO]],MUNICIPIOS!A:A,MUNICIPIOS!E:E,0,0,1)</f>
        <v>Bajo Cauca</v>
      </c>
      <c r="F373" s="44" t="e" cm="1">
        <f t="array" ref="F373">+_xlfn.XLOOKUP(PROYECTOS2[[#This Row],[MUNICIPIO]],Table1[Municipio],MUNICIPIOS!F:F,0,0,1)</f>
        <v>#VALUE!</v>
      </c>
      <c r="G373" s="47" t="str">
        <f>+LOOKUP(PROYECTOS2[[#This Row],[MUNICIPIO]],Table1[Municipio],Table1[Latitud])</f>
        <v>6,394348</v>
      </c>
      <c r="H373" s="47">
        <f>+LOOKUP(PROYECTOS2[[#This Row],[MUNICIPIO]],Table1[Municipio],Table1[PDET])</f>
        <v>0</v>
      </c>
      <c r="I373" s="45">
        <f>+LOOKUP(PROYECTOS2[[#This Row],[MUNICIPIO]],Table1[Municipio],Table1[ZOMAC])</f>
        <v>1</v>
      </c>
      <c r="J373" s="34" t="str" cm="1">
        <f t="array" ref="J373">_xlfn.TEXTJOIN(", ", TRUE, IF(radicados[ID PROYECTOS]=A373, radicados[RADICADO], ""))</f>
        <v/>
      </c>
      <c r="K373" s="45">
        <v>1</v>
      </c>
      <c r="L373" s="45"/>
      <c r="M373" s="50"/>
      <c r="N373" s="72">
        <v>6000000000</v>
      </c>
      <c r="O373" s="72"/>
      <c r="P373" s="72"/>
      <c r="Q373" s="148" t="s">
        <v>1067</v>
      </c>
      <c r="R373" s="34" t="s">
        <v>288</v>
      </c>
      <c r="S373" s="40"/>
      <c r="T373" s="40"/>
      <c r="U373" s="37" t="s">
        <v>687</v>
      </c>
      <c r="V373" s="44">
        <f>+_xlfn.XLOOKUP(PROYECTOS2[[#This Row],[MUNICIPIO]],'4.CAP_ENDMNT'!B:B,'4.CAP_ENDMNT'!C:C,0,0,1)</f>
        <v>6</v>
      </c>
      <c r="W373" s="139">
        <f>+_xlfn.XLOOKUP(PROYECTOS2[[#This Row],[MUNICIPIO]],'4.CAP_ENDMNT'!B:B,'4.CAP_ENDMNT'!D:D,0,0,1)</f>
        <v>50634494381.026505</v>
      </c>
      <c r="X373" s="140">
        <f>+_xlfn.XLOOKUP(PROYECTOS2[[#This Row],[MUNICIPIO]],'4.CAP_ENDMNT'!B:B,'4.CAP_ENDMNT'!E:E,0,0,1)</f>
        <v>15839182742.690001</v>
      </c>
      <c r="Y373" s="140">
        <f>+_xlfn.XLOOKUP(PROYECTOS2[[#This Row],[MUNICIPIO]],'4.CAP_ENDMNT'!B:B,'4.CAP_ENDMNT'!F:F,0,0,1)</f>
        <v>34795311638.336502</v>
      </c>
      <c r="Z373" s="140">
        <f>+_xlfn.XLOOKUP(PROYECTOS2[[#This Row],[MUNICIPIO]],'4.CAP_ENDMNT'!B:B,'4.CAP_ENDMNT'!G:G,0,0,1)</f>
        <v>67652077</v>
      </c>
      <c r="AA373" s="140">
        <f>+_xlfn.XLOOKUP(PROYECTOS2[[#This Row],[MUNICIPIO]],'4.CAP_ENDMNT'!B:B,'4.CAP_ENDMNT'!H:H,0,0,1)</f>
        <v>17477834894.650002</v>
      </c>
      <c r="AB373" s="140">
        <f>+_xlfn.XLOOKUP(PROYECTOS2[[#This Row],[MUNICIPIO]],'4.CAP_ENDMNT'!B:B,'4.CAP_ENDMNT'!I:I,0,0,1)</f>
        <v>17545486971.650002</v>
      </c>
      <c r="AC373" s="134">
        <f>+_xlfn.XLOOKUP(PROYECTOS2[[#This Row],[MUNICIPIO]],'4.CAP_ENDMNT'!B:B,'4.CAP_ENDMNT'!J:J,0,0,1)</f>
        <v>0.34651253431345719</v>
      </c>
      <c r="AD373" s="140">
        <f>+_xlfn.XLOOKUP(PROYECTOS2[[#This Row],[MUNICIPIO]],'4.CAP_ENDMNT'!B:B,'4.CAP_ENDMNT'!K:K,0,0,1)</f>
        <v>33089007409.376503</v>
      </c>
      <c r="AE373" s="140">
        <f>+_xlfn.XLOOKUP(PROYECTOS2[[#This Row],[MUNICIPIO]],'4.CAP_ENDMNT'!B:B,'4.CAP_ENDMNT'!L:L,0,0,1)</f>
        <v>26471205927.501205</v>
      </c>
      <c r="AF373" s="140">
        <f>+_xlfn.XLOOKUP(PROYECTOS2[[#This Row],[MUNICIPIO]],'4.CAP_ENDMNT'!B:B,'4.CAP_ENDMNT'!M:M,0,0,1)</f>
        <v>19853404445.6259</v>
      </c>
      <c r="AG373" s="134">
        <f>+_xlfn.XLOOKUP(PROYECTOS2[[#This Row],[MUNICIPIO]],'4.CAP_ENDMNT'!B:B,'4.CAP_ENDMNT'!N:N,0,0,1)</f>
        <v>3.8558107340829141E-3</v>
      </c>
      <c r="AH373" s="134">
        <f>+_xlfn.XLOOKUP(PROYECTOS2[[#This Row],[MUNICIPIO]],'4.CAP_ENDMNT'!B:B,'4.CAP_ENDMNT'!O:O,0,0,1)</f>
        <v>0.40594992695874271</v>
      </c>
      <c r="AI373" s="134">
        <f>+_xlfn.XLOOKUP(PROYECTOS2[[#This Row],[MUNICIPIO]],'4.CAP_ENDMNT'!B:B,'4.CAP_ENDMNT'!P:P,0,0,1)</f>
        <v>0.8</v>
      </c>
      <c r="AJ373" s="44" t="str">
        <f>+_xlfn.XLOOKUP(PROYECTOS2[[#This Row],[MUNICIPIO]],'4.CAP_ENDMNT'!B:B,'4.CAP_ENDMNT'!Q:Q,0,0,1)</f>
        <v>Cumple</v>
      </c>
    </row>
    <row r="374" spans="1:36">
      <c r="A374" s="44">
        <v>397</v>
      </c>
      <c r="B374" s="59" t="s">
        <v>231</v>
      </c>
      <c r="C374" s="119">
        <f>+_xlfn.XLOOKUP(PROYECTOS2[[#This Row],[ID_NECESIDAD]],'1.RADICADOS'!G:G,'1.RADICADOS'!C:C,0,0,1)*1</f>
        <v>45515</v>
      </c>
      <c r="D374" s="34" t="s">
        <v>230</v>
      </c>
      <c r="E374" s="47" t="str">
        <f>+_xlfn.XLOOKUP(PROYECTOS2[[#This Row],[MUNICIPIO]],MUNICIPIOS!A:A,MUNICIPIOS!E:E,0,0,1)</f>
        <v>Suroeste</v>
      </c>
      <c r="F374" s="44" t="e" cm="1">
        <f t="array" ref="F374">+_xlfn.XLOOKUP(PROYECTOS2[[#This Row],[MUNICIPIO]],Table1[Municipio],MUNICIPIOS!F:F,0,0,1)</f>
        <v>#VALUE!</v>
      </c>
      <c r="G374" s="47" t="str">
        <f>+LOOKUP(PROYECTOS2[[#This Row],[MUNICIPIO]],Table1[Municipio],Table1[Latitud])</f>
        <v>6,232461</v>
      </c>
      <c r="H374" s="47">
        <f>+LOOKUP(PROYECTOS2[[#This Row],[MUNICIPIO]],Table1[Municipio],Table1[PDET])</f>
        <v>0</v>
      </c>
      <c r="I374" s="45">
        <f>+LOOKUP(PROYECTOS2[[#This Row],[MUNICIPIO]],Table1[Municipio],Table1[ZOMAC])</f>
        <v>0</v>
      </c>
      <c r="J374" s="34" t="str" cm="1">
        <f t="array" ref="J374">_xlfn.TEXTJOIN(", ", TRUE, IF(radicados[ID PROYECTOS]=A374, radicados[RADICADO], ""))</f>
        <v>2024010512526, 2025010027600</v>
      </c>
      <c r="K374" s="45">
        <v>2</v>
      </c>
      <c r="L374" s="45"/>
      <c r="M374" s="50"/>
      <c r="N374" s="48">
        <v>3893893959</v>
      </c>
      <c r="O374" s="48"/>
      <c r="P374" s="48"/>
      <c r="Q374" s="148" t="s">
        <v>1067</v>
      </c>
      <c r="R374" s="34" t="s">
        <v>288</v>
      </c>
      <c r="S374" s="34" t="s">
        <v>398</v>
      </c>
      <c r="T374" s="34" t="s">
        <v>25</v>
      </c>
      <c r="U374" s="37" t="s">
        <v>696</v>
      </c>
      <c r="V374" s="44">
        <f>+_xlfn.XLOOKUP(PROYECTOS2[[#This Row],[MUNICIPIO]],'4.CAP_ENDMNT'!B:B,'4.CAP_ENDMNT'!C:C,0,0,1)</f>
        <v>6</v>
      </c>
      <c r="W374" s="139">
        <f>+_xlfn.XLOOKUP(PROYECTOS2[[#This Row],[MUNICIPIO]],'4.CAP_ENDMNT'!B:B,'4.CAP_ENDMNT'!D:D,0,0,1)</f>
        <v>6274381972.2840004</v>
      </c>
      <c r="X374" s="140">
        <f>+_xlfn.XLOOKUP(PROYECTOS2[[#This Row],[MUNICIPIO]],'4.CAP_ENDMNT'!B:B,'4.CAP_ENDMNT'!E:E,0,0,1)</f>
        <v>2404546434.0300002</v>
      </c>
      <c r="Y374" s="140">
        <f>+_xlfn.XLOOKUP(PROYECTOS2[[#This Row],[MUNICIPIO]],'4.CAP_ENDMNT'!B:B,'4.CAP_ENDMNT'!F:F,0,0,1)</f>
        <v>3869835538.2540002</v>
      </c>
      <c r="Z374" s="140">
        <f>+_xlfn.XLOOKUP(PROYECTOS2[[#This Row],[MUNICIPIO]],'4.CAP_ENDMNT'!B:B,'4.CAP_ENDMNT'!G:G,0,0,1)</f>
        <v>1292225834</v>
      </c>
      <c r="AA374" s="140">
        <f>+_xlfn.XLOOKUP(PROYECTOS2[[#This Row],[MUNICIPIO]],'4.CAP_ENDMNT'!B:B,'4.CAP_ENDMNT'!H:H,0,0,1)</f>
        <v>0</v>
      </c>
      <c r="AB374" s="140">
        <f>+_xlfn.XLOOKUP(PROYECTOS2[[#This Row],[MUNICIPIO]],'4.CAP_ENDMNT'!B:B,'4.CAP_ENDMNT'!I:I,0,0,1)</f>
        <v>1292225834</v>
      </c>
      <c r="AC374" s="134">
        <f>+_xlfn.XLOOKUP(PROYECTOS2[[#This Row],[MUNICIPIO]],'4.CAP_ENDMNT'!B:B,'4.CAP_ENDMNT'!J:J,0,0,1)</f>
        <v>0.20595268820230975</v>
      </c>
      <c r="AD374" s="140">
        <f>+_xlfn.XLOOKUP(PROYECTOS2[[#This Row],[MUNICIPIO]],'4.CAP_ENDMNT'!B:B,'4.CAP_ENDMNT'!K:K,0,0,1)</f>
        <v>4982156138.2840004</v>
      </c>
      <c r="AE374" s="140">
        <f>+_xlfn.XLOOKUP(PROYECTOS2[[#This Row],[MUNICIPIO]],'4.CAP_ENDMNT'!B:B,'4.CAP_ENDMNT'!L:L,0,0,1)</f>
        <v>3985724910.6272006</v>
      </c>
      <c r="AF374" s="140">
        <f>+_xlfn.XLOOKUP(PROYECTOS2[[#This Row],[MUNICIPIO]],'4.CAP_ENDMNT'!B:B,'4.CAP_ENDMNT'!M:M,0,0,1)</f>
        <v>2989293682.9704003</v>
      </c>
      <c r="AG374" s="134">
        <f>+_xlfn.XLOOKUP(PROYECTOS2[[#This Row],[MUNICIPIO]],'4.CAP_ENDMNT'!B:B,'4.CAP_ENDMNT'!N:N,0,0,1)</f>
        <v>1</v>
      </c>
      <c r="AH374" s="134">
        <f>+_xlfn.XLOOKUP(PROYECTOS2[[#This Row],[MUNICIPIO]],'4.CAP_ENDMNT'!B:B,'4.CAP_ENDMNT'!O:O,0,0,1)</f>
        <v>0.75496548270760855</v>
      </c>
      <c r="AI374" s="134">
        <f>+_xlfn.XLOOKUP(PROYECTOS2[[#This Row],[MUNICIPIO]],'4.CAP_ENDMNT'!B:B,'4.CAP_ENDMNT'!P:P,0,0,1)</f>
        <v>0.8</v>
      </c>
      <c r="AJ374" s="44" t="str">
        <f>+_xlfn.XLOOKUP(PROYECTOS2[[#This Row],[MUNICIPIO]],'4.CAP_ENDMNT'!B:B,'4.CAP_ENDMNT'!Q:Q,0,0,1)</f>
        <v>Riesgo</v>
      </c>
    </row>
    <row r="375" spans="1:36">
      <c r="A375" s="44">
        <v>398</v>
      </c>
      <c r="B375" s="37" t="s">
        <v>697</v>
      </c>
      <c r="C375" s="118">
        <f>+_xlfn.XLOOKUP(PROYECTOS2[[#This Row],[ID_NECESIDAD]],'1.RADICADOS'!G:G,'1.RADICADOS'!C:C,0,0,1)*1</f>
        <v>45708</v>
      </c>
      <c r="D375" s="34" t="s">
        <v>61</v>
      </c>
      <c r="E375" s="47" t="str">
        <f>+_xlfn.XLOOKUP(PROYECTOS2[[#This Row],[MUNICIPIO]],MUNICIPIOS!A:A,MUNICIPIOS!E:E,0,0,1)</f>
        <v>Suroeste</v>
      </c>
      <c r="F375" s="44" t="e" cm="1">
        <f t="array" ref="F375">+_xlfn.XLOOKUP(PROYECTOS2[[#This Row],[MUNICIPIO]],Table1[Municipio],MUNICIPIOS!F:F,0,0,1)</f>
        <v>#VALUE!</v>
      </c>
      <c r="G375" s="47" t="str">
        <f>+LOOKUP(PROYECTOS2[[#This Row],[MUNICIPIO]],Table1[Municipio],Table1[Latitud])</f>
        <v>6,136871</v>
      </c>
      <c r="H375" s="47">
        <f>+LOOKUP(PROYECTOS2[[#This Row],[MUNICIPIO]],Table1[Municipio],Table1[PDET])</f>
        <v>0</v>
      </c>
      <c r="I375" s="45">
        <f>+LOOKUP(PROYECTOS2[[#This Row],[MUNICIPIO]],Table1[Municipio],Table1[ZOMAC])</f>
        <v>0</v>
      </c>
      <c r="J375" s="34" t="str" cm="1">
        <f t="array" ref="J375">_xlfn.TEXTJOIN(", ", TRUE, IF(radicados[ID PROYECTOS]=A375, radicados[RADICADO], ""))</f>
        <v>2025010080871, 2025050284678, 2025050284679, 2025010150616</v>
      </c>
      <c r="K375" s="45"/>
      <c r="L375" s="45"/>
      <c r="M375" s="50"/>
      <c r="N375" s="72"/>
      <c r="O375" s="72"/>
      <c r="P375" s="72"/>
      <c r="Q375" s="148" t="s">
        <v>1067</v>
      </c>
      <c r="R375" s="34" t="s">
        <v>407</v>
      </c>
      <c r="S375" s="40"/>
      <c r="T375" s="40"/>
      <c r="U375" s="37" t="s">
        <v>698</v>
      </c>
      <c r="V375" s="44">
        <f>+_xlfn.XLOOKUP(PROYECTOS2[[#This Row],[MUNICIPIO]],'4.CAP_ENDMNT'!B:B,'4.CAP_ENDMNT'!C:C,0,0,1)</f>
        <v>6</v>
      </c>
      <c r="W375" s="139">
        <f>+_xlfn.XLOOKUP(PROYECTOS2[[#This Row],[MUNICIPIO]],'4.CAP_ENDMNT'!B:B,'4.CAP_ENDMNT'!D:D,0,0,1)</f>
        <v>17515986067.273998</v>
      </c>
      <c r="X375" s="140">
        <f>+_xlfn.XLOOKUP(PROYECTOS2[[#This Row],[MUNICIPIO]],'4.CAP_ENDMNT'!B:B,'4.CAP_ENDMNT'!E:E,0,0,1)</f>
        <v>8346764868.3600006</v>
      </c>
      <c r="Y375" s="140">
        <f>+_xlfn.XLOOKUP(PROYECTOS2[[#This Row],[MUNICIPIO]],'4.CAP_ENDMNT'!B:B,'4.CAP_ENDMNT'!F:F,0,0,1)</f>
        <v>9169221198.9139977</v>
      </c>
      <c r="Z375" s="140">
        <f>+_xlfn.XLOOKUP(PROYECTOS2[[#This Row],[MUNICIPIO]],'4.CAP_ENDMNT'!B:B,'4.CAP_ENDMNT'!G:G,0,0,1)</f>
        <v>0</v>
      </c>
      <c r="AA375" s="140">
        <f>+_xlfn.XLOOKUP(PROYECTOS2[[#This Row],[MUNICIPIO]],'4.CAP_ENDMNT'!B:B,'4.CAP_ENDMNT'!H:H,0,0,1)</f>
        <v>6328650461</v>
      </c>
      <c r="AB375" s="140">
        <f>+_xlfn.XLOOKUP(PROYECTOS2[[#This Row],[MUNICIPIO]],'4.CAP_ENDMNT'!B:B,'4.CAP_ENDMNT'!I:I,0,0,1)</f>
        <v>6328650461</v>
      </c>
      <c r="AC375" s="134">
        <f>+_xlfn.XLOOKUP(PROYECTOS2[[#This Row],[MUNICIPIO]],'4.CAP_ENDMNT'!B:B,'4.CAP_ENDMNT'!J:J,0,0,1)</f>
        <v>0.36130711891945022</v>
      </c>
      <c r="AD375" s="140">
        <f>+_xlfn.XLOOKUP(PROYECTOS2[[#This Row],[MUNICIPIO]],'4.CAP_ENDMNT'!B:B,'4.CAP_ENDMNT'!K:K,0,0,1)</f>
        <v>11187335606.273998</v>
      </c>
      <c r="AE375" s="140">
        <f>+_xlfn.XLOOKUP(PROYECTOS2[[#This Row],[MUNICIPIO]],'4.CAP_ENDMNT'!B:B,'4.CAP_ENDMNT'!L:L,0,0,1)</f>
        <v>8949868485.0191994</v>
      </c>
      <c r="AF375" s="140">
        <f>+_xlfn.XLOOKUP(PROYECTOS2[[#This Row],[MUNICIPIO]],'4.CAP_ENDMNT'!B:B,'4.CAP_ENDMNT'!M:M,0,0,1)</f>
        <v>6712401363.7643986</v>
      </c>
      <c r="AG375" s="134">
        <f>+_xlfn.XLOOKUP(PROYECTOS2[[#This Row],[MUNICIPIO]],'4.CAP_ENDMNT'!B:B,'4.CAP_ENDMNT'!N:N,0,0,1)</f>
        <v>0</v>
      </c>
      <c r="AH375" s="134">
        <f>+_xlfn.XLOOKUP(PROYECTOS2[[#This Row],[MUNICIPIO]],'4.CAP_ENDMNT'!B:B,'4.CAP_ENDMNT'!O:O,0,0,1)</f>
        <v>0.67376313277740918</v>
      </c>
      <c r="AI375" s="134">
        <f>+_xlfn.XLOOKUP(PROYECTOS2[[#This Row],[MUNICIPIO]],'4.CAP_ENDMNT'!B:B,'4.CAP_ENDMNT'!P:P,0,0,1)</f>
        <v>0.8</v>
      </c>
      <c r="AJ375" s="44" t="str">
        <f>+_xlfn.XLOOKUP(PROYECTOS2[[#This Row],[MUNICIPIO]],'4.CAP_ENDMNT'!B:B,'4.CAP_ENDMNT'!Q:Q,0,0,1)</f>
        <v>Cumple</v>
      </c>
    </row>
    <row r="376" spans="1:36">
      <c r="A376" s="44">
        <v>399</v>
      </c>
      <c r="B376" s="37" t="s">
        <v>370</v>
      </c>
      <c r="C376" s="118">
        <f>+_xlfn.XLOOKUP(PROYECTOS2[[#This Row],[ID_NECESIDAD]],'1.RADICADOS'!G:G,'1.RADICADOS'!C:C,0,0,1)*1</f>
        <v>45714</v>
      </c>
      <c r="D376" s="34" t="s">
        <v>369</v>
      </c>
      <c r="E376" s="47" t="str">
        <f>+_xlfn.XLOOKUP(PROYECTOS2[[#This Row],[MUNICIPIO]],MUNICIPIOS!A:A,MUNICIPIOS!E:E,0,0,1)</f>
        <v>Nordeste</v>
      </c>
      <c r="F376" s="44" t="e" cm="1">
        <f t="array" ref="F376">+_xlfn.XLOOKUP(PROYECTOS2[[#This Row],[MUNICIPIO]],Table1[Municipio],MUNICIPIOS!F:F,0,0,1)</f>
        <v>#VALUE!</v>
      </c>
      <c r="G376" s="47" t="str">
        <f>+LOOKUP(PROYECTOS2[[#This Row],[MUNICIPIO]],Table1[Municipio],Table1[Latitud])</f>
        <v>6,149903</v>
      </c>
      <c r="H376" s="47">
        <f>+LOOKUP(PROYECTOS2[[#This Row],[MUNICIPIO]],Table1[Municipio],Table1[PDET])</f>
        <v>0</v>
      </c>
      <c r="I376" s="45">
        <f>+LOOKUP(PROYECTOS2[[#This Row],[MUNICIPIO]],Table1[Municipio],Table1[ZOMAC])</f>
        <v>0</v>
      </c>
      <c r="J376" s="34" t="str" cm="1">
        <f t="array" ref="J376">_xlfn.TEXTJOIN(", ", TRUE, IF(radicados[ID PROYECTOS]=A376, radicados[RADICADO], ""))</f>
        <v>2025010291398</v>
      </c>
      <c r="K376" s="45"/>
      <c r="L376" s="45"/>
      <c r="M376" s="50"/>
      <c r="N376" s="48">
        <v>383180000</v>
      </c>
      <c r="O376" s="48"/>
      <c r="P376" s="48"/>
      <c r="Q376" s="148" t="s">
        <v>1067</v>
      </c>
      <c r="S376" s="92" t="s">
        <v>398</v>
      </c>
      <c r="T376" s="92" t="s">
        <v>25</v>
      </c>
      <c r="U376" s="37"/>
      <c r="V376" s="44">
        <f>+_xlfn.XLOOKUP(PROYECTOS2[[#This Row],[MUNICIPIO]],'4.CAP_ENDMNT'!B:B,'4.CAP_ENDMNT'!C:C,0,0,1)</f>
        <v>6</v>
      </c>
      <c r="W376" s="139">
        <f>+_xlfn.XLOOKUP(PROYECTOS2[[#This Row],[MUNICIPIO]],'4.CAP_ENDMNT'!B:B,'4.CAP_ENDMNT'!D:D,0,0,1)</f>
        <v>13758623676.126001</v>
      </c>
      <c r="X376" s="140">
        <f>+_xlfn.XLOOKUP(PROYECTOS2[[#This Row],[MUNICIPIO]],'4.CAP_ENDMNT'!B:B,'4.CAP_ENDMNT'!E:E,0,0,1)</f>
        <v>4170961872.3800001</v>
      </c>
      <c r="Y376" s="140">
        <f>+_xlfn.XLOOKUP(PROYECTOS2[[#This Row],[MUNICIPIO]],'4.CAP_ENDMNT'!B:B,'4.CAP_ENDMNT'!F:F,0,0,1)</f>
        <v>9587661803.7460022</v>
      </c>
      <c r="Z376" s="140">
        <f>+_xlfn.XLOOKUP(PROYECTOS2[[#This Row],[MUNICIPIO]],'4.CAP_ENDMNT'!B:B,'4.CAP_ENDMNT'!G:G,0,0,1)</f>
        <v>5765015946</v>
      </c>
      <c r="AA376" s="140">
        <f>+_xlfn.XLOOKUP(PROYECTOS2[[#This Row],[MUNICIPIO]],'4.CAP_ENDMNT'!B:B,'4.CAP_ENDMNT'!H:H,0,0,1)</f>
        <v>0</v>
      </c>
      <c r="AB376" s="140">
        <f>+_xlfn.XLOOKUP(PROYECTOS2[[#This Row],[MUNICIPIO]],'4.CAP_ENDMNT'!B:B,'4.CAP_ENDMNT'!I:I,0,0,1)</f>
        <v>5765015946</v>
      </c>
      <c r="AC376" s="134">
        <f>+_xlfn.XLOOKUP(PROYECTOS2[[#This Row],[MUNICIPIO]],'4.CAP_ENDMNT'!B:B,'4.CAP_ENDMNT'!J:J,0,0,1)</f>
        <v>0.41901109309381507</v>
      </c>
      <c r="AD376" s="140">
        <f>+_xlfn.XLOOKUP(PROYECTOS2[[#This Row],[MUNICIPIO]],'4.CAP_ENDMNT'!B:B,'4.CAP_ENDMNT'!K:K,0,0,1)</f>
        <v>7993607730.1260014</v>
      </c>
      <c r="AE376" s="140">
        <f>+_xlfn.XLOOKUP(PROYECTOS2[[#This Row],[MUNICIPIO]],'4.CAP_ENDMNT'!B:B,'4.CAP_ENDMNT'!L:L,0,0,1)</f>
        <v>6394886184.1008015</v>
      </c>
      <c r="AF376" s="140">
        <f>+_xlfn.XLOOKUP(PROYECTOS2[[#This Row],[MUNICIPIO]],'4.CAP_ENDMNT'!B:B,'4.CAP_ENDMNT'!M:M,0,0,1)</f>
        <v>4796164638.0756006</v>
      </c>
      <c r="AG376" s="134">
        <f>+_xlfn.XLOOKUP(PROYECTOS2[[#This Row],[MUNICIPIO]],'4.CAP_ENDMNT'!B:B,'4.CAP_ENDMNT'!N:N,0,0,1)</f>
        <v>1</v>
      </c>
      <c r="AH376" s="134">
        <f>+_xlfn.XLOOKUP(PROYECTOS2[[#This Row],[MUNICIPIO]],'4.CAP_ENDMNT'!B:B,'4.CAP_ENDMNT'!O:O,0,0,1)</f>
        <v>0.61660684639206742</v>
      </c>
      <c r="AI376" s="134">
        <f>+_xlfn.XLOOKUP(PROYECTOS2[[#This Row],[MUNICIPIO]],'4.CAP_ENDMNT'!B:B,'4.CAP_ENDMNT'!P:P,0,0,1)</f>
        <v>0.8</v>
      </c>
      <c r="AJ376" s="44" t="str">
        <f>+_xlfn.XLOOKUP(PROYECTOS2[[#This Row],[MUNICIPIO]],'4.CAP_ENDMNT'!B:B,'4.CAP_ENDMNT'!Q:Q,0,0,1)</f>
        <v>Cumple</v>
      </c>
    </row>
    <row r="377" spans="1:36">
      <c r="A377" s="44">
        <v>400</v>
      </c>
      <c r="B377" s="37" t="s">
        <v>372</v>
      </c>
      <c r="C377" s="118">
        <f>+_xlfn.XLOOKUP(PROYECTOS2[[#This Row],[ID_NECESIDAD]],'1.RADICADOS'!G:G,'1.RADICADOS'!C:C,0,0,1)*1</f>
        <v>45726</v>
      </c>
      <c r="D377" s="34" t="s">
        <v>230</v>
      </c>
      <c r="E377" s="47" t="str">
        <f>+_xlfn.XLOOKUP(PROYECTOS2[[#This Row],[MUNICIPIO]],MUNICIPIOS!A:A,MUNICIPIOS!E:E,0,0,1)</f>
        <v>Suroeste</v>
      </c>
      <c r="F377" s="44" t="e" cm="1">
        <f t="array" ref="F377">+_xlfn.XLOOKUP(PROYECTOS2[[#This Row],[MUNICIPIO]],Table1[Municipio],MUNICIPIOS!F:F,0,0,1)</f>
        <v>#VALUE!</v>
      </c>
      <c r="G377" s="47" t="str">
        <f>+LOOKUP(PROYECTOS2[[#This Row],[MUNICIPIO]],Table1[Municipio],Table1[Latitud])</f>
        <v>6,232461</v>
      </c>
      <c r="H377" s="47">
        <f>+LOOKUP(PROYECTOS2[[#This Row],[MUNICIPIO]],Table1[Municipio],Table1[PDET])</f>
        <v>0</v>
      </c>
      <c r="I377" s="45">
        <f>+LOOKUP(PROYECTOS2[[#This Row],[MUNICIPIO]],Table1[Municipio],Table1[ZOMAC])</f>
        <v>0</v>
      </c>
      <c r="J377" s="34" t="str" cm="1">
        <f t="array" ref="J377">_xlfn.TEXTJOIN(", ", TRUE, IF(radicados[ID PROYECTOS]=A377, radicados[RADICADO], ""))</f>
        <v>2025010116063</v>
      </c>
      <c r="K377" s="45">
        <v>3</v>
      </c>
      <c r="L377" s="45"/>
      <c r="M377" s="50"/>
      <c r="N377" s="48">
        <v>2631486928</v>
      </c>
      <c r="O377" s="48"/>
      <c r="P377" s="48"/>
      <c r="Q377" s="148" t="s">
        <v>1067</v>
      </c>
      <c r="R377" s="40" t="s">
        <v>401</v>
      </c>
      <c r="S377" s="92" t="s">
        <v>394</v>
      </c>
      <c r="T377" s="92" t="s">
        <v>18</v>
      </c>
      <c r="U377" s="37" t="s">
        <v>373</v>
      </c>
      <c r="V377" s="44">
        <f>+_xlfn.XLOOKUP(PROYECTOS2[[#This Row],[MUNICIPIO]],'4.CAP_ENDMNT'!B:B,'4.CAP_ENDMNT'!C:C,0,0,1)</f>
        <v>6</v>
      </c>
      <c r="W377" s="139">
        <f>+_xlfn.XLOOKUP(PROYECTOS2[[#This Row],[MUNICIPIO]],'4.CAP_ENDMNT'!B:B,'4.CAP_ENDMNT'!D:D,0,0,1)</f>
        <v>6274381972.2840004</v>
      </c>
      <c r="X377" s="140">
        <f>+_xlfn.XLOOKUP(PROYECTOS2[[#This Row],[MUNICIPIO]],'4.CAP_ENDMNT'!B:B,'4.CAP_ENDMNT'!E:E,0,0,1)</f>
        <v>2404546434.0300002</v>
      </c>
      <c r="Y377" s="140">
        <f>+_xlfn.XLOOKUP(PROYECTOS2[[#This Row],[MUNICIPIO]],'4.CAP_ENDMNT'!B:B,'4.CAP_ENDMNT'!F:F,0,0,1)</f>
        <v>3869835538.2540002</v>
      </c>
      <c r="Z377" s="140">
        <f>+_xlfn.XLOOKUP(PROYECTOS2[[#This Row],[MUNICIPIO]],'4.CAP_ENDMNT'!B:B,'4.CAP_ENDMNT'!G:G,0,0,1)</f>
        <v>1292225834</v>
      </c>
      <c r="AA377" s="140">
        <f>+_xlfn.XLOOKUP(PROYECTOS2[[#This Row],[MUNICIPIO]],'4.CAP_ENDMNT'!B:B,'4.CAP_ENDMNT'!H:H,0,0,1)</f>
        <v>0</v>
      </c>
      <c r="AB377" s="140">
        <f>+_xlfn.XLOOKUP(PROYECTOS2[[#This Row],[MUNICIPIO]],'4.CAP_ENDMNT'!B:B,'4.CAP_ENDMNT'!I:I,0,0,1)</f>
        <v>1292225834</v>
      </c>
      <c r="AC377" s="134">
        <f>+_xlfn.XLOOKUP(PROYECTOS2[[#This Row],[MUNICIPIO]],'4.CAP_ENDMNT'!B:B,'4.CAP_ENDMNT'!J:J,0,0,1)</f>
        <v>0.20595268820230975</v>
      </c>
      <c r="AD377" s="140">
        <f>+_xlfn.XLOOKUP(PROYECTOS2[[#This Row],[MUNICIPIO]],'4.CAP_ENDMNT'!B:B,'4.CAP_ENDMNT'!K:K,0,0,1)</f>
        <v>4982156138.2840004</v>
      </c>
      <c r="AE377" s="140">
        <f>+_xlfn.XLOOKUP(PROYECTOS2[[#This Row],[MUNICIPIO]],'4.CAP_ENDMNT'!B:B,'4.CAP_ENDMNT'!L:L,0,0,1)</f>
        <v>3985724910.6272006</v>
      </c>
      <c r="AF377" s="140">
        <f>+_xlfn.XLOOKUP(PROYECTOS2[[#This Row],[MUNICIPIO]],'4.CAP_ENDMNT'!B:B,'4.CAP_ENDMNT'!M:M,0,0,1)</f>
        <v>2989293682.9704003</v>
      </c>
      <c r="AG377" s="134">
        <f>+_xlfn.XLOOKUP(PROYECTOS2[[#This Row],[MUNICIPIO]],'4.CAP_ENDMNT'!B:B,'4.CAP_ENDMNT'!N:N,0,0,1)</f>
        <v>1</v>
      </c>
      <c r="AH377" s="134">
        <f>+_xlfn.XLOOKUP(PROYECTOS2[[#This Row],[MUNICIPIO]],'4.CAP_ENDMNT'!B:B,'4.CAP_ENDMNT'!O:O,0,0,1)</f>
        <v>0.75496548270760855</v>
      </c>
      <c r="AI377" s="134">
        <f>+_xlfn.XLOOKUP(PROYECTOS2[[#This Row],[MUNICIPIO]],'4.CAP_ENDMNT'!B:B,'4.CAP_ENDMNT'!P:P,0,0,1)</f>
        <v>0.8</v>
      </c>
      <c r="AJ377" s="44" t="str">
        <f>+_xlfn.XLOOKUP(PROYECTOS2[[#This Row],[MUNICIPIO]],'4.CAP_ENDMNT'!B:B,'4.CAP_ENDMNT'!Q:Q,0,0,1)</f>
        <v>Riesgo</v>
      </c>
    </row>
    <row r="378" spans="1:36">
      <c r="A378" s="44">
        <v>401</v>
      </c>
      <c r="B378" s="37" t="s">
        <v>699</v>
      </c>
      <c r="C378" s="118">
        <v>45747</v>
      </c>
      <c r="D378" s="34" t="s">
        <v>182</v>
      </c>
      <c r="E378" s="47" t="str">
        <f>+_xlfn.XLOOKUP(PROYECTOS2[[#This Row],[MUNICIPIO]],MUNICIPIOS!A:A,MUNICIPIOS!E:E,0,0,1)</f>
        <v>Occidente</v>
      </c>
      <c r="F378" s="44" t="e" cm="1">
        <f t="array" ref="F378">+_xlfn.XLOOKUP(PROYECTOS2[[#This Row],[MUNICIPIO]],Table1[Municipio],MUNICIPIOS!F:F,0,0,1)</f>
        <v>#VALUE!</v>
      </c>
      <c r="G378" s="47" t="str">
        <f>+LOOKUP(PROYECTOS2[[#This Row],[MUNICIPIO]],Table1[Municipio],Table1[Latitud])</f>
        <v>7,074703</v>
      </c>
      <c r="H378" s="47">
        <f>+LOOKUP(PROYECTOS2[[#This Row],[MUNICIPIO]],Table1[Municipio],Table1[PDET])</f>
        <v>1</v>
      </c>
      <c r="I378" s="45">
        <f>+LOOKUP(PROYECTOS2[[#This Row],[MUNICIPIO]],Table1[Municipio],Table1[ZOMAC])</f>
        <v>1</v>
      </c>
      <c r="J378" s="34"/>
      <c r="K378" s="45">
        <v>1</v>
      </c>
      <c r="L378" s="45"/>
      <c r="M378" s="50"/>
      <c r="N378" s="48">
        <v>6393437355</v>
      </c>
      <c r="O378" s="48"/>
      <c r="P378" s="48"/>
      <c r="Q378" s="148" t="s">
        <v>1067</v>
      </c>
      <c r="R378" s="34" t="s">
        <v>407</v>
      </c>
      <c r="S378" s="40"/>
      <c r="T378" s="40"/>
      <c r="U378" s="37" t="s">
        <v>953</v>
      </c>
      <c r="V378" s="44">
        <f>+_xlfn.XLOOKUP(PROYECTOS2[[#This Row],[MUNICIPIO]],'4.CAP_ENDMNT'!B:B,'4.CAP_ENDMNT'!C:C,0,0,1)</f>
        <v>6</v>
      </c>
      <c r="W378" s="139">
        <f>+_xlfn.XLOOKUP(PROYECTOS2[[#This Row],[MUNICIPIO]],'4.CAP_ENDMNT'!B:B,'4.CAP_ENDMNT'!D:D,0,0,1)</f>
        <v>17304408242.457001</v>
      </c>
      <c r="X378" s="140">
        <f>+_xlfn.XLOOKUP(PROYECTOS2[[#This Row],[MUNICIPIO]],'4.CAP_ENDMNT'!B:B,'4.CAP_ENDMNT'!E:E,0,0,1)</f>
        <v>4260885029.46</v>
      </c>
      <c r="Y378" s="140">
        <f>+_xlfn.XLOOKUP(PROYECTOS2[[#This Row],[MUNICIPIO]],'4.CAP_ENDMNT'!B:B,'4.CAP_ENDMNT'!F:F,0,0,1)</f>
        <v>13043523212.997002</v>
      </c>
      <c r="Z378" s="140">
        <f>+_xlfn.XLOOKUP(PROYECTOS2[[#This Row],[MUNICIPIO]],'4.CAP_ENDMNT'!B:B,'4.CAP_ENDMNT'!G:G,0,0,1)</f>
        <v>3210633884</v>
      </c>
      <c r="AA378" s="140">
        <f>+_xlfn.XLOOKUP(PROYECTOS2[[#This Row],[MUNICIPIO]],'4.CAP_ENDMNT'!B:B,'4.CAP_ENDMNT'!H:H,0,0,1)</f>
        <v>0</v>
      </c>
      <c r="AB378" s="140">
        <f>+_xlfn.XLOOKUP(PROYECTOS2[[#This Row],[MUNICIPIO]],'4.CAP_ENDMNT'!B:B,'4.CAP_ENDMNT'!I:I,0,0,1)</f>
        <v>3210633884</v>
      </c>
      <c r="AC378" s="134">
        <f>+_xlfn.XLOOKUP(PROYECTOS2[[#This Row],[MUNICIPIO]],'4.CAP_ENDMNT'!B:B,'4.CAP_ENDMNT'!J:J,0,0,1)</f>
        <v>0.1855384962614666</v>
      </c>
      <c r="AD378" s="140">
        <f>+_xlfn.XLOOKUP(PROYECTOS2[[#This Row],[MUNICIPIO]],'4.CAP_ENDMNT'!B:B,'4.CAP_ENDMNT'!K:K,0,0,1)</f>
        <v>14093774358.457001</v>
      </c>
      <c r="AE378" s="140">
        <f>+_xlfn.XLOOKUP(PROYECTOS2[[#This Row],[MUNICIPIO]],'4.CAP_ENDMNT'!B:B,'4.CAP_ENDMNT'!L:L,0,0,1)</f>
        <v>11275019486.765602</v>
      </c>
      <c r="AF378" s="140">
        <f>+_xlfn.XLOOKUP(PROYECTOS2[[#This Row],[MUNICIPIO]],'4.CAP_ENDMNT'!B:B,'4.CAP_ENDMNT'!M:M,0,0,1)</f>
        <v>8456264615.0741997</v>
      </c>
      <c r="AG378" s="134">
        <f>+_xlfn.XLOOKUP(PROYECTOS2[[#This Row],[MUNICIPIO]],'4.CAP_ENDMNT'!B:B,'4.CAP_ENDMNT'!N:N,0,0,1)</f>
        <v>1</v>
      </c>
      <c r="AH378" s="134">
        <f>+_xlfn.XLOOKUP(PROYECTOS2[[#This Row],[MUNICIPIO]],'4.CAP_ENDMNT'!B:B,'4.CAP_ENDMNT'!O:O,0,0,1)</f>
        <v>0.3794626866525494</v>
      </c>
      <c r="AI378" s="134">
        <f>+_xlfn.XLOOKUP(PROYECTOS2[[#This Row],[MUNICIPIO]],'4.CAP_ENDMNT'!B:B,'4.CAP_ENDMNT'!P:P,0,0,1)</f>
        <v>0.8</v>
      </c>
      <c r="AJ378" s="44" t="str">
        <f>+_xlfn.XLOOKUP(PROYECTOS2[[#This Row],[MUNICIPIO]],'4.CAP_ENDMNT'!B:B,'4.CAP_ENDMNT'!Q:Q,0,0,1)</f>
        <v>Cumple</v>
      </c>
    </row>
    <row r="379" spans="1:36">
      <c r="A379" s="44">
        <v>402</v>
      </c>
      <c r="B379" s="37" t="s">
        <v>700</v>
      </c>
      <c r="C379" s="118">
        <v>45747</v>
      </c>
      <c r="D379" s="34" t="s">
        <v>168</v>
      </c>
      <c r="E379" s="47" t="str">
        <f>+_xlfn.XLOOKUP(PROYECTOS2[[#This Row],[MUNICIPIO]],MUNICIPIOS!A:A,MUNICIPIOS!E:E,0,0,1)</f>
        <v>Occidente</v>
      </c>
      <c r="F379" s="44" t="e" cm="1">
        <f t="array" ref="F379">+_xlfn.XLOOKUP(PROYECTOS2[[#This Row],[MUNICIPIO]],Table1[Municipio],MUNICIPIOS!F:F,0,0,1)</f>
        <v>#VALUE!</v>
      </c>
      <c r="G379" s="47" t="str">
        <f>+LOOKUP(PROYECTOS2[[#This Row],[MUNICIPIO]],Table1[Municipio],Table1[Latitud])</f>
        <v>7,074703</v>
      </c>
      <c r="H379" s="47">
        <f>+LOOKUP(PROYECTOS2[[#This Row],[MUNICIPIO]],Table1[Municipio],Table1[PDET])</f>
        <v>1</v>
      </c>
      <c r="I379" s="45">
        <f>+LOOKUP(PROYECTOS2[[#This Row],[MUNICIPIO]],Table1[Municipio],Table1[ZOMAC])</f>
        <v>1</v>
      </c>
      <c r="J379" s="34" t="str" cm="1">
        <f t="array" ref="J379">_xlfn.TEXTJOIN(", ", TRUE, IF(radicados[ID PROYECTOS]=A379, radicados[RADICADO], ""))</f>
        <v/>
      </c>
      <c r="K379" s="142">
        <v>2</v>
      </c>
      <c r="L379" s="45"/>
      <c r="M379" s="50"/>
      <c r="N379" s="48">
        <v>5221898753</v>
      </c>
      <c r="O379" s="48"/>
      <c r="P379" s="48"/>
      <c r="Q379" s="148" t="s">
        <v>1067</v>
      </c>
      <c r="R379" s="34" t="s">
        <v>407</v>
      </c>
      <c r="S379" s="40" t="s">
        <v>394</v>
      </c>
      <c r="T379" s="40" t="s">
        <v>18</v>
      </c>
      <c r="U379" s="37" t="s">
        <v>952</v>
      </c>
      <c r="V379" s="44">
        <f>+_xlfn.XLOOKUP(PROYECTOS2[[#This Row],[MUNICIPIO]],'4.CAP_ENDMNT'!B:B,'4.CAP_ENDMNT'!C:C,0,0,1)</f>
        <v>6</v>
      </c>
      <c r="W379" s="139">
        <f>+_xlfn.XLOOKUP(PROYECTOS2[[#This Row],[MUNICIPIO]],'4.CAP_ENDMNT'!B:B,'4.CAP_ENDMNT'!D:D,0,0,1)</f>
        <v>7049911897.9460001</v>
      </c>
      <c r="X379" s="140">
        <f>+_xlfn.XLOOKUP(PROYECTOS2[[#This Row],[MUNICIPIO]],'4.CAP_ENDMNT'!B:B,'4.CAP_ENDMNT'!E:E,0,0,1)</f>
        <v>2502449802.4500003</v>
      </c>
      <c r="Y379" s="140">
        <f>+_xlfn.XLOOKUP(PROYECTOS2[[#This Row],[MUNICIPIO]],'4.CAP_ENDMNT'!B:B,'4.CAP_ENDMNT'!F:F,0,0,1)</f>
        <v>4547462095.4960003</v>
      </c>
      <c r="Z379" s="140">
        <f>+_xlfn.XLOOKUP(PROYECTOS2[[#This Row],[MUNICIPIO]],'4.CAP_ENDMNT'!B:B,'4.CAP_ENDMNT'!G:G,0,0,1)</f>
        <v>1083993787</v>
      </c>
      <c r="AA379" s="140">
        <f>+_xlfn.XLOOKUP(PROYECTOS2[[#This Row],[MUNICIPIO]],'4.CAP_ENDMNT'!B:B,'4.CAP_ENDMNT'!H:H,0,0,1)</f>
        <v>0</v>
      </c>
      <c r="AB379" s="140">
        <f>+_xlfn.XLOOKUP(PROYECTOS2[[#This Row],[MUNICIPIO]],'4.CAP_ENDMNT'!B:B,'4.CAP_ENDMNT'!I:I,0,0,1)</f>
        <v>1083993787</v>
      </c>
      <c r="AC379" s="134">
        <f>+_xlfn.XLOOKUP(PROYECTOS2[[#This Row],[MUNICIPIO]],'4.CAP_ENDMNT'!B:B,'4.CAP_ENDMNT'!J:J,0,0,1)</f>
        <v>0.15375990546999926</v>
      </c>
      <c r="AD379" s="140">
        <f>+_xlfn.XLOOKUP(PROYECTOS2[[#This Row],[MUNICIPIO]],'4.CAP_ENDMNT'!B:B,'4.CAP_ENDMNT'!K:K,0,0,1)</f>
        <v>5965918110.9460001</v>
      </c>
      <c r="AE379" s="140">
        <f>+_xlfn.XLOOKUP(PROYECTOS2[[#This Row],[MUNICIPIO]],'4.CAP_ENDMNT'!B:B,'4.CAP_ENDMNT'!L:L,0,0,1)</f>
        <v>4772734488.7568007</v>
      </c>
      <c r="AF379" s="140">
        <f>+_xlfn.XLOOKUP(PROYECTOS2[[#This Row],[MUNICIPIO]],'4.CAP_ENDMNT'!B:B,'4.CAP_ENDMNT'!M:M,0,0,1)</f>
        <v>3579550866.5675998</v>
      </c>
      <c r="AG379" s="134">
        <f>+_xlfn.XLOOKUP(PROYECTOS2[[#This Row],[MUNICIPIO]],'4.CAP_ENDMNT'!B:B,'4.CAP_ENDMNT'!N:N,0,0,1)</f>
        <v>1</v>
      </c>
      <c r="AH379" s="134">
        <f>+_xlfn.XLOOKUP(PROYECTOS2[[#This Row],[MUNICIPIO]],'4.CAP_ENDMNT'!B:B,'4.CAP_ENDMNT'!O:O,0,0,1)</f>
        <v>0.68972189795110483</v>
      </c>
      <c r="AI379" s="134">
        <f>+_xlfn.XLOOKUP(PROYECTOS2[[#This Row],[MUNICIPIO]],'4.CAP_ENDMNT'!B:B,'4.CAP_ENDMNT'!P:P,0,0,1)</f>
        <v>0.8</v>
      </c>
      <c r="AJ379" s="44" t="str">
        <f>+_xlfn.XLOOKUP(PROYECTOS2[[#This Row],[MUNICIPIO]],'4.CAP_ENDMNT'!B:B,'4.CAP_ENDMNT'!Q:Q,0,0,1)</f>
        <v>Cumple</v>
      </c>
    </row>
    <row r="380" spans="1:36">
      <c r="A380" s="44">
        <v>403</v>
      </c>
      <c r="B380" s="37" t="s">
        <v>701</v>
      </c>
      <c r="C380" s="118">
        <v>45747</v>
      </c>
      <c r="D380" s="34" t="s">
        <v>244</v>
      </c>
      <c r="E380" s="47" t="str">
        <f>+_xlfn.XLOOKUP(PROYECTOS2[[#This Row],[MUNICIPIO]],MUNICIPIOS!A:A,MUNICIPIOS!E:E,0,0,1)</f>
        <v>Nordeste</v>
      </c>
      <c r="F380" s="44" t="e" cm="1">
        <f t="array" ref="F380">+_xlfn.XLOOKUP(PROYECTOS2[[#This Row],[MUNICIPIO]],Table1[Municipio],MUNICIPIOS!F:F,0,0,1)</f>
        <v>#VALUE!</v>
      </c>
      <c r="G380" s="47" t="str">
        <f>+LOOKUP(PROYECTOS2[[#This Row],[MUNICIPIO]],Table1[Municipio],Table1[Latitud])</f>
        <v>6,537829</v>
      </c>
      <c r="H380" s="47">
        <f>+LOOKUP(PROYECTOS2[[#This Row],[MUNICIPIO]],Table1[Municipio],Table1[PDET])</f>
        <v>0</v>
      </c>
      <c r="I380" s="45">
        <f>+LOOKUP(PROYECTOS2[[#This Row],[MUNICIPIO]],Table1[Municipio],Table1[ZOMAC])</f>
        <v>0</v>
      </c>
      <c r="J380" s="34" t="str" cm="1">
        <f t="array" ref="J380">_xlfn.TEXTJOIN(", ", TRUE, IF(radicados[ID PROYECTOS]=A380, radicados[RADICADO], ""))</f>
        <v/>
      </c>
      <c r="K380" s="45"/>
      <c r="L380" s="45"/>
      <c r="M380" s="50"/>
      <c r="N380" s="48">
        <v>8257947754</v>
      </c>
      <c r="O380" s="48"/>
      <c r="P380" s="48"/>
      <c r="Q380" s="148" t="s">
        <v>1067</v>
      </c>
      <c r="R380" s="34" t="s">
        <v>407</v>
      </c>
      <c r="S380" s="40"/>
      <c r="T380" s="40"/>
      <c r="U380" s="57" t="s">
        <v>702</v>
      </c>
      <c r="V380" s="44">
        <f>+_xlfn.XLOOKUP(PROYECTOS2[[#This Row],[MUNICIPIO]],'4.CAP_ENDMNT'!B:B,'4.CAP_ENDMNT'!C:C,0,0,1)</f>
        <v>6</v>
      </c>
      <c r="W380" s="139">
        <f>+_xlfn.XLOOKUP(PROYECTOS2[[#This Row],[MUNICIPIO]],'4.CAP_ENDMNT'!B:B,'4.CAP_ENDMNT'!D:D,0,0,1)</f>
        <v>11769915072.3085</v>
      </c>
      <c r="X380" s="140">
        <f>+_xlfn.XLOOKUP(PROYECTOS2[[#This Row],[MUNICIPIO]],'4.CAP_ENDMNT'!B:B,'4.CAP_ENDMNT'!E:E,0,0,1)</f>
        <v>4043512144.3800001</v>
      </c>
      <c r="Y380" s="140">
        <f>+_xlfn.XLOOKUP(PROYECTOS2[[#This Row],[MUNICIPIO]],'4.CAP_ENDMNT'!B:B,'4.CAP_ENDMNT'!F:F,0,0,1)</f>
        <v>7726402927.9285002</v>
      </c>
      <c r="Z380" s="140">
        <f>+_xlfn.XLOOKUP(PROYECTOS2[[#This Row],[MUNICIPIO]],'4.CAP_ENDMNT'!B:B,'4.CAP_ENDMNT'!G:G,0,0,1)</f>
        <v>3010151420</v>
      </c>
      <c r="AA380" s="140">
        <f>+_xlfn.XLOOKUP(PROYECTOS2[[#This Row],[MUNICIPIO]],'4.CAP_ENDMNT'!B:B,'4.CAP_ENDMNT'!H:H,0,0,1)</f>
        <v>0</v>
      </c>
      <c r="AB380" s="140">
        <f>+_xlfn.XLOOKUP(PROYECTOS2[[#This Row],[MUNICIPIO]],'4.CAP_ENDMNT'!B:B,'4.CAP_ENDMNT'!I:I,0,0,1)</f>
        <v>3010151420</v>
      </c>
      <c r="AC380" s="134">
        <f>+_xlfn.XLOOKUP(PROYECTOS2[[#This Row],[MUNICIPIO]],'4.CAP_ENDMNT'!B:B,'4.CAP_ENDMNT'!J:J,0,0,1)</f>
        <v>0.255749629585866</v>
      </c>
      <c r="AD380" s="140">
        <f>+_xlfn.XLOOKUP(PROYECTOS2[[#This Row],[MUNICIPIO]],'4.CAP_ENDMNT'!B:B,'4.CAP_ENDMNT'!K:K,0,0,1)</f>
        <v>8759763652.3085003</v>
      </c>
      <c r="AE380" s="140">
        <f>+_xlfn.XLOOKUP(PROYECTOS2[[#This Row],[MUNICIPIO]],'4.CAP_ENDMNT'!B:B,'4.CAP_ENDMNT'!L:L,0,0,1)</f>
        <v>7007810921.8468008</v>
      </c>
      <c r="AF380" s="140">
        <f>+_xlfn.XLOOKUP(PROYECTOS2[[#This Row],[MUNICIPIO]],'4.CAP_ENDMNT'!B:B,'4.CAP_ENDMNT'!M:M,0,0,1)</f>
        <v>5255858191.3851004</v>
      </c>
      <c r="AG380" s="134">
        <f>+_xlfn.XLOOKUP(PROYECTOS2[[#This Row],[MUNICIPIO]],'4.CAP_ENDMNT'!B:B,'4.CAP_ENDMNT'!N:N,0,0,1)</f>
        <v>1</v>
      </c>
      <c r="AH380" s="134">
        <f>+_xlfn.XLOOKUP(PROYECTOS2[[#This Row],[MUNICIPIO]],'4.CAP_ENDMNT'!B:B,'4.CAP_ENDMNT'!O:O,0,0,1)</f>
        <v>0.52320001604697897</v>
      </c>
      <c r="AI380" s="134">
        <f>+_xlfn.XLOOKUP(PROYECTOS2[[#This Row],[MUNICIPIO]],'4.CAP_ENDMNT'!B:B,'4.CAP_ENDMNT'!P:P,0,0,1)</f>
        <v>0.8</v>
      </c>
      <c r="AJ380" s="44" t="str">
        <f>+_xlfn.XLOOKUP(PROYECTOS2[[#This Row],[MUNICIPIO]],'4.CAP_ENDMNT'!B:B,'4.CAP_ENDMNT'!Q:Q,0,0,1)</f>
        <v>Cumple</v>
      </c>
    </row>
    <row r="381" spans="1:36">
      <c r="A381" s="44">
        <v>404</v>
      </c>
      <c r="B381" s="37" t="s">
        <v>703</v>
      </c>
      <c r="C381" s="118">
        <v>45747</v>
      </c>
      <c r="D381" s="34" t="s">
        <v>141</v>
      </c>
      <c r="E381" s="47" t="str">
        <f>+_xlfn.XLOOKUP(PROYECTOS2[[#This Row],[MUNICIPIO]],MUNICIPIOS!A:A,MUNICIPIOS!E:E,0,0,1)</f>
        <v>Oriente</v>
      </c>
      <c r="F381" s="44" t="e" cm="1">
        <f t="array" ref="F381">+_xlfn.XLOOKUP(PROYECTOS2[[#This Row],[MUNICIPIO]],Table1[Municipio],MUNICIPIOS!F:F,0,0,1)</f>
        <v>#VALUE!</v>
      </c>
      <c r="G381" s="47" t="str">
        <f>+LOOKUP(PROYECTOS2[[#This Row],[MUNICIPIO]],Table1[Municipio],Table1[Latitud])</f>
        <v>7,074703</v>
      </c>
      <c r="H381" s="47">
        <f>+LOOKUP(PROYECTOS2[[#This Row],[MUNICIPIO]],Table1[Municipio],Table1[PDET])</f>
        <v>1</v>
      </c>
      <c r="I381" s="45">
        <f>+LOOKUP(PROYECTOS2[[#This Row],[MUNICIPIO]],Table1[Municipio],Table1[ZOMAC])</f>
        <v>1</v>
      </c>
      <c r="J381" s="34" t="str" cm="1">
        <f t="array" ref="J381">_xlfn.TEXTJOIN(", ", TRUE, IF(radicados[ID PROYECTOS]=A381, radicados[RADICADO], ""))</f>
        <v/>
      </c>
      <c r="K381" s="142">
        <v>2</v>
      </c>
      <c r="L381" s="45"/>
      <c r="M381" s="50"/>
      <c r="N381" s="48">
        <v>2886353537</v>
      </c>
      <c r="O381" s="48"/>
      <c r="P381" s="48"/>
      <c r="Q381" s="148" t="s">
        <v>1067</v>
      </c>
      <c r="R381" s="34" t="s">
        <v>407</v>
      </c>
      <c r="S381" s="40" t="s">
        <v>398</v>
      </c>
      <c r="T381" s="40" t="s">
        <v>25</v>
      </c>
      <c r="U381" s="37" t="s">
        <v>968</v>
      </c>
      <c r="V381" s="44">
        <f>+_xlfn.XLOOKUP(PROYECTOS2[[#This Row],[MUNICIPIO]],'4.CAP_ENDMNT'!B:B,'4.CAP_ENDMNT'!C:C,0,0,1)</f>
        <v>6</v>
      </c>
      <c r="W381" s="139">
        <f>+_xlfn.XLOOKUP(PROYECTOS2[[#This Row],[MUNICIPIO]],'4.CAP_ENDMNT'!B:B,'4.CAP_ENDMNT'!D:D,0,0,1)</f>
        <v>7397887197.3409996</v>
      </c>
      <c r="X381" s="140">
        <f>+_xlfn.XLOOKUP(PROYECTOS2[[#This Row],[MUNICIPIO]],'4.CAP_ENDMNT'!B:B,'4.CAP_ENDMNT'!E:E,0,0,1)</f>
        <v>2145550795.75</v>
      </c>
      <c r="Y381" s="140">
        <f>+_xlfn.XLOOKUP(PROYECTOS2[[#This Row],[MUNICIPIO]],'4.CAP_ENDMNT'!B:B,'4.CAP_ENDMNT'!F:F,0,0,1)</f>
        <v>5252336401.5909996</v>
      </c>
      <c r="Z381" s="140">
        <f>+_xlfn.XLOOKUP(PROYECTOS2[[#This Row],[MUNICIPIO]],'4.CAP_ENDMNT'!B:B,'4.CAP_ENDMNT'!G:G,0,0,1)</f>
        <v>913988424</v>
      </c>
      <c r="AA381" s="140">
        <f>+_xlfn.XLOOKUP(PROYECTOS2[[#This Row],[MUNICIPIO]],'4.CAP_ENDMNT'!B:B,'4.CAP_ENDMNT'!H:H,0,0,1)</f>
        <v>0</v>
      </c>
      <c r="AB381" s="140">
        <f>+_xlfn.XLOOKUP(PROYECTOS2[[#This Row],[MUNICIPIO]],'4.CAP_ENDMNT'!B:B,'4.CAP_ENDMNT'!I:I,0,0,1)</f>
        <v>913988424</v>
      </c>
      <c r="AC381" s="134">
        <f>+_xlfn.XLOOKUP(PROYECTOS2[[#This Row],[MUNICIPIO]],'4.CAP_ENDMNT'!B:B,'4.CAP_ENDMNT'!J:J,0,0,1)</f>
        <v>0.12354722363548773</v>
      </c>
      <c r="AD381" s="140">
        <f>+_xlfn.XLOOKUP(PROYECTOS2[[#This Row],[MUNICIPIO]],'4.CAP_ENDMNT'!B:B,'4.CAP_ENDMNT'!K:K,0,0,1)</f>
        <v>6483898773.3409996</v>
      </c>
      <c r="AE381" s="140">
        <f>+_xlfn.XLOOKUP(PROYECTOS2[[#This Row],[MUNICIPIO]],'4.CAP_ENDMNT'!B:B,'4.CAP_ENDMNT'!L:L,0,0,1)</f>
        <v>5187119018.6728001</v>
      </c>
      <c r="AF381" s="140">
        <f>+_xlfn.XLOOKUP(PROYECTOS2[[#This Row],[MUNICIPIO]],'4.CAP_ENDMNT'!B:B,'4.CAP_ENDMNT'!M:M,0,0,1)</f>
        <v>3890339264.0045996</v>
      </c>
      <c r="AG381" s="134">
        <f>+_xlfn.XLOOKUP(PROYECTOS2[[#This Row],[MUNICIPIO]],'4.CAP_ENDMNT'!B:B,'4.CAP_ENDMNT'!N:N,0,0,1)</f>
        <v>1</v>
      </c>
      <c r="AH381" s="134">
        <f>+_xlfn.XLOOKUP(PROYECTOS2[[#This Row],[MUNICIPIO]],'4.CAP_ENDMNT'!B:B,'4.CAP_ENDMNT'!O:O,0,0,1)</f>
        <v>0.55936476249157852</v>
      </c>
      <c r="AI381" s="134">
        <f>+_xlfn.XLOOKUP(PROYECTOS2[[#This Row],[MUNICIPIO]],'4.CAP_ENDMNT'!B:B,'4.CAP_ENDMNT'!P:P,0,0,1)</f>
        <v>0.8</v>
      </c>
      <c r="AJ381" s="44" t="str">
        <f>+_xlfn.XLOOKUP(PROYECTOS2[[#This Row],[MUNICIPIO]],'4.CAP_ENDMNT'!B:B,'4.CAP_ENDMNT'!Q:Q,0,0,1)</f>
        <v>Cumple</v>
      </c>
    </row>
    <row r="382" spans="1:36">
      <c r="A382" s="44">
        <v>405</v>
      </c>
      <c r="B382" s="37" t="s">
        <v>704</v>
      </c>
      <c r="C382" s="118">
        <v>45747</v>
      </c>
      <c r="D382" s="34" t="s">
        <v>182</v>
      </c>
      <c r="E382" s="47" t="str">
        <f>+_xlfn.XLOOKUP(PROYECTOS2[[#This Row],[MUNICIPIO]],MUNICIPIOS!A:A,MUNICIPIOS!E:E,0,0,1)</f>
        <v>Occidente</v>
      </c>
      <c r="F382" s="44" t="e" cm="1">
        <f t="array" ref="F382">+_xlfn.XLOOKUP(PROYECTOS2[[#This Row],[MUNICIPIO]],Table1[Municipio],MUNICIPIOS!F:F,0,0,1)</f>
        <v>#VALUE!</v>
      </c>
      <c r="G382" s="47" t="str">
        <f>+LOOKUP(PROYECTOS2[[#This Row],[MUNICIPIO]],Table1[Municipio],Table1[Latitud])</f>
        <v>7,074703</v>
      </c>
      <c r="H382" s="47">
        <f>+LOOKUP(PROYECTOS2[[#This Row],[MUNICIPIO]],Table1[Municipio],Table1[PDET])</f>
        <v>1</v>
      </c>
      <c r="I382" s="45">
        <f>+LOOKUP(PROYECTOS2[[#This Row],[MUNICIPIO]],Table1[Municipio],Table1[ZOMAC])</f>
        <v>1</v>
      </c>
      <c r="J382" s="34" t="str" cm="1">
        <f t="array" ref="J382">_xlfn.TEXTJOIN(", ", TRUE, IF(radicados[ID PROYECTOS]=A382, radicados[RADICADO], ""))</f>
        <v/>
      </c>
      <c r="K382" s="45"/>
      <c r="L382" s="45"/>
      <c r="M382" s="50"/>
      <c r="N382" s="48">
        <v>782000000</v>
      </c>
      <c r="O382" s="48"/>
      <c r="P382" s="48"/>
      <c r="Q382" s="148" t="s">
        <v>1067</v>
      </c>
      <c r="R382" s="34" t="s">
        <v>407</v>
      </c>
      <c r="S382" s="40"/>
      <c r="T382" s="40"/>
      <c r="U382" s="37" t="s">
        <v>705</v>
      </c>
      <c r="V382" s="44">
        <f>+_xlfn.XLOOKUP(PROYECTOS2[[#This Row],[MUNICIPIO]],'4.CAP_ENDMNT'!B:B,'4.CAP_ENDMNT'!C:C,0,0,1)</f>
        <v>6</v>
      </c>
      <c r="W382" s="139">
        <f>+_xlfn.XLOOKUP(PROYECTOS2[[#This Row],[MUNICIPIO]],'4.CAP_ENDMNT'!B:B,'4.CAP_ENDMNT'!D:D,0,0,1)</f>
        <v>17304408242.457001</v>
      </c>
      <c r="X382" s="140">
        <f>+_xlfn.XLOOKUP(PROYECTOS2[[#This Row],[MUNICIPIO]],'4.CAP_ENDMNT'!B:B,'4.CAP_ENDMNT'!E:E,0,0,1)</f>
        <v>4260885029.46</v>
      </c>
      <c r="Y382" s="140">
        <f>+_xlfn.XLOOKUP(PROYECTOS2[[#This Row],[MUNICIPIO]],'4.CAP_ENDMNT'!B:B,'4.CAP_ENDMNT'!F:F,0,0,1)</f>
        <v>13043523212.997002</v>
      </c>
      <c r="Z382" s="140">
        <f>+_xlfn.XLOOKUP(PROYECTOS2[[#This Row],[MUNICIPIO]],'4.CAP_ENDMNT'!B:B,'4.CAP_ENDMNT'!G:G,0,0,1)</f>
        <v>3210633884</v>
      </c>
      <c r="AA382" s="140">
        <f>+_xlfn.XLOOKUP(PROYECTOS2[[#This Row],[MUNICIPIO]],'4.CAP_ENDMNT'!B:B,'4.CAP_ENDMNT'!H:H,0,0,1)</f>
        <v>0</v>
      </c>
      <c r="AB382" s="140">
        <f>+_xlfn.XLOOKUP(PROYECTOS2[[#This Row],[MUNICIPIO]],'4.CAP_ENDMNT'!B:B,'4.CAP_ENDMNT'!I:I,0,0,1)</f>
        <v>3210633884</v>
      </c>
      <c r="AC382" s="134">
        <f>+_xlfn.XLOOKUP(PROYECTOS2[[#This Row],[MUNICIPIO]],'4.CAP_ENDMNT'!B:B,'4.CAP_ENDMNT'!J:J,0,0,1)</f>
        <v>0.1855384962614666</v>
      </c>
      <c r="AD382" s="140">
        <f>+_xlfn.XLOOKUP(PROYECTOS2[[#This Row],[MUNICIPIO]],'4.CAP_ENDMNT'!B:B,'4.CAP_ENDMNT'!K:K,0,0,1)</f>
        <v>14093774358.457001</v>
      </c>
      <c r="AE382" s="140">
        <f>+_xlfn.XLOOKUP(PROYECTOS2[[#This Row],[MUNICIPIO]],'4.CAP_ENDMNT'!B:B,'4.CAP_ENDMNT'!L:L,0,0,1)</f>
        <v>11275019486.765602</v>
      </c>
      <c r="AF382" s="140">
        <f>+_xlfn.XLOOKUP(PROYECTOS2[[#This Row],[MUNICIPIO]],'4.CAP_ENDMNT'!B:B,'4.CAP_ENDMNT'!M:M,0,0,1)</f>
        <v>8456264615.0741997</v>
      </c>
      <c r="AG382" s="134">
        <f>+_xlfn.XLOOKUP(PROYECTOS2[[#This Row],[MUNICIPIO]],'4.CAP_ENDMNT'!B:B,'4.CAP_ENDMNT'!N:N,0,0,1)</f>
        <v>1</v>
      </c>
      <c r="AH382" s="134">
        <f>+_xlfn.XLOOKUP(PROYECTOS2[[#This Row],[MUNICIPIO]],'4.CAP_ENDMNT'!B:B,'4.CAP_ENDMNT'!O:O,0,0,1)</f>
        <v>0.3794626866525494</v>
      </c>
      <c r="AI382" s="134">
        <f>+_xlfn.XLOOKUP(PROYECTOS2[[#This Row],[MUNICIPIO]],'4.CAP_ENDMNT'!B:B,'4.CAP_ENDMNT'!P:P,0,0,1)</f>
        <v>0.8</v>
      </c>
      <c r="AJ382" s="44" t="str">
        <f>+_xlfn.XLOOKUP(PROYECTOS2[[#This Row],[MUNICIPIO]],'4.CAP_ENDMNT'!B:B,'4.CAP_ENDMNT'!Q:Q,0,0,1)</f>
        <v>Cumple</v>
      </c>
    </row>
    <row r="383" spans="1:36">
      <c r="A383" s="44">
        <v>406</v>
      </c>
      <c r="B383" s="37" t="s">
        <v>706</v>
      </c>
      <c r="C383" s="118">
        <v>45747</v>
      </c>
      <c r="D383" s="34" t="s">
        <v>227</v>
      </c>
      <c r="E383" s="47" t="str">
        <f>+_xlfn.XLOOKUP(PROYECTOS2[[#This Row],[MUNICIPIO]],MUNICIPIOS!A:A,MUNICIPIOS!E:E,0,0,1)</f>
        <v>Oriente</v>
      </c>
      <c r="F383" s="44" t="e" cm="1">
        <f t="array" ref="F383">+_xlfn.XLOOKUP(PROYECTOS2[[#This Row],[MUNICIPIO]],Table1[Municipio],MUNICIPIOS!F:F,0,0,1)</f>
        <v>#VALUE!</v>
      </c>
      <c r="G383" s="47" t="str">
        <f>+LOOKUP(PROYECTOS2[[#This Row],[MUNICIPIO]],Table1[Municipio],Table1[Latitud])</f>
        <v>6,142892</v>
      </c>
      <c r="H383" s="47">
        <f>+LOOKUP(PROYECTOS2[[#This Row],[MUNICIPIO]],Table1[Municipio],Table1[PDET])</f>
        <v>0</v>
      </c>
      <c r="I383" s="45">
        <f>+LOOKUP(PROYECTOS2[[#This Row],[MUNICIPIO]],Table1[Municipio],Table1[ZOMAC])</f>
        <v>1</v>
      </c>
      <c r="J383" s="34" t="str" cm="1">
        <f t="array" ref="J383">_xlfn.TEXTJOIN(", ", TRUE, IF(radicados[ID PROYECTOS]=A383, radicados[RADICADO], ""))</f>
        <v/>
      </c>
      <c r="K383" s="45">
        <v>3</v>
      </c>
      <c r="L383" s="45"/>
      <c r="M383" s="50"/>
      <c r="N383" s="48">
        <v>6700000000</v>
      </c>
      <c r="O383" s="48"/>
      <c r="P383" s="48"/>
      <c r="Q383" s="148" t="s">
        <v>1067</v>
      </c>
      <c r="R383" s="34" t="s">
        <v>288</v>
      </c>
      <c r="S383" s="40" t="s">
        <v>398</v>
      </c>
      <c r="T383" s="40" t="s">
        <v>25</v>
      </c>
      <c r="U383" s="37"/>
      <c r="V383" s="44">
        <f>+_xlfn.XLOOKUP(PROYECTOS2[[#This Row],[MUNICIPIO]],'4.CAP_ENDMNT'!B:B,'4.CAP_ENDMNT'!C:C,0,0,1)</f>
        <v>6</v>
      </c>
      <c r="W383" s="139">
        <f>+_xlfn.XLOOKUP(PROYECTOS2[[#This Row],[MUNICIPIO]],'4.CAP_ENDMNT'!B:B,'4.CAP_ENDMNT'!D:D,0,0,1)</f>
        <v>9100976268.0305004</v>
      </c>
      <c r="X383" s="140">
        <f>+_xlfn.XLOOKUP(PROYECTOS2[[#This Row],[MUNICIPIO]],'4.CAP_ENDMNT'!B:B,'4.CAP_ENDMNT'!E:E,0,0,1)</f>
        <v>3221460794.1700001</v>
      </c>
      <c r="Y383" s="140">
        <f>+_xlfn.XLOOKUP(PROYECTOS2[[#This Row],[MUNICIPIO]],'4.CAP_ENDMNT'!B:B,'4.CAP_ENDMNT'!F:F,0,0,1)</f>
        <v>5879515473.8605003</v>
      </c>
      <c r="Z383" s="140">
        <f>+_xlfn.XLOOKUP(PROYECTOS2[[#This Row],[MUNICIPIO]],'4.CAP_ENDMNT'!B:B,'4.CAP_ENDMNT'!G:G,0,0,1)</f>
        <v>1026722956</v>
      </c>
      <c r="AA383" s="140">
        <f>+_xlfn.XLOOKUP(PROYECTOS2[[#This Row],[MUNICIPIO]],'4.CAP_ENDMNT'!B:B,'4.CAP_ENDMNT'!H:H,0,0,1)</f>
        <v>190000000</v>
      </c>
      <c r="AB383" s="140">
        <f>+_xlfn.XLOOKUP(PROYECTOS2[[#This Row],[MUNICIPIO]],'4.CAP_ENDMNT'!B:B,'4.CAP_ENDMNT'!I:I,0,0,1)</f>
        <v>1216722956</v>
      </c>
      <c r="AC383" s="134">
        <f>+_xlfn.XLOOKUP(PROYECTOS2[[#This Row],[MUNICIPIO]],'4.CAP_ENDMNT'!B:B,'4.CAP_ENDMNT'!J:J,0,0,1)</f>
        <v>0.13369147662477152</v>
      </c>
      <c r="AD383" s="140">
        <f>+_xlfn.XLOOKUP(PROYECTOS2[[#This Row],[MUNICIPIO]],'4.CAP_ENDMNT'!B:B,'4.CAP_ENDMNT'!K:K,0,0,1)</f>
        <v>7884253312.0305004</v>
      </c>
      <c r="AE383" s="140">
        <f>+_xlfn.XLOOKUP(PROYECTOS2[[#This Row],[MUNICIPIO]],'4.CAP_ENDMNT'!B:B,'4.CAP_ENDMNT'!L:L,0,0,1)</f>
        <v>6307402649.6244011</v>
      </c>
      <c r="AF383" s="140">
        <f>+_xlfn.XLOOKUP(PROYECTOS2[[#This Row],[MUNICIPIO]],'4.CAP_ENDMNT'!B:B,'4.CAP_ENDMNT'!M:M,0,0,1)</f>
        <v>4730551987.2182999</v>
      </c>
      <c r="AG383" s="134">
        <f>+_xlfn.XLOOKUP(PROYECTOS2[[#This Row],[MUNICIPIO]],'4.CAP_ENDMNT'!B:B,'4.CAP_ENDMNT'!N:N,0,0,1)</f>
        <v>0.84384284108140062</v>
      </c>
      <c r="AH383" s="134">
        <f>+_xlfn.XLOOKUP(PROYECTOS2[[#This Row],[MUNICIPIO]],'4.CAP_ENDMNT'!B:B,'4.CAP_ENDMNT'!O:O,0,0,1)</f>
        <v>0.65864601932480682</v>
      </c>
      <c r="AI383" s="134">
        <f>+_xlfn.XLOOKUP(PROYECTOS2[[#This Row],[MUNICIPIO]],'4.CAP_ENDMNT'!B:B,'4.CAP_ENDMNT'!P:P,0,0,1)</f>
        <v>0.8</v>
      </c>
      <c r="AJ383" s="44" t="str">
        <f>+_xlfn.XLOOKUP(PROYECTOS2[[#This Row],[MUNICIPIO]],'4.CAP_ENDMNT'!B:B,'4.CAP_ENDMNT'!Q:Q,0,0,1)</f>
        <v>Cumple</v>
      </c>
    </row>
    <row r="384" spans="1:36" ht="15" customHeight="1">
      <c r="A384" s="44">
        <v>407</v>
      </c>
      <c r="B384" s="68" t="s">
        <v>374</v>
      </c>
      <c r="C384" s="121">
        <f>+_xlfn.XLOOKUP(PROYECTOS2[[#This Row],[ID_NECESIDAD]],'1.RADICADOS'!G:G,'1.RADICADOS'!C:C,0,0,1)*1</f>
        <v>45729</v>
      </c>
      <c r="D384" s="34" t="s">
        <v>223</v>
      </c>
      <c r="E384" s="47" t="str">
        <f>+_xlfn.XLOOKUP(PROYECTOS2[[#This Row],[MUNICIPIO]],MUNICIPIOS!A:A,MUNICIPIOS!E:E,0,0,1)</f>
        <v>Suroeste</v>
      </c>
      <c r="F384" s="44" t="e" cm="1">
        <f t="array" ref="F384">+_xlfn.XLOOKUP(PROYECTOS2[[#This Row],[MUNICIPIO]],Table1[Municipio],MUNICIPIOS!F:F,0,0,1)</f>
        <v>#VALUE!</v>
      </c>
      <c r="G384" s="47" t="str">
        <f>+LOOKUP(PROYECTOS2[[#This Row],[MUNICIPIO]],Table1[Municipio],Table1[Latitud])</f>
        <v>6,537829</v>
      </c>
      <c r="H384" s="47">
        <f>+LOOKUP(PROYECTOS2[[#This Row],[MUNICIPIO]],Table1[Municipio],Table1[PDET])</f>
        <v>0</v>
      </c>
      <c r="I384" s="45">
        <f>+LOOKUP(PROYECTOS2[[#This Row],[MUNICIPIO]],Table1[Municipio],Table1[ZOMAC])</f>
        <v>0</v>
      </c>
      <c r="J384" s="34" t="str" cm="1">
        <f t="array" ref="J384">_xlfn.TEXTJOIN(", ", TRUE, IF(radicados[ID PROYECTOS]=A384, radicados[RADICADO], ""))</f>
        <v>2025010124005</v>
      </c>
      <c r="K384" s="45">
        <v>2</v>
      </c>
      <c r="L384" s="45"/>
      <c r="M384" s="50"/>
      <c r="N384" s="72"/>
      <c r="O384" s="72"/>
      <c r="P384" s="72"/>
      <c r="Q384" s="148" t="s">
        <v>1067</v>
      </c>
      <c r="R384" s="34" t="s">
        <v>435</v>
      </c>
      <c r="S384" s="40"/>
      <c r="T384" s="40"/>
      <c r="U384" s="37"/>
      <c r="V384" s="44">
        <f>+_xlfn.XLOOKUP(PROYECTOS2[[#This Row],[MUNICIPIO]],'4.CAP_ENDMNT'!B:B,'4.CAP_ENDMNT'!C:C,0,0,1)</f>
        <v>6</v>
      </c>
      <c r="W384" s="139">
        <f>+_xlfn.XLOOKUP(PROYECTOS2[[#This Row],[MUNICIPIO]],'4.CAP_ENDMNT'!B:B,'4.CAP_ENDMNT'!D:D,0,0,1)</f>
        <v>18608617574.017002</v>
      </c>
      <c r="X384" s="140">
        <f>+_xlfn.XLOOKUP(PROYECTOS2[[#This Row],[MUNICIPIO]],'4.CAP_ENDMNT'!B:B,'4.CAP_ENDMNT'!E:E,0,0,1)</f>
        <v>7376218347.0799999</v>
      </c>
      <c r="Y384" s="140">
        <f>+_xlfn.XLOOKUP(PROYECTOS2[[#This Row],[MUNICIPIO]],'4.CAP_ENDMNT'!B:B,'4.CAP_ENDMNT'!F:F,0,0,1)</f>
        <v>11232399226.937002</v>
      </c>
      <c r="Z384" s="140">
        <f>+_xlfn.XLOOKUP(PROYECTOS2[[#This Row],[MUNICIPIO]],'4.CAP_ENDMNT'!B:B,'4.CAP_ENDMNT'!G:G,0,0,1)</f>
        <v>2665498102.3000002</v>
      </c>
      <c r="AA384" s="140">
        <f>+_xlfn.XLOOKUP(PROYECTOS2[[#This Row],[MUNICIPIO]],'4.CAP_ENDMNT'!B:B,'4.CAP_ENDMNT'!H:H,0,0,1)</f>
        <v>2057047588</v>
      </c>
      <c r="AB384" s="140">
        <f>+_xlfn.XLOOKUP(PROYECTOS2[[#This Row],[MUNICIPIO]],'4.CAP_ENDMNT'!B:B,'4.CAP_ENDMNT'!I:I,0,0,1)</f>
        <v>4722545690.3000002</v>
      </c>
      <c r="AC384" s="134">
        <f>+_xlfn.XLOOKUP(PROYECTOS2[[#This Row],[MUNICIPIO]],'4.CAP_ENDMNT'!B:B,'4.CAP_ENDMNT'!J:J,0,0,1)</f>
        <v>0.25378272574605631</v>
      </c>
      <c r="AD384" s="140">
        <f>+_xlfn.XLOOKUP(PROYECTOS2[[#This Row],[MUNICIPIO]],'4.CAP_ENDMNT'!B:B,'4.CAP_ENDMNT'!K:K,0,0,1)</f>
        <v>13886071883.717003</v>
      </c>
      <c r="AE384" s="140">
        <f>+_xlfn.XLOOKUP(PROYECTOS2[[#This Row],[MUNICIPIO]],'4.CAP_ENDMNT'!B:B,'4.CAP_ENDMNT'!L:L,0,0,1)</f>
        <v>11108857506.973602</v>
      </c>
      <c r="AF384" s="140">
        <f>+_xlfn.XLOOKUP(PROYECTOS2[[#This Row],[MUNICIPIO]],'4.CAP_ENDMNT'!B:B,'4.CAP_ENDMNT'!M:M,0,0,1)</f>
        <v>8331643130.2302017</v>
      </c>
      <c r="AG384" s="134">
        <f>+_xlfn.XLOOKUP(PROYECTOS2[[#This Row],[MUNICIPIO]],'4.CAP_ENDMNT'!B:B,'4.CAP_ENDMNT'!N:N,0,0,1)</f>
        <v>0.56441975940537148</v>
      </c>
      <c r="AH384" s="134">
        <f>+_xlfn.XLOOKUP(PROYECTOS2[[#This Row],[MUNICIPIO]],'4.CAP_ENDMNT'!B:B,'4.CAP_ENDMNT'!O:O,0,0,1)</f>
        <v>0.57306836090110702</v>
      </c>
      <c r="AI384" s="134">
        <f>+_xlfn.XLOOKUP(PROYECTOS2[[#This Row],[MUNICIPIO]],'4.CAP_ENDMNT'!B:B,'4.CAP_ENDMNT'!P:P,0,0,1)</f>
        <v>0.8</v>
      </c>
      <c r="AJ384" s="44" t="str">
        <f>+_xlfn.XLOOKUP(PROYECTOS2[[#This Row],[MUNICIPIO]],'4.CAP_ENDMNT'!B:B,'4.CAP_ENDMNT'!Q:Q,0,0,1)</f>
        <v>Cumple</v>
      </c>
    </row>
    <row r="385" spans="1:36" ht="15" customHeight="1">
      <c r="A385" s="44">
        <v>408</v>
      </c>
      <c r="B385" s="71" t="s">
        <v>376</v>
      </c>
      <c r="C385" s="122">
        <f>+_xlfn.XLOOKUP(PROYECTOS2[[#This Row],[ID_NECESIDAD]],'1.RADICADOS'!G:G,'1.RADICADOS'!C:C,0,0,1)*1</f>
        <v>45729</v>
      </c>
      <c r="D385" s="67" t="s">
        <v>326</v>
      </c>
      <c r="E385" s="47" t="str">
        <f>+_xlfn.XLOOKUP(PROYECTOS2[[#This Row],[MUNICIPIO]],MUNICIPIOS!A:A,MUNICIPIOS!E:E,0,0,1)</f>
        <v>Norte</v>
      </c>
      <c r="F385" s="44" t="e" cm="1">
        <f t="array" ref="F385">+_xlfn.XLOOKUP(PROYECTOS2[[#This Row],[MUNICIPIO]],Table1[Municipio],MUNICIPIOS!F:F,0,0,1)</f>
        <v>#VALUE!</v>
      </c>
      <c r="G385" s="47" t="str">
        <f>+LOOKUP(PROYECTOS2[[#This Row],[MUNICIPIO]],Table1[Municipio],Table1[Latitud])</f>
        <v>6,136871</v>
      </c>
      <c r="H385" s="47">
        <f>+LOOKUP(PROYECTOS2[[#This Row],[MUNICIPIO]],Table1[Municipio],Table1[PDET])</f>
        <v>0</v>
      </c>
      <c r="I385" s="45">
        <f>+LOOKUP(PROYECTOS2[[#This Row],[MUNICIPIO]],Table1[Municipio],Table1[ZOMAC])</f>
        <v>0</v>
      </c>
      <c r="J385" s="34" t="str" cm="1">
        <f t="array" ref="J385">_xlfn.TEXTJOIN(", ", TRUE, IF(radicados[ID PROYECTOS]=A385, radicados[RADICADO], ""))</f>
        <v>2025010122987</v>
      </c>
      <c r="K385" s="45">
        <v>3</v>
      </c>
      <c r="L385" s="45"/>
      <c r="M385" s="50"/>
      <c r="N385" s="70">
        <v>39642294947</v>
      </c>
      <c r="O385" s="70"/>
      <c r="P385" s="70"/>
      <c r="Q385" s="148" t="s">
        <v>1067</v>
      </c>
      <c r="R385" s="34" t="s">
        <v>396</v>
      </c>
      <c r="S385" s="40" t="s">
        <v>398</v>
      </c>
      <c r="T385" s="40" t="s">
        <v>25</v>
      </c>
      <c r="U385" s="37" t="s">
        <v>377</v>
      </c>
      <c r="V385" s="44">
        <f>+_xlfn.XLOOKUP(PROYECTOS2[[#This Row],[MUNICIPIO]],'4.CAP_ENDMNT'!B:B,'4.CAP_ENDMNT'!C:C,0,0,1)</f>
        <v>6</v>
      </c>
      <c r="W385" s="139">
        <f>+_xlfn.XLOOKUP(PROYECTOS2[[#This Row],[MUNICIPIO]],'4.CAP_ENDMNT'!B:B,'4.CAP_ENDMNT'!D:D,0,0,1)</f>
        <v>18940820544.593998</v>
      </c>
      <c r="X385" s="140">
        <f>+_xlfn.XLOOKUP(PROYECTOS2[[#This Row],[MUNICIPIO]],'4.CAP_ENDMNT'!B:B,'4.CAP_ENDMNT'!E:E,0,0,1)</f>
        <v>5983055403.6199999</v>
      </c>
      <c r="Y385" s="140">
        <f>+_xlfn.XLOOKUP(PROYECTOS2[[#This Row],[MUNICIPIO]],'4.CAP_ENDMNT'!B:B,'4.CAP_ENDMNT'!F:F,0,0,1)</f>
        <v>12957765140.973999</v>
      </c>
      <c r="Z385" s="140">
        <f>+_xlfn.XLOOKUP(PROYECTOS2[[#This Row],[MUNICIPIO]],'4.CAP_ENDMNT'!B:B,'4.CAP_ENDMNT'!G:G,0,0,1)</f>
        <v>528703455</v>
      </c>
      <c r="AA385" s="140">
        <f>+_xlfn.XLOOKUP(PROYECTOS2[[#This Row],[MUNICIPIO]],'4.CAP_ENDMNT'!B:B,'4.CAP_ENDMNT'!H:H,0,0,1)</f>
        <v>4617666038</v>
      </c>
      <c r="AB385" s="140">
        <f>+_xlfn.XLOOKUP(PROYECTOS2[[#This Row],[MUNICIPIO]],'4.CAP_ENDMNT'!B:B,'4.CAP_ENDMNT'!I:I,0,0,1)</f>
        <v>5146369493</v>
      </c>
      <c r="AC385" s="134">
        <f>+_xlfn.XLOOKUP(PROYECTOS2[[#This Row],[MUNICIPIO]],'4.CAP_ENDMNT'!B:B,'4.CAP_ENDMNT'!J:J,0,0,1)</f>
        <v>0.27170784290382038</v>
      </c>
      <c r="AD385" s="140">
        <f>+_xlfn.XLOOKUP(PROYECTOS2[[#This Row],[MUNICIPIO]],'4.CAP_ENDMNT'!B:B,'4.CAP_ENDMNT'!K:K,0,0,1)</f>
        <v>13794451051.593998</v>
      </c>
      <c r="AE385" s="140">
        <f>+_xlfn.XLOOKUP(PROYECTOS2[[#This Row],[MUNICIPIO]],'4.CAP_ENDMNT'!B:B,'4.CAP_ENDMNT'!L:L,0,0,1)</f>
        <v>11035560841.2752</v>
      </c>
      <c r="AF385" s="140">
        <f>+_xlfn.XLOOKUP(PROYECTOS2[[#This Row],[MUNICIPIO]],'4.CAP_ENDMNT'!B:B,'4.CAP_ENDMNT'!M:M,0,0,1)</f>
        <v>8276670630.956398</v>
      </c>
      <c r="AG385" s="134">
        <f>+_xlfn.XLOOKUP(PROYECTOS2[[#This Row],[MUNICIPIO]],'4.CAP_ENDMNT'!B:B,'4.CAP_ENDMNT'!N:N,0,0,1)</f>
        <v>0.10273328716858224</v>
      </c>
      <c r="AH385" s="134">
        <f>+_xlfn.XLOOKUP(PROYECTOS2[[#This Row],[MUNICIPIO]],'4.CAP_ENDMNT'!B:B,'4.CAP_ENDMNT'!O:O,0,0,1)</f>
        <v>0.44981176046067123</v>
      </c>
      <c r="AI385" s="134">
        <f>+_xlfn.XLOOKUP(PROYECTOS2[[#This Row],[MUNICIPIO]],'4.CAP_ENDMNT'!B:B,'4.CAP_ENDMNT'!P:P,0,0,1)</f>
        <v>0.8</v>
      </c>
      <c r="AJ385" s="44" t="str">
        <f>+_xlfn.XLOOKUP(PROYECTOS2[[#This Row],[MUNICIPIO]],'4.CAP_ENDMNT'!B:B,'4.CAP_ENDMNT'!Q:Q,0,0,1)</f>
        <v>Cumple</v>
      </c>
    </row>
    <row r="386" spans="1:36" ht="15" customHeight="1">
      <c r="A386" s="44">
        <v>409</v>
      </c>
      <c r="B386" s="37" t="s">
        <v>962</v>
      </c>
      <c r="C386" s="122">
        <f>+_xlfn.XLOOKUP(PROYECTOS2[[#This Row],[ID_NECESIDAD]],'1.RADICADOS'!G:G,'1.RADICADOS'!C:C,0,0,1)*1</f>
        <v>45728</v>
      </c>
      <c r="D386" s="67" t="s">
        <v>95</v>
      </c>
      <c r="E386" s="47" t="str">
        <f>+_xlfn.XLOOKUP(PROYECTOS2[[#This Row],[MUNICIPIO]],MUNICIPIOS!A:A,MUNICIPIOS!E:E,0,0,1)</f>
        <v>Occidente</v>
      </c>
      <c r="F386" s="44" t="e" cm="1">
        <f t="array" ref="F386">+_xlfn.XLOOKUP(PROYECTOS2[[#This Row],[MUNICIPIO]],Table1[Municipio],MUNICIPIOS!F:F,0,0,1)</f>
        <v>#VALUE!</v>
      </c>
      <c r="G386" s="47" t="str">
        <f>+LOOKUP(PROYECTOS2[[#This Row],[MUNICIPIO]],Table1[Municipio],Table1[Latitud])</f>
        <v>6,149903</v>
      </c>
      <c r="H386" s="47">
        <f>+LOOKUP(PROYECTOS2[[#This Row],[MUNICIPIO]],Table1[Municipio],Table1[PDET])</f>
        <v>0</v>
      </c>
      <c r="I386" s="45">
        <f>+LOOKUP(PROYECTOS2[[#This Row],[MUNICIPIO]],Table1[Municipio],Table1[ZOMAC])</f>
        <v>0</v>
      </c>
      <c r="J386" s="34" t="str" cm="1">
        <f t="array" ref="J386">_xlfn.TEXTJOIN(", ", TRUE, IF(radicados[ID PROYECTOS]=A386, radicados[RADICADO], ""))</f>
        <v>2024010555821</v>
      </c>
      <c r="K386" s="45">
        <v>3</v>
      </c>
      <c r="L386" s="45"/>
      <c r="M386" s="50"/>
      <c r="N386" s="70">
        <v>3853795225</v>
      </c>
      <c r="O386" s="70"/>
      <c r="P386" s="70"/>
      <c r="Q386" s="148" t="s">
        <v>1067</v>
      </c>
      <c r="R386" s="34" t="s">
        <v>396</v>
      </c>
      <c r="S386" s="40" t="s">
        <v>398</v>
      </c>
      <c r="T386" s="40" t="s">
        <v>25</v>
      </c>
      <c r="U386" s="37"/>
      <c r="V386" s="44">
        <f>+_xlfn.XLOOKUP(PROYECTOS2[[#This Row],[MUNICIPIO]],'4.CAP_ENDMNT'!B:B,'4.CAP_ENDMNT'!C:C,0,0,1)</f>
        <v>6</v>
      </c>
      <c r="W386" s="139">
        <f>+_xlfn.XLOOKUP(PROYECTOS2[[#This Row],[MUNICIPIO]],'4.CAP_ENDMNT'!B:B,'4.CAP_ENDMNT'!D:D,0,0,1)</f>
        <v>16347842057.745998</v>
      </c>
      <c r="X386" s="140">
        <f>+_xlfn.XLOOKUP(PROYECTOS2[[#This Row],[MUNICIPIO]],'4.CAP_ENDMNT'!B:B,'4.CAP_ENDMNT'!E:E,0,0,1)</f>
        <v>7901643157.3299999</v>
      </c>
      <c r="Y386" s="140">
        <f>+_xlfn.XLOOKUP(PROYECTOS2[[#This Row],[MUNICIPIO]],'4.CAP_ENDMNT'!B:B,'4.CAP_ENDMNT'!F:F,0,0,1)</f>
        <v>8446198900.4159985</v>
      </c>
      <c r="Z386" s="140">
        <f>+_xlfn.XLOOKUP(PROYECTOS2[[#This Row],[MUNICIPIO]],'4.CAP_ENDMNT'!B:B,'4.CAP_ENDMNT'!G:G,0,0,1)</f>
        <v>1620905965.8499999</v>
      </c>
      <c r="AA386" s="140">
        <f>+_xlfn.XLOOKUP(PROYECTOS2[[#This Row],[MUNICIPIO]],'4.CAP_ENDMNT'!B:B,'4.CAP_ENDMNT'!H:H,0,0,1)</f>
        <v>2416666620</v>
      </c>
      <c r="AB386" s="140">
        <f>+_xlfn.XLOOKUP(PROYECTOS2[[#This Row],[MUNICIPIO]],'4.CAP_ENDMNT'!B:B,'4.CAP_ENDMNT'!I:I,0,0,1)</f>
        <v>4037572585.8499999</v>
      </c>
      <c r="AC386" s="134">
        <f>+_xlfn.XLOOKUP(PROYECTOS2[[#This Row],[MUNICIPIO]],'4.CAP_ENDMNT'!B:B,'4.CAP_ENDMNT'!J:J,0,0,1)</f>
        <v>0.24697893285168493</v>
      </c>
      <c r="AD386" s="140">
        <f>+_xlfn.XLOOKUP(PROYECTOS2[[#This Row],[MUNICIPIO]],'4.CAP_ENDMNT'!B:B,'4.CAP_ENDMNT'!K:K,0,0,1)</f>
        <v>12310269471.895998</v>
      </c>
      <c r="AE386" s="140">
        <f>+_xlfn.XLOOKUP(PROYECTOS2[[#This Row],[MUNICIPIO]],'4.CAP_ENDMNT'!B:B,'4.CAP_ENDMNT'!L:L,0,0,1)</f>
        <v>9848215577.516798</v>
      </c>
      <c r="AF386" s="140">
        <f>+_xlfn.XLOOKUP(PROYECTOS2[[#This Row],[MUNICIPIO]],'4.CAP_ENDMNT'!B:B,'4.CAP_ENDMNT'!M:M,0,0,1)</f>
        <v>7386161683.137599</v>
      </c>
      <c r="AG386" s="134">
        <f>+_xlfn.XLOOKUP(PROYECTOS2[[#This Row],[MUNICIPIO]],'4.CAP_ENDMNT'!B:B,'4.CAP_ENDMNT'!N:N,0,0,1)</f>
        <v>0.40145556058375176</v>
      </c>
      <c r="AH386" s="134">
        <f>+_xlfn.XLOOKUP(PROYECTOS2[[#This Row],[MUNICIPIO]],'4.CAP_ENDMNT'!B:B,'4.CAP_ENDMNT'!O:O,0,0,1)</f>
        <v>0.5852153455768756</v>
      </c>
      <c r="AI386" s="134">
        <f>+_xlfn.XLOOKUP(PROYECTOS2[[#This Row],[MUNICIPIO]],'4.CAP_ENDMNT'!B:B,'4.CAP_ENDMNT'!P:P,0,0,1)</f>
        <v>0.8</v>
      </c>
      <c r="AJ386" s="44" t="str">
        <f>+_xlfn.XLOOKUP(PROYECTOS2[[#This Row],[MUNICIPIO]],'4.CAP_ENDMNT'!B:B,'4.CAP_ENDMNT'!Q:Q,0,0,1)</f>
        <v>Cumple</v>
      </c>
    </row>
    <row r="387" spans="1:36" ht="15" customHeight="1">
      <c r="A387" s="44">
        <v>410</v>
      </c>
      <c r="B387" s="71" t="s">
        <v>379</v>
      </c>
      <c r="C387" s="122">
        <f>+_xlfn.XLOOKUP(PROYECTOS2[[#This Row],[ID_NECESIDAD]],'1.RADICADOS'!G:G,'1.RADICADOS'!C:C,0,0,1)*1</f>
        <v>45729</v>
      </c>
      <c r="D387" s="67" t="s">
        <v>118</v>
      </c>
      <c r="E387" s="47" t="str">
        <f>+_xlfn.XLOOKUP(PROYECTOS2[[#This Row],[MUNICIPIO]],MUNICIPIOS!A:A,MUNICIPIOS!E:E,0,0,1)</f>
        <v>Urabá</v>
      </c>
      <c r="F387" s="44" t="e" cm="1">
        <f t="array" ref="F387">+_xlfn.XLOOKUP(PROYECTOS2[[#This Row],[MUNICIPIO]],Table1[Municipio],MUNICIPIOS!F:F,0,0,1)</f>
        <v>#VALUE!</v>
      </c>
      <c r="G387" s="47" t="str">
        <f>+LOOKUP(PROYECTOS2[[#This Row],[MUNICIPIO]],Table1[Municipio],Table1[Latitud])</f>
        <v>7,074703</v>
      </c>
      <c r="H387" s="47">
        <f>+LOOKUP(PROYECTOS2[[#This Row],[MUNICIPIO]],Table1[Municipio],Table1[PDET])</f>
        <v>1</v>
      </c>
      <c r="I387" s="45">
        <f>+LOOKUP(PROYECTOS2[[#This Row],[MUNICIPIO]],Table1[Municipio],Table1[ZOMAC])</f>
        <v>1</v>
      </c>
      <c r="J387" s="34" t="str" cm="1">
        <f t="array" ref="J387">_xlfn.TEXTJOIN(", ", TRUE, IF(radicados[ID PROYECTOS]=A387, radicados[RADICADO], ""))</f>
        <v>2025010123714</v>
      </c>
      <c r="K387" s="45">
        <v>3</v>
      </c>
      <c r="L387" s="45"/>
      <c r="M387" s="50"/>
      <c r="N387" s="70">
        <v>5241523447</v>
      </c>
      <c r="O387" s="70"/>
      <c r="P387" s="70"/>
      <c r="Q387" s="148" t="s">
        <v>1067</v>
      </c>
      <c r="R387" s="34" t="s">
        <v>707</v>
      </c>
      <c r="S387" s="40" t="s">
        <v>394</v>
      </c>
      <c r="T387" s="40" t="s">
        <v>18</v>
      </c>
      <c r="U387" s="37" t="s">
        <v>380</v>
      </c>
      <c r="V387" s="44">
        <f>+_xlfn.XLOOKUP(PROYECTOS2[[#This Row],[MUNICIPIO]],'4.CAP_ENDMNT'!B:B,'4.CAP_ENDMNT'!C:C,0,0,1)</f>
        <v>6</v>
      </c>
      <c r="W387" s="139">
        <f>+_xlfn.XLOOKUP(PROYECTOS2[[#This Row],[MUNICIPIO]],'4.CAP_ENDMNT'!B:B,'4.CAP_ENDMNT'!D:D,0,0,1)</f>
        <v>31480625713.601501</v>
      </c>
      <c r="X387" s="140">
        <f>+_xlfn.XLOOKUP(PROYECTOS2[[#This Row],[MUNICIPIO]],'4.CAP_ENDMNT'!B:B,'4.CAP_ENDMNT'!E:E,0,0,1)</f>
        <v>12012746210.970001</v>
      </c>
      <c r="Y387" s="140">
        <f>+_xlfn.XLOOKUP(PROYECTOS2[[#This Row],[MUNICIPIO]],'4.CAP_ENDMNT'!B:B,'4.CAP_ENDMNT'!F:F,0,0,1)</f>
        <v>19467879502.6315</v>
      </c>
      <c r="Z387" s="140">
        <f>+_xlfn.XLOOKUP(PROYECTOS2[[#This Row],[MUNICIPIO]],'4.CAP_ENDMNT'!B:B,'4.CAP_ENDMNT'!G:G,0,0,1)</f>
        <v>990257688</v>
      </c>
      <c r="AA387" s="140">
        <f>+_xlfn.XLOOKUP(PROYECTOS2[[#This Row],[MUNICIPIO]],'4.CAP_ENDMNT'!B:B,'4.CAP_ENDMNT'!H:H,0,0,1)</f>
        <v>4241046406.5999999</v>
      </c>
      <c r="AB387" s="140">
        <f>+_xlfn.XLOOKUP(PROYECTOS2[[#This Row],[MUNICIPIO]],'4.CAP_ENDMNT'!B:B,'4.CAP_ENDMNT'!I:I,0,0,1)</f>
        <v>5231304094.6000004</v>
      </c>
      <c r="AC387" s="134">
        <f>+_xlfn.XLOOKUP(PROYECTOS2[[#This Row],[MUNICIPIO]],'4.CAP_ENDMNT'!B:B,'4.CAP_ENDMNT'!J:J,0,0,1)</f>
        <v>0.16617535312647125</v>
      </c>
      <c r="AD387" s="140">
        <f>+_xlfn.XLOOKUP(PROYECTOS2[[#This Row],[MUNICIPIO]],'4.CAP_ENDMNT'!B:B,'4.CAP_ENDMNT'!K:K,0,0,1)</f>
        <v>26249321619.001503</v>
      </c>
      <c r="AE387" s="140">
        <f>+_xlfn.XLOOKUP(PROYECTOS2[[#This Row],[MUNICIPIO]],'4.CAP_ENDMNT'!B:B,'4.CAP_ENDMNT'!L:L,0,0,1)</f>
        <v>20999457295.201202</v>
      </c>
      <c r="AF387" s="140">
        <f>+_xlfn.XLOOKUP(PROYECTOS2[[#This Row],[MUNICIPIO]],'4.CAP_ENDMNT'!B:B,'4.CAP_ENDMNT'!M:M,0,0,1)</f>
        <v>15749592971.400902</v>
      </c>
      <c r="AG387" s="134">
        <f>+_xlfn.XLOOKUP(PROYECTOS2[[#This Row],[MUNICIPIO]],'4.CAP_ENDMNT'!B:B,'4.CAP_ENDMNT'!N:N,0,0,1)</f>
        <v>0.18929461375074541</v>
      </c>
      <c r="AH387" s="134">
        <f>+_xlfn.XLOOKUP(PROYECTOS2[[#This Row],[MUNICIPIO]],'4.CAP_ENDMNT'!B:B,'4.CAP_ENDMNT'!O:O,0,0,1)</f>
        <v>0.57128723877428544</v>
      </c>
      <c r="AI387" s="134">
        <f>+_xlfn.XLOOKUP(PROYECTOS2[[#This Row],[MUNICIPIO]],'4.CAP_ENDMNT'!B:B,'4.CAP_ENDMNT'!P:P,0,0,1)</f>
        <v>0.8</v>
      </c>
      <c r="AJ387" s="44" t="str">
        <f>+_xlfn.XLOOKUP(PROYECTOS2[[#This Row],[MUNICIPIO]],'4.CAP_ENDMNT'!B:B,'4.CAP_ENDMNT'!Q:Q,0,0,1)</f>
        <v>Cumple</v>
      </c>
    </row>
    <row r="388" spans="1:36" ht="15" customHeight="1">
      <c r="A388" s="44">
        <v>411</v>
      </c>
      <c r="B388" s="37" t="s">
        <v>708</v>
      </c>
      <c r="C388" s="118">
        <v>45747</v>
      </c>
      <c r="D388" s="67" t="s">
        <v>76</v>
      </c>
      <c r="E388" s="47" t="str">
        <f>+_xlfn.XLOOKUP(PROYECTOS2[[#This Row],[MUNICIPIO]],MUNICIPIOS!A:A,MUNICIPIOS!E:E,0,0,1)</f>
        <v>Valle de Aburrá</v>
      </c>
      <c r="F388" s="44" t="e" cm="1">
        <f t="array" ref="F388">+_xlfn.XLOOKUP(PROYECTOS2[[#This Row],[MUNICIPIO]],Table1[Municipio],MUNICIPIOS!F:F,0,0,1)</f>
        <v>#VALUE!</v>
      </c>
      <c r="G388" s="47" t="str">
        <f>+LOOKUP(PROYECTOS2[[#This Row],[MUNICIPIO]],Table1[Municipio],Table1[Latitud])</f>
        <v>6,136871</v>
      </c>
      <c r="H388" s="47">
        <f>+LOOKUP(PROYECTOS2[[#This Row],[MUNICIPIO]],Table1[Municipio],Table1[PDET])</f>
        <v>0</v>
      </c>
      <c r="I388" s="45">
        <f>+LOOKUP(PROYECTOS2[[#This Row],[MUNICIPIO]],Table1[Municipio],Table1[ZOMAC])</f>
        <v>0</v>
      </c>
      <c r="J388" s="34" t="str" cm="1">
        <f t="array" ref="J388">_xlfn.TEXTJOIN(", ", TRUE, IF(radicados[ID PROYECTOS]=A388, radicados[RADICADO], ""))</f>
        <v>2025010119542</v>
      </c>
      <c r="K388" s="45">
        <v>3</v>
      </c>
      <c r="L388" s="45"/>
      <c r="M388" s="50"/>
      <c r="N388" s="70">
        <v>18376102798</v>
      </c>
      <c r="O388" s="70"/>
      <c r="P388" s="70"/>
      <c r="Q388" s="148" t="s">
        <v>1067</v>
      </c>
      <c r="R388" s="34" t="s">
        <v>396</v>
      </c>
      <c r="S388" s="40" t="s">
        <v>398</v>
      </c>
      <c r="T388" s="40" t="s">
        <v>25</v>
      </c>
      <c r="U388" s="37" t="s">
        <v>709</v>
      </c>
      <c r="V388" s="44">
        <f>+_xlfn.XLOOKUP(PROYECTOS2[[#This Row],[MUNICIPIO]],'4.CAP_ENDMNT'!B:B,'4.CAP_ENDMNT'!C:C,0,0,1)</f>
        <v>1</v>
      </c>
      <c r="W388" s="139">
        <f>+_xlfn.XLOOKUP(PROYECTOS2[[#This Row],[MUNICIPIO]],'4.CAP_ENDMNT'!B:B,'4.CAP_ENDMNT'!D:D,0,0,1)</f>
        <v>529100951775.10547</v>
      </c>
      <c r="X388" s="140">
        <f>+_xlfn.XLOOKUP(PROYECTOS2[[#This Row],[MUNICIPIO]],'4.CAP_ENDMNT'!B:B,'4.CAP_ENDMNT'!E:E,0,0,1)</f>
        <v>139843828606.55002</v>
      </c>
      <c r="Y388" s="140">
        <f>+_xlfn.XLOOKUP(PROYECTOS2[[#This Row],[MUNICIPIO]],'4.CAP_ENDMNT'!B:B,'4.CAP_ENDMNT'!F:F,0,0,1)</f>
        <v>389257123168.55542</v>
      </c>
      <c r="Z388" s="140">
        <f>+_xlfn.XLOOKUP(PROYECTOS2[[#This Row],[MUNICIPIO]],'4.CAP_ENDMNT'!B:B,'4.CAP_ENDMNT'!G:G,0,0,1)</f>
        <v>36309816121</v>
      </c>
      <c r="AA388" s="140">
        <f>+_xlfn.XLOOKUP(PROYECTOS2[[#This Row],[MUNICIPIO]],'4.CAP_ENDMNT'!B:B,'4.CAP_ENDMNT'!H:H,0,0,1)</f>
        <v>162755467295</v>
      </c>
      <c r="AB388" s="140">
        <f>+_xlfn.XLOOKUP(PROYECTOS2[[#This Row],[MUNICIPIO]],'4.CAP_ENDMNT'!B:B,'4.CAP_ENDMNT'!I:I,0,0,1)</f>
        <v>199065283416</v>
      </c>
      <c r="AC388" s="134">
        <f>+_xlfn.XLOOKUP(PROYECTOS2[[#This Row],[MUNICIPIO]],'4.CAP_ENDMNT'!B:B,'4.CAP_ENDMNT'!J:J,0,0,1)</f>
        <v>0.37623308510057785</v>
      </c>
      <c r="AD388" s="140">
        <f>+_xlfn.XLOOKUP(PROYECTOS2[[#This Row],[MUNICIPIO]],'4.CAP_ENDMNT'!B:B,'4.CAP_ENDMNT'!K:K,0,0,1)</f>
        <v>330035668359.10547</v>
      </c>
      <c r="AE388" s="140">
        <f>+_xlfn.XLOOKUP(PROYECTOS2[[#This Row],[MUNICIPIO]],'4.CAP_ENDMNT'!B:B,'4.CAP_ENDMNT'!L:L,0,0,1)</f>
        <v>264028534687.28439</v>
      </c>
      <c r="AF388" s="140">
        <f>+_xlfn.XLOOKUP(PROYECTOS2[[#This Row],[MUNICIPIO]],'4.CAP_ENDMNT'!B:B,'4.CAP_ENDMNT'!M:M,0,0,1)</f>
        <v>198021401015.46329</v>
      </c>
      <c r="AG388" s="134">
        <f>+_xlfn.XLOOKUP(PROYECTOS2[[#This Row],[MUNICIPIO]],'4.CAP_ENDMNT'!B:B,'4.CAP_ENDMNT'!N:N,0,0,1)</f>
        <v>0.18240154937072053</v>
      </c>
      <c r="AH388" s="134">
        <f>+_xlfn.XLOOKUP(PROYECTOS2[[#This Row],[MUNICIPIO]],'4.CAP_ENDMNT'!B:B,'4.CAP_ENDMNT'!O:O,0,0,1)</f>
        <v>0.24492606689818583</v>
      </c>
      <c r="AI388" s="134">
        <f>+_xlfn.XLOOKUP(PROYECTOS2[[#This Row],[MUNICIPIO]],'4.CAP_ENDMNT'!B:B,'4.CAP_ENDMNT'!P:P,0,0,1)</f>
        <v>0.65</v>
      </c>
      <c r="AJ388" s="44" t="str">
        <f>+_xlfn.XLOOKUP(PROYECTOS2[[#This Row],[MUNICIPIO]],'4.CAP_ENDMNT'!B:B,'4.CAP_ENDMNT'!Q:Q,0,0,1)</f>
        <v>Cumple</v>
      </c>
    </row>
    <row r="389" spans="1:36" ht="15" customHeight="1">
      <c r="A389" s="61">
        <v>412</v>
      </c>
      <c r="B389" s="62" t="s">
        <v>710</v>
      </c>
      <c r="C389" s="118">
        <v>45747</v>
      </c>
      <c r="D389" s="94" t="s">
        <v>166</v>
      </c>
      <c r="E389" s="47" t="str">
        <f>+_xlfn.XLOOKUP(PROYECTOS2[[#This Row],[MUNICIPIO]],MUNICIPIOS!A:A,MUNICIPIOS!E:E,0,0,1)</f>
        <v>Occidente</v>
      </c>
      <c r="F389" s="44" t="e" cm="1">
        <f t="array" ref="F389">+_xlfn.XLOOKUP(PROYECTOS2[[#This Row],[MUNICIPIO]],Table1[Municipio],MUNICIPIOS!F:F,0,0,1)</f>
        <v>#VALUE!</v>
      </c>
      <c r="G389" s="63">
        <v>6.5564840000000002</v>
      </c>
      <c r="H389" s="61">
        <v>0</v>
      </c>
      <c r="I389" s="61">
        <v>1</v>
      </c>
      <c r="J389" s="62"/>
      <c r="K389" s="143">
        <v>2</v>
      </c>
      <c r="L389" s="63"/>
      <c r="M389" s="63"/>
      <c r="N389" s="63"/>
      <c r="O389" s="63"/>
      <c r="P389" s="63"/>
      <c r="Q389" s="148" t="s">
        <v>1067</v>
      </c>
      <c r="R389" s="150" t="s">
        <v>435</v>
      </c>
      <c r="S389" s="93" t="s">
        <v>398</v>
      </c>
      <c r="T389" s="40" t="s">
        <v>25</v>
      </c>
      <c r="U389" s="62" t="s">
        <v>959</v>
      </c>
      <c r="V389" s="44">
        <f>+_xlfn.XLOOKUP(PROYECTOS2[[#This Row],[MUNICIPIO]],'4.CAP_ENDMNT'!B:B,'4.CAP_ENDMNT'!C:C,0,0,1)</f>
        <v>5</v>
      </c>
      <c r="W389" s="139">
        <f>+_xlfn.XLOOKUP(PROYECTOS2[[#This Row],[MUNICIPIO]],'4.CAP_ENDMNT'!B:B,'4.CAP_ENDMNT'!D:D,0,0,1)</f>
        <v>40656193467.687004</v>
      </c>
      <c r="X389" s="140">
        <f>+_xlfn.XLOOKUP(PROYECTOS2[[#This Row],[MUNICIPIO]],'4.CAP_ENDMNT'!B:B,'4.CAP_ENDMNT'!E:E,0,0,1)</f>
        <v>18778286398.540001</v>
      </c>
      <c r="Y389" s="140">
        <f>+_xlfn.XLOOKUP(PROYECTOS2[[#This Row],[MUNICIPIO]],'4.CAP_ENDMNT'!B:B,'4.CAP_ENDMNT'!F:F,0,0,1)</f>
        <v>21877907069.147003</v>
      </c>
      <c r="Z389" s="140">
        <f>+_xlfn.XLOOKUP(PROYECTOS2[[#This Row],[MUNICIPIO]],'4.CAP_ENDMNT'!B:B,'4.CAP_ENDMNT'!G:G,0,0,1)</f>
        <v>5492975516</v>
      </c>
      <c r="AA389" s="140">
        <f>+_xlfn.XLOOKUP(PROYECTOS2[[#This Row],[MUNICIPIO]],'4.CAP_ENDMNT'!B:B,'4.CAP_ENDMNT'!H:H,0,0,1)</f>
        <v>2014055909</v>
      </c>
      <c r="AB389" s="140">
        <f>+_xlfn.XLOOKUP(PROYECTOS2[[#This Row],[MUNICIPIO]],'4.CAP_ENDMNT'!B:B,'4.CAP_ENDMNT'!I:I,0,0,1)</f>
        <v>7507031425</v>
      </c>
      <c r="AC389" s="134">
        <f>+_xlfn.XLOOKUP(PROYECTOS2[[#This Row],[MUNICIPIO]],'4.CAP_ENDMNT'!B:B,'4.CAP_ENDMNT'!J:J,0,0,1)</f>
        <v>0.18464668688096655</v>
      </c>
      <c r="AD389" s="140">
        <f>+_xlfn.XLOOKUP(PROYECTOS2[[#This Row],[MUNICIPIO]],'4.CAP_ENDMNT'!B:B,'4.CAP_ENDMNT'!K:K,0,0,1)</f>
        <v>33149162042.687004</v>
      </c>
      <c r="AE389" s="140">
        <f>+_xlfn.XLOOKUP(PROYECTOS2[[#This Row],[MUNICIPIO]],'4.CAP_ENDMNT'!B:B,'4.CAP_ENDMNT'!L:L,0,0,1)</f>
        <v>26519329634.149605</v>
      </c>
      <c r="AF389" s="140">
        <f>+_xlfn.XLOOKUP(PROYECTOS2[[#This Row],[MUNICIPIO]],'4.CAP_ENDMNT'!B:B,'4.CAP_ENDMNT'!M:M,0,0,1)</f>
        <v>19889497225.612202</v>
      </c>
      <c r="AG389" s="134">
        <f>+_xlfn.XLOOKUP(PROYECTOS2[[#This Row],[MUNICIPIO]],'4.CAP_ENDMNT'!B:B,'4.CAP_ENDMNT'!N:N,0,0,1)</f>
        <v>0.73171073957506449</v>
      </c>
      <c r="AH389" s="134">
        <f>+_xlfn.XLOOKUP(PROYECTOS2[[#This Row],[MUNICIPIO]],'4.CAP_ENDMNT'!B:B,'4.CAP_ENDMNT'!O:O,0,0,1)</f>
        <v>0.53391906125286837</v>
      </c>
      <c r="AI389" s="134">
        <f>+_xlfn.XLOOKUP(PROYECTOS2[[#This Row],[MUNICIPIO]],'4.CAP_ENDMNT'!B:B,'4.CAP_ENDMNT'!P:P,0,0,1)</f>
        <v>0.8</v>
      </c>
      <c r="AJ389" s="44" t="str">
        <f>+_xlfn.XLOOKUP(PROYECTOS2[[#This Row],[MUNICIPIO]],'4.CAP_ENDMNT'!B:B,'4.CAP_ENDMNT'!Q:Q,0,0,1)</f>
        <v>Cumple</v>
      </c>
    </row>
    <row r="390" spans="1:36" ht="15" customHeight="1">
      <c r="A390" s="44">
        <v>414</v>
      </c>
      <c r="B390" t="s">
        <v>909</v>
      </c>
      <c r="C390" s="54">
        <f>+_xlfn.XLOOKUP(PROYECTOS2[[#This Row],[ID_NECESIDAD]],'1.RADICADOS'!G:G,'1.RADICADOS'!C:C,0,0,1)*1</f>
        <v>45741</v>
      </c>
      <c r="D390" s="67" t="s">
        <v>452</v>
      </c>
      <c r="E390" s="47" t="str">
        <f>+_xlfn.XLOOKUP(PROYECTOS2[[#This Row],[MUNICIPIO]],MUNICIPIOS!A:A,MUNICIPIOS!E:E,0,0,1)</f>
        <v>Occidente</v>
      </c>
      <c r="F390" s="44" t="e" cm="1">
        <f t="array" ref="F390">+_xlfn.XLOOKUP(PROYECTOS2[[#This Row],[MUNICIPIO]],Table1[Municipio],MUNICIPIOS!F:F,0,0,1)</f>
        <v>#VALUE!</v>
      </c>
      <c r="G390" s="47" t="str">
        <f>+LOOKUP(PROYECTOS2[[#This Row],[MUNICIPIO]],Table1[Municipio],Table1[Latitud])</f>
        <v>6,246631</v>
      </c>
      <c r="H390" s="47">
        <f>+LOOKUP(PROYECTOS2[[#This Row],[MUNICIPIO]],Table1[Municipio],Table1[PDET])</f>
        <v>0</v>
      </c>
      <c r="I390" s="45">
        <f>+LOOKUP(PROYECTOS2[[#This Row],[MUNICIPIO]],Table1[Municipio],Table1[ZOMAC])</f>
        <v>0</v>
      </c>
      <c r="J390" s="34" t="str" cm="1">
        <f t="array" ref="J390">_xlfn.TEXTJOIN(", ", TRUE, IF(radicados[ID PROYECTOS]=A390, radicados[RADICADO], ""))</f>
        <v>2025010142801, 2025010142897</v>
      </c>
      <c r="K390" s="142">
        <v>2</v>
      </c>
      <c r="L390" s="45"/>
      <c r="M390" s="50"/>
      <c r="N390" s="70">
        <v>1325853907</v>
      </c>
      <c r="O390" s="70"/>
      <c r="P390" s="70"/>
      <c r="Q390" s="148" t="s">
        <v>1067</v>
      </c>
      <c r="R390" s="34" t="s">
        <v>761</v>
      </c>
      <c r="S390" s="40" t="s">
        <v>394</v>
      </c>
      <c r="T390" s="40" t="s">
        <v>18</v>
      </c>
      <c r="U390" s="37" t="s">
        <v>955</v>
      </c>
      <c r="V390" s="44">
        <f>+_xlfn.XLOOKUP(PROYECTOS2[[#This Row],[MUNICIPIO]],'4.CAP_ENDMNT'!B:B,'4.CAP_ENDMNT'!C:C,0,0,1)</f>
        <v>6</v>
      </c>
      <c r="W390" s="139">
        <f>+_xlfn.XLOOKUP(PROYECTOS2[[#This Row],[MUNICIPIO]],'4.CAP_ENDMNT'!B:B,'4.CAP_ENDMNT'!D:D,0,0,1)</f>
        <v>13002660545.618999</v>
      </c>
      <c r="X390" s="140">
        <f>+_xlfn.XLOOKUP(PROYECTOS2[[#This Row],[MUNICIPIO]],'4.CAP_ENDMNT'!B:B,'4.CAP_ENDMNT'!E:E,0,0,1)</f>
        <v>2851909764.96</v>
      </c>
      <c r="Y390" s="140">
        <f>+_xlfn.XLOOKUP(PROYECTOS2[[#This Row],[MUNICIPIO]],'4.CAP_ENDMNT'!B:B,'4.CAP_ENDMNT'!F:F,0,0,1)</f>
        <v>10150750780.659</v>
      </c>
      <c r="Z390" s="140">
        <f>+_xlfn.XLOOKUP(PROYECTOS2[[#This Row],[MUNICIPIO]],'4.CAP_ENDMNT'!B:B,'4.CAP_ENDMNT'!G:G,0,0,1)</f>
        <v>3580400217</v>
      </c>
      <c r="AA390" s="140">
        <f>+_xlfn.XLOOKUP(PROYECTOS2[[#This Row],[MUNICIPIO]],'4.CAP_ENDMNT'!B:B,'4.CAP_ENDMNT'!H:H,0,0,1)</f>
        <v>0</v>
      </c>
      <c r="AB390" s="140">
        <f>+_xlfn.XLOOKUP(PROYECTOS2[[#This Row],[MUNICIPIO]],'4.CAP_ENDMNT'!B:B,'4.CAP_ENDMNT'!I:I,0,0,1)</f>
        <v>3580400217</v>
      </c>
      <c r="AC390" s="134">
        <f>+_xlfn.XLOOKUP(PROYECTOS2[[#This Row],[MUNICIPIO]],'4.CAP_ENDMNT'!B:B,'4.CAP_ENDMNT'!J:J,0,0,1)</f>
        <v>0.27535904705336234</v>
      </c>
      <c r="AD390" s="140">
        <f>+_xlfn.XLOOKUP(PROYECTOS2[[#This Row],[MUNICIPIO]],'4.CAP_ENDMNT'!B:B,'4.CAP_ENDMNT'!K:K,0,0,1)</f>
        <v>9422260328.6189995</v>
      </c>
      <c r="AE390" s="140">
        <f>+_xlfn.XLOOKUP(PROYECTOS2[[#This Row],[MUNICIPIO]],'4.CAP_ENDMNT'!B:B,'4.CAP_ENDMNT'!L:L,0,0,1)</f>
        <v>7537808262.8951998</v>
      </c>
      <c r="AF390" s="140">
        <f>+_xlfn.XLOOKUP(PROYECTOS2[[#This Row],[MUNICIPIO]],'4.CAP_ENDMNT'!B:B,'4.CAP_ENDMNT'!M:M,0,0,1)</f>
        <v>5653356197.1713991</v>
      </c>
      <c r="AG390" s="134">
        <f>+_xlfn.XLOOKUP(PROYECTOS2[[#This Row],[MUNICIPIO]],'4.CAP_ENDMNT'!B:B,'4.CAP_ENDMNT'!N:N,0,0,1)</f>
        <v>1</v>
      </c>
      <c r="AH390" s="134">
        <f>+_xlfn.XLOOKUP(PROYECTOS2[[#This Row],[MUNICIPIO]],'4.CAP_ENDMNT'!B:B,'4.CAP_ENDMNT'!O:O,0,0,1)</f>
        <v>0.60546314083774588</v>
      </c>
      <c r="AI390" s="134">
        <f>+_xlfn.XLOOKUP(PROYECTOS2[[#This Row],[MUNICIPIO]],'4.CAP_ENDMNT'!B:B,'4.CAP_ENDMNT'!P:P,0,0,1)</f>
        <v>0.8</v>
      </c>
      <c r="AJ390" s="44" t="str">
        <f>+_xlfn.XLOOKUP(PROYECTOS2[[#This Row],[MUNICIPIO]],'4.CAP_ENDMNT'!B:B,'4.CAP_ENDMNT'!Q:Q,0,0,1)</f>
        <v>Cumple</v>
      </c>
    </row>
    <row r="391" spans="1:36" ht="15" customHeight="1">
      <c r="A391" s="44">
        <v>415</v>
      </c>
      <c r="B391" t="s">
        <v>910</v>
      </c>
      <c r="C391" s="54">
        <f>+_xlfn.XLOOKUP(PROYECTOS2[[#This Row],[ID_NECESIDAD]],'1.RADICADOS'!G:G,'1.RADICADOS'!C:C,0,0,1)*1</f>
        <v>45741</v>
      </c>
      <c r="D391" s="67" t="s">
        <v>832</v>
      </c>
      <c r="E391" s="47" t="str">
        <f>+_xlfn.XLOOKUP(PROYECTOS2[[#This Row],[MUNICIPIO]],MUNICIPIOS!A:A,MUNICIPIOS!E:E,0,0,1)</f>
        <v>Norte</v>
      </c>
      <c r="F391" s="44" t="e" cm="1">
        <f t="array" ref="F391">+_xlfn.XLOOKUP(PROYECTOS2[[#This Row],[MUNICIPIO]],Table1[Municipio],MUNICIPIOS!F:F,0,0,1)</f>
        <v>#VALUE!</v>
      </c>
      <c r="G391" s="47" t="str">
        <f>+LOOKUP(PROYECTOS2[[#This Row],[MUNICIPIO]],Table1[Municipio],Table1[Latitud])</f>
        <v>6,232461</v>
      </c>
      <c r="H391" s="47">
        <f>+LOOKUP(PROYECTOS2[[#This Row],[MUNICIPIO]],Table1[Municipio],Table1[PDET])</f>
        <v>0</v>
      </c>
      <c r="I391" s="45">
        <f>+LOOKUP(PROYECTOS2[[#This Row],[MUNICIPIO]],Table1[Municipio],Table1[ZOMAC])</f>
        <v>0</v>
      </c>
      <c r="J391" s="34" t="str" cm="1">
        <f t="array" ref="J391">_xlfn.TEXTJOIN(", ", TRUE, IF(radicados[ID PROYECTOS]=A391, radicados[RADICADO], ""))</f>
        <v>2025010144661</v>
      </c>
      <c r="K391" s="45"/>
      <c r="L391" s="45"/>
      <c r="M391" s="50"/>
      <c r="N391" s="70">
        <v>1652965285</v>
      </c>
      <c r="O391" s="70"/>
      <c r="P391" s="70"/>
      <c r="Q391" s="148" t="s">
        <v>1067</v>
      </c>
      <c r="R391" s="34" t="s">
        <v>761</v>
      </c>
      <c r="S391" s="40" t="s">
        <v>394</v>
      </c>
      <c r="T391" s="40" t="s">
        <v>18</v>
      </c>
      <c r="U391" s="13" t="s">
        <v>914</v>
      </c>
      <c r="V391" s="44">
        <f>+_xlfn.XLOOKUP(PROYECTOS2[[#This Row],[MUNICIPIO]],'4.CAP_ENDMNT'!B:B,'4.CAP_ENDMNT'!C:C,0,0,1)</f>
        <v>6</v>
      </c>
      <c r="W391" s="139">
        <f>+_xlfn.XLOOKUP(PROYECTOS2[[#This Row],[MUNICIPIO]],'4.CAP_ENDMNT'!B:B,'4.CAP_ENDMNT'!D:D,0,0,1)</f>
        <v>18426107981.286503</v>
      </c>
      <c r="X391" s="140">
        <f>+_xlfn.XLOOKUP(PROYECTOS2[[#This Row],[MUNICIPIO]],'4.CAP_ENDMNT'!B:B,'4.CAP_ENDMNT'!E:E,0,0,1)</f>
        <v>4869802105.2700005</v>
      </c>
      <c r="Y391" s="140">
        <f>+_xlfn.XLOOKUP(PROYECTOS2[[#This Row],[MUNICIPIO]],'4.CAP_ENDMNT'!B:B,'4.CAP_ENDMNT'!F:F,0,0,1)</f>
        <v>13556305876.016502</v>
      </c>
      <c r="Z391" s="140">
        <f>+_xlfn.XLOOKUP(PROYECTOS2[[#This Row],[MUNICIPIO]],'4.CAP_ENDMNT'!B:B,'4.CAP_ENDMNT'!G:G,0,0,1)</f>
        <v>951343820.02999997</v>
      </c>
      <c r="AA391" s="140">
        <f>+_xlfn.XLOOKUP(PROYECTOS2[[#This Row],[MUNICIPIO]],'4.CAP_ENDMNT'!B:B,'4.CAP_ENDMNT'!H:H,0,0,1)</f>
        <v>9684082914</v>
      </c>
      <c r="AB391" s="140">
        <f>+_xlfn.XLOOKUP(PROYECTOS2[[#This Row],[MUNICIPIO]],'4.CAP_ENDMNT'!B:B,'4.CAP_ENDMNT'!I:I,0,0,1)</f>
        <v>10635426734.030001</v>
      </c>
      <c r="AC391" s="134">
        <f>+_xlfn.XLOOKUP(PROYECTOS2[[#This Row],[MUNICIPIO]],'4.CAP_ENDMNT'!B:B,'4.CAP_ENDMNT'!J:J,0,0,1)</f>
        <v>0.57719333593569011</v>
      </c>
      <c r="AD391" s="140">
        <f>+_xlfn.XLOOKUP(PROYECTOS2[[#This Row],[MUNICIPIO]],'4.CAP_ENDMNT'!B:B,'4.CAP_ENDMNT'!K:K,0,0,1)</f>
        <v>7790681247.2565022</v>
      </c>
      <c r="AE391" s="140">
        <f>+_xlfn.XLOOKUP(PROYECTOS2[[#This Row],[MUNICIPIO]],'4.CAP_ENDMNT'!B:B,'4.CAP_ENDMNT'!L:L,0,0,1)</f>
        <v>6232544997.8052025</v>
      </c>
      <c r="AF391" s="140">
        <f>+_xlfn.XLOOKUP(PROYECTOS2[[#This Row],[MUNICIPIO]],'4.CAP_ENDMNT'!B:B,'4.CAP_ENDMNT'!M:M,0,0,1)</f>
        <v>4674408748.3539009</v>
      </c>
      <c r="AG391" s="134">
        <f>+_xlfn.XLOOKUP(PROYECTOS2[[#This Row],[MUNICIPIO]],'4.CAP_ENDMNT'!B:B,'4.CAP_ENDMNT'!N:N,0,0,1)</f>
        <v>8.9450460599385329E-2</v>
      </c>
      <c r="AH391" s="134">
        <f>+_xlfn.XLOOKUP(PROYECTOS2[[#This Row],[MUNICIPIO]],'4.CAP_ENDMNT'!B:B,'4.CAP_ENDMNT'!O:O,0,0,1)</f>
        <v>0.56172885881394896</v>
      </c>
      <c r="AI391" s="134">
        <f>+_xlfn.XLOOKUP(PROYECTOS2[[#This Row],[MUNICIPIO]],'4.CAP_ENDMNT'!B:B,'4.CAP_ENDMNT'!P:P,0,0,1)</f>
        <v>0.8</v>
      </c>
      <c r="AJ391" s="44" t="str">
        <f>+_xlfn.XLOOKUP(PROYECTOS2[[#This Row],[MUNICIPIO]],'4.CAP_ENDMNT'!B:B,'4.CAP_ENDMNT'!Q:Q,0,0,1)</f>
        <v>Cumple</v>
      </c>
    </row>
    <row r="392" spans="1:36" ht="15" customHeight="1">
      <c r="A392" s="44">
        <v>416</v>
      </c>
      <c r="B392" t="s">
        <v>912</v>
      </c>
      <c r="C392" s="54">
        <f>+_xlfn.XLOOKUP(PROYECTOS2[[#This Row],[ID_NECESIDAD]],'1.RADICADOS'!G:G,'1.RADICADOS'!C:C,0,0,1)*1</f>
        <v>45742</v>
      </c>
      <c r="D392" s="67" t="s">
        <v>101</v>
      </c>
      <c r="E392" s="47" t="str">
        <f>+_xlfn.XLOOKUP(PROYECTOS2[[#This Row],[MUNICIPIO]],MUNICIPIOS!A:A,MUNICIPIOS!E:E,0,0,1)</f>
        <v>Suroeste</v>
      </c>
      <c r="F392" s="44" t="e" cm="1">
        <f t="array" ref="F392">+_xlfn.XLOOKUP(PROYECTOS2[[#This Row],[MUNICIPIO]],Table1[Municipio],MUNICIPIOS!F:F,0,0,1)</f>
        <v>#VALUE!</v>
      </c>
      <c r="G392" s="47" t="str">
        <f>+LOOKUP(PROYECTOS2[[#This Row],[MUNICIPIO]],Table1[Municipio],Table1[Latitud])</f>
        <v>5,743808</v>
      </c>
      <c r="H392" s="47">
        <f>+LOOKUP(PROYECTOS2[[#This Row],[MUNICIPIO]],Table1[Municipio],Table1[PDET])</f>
        <v>0</v>
      </c>
      <c r="I392" s="45">
        <f>+LOOKUP(PROYECTOS2[[#This Row],[MUNICIPIO]],Table1[Municipio],Table1[ZOMAC])</f>
        <v>0</v>
      </c>
      <c r="J392" s="34" t="str" cm="1">
        <f t="array" ref="J392">_xlfn.TEXTJOIN(", ", TRUE, IF(radicados[ID PROYECTOS]=A392, radicados[RADICADO], ""))</f>
        <v>2025010147279</v>
      </c>
      <c r="K392" s="45">
        <v>2</v>
      </c>
      <c r="L392" s="45"/>
      <c r="M392" s="50"/>
      <c r="N392" s="70">
        <v>300848209</v>
      </c>
      <c r="O392" s="70"/>
      <c r="P392" s="70"/>
      <c r="Q392" s="148" t="s">
        <v>1067</v>
      </c>
      <c r="R392" s="34" t="s">
        <v>761</v>
      </c>
      <c r="S392" s="40" t="s">
        <v>394</v>
      </c>
      <c r="T392" s="40" t="s">
        <v>18</v>
      </c>
      <c r="U392" s="13" t="s">
        <v>915</v>
      </c>
      <c r="V392" s="44">
        <f>+_xlfn.XLOOKUP(PROYECTOS2[[#This Row],[MUNICIPIO]],'4.CAP_ENDMNT'!B:B,'4.CAP_ENDMNT'!C:C,0,0,1)</f>
        <v>6</v>
      </c>
      <c r="W392" s="139">
        <f>+_xlfn.XLOOKUP(PROYECTOS2[[#This Row],[MUNICIPIO]],'4.CAP_ENDMNT'!B:B,'4.CAP_ENDMNT'!D:D,0,0,1)</f>
        <v>10783113038.2925</v>
      </c>
      <c r="X392" s="140">
        <f>+_xlfn.XLOOKUP(PROYECTOS2[[#This Row],[MUNICIPIO]],'4.CAP_ENDMNT'!B:B,'4.CAP_ENDMNT'!E:E,0,0,1)</f>
        <v>5750561650.9200001</v>
      </c>
      <c r="Y392" s="140">
        <f>+_xlfn.XLOOKUP(PROYECTOS2[[#This Row],[MUNICIPIO]],'4.CAP_ENDMNT'!B:B,'4.CAP_ENDMNT'!F:F,0,0,1)</f>
        <v>5032551387.3724995</v>
      </c>
      <c r="Z392" s="140">
        <f>+_xlfn.XLOOKUP(PROYECTOS2[[#This Row],[MUNICIPIO]],'4.CAP_ENDMNT'!B:B,'4.CAP_ENDMNT'!G:G,0,0,1)</f>
        <v>4104930290</v>
      </c>
      <c r="AA392" s="140">
        <f>+_xlfn.XLOOKUP(PROYECTOS2[[#This Row],[MUNICIPIO]],'4.CAP_ENDMNT'!B:B,'4.CAP_ENDMNT'!H:H,0,0,1)</f>
        <v>0</v>
      </c>
      <c r="AB392" s="140">
        <f>+_xlfn.XLOOKUP(PROYECTOS2[[#This Row],[MUNICIPIO]],'4.CAP_ENDMNT'!B:B,'4.CAP_ENDMNT'!I:I,0,0,1)</f>
        <v>4104930290</v>
      </c>
      <c r="AC392" s="134">
        <f>+_xlfn.XLOOKUP(PROYECTOS2[[#This Row],[MUNICIPIO]],'4.CAP_ENDMNT'!B:B,'4.CAP_ENDMNT'!J:J,0,0,1)</f>
        <v>0.38068137423977277</v>
      </c>
      <c r="AD392" s="140">
        <f>+_xlfn.XLOOKUP(PROYECTOS2[[#This Row],[MUNICIPIO]],'4.CAP_ENDMNT'!B:B,'4.CAP_ENDMNT'!K:K,0,0,1)</f>
        <v>6678182748.2924995</v>
      </c>
      <c r="AE392" s="140">
        <f>+_xlfn.XLOOKUP(PROYECTOS2[[#This Row],[MUNICIPIO]],'4.CAP_ENDMNT'!B:B,'4.CAP_ENDMNT'!L:L,0,0,1)</f>
        <v>5342546198.6339998</v>
      </c>
      <c r="AF392" s="140">
        <f>+_xlfn.XLOOKUP(PROYECTOS2[[#This Row],[MUNICIPIO]],'4.CAP_ENDMNT'!B:B,'4.CAP_ENDMNT'!M:M,0,0,1)</f>
        <v>4006909648.9754996</v>
      </c>
      <c r="AG392" s="134">
        <f>+_xlfn.XLOOKUP(PROYECTOS2[[#This Row],[MUNICIPIO]],'4.CAP_ENDMNT'!B:B,'4.CAP_ENDMNT'!N:N,0,0,1)</f>
        <v>1</v>
      </c>
      <c r="AH392" s="134">
        <f>+_xlfn.XLOOKUP(PROYECTOS2[[#This Row],[MUNICIPIO]],'4.CAP_ENDMNT'!B:B,'4.CAP_ENDMNT'!O:O,0,0,1)</f>
        <v>0.6829525248720959</v>
      </c>
      <c r="AI392" s="134">
        <f>+_xlfn.XLOOKUP(PROYECTOS2[[#This Row],[MUNICIPIO]],'4.CAP_ENDMNT'!B:B,'4.CAP_ENDMNT'!P:P,0,0,1)</f>
        <v>0.8</v>
      </c>
      <c r="AJ392" s="44" t="str">
        <f>+_xlfn.XLOOKUP(PROYECTOS2[[#This Row],[MUNICIPIO]],'4.CAP_ENDMNT'!B:B,'4.CAP_ENDMNT'!Q:Q,0,0,1)</f>
        <v>Cumple</v>
      </c>
    </row>
    <row r="393" spans="1:36" ht="15" customHeight="1">
      <c r="A393" s="44">
        <v>417</v>
      </c>
      <c r="B393" s="37" t="s">
        <v>927</v>
      </c>
      <c r="C393" s="118">
        <v>45744</v>
      </c>
      <c r="D393" s="46" t="s">
        <v>227</v>
      </c>
      <c r="E393" s="47" t="str">
        <f>+_xlfn.XLOOKUP(PROYECTOS2[[#This Row],[MUNICIPIO]],MUNICIPIOS!A:A,MUNICIPIOS!E:E,0,0,1)</f>
        <v>Oriente</v>
      </c>
      <c r="F393" s="44" t="e" cm="1">
        <f t="array" ref="F393">+_xlfn.XLOOKUP(PROYECTOS2[[#This Row],[MUNICIPIO]],Table1[Municipio],MUNICIPIOS!F:F,0,0,1)</f>
        <v>#VALUE!</v>
      </c>
      <c r="G393" s="47" t="str">
        <f>+LOOKUP(PROYECTOS2[[#This Row],[MUNICIPIO]],Table1[Municipio],Table1[Latitud])</f>
        <v>6,142892</v>
      </c>
      <c r="H393" s="47">
        <f>+LOOKUP(PROYECTOS2[[#This Row],[MUNICIPIO]],Table1[Municipio],Table1[PDET])</f>
        <v>0</v>
      </c>
      <c r="I393" s="45">
        <f>+LOOKUP(PROYECTOS2[[#This Row],[MUNICIPIO]],Table1[Municipio],Table1[ZOMAC])</f>
        <v>1</v>
      </c>
      <c r="J393" s="34" t="str" cm="1">
        <f t="array" ref="J393">_xlfn.TEXTJOIN(", ", TRUE, IF(radicados[ID PROYECTOS]=A393, radicados[RADICADO], ""))</f>
        <v/>
      </c>
      <c r="K393" s="45">
        <v>2</v>
      </c>
      <c r="L393" s="45"/>
      <c r="M393" s="50"/>
      <c r="N393" s="70">
        <v>8212482639</v>
      </c>
      <c r="O393" s="70"/>
      <c r="P393" s="123"/>
      <c r="Q393" s="148" t="s">
        <v>1067</v>
      </c>
      <c r="R393" s="34" t="s">
        <v>396</v>
      </c>
      <c r="S393" s="40" t="s">
        <v>397</v>
      </c>
      <c r="T393" s="40" t="s">
        <v>56</v>
      </c>
      <c r="U393" s="37" t="s">
        <v>928</v>
      </c>
      <c r="V393" s="44">
        <f>+_xlfn.XLOOKUP(PROYECTOS2[[#This Row],[MUNICIPIO]],'4.CAP_ENDMNT'!B:B,'4.CAP_ENDMNT'!C:C,0,0,1)</f>
        <v>6</v>
      </c>
      <c r="W393" s="139">
        <f>+_xlfn.XLOOKUP(PROYECTOS2[[#This Row],[MUNICIPIO]],'4.CAP_ENDMNT'!B:B,'4.CAP_ENDMNT'!D:D,0,0,1)</f>
        <v>9100976268.0305004</v>
      </c>
      <c r="X393" s="140">
        <f>+_xlfn.XLOOKUP(PROYECTOS2[[#This Row],[MUNICIPIO]],'4.CAP_ENDMNT'!B:B,'4.CAP_ENDMNT'!E:E,0,0,1)</f>
        <v>3221460794.1700001</v>
      </c>
      <c r="Y393" s="140">
        <f>+_xlfn.XLOOKUP(PROYECTOS2[[#This Row],[MUNICIPIO]],'4.CAP_ENDMNT'!B:B,'4.CAP_ENDMNT'!F:F,0,0,1)</f>
        <v>5879515473.8605003</v>
      </c>
      <c r="Z393" s="140">
        <f>+_xlfn.XLOOKUP(PROYECTOS2[[#This Row],[MUNICIPIO]],'4.CAP_ENDMNT'!B:B,'4.CAP_ENDMNT'!G:G,0,0,1)</f>
        <v>1026722956</v>
      </c>
      <c r="AA393" s="140">
        <f>+_xlfn.XLOOKUP(PROYECTOS2[[#This Row],[MUNICIPIO]],'4.CAP_ENDMNT'!B:B,'4.CAP_ENDMNT'!H:H,0,0,1)</f>
        <v>190000000</v>
      </c>
      <c r="AB393" s="140">
        <f>+_xlfn.XLOOKUP(PROYECTOS2[[#This Row],[MUNICIPIO]],'4.CAP_ENDMNT'!B:B,'4.CAP_ENDMNT'!I:I,0,0,1)</f>
        <v>1216722956</v>
      </c>
      <c r="AC393" s="134">
        <f>+_xlfn.XLOOKUP(PROYECTOS2[[#This Row],[MUNICIPIO]],'4.CAP_ENDMNT'!B:B,'4.CAP_ENDMNT'!J:J,0,0,1)</f>
        <v>0.13369147662477152</v>
      </c>
      <c r="AD393" s="140">
        <f>+_xlfn.XLOOKUP(PROYECTOS2[[#This Row],[MUNICIPIO]],'4.CAP_ENDMNT'!B:B,'4.CAP_ENDMNT'!K:K,0,0,1)</f>
        <v>7884253312.0305004</v>
      </c>
      <c r="AE393" s="140">
        <f>+_xlfn.XLOOKUP(PROYECTOS2[[#This Row],[MUNICIPIO]],'4.CAP_ENDMNT'!B:B,'4.CAP_ENDMNT'!L:L,0,0,1)</f>
        <v>6307402649.6244011</v>
      </c>
      <c r="AF393" s="140">
        <f>+_xlfn.XLOOKUP(PROYECTOS2[[#This Row],[MUNICIPIO]],'4.CAP_ENDMNT'!B:B,'4.CAP_ENDMNT'!M:M,0,0,1)</f>
        <v>4730551987.2182999</v>
      </c>
      <c r="AG393" s="134">
        <f>+_xlfn.XLOOKUP(PROYECTOS2[[#This Row],[MUNICIPIO]],'4.CAP_ENDMNT'!B:B,'4.CAP_ENDMNT'!N:N,0,0,1)</f>
        <v>0.84384284108140062</v>
      </c>
      <c r="AH393" s="134">
        <f>+_xlfn.XLOOKUP(PROYECTOS2[[#This Row],[MUNICIPIO]],'4.CAP_ENDMNT'!B:B,'4.CAP_ENDMNT'!O:O,0,0,1)</f>
        <v>0.65864601932480682</v>
      </c>
      <c r="AI393" s="134">
        <f>+_xlfn.XLOOKUP(PROYECTOS2[[#This Row],[MUNICIPIO]],'4.CAP_ENDMNT'!B:B,'4.CAP_ENDMNT'!P:P,0,0,1)</f>
        <v>0.8</v>
      </c>
      <c r="AJ393" s="44" t="str">
        <f>+_xlfn.XLOOKUP(PROYECTOS2[[#This Row],[MUNICIPIO]],'4.CAP_ENDMNT'!B:B,'4.CAP_ENDMNT'!Q:Q,0,0,1)</f>
        <v>Cumple</v>
      </c>
    </row>
    <row r="394" spans="1:36" ht="15" customHeight="1">
      <c r="A394" s="44">
        <v>418</v>
      </c>
      <c r="B394" t="s">
        <v>985</v>
      </c>
      <c r="C394" s="118">
        <f>+_xlfn.XLOOKUP(PROYECTOS2[[#This Row],[ID_NECESIDAD]],'1.RADICADOS'!G:G,'1.RADICADOS'!C:C,0,0,1)*1</f>
        <v>45742</v>
      </c>
      <c r="D394" s="46" t="s">
        <v>177</v>
      </c>
      <c r="E394" s="47" t="str">
        <f>+_xlfn.XLOOKUP(PROYECTOS2[[#This Row],[MUNICIPIO]],MUNICIPIOS!A:A,MUNICIPIOS!E:E,0,0,1)</f>
        <v>Oriente</v>
      </c>
      <c r="F394" s="44" t="e" cm="1">
        <f t="array" ref="F394">+_xlfn.XLOOKUP(PROYECTOS2[[#This Row],[MUNICIPIO]],Table1[Municipio],MUNICIPIOS!F:F,0,0,1)</f>
        <v>#VALUE!</v>
      </c>
      <c r="G394" s="47" t="str">
        <f>+LOOKUP(PROYECTOS2[[#This Row],[MUNICIPIO]],Table1[Municipio],Table1[Latitud])</f>
        <v>5,743808</v>
      </c>
      <c r="H394" s="47">
        <f>+LOOKUP(PROYECTOS2[[#This Row],[MUNICIPIO]],Table1[Municipio],Table1[PDET])</f>
        <v>0</v>
      </c>
      <c r="I394" s="45">
        <f>+LOOKUP(PROYECTOS2[[#This Row],[MUNICIPIO]],Table1[Municipio],Table1[ZOMAC])</f>
        <v>0</v>
      </c>
      <c r="J394" s="34" t="str" cm="1">
        <f t="array" ref="J394">_xlfn.TEXTJOIN(", ", TRUE, IF(radicados[ID PROYECTOS]=A394, radicados[RADICADO], ""))</f>
        <v>2025010142669</v>
      </c>
      <c r="K394" s="45">
        <v>3</v>
      </c>
      <c r="L394" s="45"/>
      <c r="M394" s="50"/>
      <c r="N394" s="70">
        <v>5048252540</v>
      </c>
      <c r="O394" s="70"/>
      <c r="P394" s="123"/>
      <c r="Q394" s="148" t="s">
        <v>1067</v>
      </c>
      <c r="R394" s="34" t="s">
        <v>288</v>
      </c>
      <c r="S394" s="40" t="s">
        <v>398</v>
      </c>
      <c r="T394" s="40" t="s">
        <v>25</v>
      </c>
      <c r="U394" s="37" t="s">
        <v>986</v>
      </c>
      <c r="V394" s="44">
        <f>+_xlfn.XLOOKUP(PROYECTOS2[[#This Row],[MUNICIPIO]],'4.CAP_ENDMNT'!B:B,'4.CAP_ENDMNT'!C:C,0,0,1)</f>
        <v>4</v>
      </c>
      <c r="W394" s="139">
        <f>+_xlfn.XLOOKUP(PROYECTOS2[[#This Row],[MUNICIPIO]],'4.CAP_ENDMNT'!B:B,'4.CAP_ENDMNT'!D:D,0,0,1)</f>
        <v>62016835956.019493</v>
      </c>
      <c r="X394" s="44">
        <f>+_xlfn.XLOOKUP(PROYECTOS2[[#This Row],[MUNICIPIO]],'4.CAP_ENDMNT'!B:B,'4.CAP_ENDMNT'!E:E,0,0,1)</f>
        <v>25368005936.310001</v>
      </c>
      <c r="Y394" s="44">
        <f>+_xlfn.XLOOKUP(PROYECTOS2[[#This Row],[MUNICIPIO]],'4.CAP_ENDMNT'!B:B,'4.CAP_ENDMNT'!F:F,0,0,1)</f>
        <v>36648830019.709488</v>
      </c>
      <c r="Z394" s="44">
        <f>+_xlfn.XLOOKUP(PROYECTOS2[[#This Row],[MUNICIPIO]],'4.CAP_ENDMNT'!B:B,'4.CAP_ENDMNT'!G:G,0,0,1)</f>
        <v>25635932166</v>
      </c>
      <c r="AA394" s="44">
        <f>+_xlfn.XLOOKUP(PROYECTOS2[[#This Row],[MUNICIPIO]],'4.CAP_ENDMNT'!B:B,'4.CAP_ENDMNT'!H:H,0,0,1)</f>
        <v>7522176280</v>
      </c>
      <c r="AB394" s="44">
        <f>+_xlfn.XLOOKUP(PROYECTOS2[[#This Row],[MUNICIPIO]],'4.CAP_ENDMNT'!B:B,'4.CAP_ENDMNT'!I:I,0,0,1)</f>
        <v>33158108446</v>
      </c>
      <c r="AC394" s="134">
        <f>+_xlfn.XLOOKUP(PROYECTOS2[[#This Row],[MUNICIPIO]],'4.CAP_ENDMNT'!B:B,'4.CAP_ENDMNT'!J:J,0,0,1)</f>
        <v>0.53466301424204787</v>
      </c>
      <c r="AD394" s="44">
        <f>+_xlfn.XLOOKUP(PROYECTOS2[[#This Row],[MUNICIPIO]],'4.CAP_ENDMNT'!B:B,'4.CAP_ENDMNT'!K:K,0,0,1)</f>
        <v>28858727510.019493</v>
      </c>
      <c r="AE394" s="44">
        <f>+_xlfn.XLOOKUP(PROYECTOS2[[#This Row],[MUNICIPIO]],'4.CAP_ENDMNT'!B:B,'4.CAP_ENDMNT'!L:L,0,0,1)</f>
        <v>23086982008.015594</v>
      </c>
      <c r="AF394" s="44">
        <f>+_xlfn.XLOOKUP(PROYECTOS2[[#This Row],[MUNICIPIO]],'4.CAP_ENDMNT'!B:B,'4.CAP_ENDMNT'!M:M,0,0,1)</f>
        <v>17315236506.011696</v>
      </c>
      <c r="AG394" s="134">
        <f>+_xlfn.XLOOKUP(PROYECTOS2[[#This Row],[MUNICIPIO]],'4.CAP_ENDMNT'!B:B,'4.CAP_ENDMNT'!N:N,0,0,1)</f>
        <v>0.77314217750839676</v>
      </c>
      <c r="AH394" s="134">
        <f>+_xlfn.XLOOKUP(PROYECTOS2[[#This Row],[MUNICIPIO]],'4.CAP_ENDMNT'!B:B,'4.CAP_ENDMNT'!O:O,0,0,1)</f>
        <v>0.52777286703387605</v>
      </c>
      <c r="AI394" s="134">
        <f>+_xlfn.XLOOKUP(PROYECTOS2[[#This Row],[MUNICIPIO]],'4.CAP_ENDMNT'!B:B,'4.CAP_ENDMNT'!P:P,0,0,1)</f>
        <v>0.8</v>
      </c>
      <c r="AJ394" s="44" t="str">
        <f>+_xlfn.XLOOKUP(PROYECTOS2[[#This Row],[MUNICIPIO]],'4.CAP_ENDMNT'!B:B,'4.CAP_ENDMNT'!Q:Q,0,0,1)</f>
        <v>Cumple</v>
      </c>
    </row>
    <row r="395" spans="1:36" ht="15" customHeight="1">
      <c r="A395" s="44">
        <v>420</v>
      </c>
      <c r="B395" s="37" t="s">
        <v>992</v>
      </c>
      <c r="C395" s="118">
        <v>45747</v>
      </c>
      <c r="D395" s="46" t="s">
        <v>196</v>
      </c>
      <c r="E395" s="47" t="str">
        <f>+_xlfn.XLOOKUP(PROYECTOS2[[#This Row],[MUNICIPIO]],MUNICIPIOS!A:A,MUNICIPIOS!E:E,0,0,1)</f>
        <v>Valle de Aburrá</v>
      </c>
      <c r="F395" s="44" t="e" cm="1">
        <f t="array" ref="F395">+_xlfn.XLOOKUP(PROYECTOS2[[#This Row],[MUNICIPIO]],Table1[Municipio],MUNICIPIOS!F:F,0,0,1)</f>
        <v>#VALUE!</v>
      </c>
      <c r="G395" s="47" t="str">
        <f>+LOOKUP(PROYECTOS2[[#This Row],[MUNICIPIO]],Table1[Municipio],Table1[Latitud])</f>
        <v>6,136871</v>
      </c>
      <c r="H395" s="47">
        <f>+LOOKUP(PROYECTOS2[[#This Row],[MUNICIPIO]],Table1[Municipio],Table1[PDET])</f>
        <v>0</v>
      </c>
      <c r="I395" s="45">
        <f>+LOOKUP(PROYECTOS2[[#This Row],[MUNICIPIO]],Table1[Municipio],Table1[ZOMAC])</f>
        <v>0</v>
      </c>
      <c r="J395" s="34" t="str" cm="1">
        <f t="array" ref="J395">_xlfn.TEXTJOIN(", ", TRUE, IF(radicados[ID PROYECTOS]=A395, radicados[RADICADO], ""))</f>
        <v/>
      </c>
      <c r="K395" s="45">
        <v>3</v>
      </c>
      <c r="L395" s="45">
        <v>1</v>
      </c>
      <c r="M395" s="144"/>
      <c r="N395" s="147"/>
      <c r="O395" s="147">
        <v>3957000000</v>
      </c>
      <c r="P395" s="123"/>
      <c r="Q395" s="148" t="s">
        <v>1068</v>
      </c>
      <c r="R395" s="42" t="s">
        <v>1071</v>
      </c>
      <c r="S395" s="40" t="s">
        <v>1079</v>
      </c>
      <c r="T395" s="40"/>
      <c r="U395" s="37" t="s">
        <v>1080</v>
      </c>
      <c r="V395" s="44">
        <f>+_xlfn.XLOOKUP(PROYECTOS2[[#This Row],[MUNICIPIO]],'4.CAP_ENDMNT'!B:B,'4.CAP_ENDMNT'!C:C,0,0,1)</f>
        <v>2</v>
      </c>
      <c r="W395" s="145">
        <f>+_xlfn.XLOOKUP(PROYECTOS2[[#This Row],[MUNICIPIO]],'4.CAP_ENDMNT'!B:B,'4.CAP_ENDMNT'!D:D,0,0,1)</f>
        <v>101079829717.10699</v>
      </c>
      <c r="X395" s="44">
        <f>+_xlfn.XLOOKUP(PROYECTOS2[[#This Row],[MUNICIPIO]],'4.CAP_ENDMNT'!B:B,'4.CAP_ENDMNT'!E:E,0,0,1)</f>
        <v>35923834396.690002</v>
      </c>
      <c r="Y395" s="44">
        <f>+_xlfn.XLOOKUP(PROYECTOS2[[#This Row],[MUNICIPIO]],'4.CAP_ENDMNT'!B:B,'4.CAP_ENDMNT'!F:F,0,0,1)</f>
        <v>65155995320.416992</v>
      </c>
      <c r="Z395" s="44">
        <f>+_xlfn.XLOOKUP(PROYECTOS2[[#This Row],[MUNICIPIO]],'4.CAP_ENDMNT'!B:B,'4.CAP_ENDMNT'!G:G,0,0,1)</f>
        <v>0</v>
      </c>
      <c r="AA395" s="44">
        <f>+_xlfn.XLOOKUP(PROYECTOS2[[#This Row],[MUNICIPIO]],'4.CAP_ENDMNT'!B:B,'4.CAP_ENDMNT'!H:H,0,0,1)</f>
        <v>33364035579</v>
      </c>
      <c r="AB395" s="44">
        <f>+_xlfn.XLOOKUP(PROYECTOS2[[#This Row],[MUNICIPIO]],'4.CAP_ENDMNT'!B:B,'4.CAP_ENDMNT'!I:I,0,0,1)</f>
        <v>33364035579</v>
      </c>
      <c r="AC395" s="146">
        <f>+_xlfn.XLOOKUP(PROYECTOS2[[#This Row],[MUNICIPIO]],'4.CAP_ENDMNT'!B:B,'4.CAP_ENDMNT'!J:J,0,0,1)</f>
        <v>0.33007609601615101</v>
      </c>
      <c r="AD395" s="44">
        <f>+_xlfn.XLOOKUP(PROYECTOS2[[#This Row],[MUNICIPIO]],'4.CAP_ENDMNT'!B:B,'4.CAP_ENDMNT'!K:K,0,0,1)</f>
        <v>67715794138.106995</v>
      </c>
      <c r="AE395" s="44">
        <f>+_xlfn.XLOOKUP(PROYECTOS2[[#This Row],[MUNICIPIO]],'4.CAP_ENDMNT'!B:B,'4.CAP_ENDMNT'!L:L,0,0,1)</f>
        <v>54172635310.485596</v>
      </c>
      <c r="AF395" s="44">
        <f>+_xlfn.XLOOKUP(PROYECTOS2[[#This Row],[MUNICIPIO]],'4.CAP_ENDMNT'!B:B,'4.CAP_ENDMNT'!M:M,0,0,1)</f>
        <v>40629476482.864197</v>
      </c>
      <c r="AG395" s="146">
        <f>+_xlfn.XLOOKUP(PROYECTOS2[[#This Row],[MUNICIPIO]],'4.CAP_ENDMNT'!B:B,'4.CAP_ENDMNT'!N:N,0,0,1)</f>
        <v>0</v>
      </c>
      <c r="AH395" s="146">
        <f>+_xlfn.XLOOKUP(PROYECTOS2[[#This Row],[MUNICIPIO]],'4.CAP_ENDMNT'!B:B,'4.CAP_ENDMNT'!O:O,0,0,1)</f>
        <v>0.39321465077323631</v>
      </c>
      <c r="AI395" s="146">
        <f>+_xlfn.XLOOKUP(PROYECTOS2[[#This Row],[MUNICIPIO]],'4.CAP_ENDMNT'!B:B,'4.CAP_ENDMNT'!P:P,0,0,1)</f>
        <v>0.7</v>
      </c>
      <c r="AJ395" s="44" t="str">
        <f>+_xlfn.XLOOKUP(PROYECTOS2[[#This Row],[MUNICIPIO]],'4.CAP_ENDMNT'!B:B,'4.CAP_ENDMNT'!Q:Q,0,0,1)</f>
        <v>Cumple</v>
      </c>
    </row>
    <row r="396" spans="1:36" ht="15" customHeight="1">
      <c r="A396" s="44">
        <v>421</v>
      </c>
      <c r="B396" s="37" t="s">
        <v>993</v>
      </c>
      <c r="C396" s="118">
        <v>45747</v>
      </c>
      <c r="D396" s="46" t="s">
        <v>854</v>
      </c>
      <c r="E396" s="47" t="str">
        <f>+_xlfn.XLOOKUP(PROYECTOS2[[#This Row],[MUNICIPIO]],MUNICIPIOS!A:A,MUNICIPIOS!E:E,0,0,1)</f>
        <v>Magdalena Medio</v>
      </c>
      <c r="F396" s="44" t="e" cm="1">
        <f t="array" ref="F396">+_xlfn.XLOOKUP(PROYECTOS2[[#This Row],[MUNICIPIO]],Table1[Municipio],MUNICIPIOS!F:F,0,0,1)</f>
        <v>#VALUE!</v>
      </c>
      <c r="G396" s="47" t="str">
        <f>+LOOKUP(PROYECTOS2[[#This Row],[MUNICIPIO]],Table1[Municipio],Table1[Latitud])</f>
        <v>6,246631</v>
      </c>
      <c r="H396" s="47">
        <f>+LOOKUP(PROYECTOS2[[#This Row],[MUNICIPIO]],Table1[Municipio],Table1[PDET])</f>
        <v>0</v>
      </c>
      <c r="I396" s="45">
        <f>+LOOKUP(PROYECTOS2[[#This Row],[MUNICIPIO]],Table1[Municipio],Table1[ZOMAC])</f>
        <v>0</v>
      </c>
      <c r="J396" s="34" t="str" cm="1">
        <f t="array" ref="J396">_xlfn.TEXTJOIN(", ", TRUE, IF(radicados[ID PROYECTOS]=A396, radicados[RADICADO], ""))</f>
        <v/>
      </c>
      <c r="K396" s="9">
        <v>1</v>
      </c>
      <c r="L396" s="45">
        <v>1</v>
      </c>
      <c r="M396" s="144"/>
      <c r="N396" s="72"/>
      <c r="O396" s="147">
        <v>1150000000</v>
      </c>
      <c r="P396" s="147">
        <v>950000000</v>
      </c>
      <c r="Q396" s="148" t="s">
        <v>1068</v>
      </c>
      <c r="R396" s="42" t="s">
        <v>1072</v>
      </c>
      <c r="S396" s="40" t="s">
        <v>1079</v>
      </c>
      <c r="T396" s="40"/>
      <c r="U396" s="37" t="s">
        <v>1080</v>
      </c>
      <c r="V396" s="44">
        <f>+_xlfn.XLOOKUP(PROYECTOS2[[#This Row],[MUNICIPIO]],'4.CAP_ENDMNT'!B:B,'4.CAP_ENDMNT'!C:C,0,0,1)</f>
        <v>6</v>
      </c>
      <c r="W396" s="145">
        <f>+_xlfn.XLOOKUP(PROYECTOS2[[#This Row],[MUNICIPIO]],'4.CAP_ENDMNT'!B:B,'4.CAP_ENDMNT'!D:D,0,0,1)</f>
        <v>35232058774.252998</v>
      </c>
      <c r="X396" s="44">
        <f>+_xlfn.XLOOKUP(PROYECTOS2[[#This Row],[MUNICIPIO]],'4.CAP_ENDMNT'!B:B,'4.CAP_ENDMNT'!E:E,0,0,1)</f>
        <v>11428900078.82</v>
      </c>
      <c r="Y396" s="44">
        <f>+_xlfn.XLOOKUP(PROYECTOS2[[#This Row],[MUNICIPIO]],'4.CAP_ENDMNT'!B:B,'4.CAP_ENDMNT'!F:F,0,0,1)</f>
        <v>23803158695.432999</v>
      </c>
      <c r="Z396" s="44">
        <f>+_xlfn.XLOOKUP(PROYECTOS2[[#This Row],[MUNICIPIO]],'4.CAP_ENDMNT'!B:B,'4.CAP_ENDMNT'!G:G,0,0,1)</f>
        <v>1114894120</v>
      </c>
      <c r="AA396" s="44">
        <f>+_xlfn.XLOOKUP(PROYECTOS2[[#This Row],[MUNICIPIO]],'4.CAP_ENDMNT'!B:B,'4.CAP_ENDMNT'!H:H,0,0,1)</f>
        <v>0</v>
      </c>
      <c r="AB396" s="44">
        <f>+_xlfn.XLOOKUP(PROYECTOS2[[#This Row],[MUNICIPIO]],'4.CAP_ENDMNT'!B:B,'4.CAP_ENDMNT'!I:I,0,0,1)</f>
        <v>1114894120</v>
      </c>
      <c r="AC396" s="146">
        <f>+_xlfn.XLOOKUP(PROYECTOS2[[#This Row],[MUNICIPIO]],'4.CAP_ENDMNT'!B:B,'4.CAP_ENDMNT'!J:J,0,0,1)</f>
        <v>3.1644308019114289E-2</v>
      </c>
      <c r="AD396" s="44">
        <f>+_xlfn.XLOOKUP(PROYECTOS2[[#This Row],[MUNICIPIO]],'4.CAP_ENDMNT'!B:B,'4.CAP_ENDMNT'!K:K,0,0,1)</f>
        <v>34117164654.252998</v>
      </c>
      <c r="AE396" s="44">
        <f>+_xlfn.XLOOKUP(PROYECTOS2[[#This Row],[MUNICIPIO]],'4.CAP_ENDMNT'!B:B,'4.CAP_ENDMNT'!L:L,0,0,1)</f>
        <v>27293731723.402401</v>
      </c>
      <c r="AF396" s="44">
        <f>+_xlfn.XLOOKUP(PROYECTOS2[[#This Row],[MUNICIPIO]],'4.CAP_ENDMNT'!B:B,'4.CAP_ENDMNT'!M:M,0,0,1)</f>
        <v>20470298792.5518</v>
      </c>
      <c r="AG396" s="146">
        <f>+_xlfn.XLOOKUP(PROYECTOS2[[#This Row],[MUNICIPIO]],'4.CAP_ENDMNT'!B:B,'4.CAP_ENDMNT'!N:N,0,0,1)</f>
        <v>1</v>
      </c>
      <c r="AH396" s="146">
        <f>+_xlfn.XLOOKUP(PROYECTOS2[[#This Row],[MUNICIPIO]],'4.CAP_ENDMNT'!B:B,'4.CAP_ENDMNT'!O:O,0,0,1)</f>
        <v>0.45513521966540887</v>
      </c>
      <c r="AI396" s="146">
        <f>+_xlfn.XLOOKUP(PROYECTOS2[[#This Row],[MUNICIPIO]],'4.CAP_ENDMNT'!B:B,'4.CAP_ENDMNT'!P:P,0,0,1)</f>
        <v>0.8</v>
      </c>
      <c r="AJ396" s="44" t="str">
        <f>+_xlfn.XLOOKUP(PROYECTOS2[[#This Row],[MUNICIPIO]],'4.CAP_ENDMNT'!B:B,'4.CAP_ENDMNT'!Q:Q,0,0,1)</f>
        <v>Cumple</v>
      </c>
    </row>
    <row r="397" spans="1:36" ht="15" customHeight="1">
      <c r="A397" s="44">
        <v>422</v>
      </c>
      <c r="B397" s="37" t="s">
        <v>994</v>
      </c>
      <c r="C397" s="118">
        <v>45747</v>
      </c>
      <c r="D397" s="46" t="s">
        <v>54</v>
      </c>
      <c r="E397" s="47" t="str">
        <f>+_xlfn.XLOOKUP(PROYECTOS2[[#This Row],[MUNICIPIO]],MUNICIPIOS!A:A,MUNICIPIOS!E:E,0,0,1)</f>
        <v>Suroeste</v>
      </c>
      <c r="F397" s="44" t="e" cm="1">
        <f t="array" ref="F397">+_xlfn.XLOOKUP(PROYECTOS2[[#This Row],[MUNICIPIO]],Table1[Municipio],MUNICIPIOS!F:F,0,0,1)</f>
        <v>#VALUE!</v>
      </c>
      <c r="G397" s="47" t="str">
        <f>+LOOKUP(PROYECTOS2[[#This Row],[MUNICIPIO]],Table1[Municipio],Table1[Latitud])</f>
        <v>6,149903</v>
      </c>
      <c r="H397" s="47">
        <f>+LOOKUP(PROYECTOS2[[#This Row],[MUNICIPIO]],Table1[Municipio],Table1[PDET])</f>
        <v>0</v>
      </c>
      <c r="I397" s="45">
        <f>+LOOKUP(PROYECTOS2[[#This Row],[MUNICIPIO]],Table1[Municipio],Table1[ZOMAC])</f>
        <v>0</v>
      </c>
      <c r="J397" s="34" t="str" cm="1">
        <f t="array" ref="J397">_xlfn.TEXTJOIN(", ", TRUE, IF(radicados[ID PROYECTOS]=A397, radicados[RADICADO], ""))</f>
        <v/>
      </c>
      <c r="K397" s="9">
        <v>1</v>
      </c>
      <c r="L397" s="45">
        <v>1</v>
      </c>
      <c r="M397" s="144"/>
      <c r="N397" s="72"/>
      <c r="O397" s="147">
        <v>239150043</v>
      </c>
      <c r="P397" s="147">
        <v>229250043</v>
      </c>
      <c r="Q397" s="148" t="s">
        <v>1068</v>
      </c>
      <c r="R397" s="42" t="s">
        <v>1073</v>
      </c>
      <c r="S397" s="40" t="s">
        <v>1079</v>
      </c>
      <c r="T397" s="40"/>
      <c r="U397" s="37" t="s">
        <v>1080</v>
      </c>
      <c r="V397" s="44">
        <f>+_xlfn.XLOOKUP(PROYECTOS2[[#This Row],[MUNICIPIO]],'4.CAP_ENDMNT'!B:B,'4.CAP_ENDMNT'!C:C,0,0,1)</f>
        <v>6</v>
      </c>
      <c r="W397" s="145">
        <f>+_xlfn.XLOOKUP(PROYECTOS2[[#This Row],[MUNICIPIO]],'4.CAP_ENDMNT'!B:B,'4.CAP_ENDMNT'!D:D,0,0,1)</f>
        <v>9297204605.9125004</v>
      </c>
      <c r="X397" s="44">
        <f>+_xlfn.XLOOKUP(PROYECTOS2[[#This Row],[MUNICIPIO]],'4.CAP_ENDMNT'!B:B,'4.CAP_ENDMNT'!E:E,0,0,1)</f>
        <v>4650900904.1300001</v>
      </c>
      <c r="Y397" s="44">
        <f>+_xlfn.XLOOKUP(PROYECTOS2[[#This Row],[MUNICIPIO]],'4.CAP_ENDMNT'!B:B,'4.CAP_ENDMNT'!F:F,0,0,1)</f>
        <v>4646303701.7825003</v>
      </c>
      <c r="Z397" s="44">
        <f>+_xlfn.XLOOKUP(PROYECTOS2[[#This Row],[MUNICIPIO]],'4.CAP_ENDMNT'!B:B,'4.CAP_ENDMNT'!G:G,0,0,1)</f>
        <v>1308996768</v>
      </c>
      <c r="AA397" s="44">
        <f>+_xlfn.XLOOKUP(PROYECTOS2[[#This Row],[MUNICIPIO]],'4.CAP_ENDMNT'!B:B,'4.CAP_ENDMNT'!H:H,0,0,1)</f>
        <v>0</v>
      </c>
      <c r="AB397" s="44">
        <f>+_xlfn.XLOOKUP(PROYECTOS2[[#This Row],[MUNICIPIO]],'4.CAP_ENDMNT'!B:B,'4.CAP_ENDMNT'!I:I,0,0,1)</f>
        <v>1308996768</v>
      </c>
      <c r="AC397" s="146">
        <f>+_xlfn.XLOOKUP(PROYECTOS2[[#This Row],[MUNICIPIO]],'4.CAP_ENDMNT'!B:B,'4.CAP_ENDMNT'!J:J,0,0,1)</f>
        <v>0.14079466070560084</v>
      </c>
      <c r="AD397" s="44">
        <f>+_xlfn.XLOOKUP(PROYECTOS2[[#This Row],[MUNICIPIO]],'4.CAP_ENDMNT'!B:B,'4.CAP_ENDMNT'!K:K,0,0,1)</f>
        <v>7988207837.9125004</v>
      </c>
      <c r="AE397" s="44">
        <f>+_xlfn.XLOOKUP(PROYECTOS2[[#This Row],[MUNICIPIO]],'4.CAP_ENDMNT'!B:B,'4.CAP_ENDMNT'!L:L,0,0,1)</f>
        <v>6390566270.3300009</v>
      </c>
      <c r="AF397" s="44">
        <f>+_xlfn.XLOOKUP(PROYECTOS2[[#This Row],[MUNICIPIO]],'4.CAP_ENDMNT'!B:B,'4.CAP_ENDMNT'!M:M,0,0,1)</f>
        <v>4792924702.7475004</v>
      </c>
      <c r="AG397" s="146">
        <f>+_xlfn.XLOOKUP(PROYECTOS2[[#This Row],[MUNICIPIO]],'4.CAP_ENDMNT'!B:B,'4.CAP_ENDMNT'!N:N,0,0,1)</f>
        <v>1</v>
      </c>
      <c r="AH397" s="146">
        <f>+_xlfn.XLOOKUP(PROYECTOS2[[#This Row],[MUNICIPIO]],'4.CAP_ENDMNT'!B:B,'4.CAP_ENDMNT'!O:O,0,0,1)</f>
        <v>0.67267671220391811</v>
      </c>
      <c r="AI397" s="146">
        <f>+_xlfn.XLOOKUP(PROYECTOS2[[#This Row],[MUNICIPIO]],'4.CAP_ENDMNT'!B:B,'4.CAP_ENDMNT'!P:P,0,0,1)</f>
        <v>0.8</v>
      </c>
      <c r="AJ397" s="44" t="str">
        <f>+_xlfn.XLOOKUP(PROYECTOS2[[#This Row],[MUNICIPIO]],'4.CAP_ENDMNT'!B:B,'4.CAP_ENDMNT'!Q:Q,0,0,1)</f>
        <v>Cumple</v>
      </c>
    </row>
    <row r="398" spans="1:36" ht="15" customHeight="1">
      <c r="A398" s="44">
        <v>423</v>
      </c>
      <c r="B398" s="37" t="s">
        <v>995</v>
      </c>
      <c r="C398" s="118">
        <v>45747</v>
      </c>
      <c r="D398" s="46" t="s">
        <v>15</v>
      </c>
      <c r="E398" s="47" t="str">
        <f>+_xlfn.XLOOKUP(PROYECTOS2[[#This Row],[MUNICIPIO]],MUNICIPIOS!A:A,MUNICIPIOS!E:E,0,0,1)</f>
        <v>Valle de Aburrá</v>
      </c>
      <c r="F398" s="44" t="e" cm="1">
        <f t="array" ref="F398">+_xlfn.XLOOKUP(PROYECTOS2[[#This Row],[MUNICIPIO]],Table1[Municipio],MUNICIPIOS!F:F,0,0,1)</f>
        <v>#VALUE!</v>
      </c>
      <c r="G398" s="47" t="str">
        <f>+LOOKUP(PROYECTOS2[[#This Row],[MUNICIPIO]],Table1[Municipio],Table1[Latitud])</f>
        <v>7,074703</v>
      </c>
      <c r="H398" s="47">
        <f>+LOOKUP(PROYECTOS2[[#This Row],[MUNICIPIO]],Table1[Municipio],Table1[PDET])</f>
        <v>1</v>
      </c>
      <c r="I398" s="45">
        <f>+LOOKUP(PROYECTOS2[[#This Row],[MUNICIPIO]],Table1[Municipio],Table1[ZOMAC])</f>
        <v>1</v>
      </c>
      <c r="J398" s="34" t="str" cm="1">
        <f t="array" ref="J398">_xlfn.TEXTJOIN(", ", TRUE, IF(radicados[ID PROYECTOS]=A398, radicados[RADICADO], ""))</f>
        <v/>
      </c>
      <c r="K398" s="9">
        <v>1</v>
      </c>
      <c r="L398" s="45">
        <v>1</v>
      </c>
      <c r="M398" s="144"/>
      <c r="N398" s="72"/>
      <c r="O398" s="147"/>
      <c r="P398" s="147"/>
      <c r="Q398" s="148" t="s">
        <v>1068</v>
      </c>
      <c r="R398" s="42" t="s">
        <v>1074</v>
      </c>
      <c r="S398" s="40" t="s">
        <v>1079</v>
      </c>
      <c r="T398" s="40"/>
      <c r="U398" s="37" t="s">
        <v>1081</v>
      </c>
      <c r="V398" s="44">
        <f>+_xlfn.XLOOKUP(PROYECTOS2[[#This Row],[MUNICIPIO]],'4.CAP_ENDMNT'!B:B,'4.CAP_ENDMNT'!C:C,0,0,1)</f>
        <v>4</v>
      </c>
      <c r="W398" s="145">
        <f>+_xlfn.XLOOKUP(PROYECTOS2[[#This Row],[MUNICIPIO]],'4.CAP_ENDMNT'!B:B,'4.CAP_ENDMNT'!D:D,0,0,1)</f>
        <v>56592203197.536499</v>
      </c>
      <c r="X398" s="44">
        <f>+_xlfn.XLOOKUP(PROYECTOS2[[#This Row],[MUNICIPIO]],'4.CAP_ENDMNT'!B:B,'4.CAP_ENDMNT'!E:E,0,0,1)</f>
        <v>24375972647.860001</v>
      </c>
      <c r="Y398" s="44">
        <f>+_xlfn.XLOOKUP(PROYECTOS2[[#This Row],[MUNICIPIO]],'4.CAP_ENDMNT'!B:B,'4.CAP_ENDMNT'!F:F,0,0,1)</f>
        <v>32216230549.676498</v>
      </c>
      <c r="Z398" s="44">
        <f>+_xlfn.XLOOKUP(PROYECTOS2[[#This Row],[MUNICIPIO]],'4.CAP_ENDMNT'!B:B,'4.CAP_ENDMNT'!G:G,0,0,1)</f>
        <v>0</v>
      </c>
      <c r="AA398" s="44">
        <f>+_xlfn.XLOOKUP(PROYECTOS2[[#This Row],[MUNICIPIO]],'4.CAP_ENDMNT'!B:B,'4.CAP_ENDMNT'!H:H,0,0,1)</f>
        <v>15044963334.42</v>
      </c>
      <c r="AB398" s="44">
        <f>+_xlfn.XLOOKUP(PROYECTOS2[[#This Row],[MUNICIPIO]],'4.CAP_ENDMNT'!B:B,'4.CAP_ENDMNT'!I:I,0,0,1)</f>
        <v>15044963334.42</v>
      </c>
      <c r="AC398" s="146">
        <f>+_xlfn.XLOOKUP(PROYECTOS2[[#This Row],[MUNICIPIO]],'4.CAP_ENDMNT'!B:B,'4.CAP_ENDMNT'!J:J,0,0,1)</f>
        <v>0.26584869442006315</v>
      </c>
      <c r="AD398" s="44">
        <f>+_xlfn.XLOOKUP(PROYECTOS2[[#This Row],[MUNICIPIO]],'4.CAP_ENDMNT'!B:B,'4.CAP_ENDMNT'!K:K,0,0,1)</f>
        <v>41547239863.116501</v>
      </c>
      <c r="AE398" s="44">
        <f>+_xlfn.XLOOKUP(PROYECTOS2[[#This Row],[MUNICIPIO]],'4.CAP_ENDMNT'!B:B,'4.CAP_ENDMNT'!L:L,0,0,1)</f>
        <v>33237791890.493202</v>
      </c>
      <c r="AF398" s="44">
        <f>+_xlfn.XLOOKUP(PROYECTOS2[[#This Row],[MUNICIPIO]],'4.CAP_ENDMNT'!B:B,'4.CAP_ENDMNT'!M:M,0,0,1)</f>
        <v>24928343917.8699</v>
      </c>
      <c r="AG398" s="146">
        <f>+_xlfn.XLOOKUP(PROYECTOS2[[#This Row],[MUNICIPIO]],'4.CAP_ENDMNT'!B:B,'4.CAP_ENDMNT'!N:N,0,0,1)</f>
        <v>0</v>
      </c>
      <c r="AH398" s="146">
        <f>+_xlfn.XLOOKUP(PROYECTOS2[[#This Row],[MUNICIPIO]],'4.CAP_ENDMNT'!B:B,'4.CAP_ENDMNT'!O:O,0,0,1)</f>
        <v>0.60385208261970102</v>
      </c>
      <c r="AI398" s="146">
        <f>+_xlfn.XLOOKUP(PROYECTOS2[[#This Row],[MUNICIPIO]],'4.CAP_ENDMNT'!B:B,'4.CAP_ENDMNT'!P:P,0,0,1)</f>
        <v>0.8</v>
      </c>
      <c r="AJ398" s="44" t="str">
        <f>+_xlfn.XLOOKUP(PROYECTOS2[[#This Row],[MUNICIPIO]],'4.CAP_ENDMNT'!B:B,'4.CAP_ENDMNT'!Q:Q,0,0,1)</f>
        <v>Cumple</v>
      </c>
    </row>
    <row r="399" spans="1:36" ht="15" customHeight="1">
      <c r="A399" s="44">
        <v>428</v>
      </c>
      <c r="B399" s="37" t="s">
        <v>996</v>
      </c>
      <c r="C399" s="118">
        <v>45747</v>
      </c>
      <c r="D399" s="46" t="s">
        <v>127</v>
      </c>
      <c r="E399" s="47" t="str">
        <f>+_xlfn.XLOOKUP(PROYECTOS2[[#This Row],[MUNICIPIO]],MUNICIPIOS!A:A,MUNICIPIOS!E:E,0,0,1)</f>
        <v>Suroeste</v>
      </c>
      <c r="F399" s="44" t="e" cm="1">
        <f t="array" ref="F399">+_xlfn.XLOOKUP(PROYECTOS2[[#This Row],[MUNICIPIO]],Table1[Municipio],MUNICIPIOS!F:F,0,0,1)</f>
        <v>#VALUE!</v>
      </c>
      <c r="G399" s="47" t="str">
        <f>+LOOKUP(PROYECTOS2[[#This Row],[MUNICIPIO]],Table1[Municipio],Table1[Latitud])</f>
        <v>7,074703</v>
      </c>
      <c r="H399" s="47">
        <f>+LOOKUP(PROYECTOS2[[#This Row],[MUNICIPIO]],Table1[Municipio],Table1[PDET])</f>
        <v>1</v>
      </c>
      <c r="I399" s="45">
        <f>+LOOKUP(PROYECTOS2[[#This Row],[MUNICIPIO]],Table1[Municipio],Table1[ZOMAC])</f>
        <v>1</v>
      </c>
      <c r="J399" s="34" t="str" cm="1">
        <f t="array" ref="J399">_xlfn.TEXTJOIN(", ", TRUE, IF(radicados[ID PROYECTOS]=A399, radicados[RADICADO], ""))</f>
        <v/>
      </c>
      <c r="K399" s="45">
        <v>3</v>
      </c>
      <c r="L399" s="45">
        <v>1</v>
      </c>
      <c r="M399" s="144"/>
      <c r="N399" s="72"/>
      <c r="O399" s="147">
        <v>2847902387</v>
      </c>
      <c r="P399" s="147">
        <v>2621185725</v>
      </c>
      <c r="Q399" s="148" t="s">
        <v>1068</v>
      </c>
      <c r="R399" s="42" t="s">
        <v>1077</v>
      </c>
      <c r="S399" s="40" t="s">
        <v>1079</v>
      </c>
      <c r="T399" s="40"/>
      <c r="U399" s="37" t="s">
        <v>1082</v>
      </c>
      <c r="V399" s="44">
        <f>+_xlfn.XLOOKUP(PROYECTOS2[[#This Row],[MUNICIPIO]],'4.CAP_ENDMNT'!B:B,'4.CAP_ENDMNT'!C:C,0,0,1)</f>
        <v>6</v>
      </c>
      <c r="W399" s="145">
        <f>+_xlfn.XLOOKUP(PROYECTOS2[[#This Row],[MUNICIPIO]],'4.CAP_ENDMNT'!B:B,'4.CAP_ENDMNT'!D:D,0,0,1)</f>
        <v>9197355968.8835011</v>
      </c>
      <c r="X399" s="44">
        <f>+_xlfn.XLOOKUP(PROYECTOS2[[#This Row],[MUNICIPIO]],'4.CAP_ENDMNT'!B:B,'4.CAP_ENDMNT'!E:E,0,0,1)</f>
        <v>3350398615.7000003</v>
      </c>
      <c r="Y399" s="44">
        <f>+_xlfn.XLOOKUP(PROYECTOS2[[#This Row],[MUNICIPIO]],'4.CAP_ENDMNT'!B:B,'4.CAP_ENDMNT'!F:F,0,0,1)</f>
        <v>5846957353.1835003</v>
      </c>
      <c r="Z399" s="44">
        <f>+_xlfn.XLOOKUP(PROYECTOS2[[#This Row],[MUNICIPIO]],'4.CAP_ENDMNT'!B:B,'4.CAP_ENDMNT'!G:G,0,0,1)</f>
        <v>958841544</v>
      </c>
      <c r="AA399" s="44">
        <f>+_xlfn.XLOOKUP(PROYECTOS2[[#This Row],[MUNICIPIO]],'4.CAP_ENDMNT'!B:B,'4.CAP_ENDMNT'!H:H,0,0,1)</f>
        <v>680000000</v>
      </c>
      <c r="AB399" s="44">
        <f>+_xlfn.XLOOKUP(PROYECTOS2[[#This Row],[MUNICIPIO]],'4.CAP_ENDMNT'!B:B,'4.CAP_ENDMNT'!I:I,0,0,1)</f>
        <v>1638841544</v>
      </c>
      <c r="AC399" s="146">
        <f>+_xlfn.XLOOKUP(PROYECTOS2[[#This Row],[MUNICIPIO]],'4.CAP_ENDMNT'!B:B,'4.CAP_ENDMNT'!J:J,0,0,1)</f>
        <v>0.17818616019044273</v>
      </c>
      <c r="AD399" s="44">
        <f>+_xlfn.XLOOKUP(PROYECTOS2[[#This Row],[MUNICIPIO]],'4.CAP_ENDMNT'!B:B,'4.CAP_ENDMNT'!K:K,0,0,1)</f>
        <v>7558514424.8835011</v>
      </c>
      <c r="AE399" s="44">
        <f>+_xlfn.XLOOKUP(PROYECTOS2[[#This Row],[MUNICIPIO]],'4.CAP_ENDMNT'!B:B,'4.CAP_ENDMNT'!L:L,0,0,1)</f>
        <v>6046811539.9068012</v>
      </c>
      <c r="AF399" s="44">
        <f>+_xlfn.XLOOKUP(PROYECTOS2[[#This Row],[MUNICIPIO]],'4.CAP_ENDMNT'!B:B,'4.CAP_ENDMNT'!M:M,0,0,1)</f>
        <v>4535108654.9301004</v>
      </c>
      <c r="AG399" s="146">
        <f>+_xlfn.XLOOKUP(PROYECTOS2[[#This Row],[MUNICIPIO]],'4.CAP_ENDMNT'!B:B,'4.CAP_ENDMNT'!N:N,0,0,1)</f>
        <v>0.58507275917579493</v>
      </c>
      <c r="AH399" s="146">
        <f>+_xlfn.XLOOKUP(PROYECTOS2[[#This Row],[MUNICIPIO]],'4.CAP_ENDMNT'!B:B,'4.CAP_ENDMNT'!O:O,0,0,1)</f>
        <v>0.53687312631507866</v>
      </c>
      <c r="AI399" s="146">
        <f>+_xlfn.XLOOKUP(PROYECTOS2[[#This Row],[MUNICIPIO]],'4.CAP_ENDMNT'!B:B,'4.CAP_ENDMNT'!P:P,0,0,1)</f>
        <v>0.8</v>
      </c>
      <c r="AJ399" s="44" t="str">
        <f>+_xlfn.XLOOKUP(PROYECTOS2[[#This Row],[MUNICIPIO]],'4.CAP_ENDMNT'!B:B,'4.CAP_ENDMNT'!Q:Q,0,0,1)</f>
        <v>Cumple</v>
      </c>
    </row>
    <row r="400" spans="1:36" ht="15" customHeight="1">
      <c r="A400" s="44">
        <v>429</v>
      </c>
      <c r="B400" s="37" t="s">
        <v>997</v>
      </c>
      <c r="C400" s="118">
        <v>45747</v>
      </c>
      <c r="D400" s="46" t="s">
        <v>258</v>
      </c>
      <c r="E400" s="47" t="str">
        <f>+_xlfn.XLOOKUP(PROYECTOS2[[#This Row],[MUNICIPIO]],MUNICIPIOS!A:A,MUNICIPIOS!E:E,0,0,1)</f>
        <v>Urabá</v>
      </c>
      <c r="F400" s="44" t="e" cm="1">
        <f t="array" ref="F400">+_xlfn.XLOOKUP(PROYECTOS2[[#This Row],[MUNICIPIO]],Table1[Municipio],MUNICIPIOS!F:F,0,0,1)</f>
        <v>#VALUE!</v>
      </c>
      <c r="G400" s="47" t="str">
        <f>+LOOKUP(PROYECTOS2[[#This Row],[MUNICIPIO]],Table1[Municipio],Table1[Latitud])</f>
        <v>5,946313</v>
      </c>
      <c r="H400" s="47">
        <f>+LOOKUP(PROYECTOS2[[#This Row],[MUNICIPIO]],Table1[Municipio],Table1[PDET])</f>
        <v>0</v>
      </c>
      <c r="I400" s="45">
        <f>+LOOKUP(PROYECTOS2[[#This Row],[MUNICIPIO]],Table1[Municipio],Table1[ZOMAC])</f>
        <v>1</v>
      </c>
      <c r="J400" s="34" t="str" cm="1">
        <f t="array" ref="J400">_xlfn.TEXTJOIN(", ", TRUE, IF(radicados[ID PROYECTOS]=A400, radicados[RADICADO], ""))</f>
        <v/>
      </c>
      <c r="K400" s="45">
        <v>3</v>
      </c>
      <c r="L400" s="45">
        <v>1</v>
      </c>
      <c r="M400" s="144"/>
      <c r="N400" s="72"/>
      <c r="O400" s="147">
        <v>665113412</v>
      </c>
      <c r="P400" s="147">
        <v>420000000</v>
      </c>
      <c r="Q400" s="148" t="s">
        <v>1068</v>
      </c>
      <c r="R400" s="42" t="s">
        <v>1072</v>
      </c>
      <c r="S400" s="40" t="s">
        <v>1079</v>
      </c>
      <c r="T400" s="40"/>
      <c r="U400" s="37" t="s">
        <v>1083</v>
      </c>
      <c r="V400" s="44">
        <f>+_xlfn.XLOOKUP(PROYECTOS2[[#This Row],[MUNICIPIO]],'4.CAP_ENDMNT'!B:B,'4.CAP_ENDMNT'!C:C,0,0,1)</f>
        <v>6</v>
      </c>
      <c r="W400" s="145">
        <f>+_xlfn.XLOOKUP(PROYECTOS2[[#This Row],[MUNICIPIO]],'4.CAP_ENDMNT'!B:B,'4.CAP_ENDMNT'!D:D,0,0,1)</f>
        <v>17114409570.042</v>
      </c>
      <c r="X400" s="44">
        <f>+_xlfn.XLOOKUP(PROYECTOS2[[#This Row],[MUNICIPIO]],'4.CAP_ENDMNT'!B:B,'4.CAP_ENDMNT'!E:E,0,0,1)</f>
        <v>5233556503.5699997</v>
      </c>
      <c r="Y400" s="44">
        <f>+_xlfn.XLOOKUP(PROYECTOS2[[#This Row],[MUNICIPIO]],'4.CAP_ENDMNT'!B:B,'4.CAP_ENDMNT'!F:F,0,0,1)</f>
        <v>11880853066.472</v>
      </c>
      <c r="Z400" s="44">
        <f>+_xlfn.XLOOKUP(PROYECTOS2[[#This Row],[MUNICIPIO]],'4.CAP_ENDMNT'!B:B,'4.CAP_ENDMNT'!G:G,0,0,1)</f>
        <v>690572471</v>
      </c>
      <c r="AA400" s="44">
        <f>+_xlfn.XLOOKUP(PROYECTOS2[[#This Row],[MUNICIPIO]],'4.CAP_ENDMNT'!B:B,'4.CAP_ENDMNT'!H:H,0,0,1)</f>
        <v>0</v>
      </c>
      <c r="AB400" s="44">
        <f>+_xlfn.XLOOKUP(PROYECTOS2[[#This Row],[MUNICIPIO]],'4.CAP_ENDMNT'!B:B,'4.CAP_ENDMNT'!I:I,0,0,1)</f>
        <v>690572471</v>
      </c>
      <c r="AC400" s="146">
        <f>+_xlfn.XLOOKUP(PROYECTOS2[[#This Row],[MUNICIPIO]],'4.CAP_ENDMNT'!B:B,'4.CAP_ENDMNT'!J:J,0,0,1)</f>
        <v>4.0350353202298947E-2</v>
      </c>
      <c r="AD400" s="44">
        <f>+_xlfn.XLOOKUP(PROYECTOS2[[#This Row],[MUNICIPIO]],'4.CAP_ENDMNT'!B:B,'4.CAP_ENDMNT'!K:K,0,0,1)</f>
        <v>16423837099.042</v>
      </c>
      <c r="AE400" s="44">
        <f>+_xlfn.XLOOKUP(PROYECTOS2[[#This Row],[MUNICIPIO]],'4.CAP_ENDMNT'!B:B,'4.CAP_ENDMNT'!L:L,0,0,1)</f>
        <v>13139069679.233601</v>
      </c>
      <c r="AF400" s="44">
        <f>+_xlfn.XLOOKUP(PROYECTOS2[[#This Row],[MUNICIPIO]],'4.CAP_ENDMNT'!B:B,'4.CAP_ENDMNT'!M:M,0,0,1)</f>
        <v>9854302259.4251995</v>
      </c>
      <c r="AG400" s="146">
        <f>+_xlfn.XLOOKUP(PROYECTOS2[[#This Row],[MUNICIPIO]],'4.CAP_ENDMNT'!B:B,'4.CAP_ENDMNT'!N:N,0,0,1)</f>
        <v>1</v>
      </c>
      <c r="AH400" s="146">
        <f>+_xlfn.XLOOKUP(PROYECTOS2[[#This Row],[MUNICIPIO]],'4.CAP_ENDMNT'!B:B,'4.CAP_ENDMNT'!O:O,0,0,1)</f>
        <v>0.61563469645402102</v>
      </c>
      <c r="AI400" s="146">
        <f>+_xlfn.XLOOKUP(PROYECTOS2[[#This Row],[MUNICIPIO]],'4.CAP_ENDMNT'!B:B,'4.CAP_ENDMNT'!P:P,0,0,1)</f>
        <v>0.8</v>
      </c>
      <c r="AJ400" s="44" t="str">
        <f>+_xlfn.XLOOKUP(PROYECTOS2[[#This Row],[MUNICIPIO]],'4.CAP_ENDMNT'!B:B,'4.CAP_ENDMNT'!Q:Q,0,0,1)</f>
        <v>Cumple</v>
      </c>
    </row>
    <row r="401" spans="1:36" ht="15" customHeight="1">
      <c r="A401" s="44">
        <v>430</v>
      </c>
      <c r="B401" s="37" t="s">
        <v>998</v>
      </c>
      <c r="C401" s="118">
        <v>45747</v>
      </c>
      <c r="D401" s="46" t="s">
        <v>92</v>
      </c>
      <c r="E401" s="47" t="str">
        <f>+_xlfn.XLOOKUP(PROYECTOS2[[#This Row],[MUNICIPIO]],MUNICIPIOS!A:A,MUNICIPIOS!E:E,0,0,1)</f>
        <v>Suroeste</v>
      </c>
      <c r="F401" s="44" t="e" cm="1">
        <f t="array" ref="F401">+_xlfn.XLOOKUP(PROYECTOS2[[#This Row],[MUNICIPIO]],Table1[Municipio],MUNICIPIOS!F:F,0,0,1)</f>
        <v>#VALUE!</v>
      </c>
      <c r="G401" s="47" t="e">
        <f>+LOOKUP(PROYECTOS2[[#This Row],[MUNICIPIO]],Table1[Municipio],Table1[Latitud])</f>
        <v>#N/A</v>
      </c>
      <c r="H401" s="47" t="e">
        <f>+LOOKUP(PROYECTOS2[[#This Row],[MUNICIPIO]],Table1[Municipio],Table1[PDET])</f>
        <v>#N/A</v>
      </c>
      <c r="I401" s="45" t="e">
        <f>+LOOKUP(PROYECTOS2[[#This Row],[MUNICIPIO]],Table1[Municipio],Table1[ZOMAC])</f>
        <v>#N/A</v>
      </c>
      <c r="J401" s="34" t="str" cm="1">
        <f t="array" ref="J401">_xlfn.TEXTJOIN(", ", TRUE, IF(radicados[ID PROYECTOS]=A401, radicados[RADICADO], ""))</f>
        <v/>
      </c>
      <c r="K401" s="45">
        <v>3</v>
      </c>
      <c r="L401" s="45">
        <v>1</v>
      </c>
      <c r="M401" s="144"/>
      <c r="N401" s="72"/>
      <c r="O401" s="147">
        <v>1856672323</v>
      </c>
      <c r="P401" s="147">
        <v>1600000000</v>
      </c>
      <c r="Q401" s="148" t="s">
        <v>1068</v>
      </c>
      <c r="R401" s="42" t="s">
        <v>1072</v>
      </c>
      <c r="S401" s="40" t="s">
        <v>1079</v>
      </c>
      <c r="T401" s="40"/>
      <c r="U401" s="37" t="s">
        <v>1084</v>
      </c>
      <c r="V401" s="44">
        <f>+_xlfn.XLOOKUP(PROYECTOS2[[#This Row],[MUNICIPIO]],'4.CAP_ENDMNT'!B:B,'4.CAP_ENDMNT'!C:C,0,0,1)</f>
        <v>6</v>
      </c>
      <c r="W401" s="145">
        <f>+_xlfn.XLOOKUP(PROYECTOS2[[#This Row],[MUNICIPIO]],'4.CAP_ENDMNT'!B:B,'4.CAP_ENDMNT'!D:D,0,0,1)</f>
        <v>25390387392.328503</v>
      </c>
      <c r="X401" s="44">
        <f>+_xlfn.XLOOKUP(PROYECTOS2[[#This Row],[MUNICIPIO]],'4.CAP_ENDMNT'!B:B,'4.CAP_ENDMNT'!E:E,0,0,1)</f>
        <v>8357833556.3299999</v>
      </c>
      <c r="Y401" s="44">
        <f>+_xlfn.XLOOKUP(PROYECTOS2[[#This Row],[MUNICIPIO]],'4.CAP_ENDMNT'!B:B,'4.CAP_ENDMNT'!F:F,0,0,1)</f>
        <v>17032553835.998503</v>
      </c>
      <c r="Z401" s="44">
        <f>+_xlfn.XLOOKUP(PROYECTOS2[[#This Row],[MUNICIPIO]],'4.CAP_ENDMNT'!B:B,'4.CAP_ENDMNT'!G:G,0,0,1)</f>
        <v>4689987006</v>
      </c>
      <c r="AA401" s="44">
        <f>+_xlfn.XLOOKUP(PROYECTOS2[[#This Row],[MUNICIPIO]],'4.CAP_ENDMNT'!B:B,'4.CAP_ENDMNT'!H:H,0,0,1)</f>
        <v>6272045606</v>
      </c>
      <c r="AB401" s="44">
        <f>+_xlfn.XLOOKUP(PROYECTOS2[[#This Row],[MUNICIPIO]],'4.CAP_ENDMNT'!B:B,'4.CAP_ENDMNT'!I:I,0,0,1)</f>
        <v>10962032612</v>
      </c>
      <c r="AC401" s="146">
        <f>+_xlfn.XLOOKUP(PROYECTOS2[[#This Row],[MUNICIPIO]],'4.CAP_ENDMNT'!B:B,'4.CAP_ENDMNT'!J:J,0,0,1)</f>
        <v>0.43173947851272598</v>
      </c>
      <c r="AD401" s="44">
        <f>+_xlfn.XLOOKUP(PROYECTOS2[[#This Row],[MUNICIPIO]],'4.CAP_ENDMNT'!B:B,'4.CAP_ENDMNT'!K:K,0,0,1)</f>
        <v>14428354780.328503</v>
      </c>
      <c r="AE401" s="44">
        <f>+_xlfn.XLOOKUP(PROYECTOS2[[#This Row],[MUNICIPIO]],'4.CAP_ENDMNT'!B:B,'4.CAP_ENDMNT'!L:L,0,0,1)</f>
        <v>11542683824.262802</v>
      </c>
      <c r="AF401" s="44">
        <f>+_xlfn.XLOOKUP(PROYECTOS2[[#This Row],[MUNICIPIO]],'4.CAP_ENDMNT'!B:B,'4.CAP_ENDMNT'!M:M,0,0,1)</f>
        <v>8657012868.1971016</v>
      </c>
      <c r="AG401" s="146">
        <f>+_xlfn.XLOOKUP(PROYECTOS2[[#This Row],[MUNICIPIO]],'4.CAP_ENDMNT'!B:B,'4.CAP_ENDMNT'!N:N,0,0,1)</f>
        <v>0.42783917654705111</v>
      </c>
      <c r="AH401" s="146">
        <f>+_xlfn.XLOOKUP(PROYECTOS2[[#This Row],[MUNICIPIO]],'4.CAP_ENDMNT'!B:B,'4.CAP_ENDMNT'!O:O,0,0,1)</f>
        <v>0.46347626739589709</v>
      </c>
      <c r="AI401" s="146">
        <f>+_xlfn.XLOOKUP(PROYECTOS2[[#This Row],[MUNICIPIO]],'4.CAP_ENDMNT'!B:B,'4.CAP_ENDMNT'!P:P,0,0,1)</f>
        <v>0.8</v>
      </c>
      <c r="AJ401" s="44" t="str">
        <f>+_xlfn.XLOOKUP(PROYECTOS2[[#This Row],[MUNICIPIO]],'4.CAP_ENDMNT'!B:B,'4.CAP_ENDMNT'!Q:Q,0,0,1)</f>
        <v>Cumple</v>
      </c>
    </row>
    <row r="402" spans="1:36" ht="15" customHeight="1">
      <c r="A402" s="44">
        <v>431</v>
      </c>
      <c r="B402" s="37" t="s">
        <v>999</v>
      </c>
      <c r="C402" s="118">
        <v>45747</v>
      </c>
      <c r="D402" s="46" t="s">
        <v>67</v>
      </c>
      <c r="E402" s="47" t="str">
        <f>+_xlfn.XLOOKUP(PROYECTOS2[[#This Row],[MUNICIPIO]],MUNICIPIOS!A:A,MUNICIPIOS!E:E,0,0,1)</f>
        <v>Nordeste</v>
      </c>
      <c r="F402" s="44" t="e" cm="1">
        <f t="array" ref="F402">+_xlfn.XLOOKUP(PROYECTOS2[[#This Row],[MUNICIPIO]],Table1[Municipio],MUNICIPIOS!F:F,0,0,1)</f>
        <v>#VALUE!</v>
      </c>
      <c r="G402" s="47" t="str">
        <f>+LOOKUP(PROYECTOS2[[#This Row],[MUNICIPIO]],Table1[Municipio],Table1[Latitud])</f>
        <v>6,149903</v>
      </c>
      <c r="H402" s="47">
        <f>+LOOKUP(PROYECTOS2[[#This Row],[MUNICIPIO]],Table1[Municipio],Table1[PDET])</f>
        <v>0</v>
      </c>
      <c r="I402" s="45">
        <f>+LOOKUP(PROYECTOS2[[#This Row],[MUNICIPIO]],Table1[Municipio],Table1[ZOMAC])</f>
        <v>0</v>
      </c>
      <c r="J402" s="34" t="str" cm="1">
        <f t="array" ref="J402">_xlfn.TEXTJOIN(", ", TRUE, IF(radicados[ID PROYECTOS]=A402, radicados[RADICADO], ""))</f>
        <v/>
      </c>
      <c r="K402" s="45">
        <v>3</v>
      </c>
      <c r="L402" s="45">
        <v>1</v>
      </c>
      <c r="M402" s="144"/>
      <c r="N402" s="72"/>
      <c r="O402" s="147">
        <v>700000000</v>
      </c>
      <c r="P402" s="147">
        <v>700000000</v>
      </c>
      <c r="Q402" s="148" t="s">
        <v>1068</v>
      </c>
      <c r="R402" s="42" t="s">
        <v>1072</v>
      </c>
      <c r="S402" s="40" t="s">
        <v>1079</v>
      </c>
      <c r="T402" s="40"/>
      <c r="U402" s="37" t="s">
        <v>1084</v>
      </c>
      <c r="V402" s="44">
        <f>+_xlfn.XLOOKUP(PROYECTOS2[[#This Row],[MUNICIPIO]],'4.CAP_ENDMNT'!B:B,'4.CAP_ENDMNT'!C:C,0,0,1)</f>
        <v>6</v>
      </c>
      <c r="W402" s="145">
        <f>+_xlfn.XLOOKUP(PROYECTOS2[[#This Row],[MUNICIPIO]],'4.CAP_ENDMNT'!B:B,'4.CAP_ENDMNT'!D:D,0,0,1)</f>
        <v>18632663202.9925</v>
      </c>
      <c r="X402" s="44">
        <f>+_xlfn.XLOOKUP(PROYECTOS2[[#This Row],[MUNICIPIO]],'4.CAP_ENDMNT'!B:B,'4.CAP_ENDMNT'!E:E,0,0,1)</f>
        <v>4332293517.3299999</v>
      </c>
      <c r="Y402" s="44">
        <f>+_xlfn.XLOOKUP(PROYECTOS2[[#This Row],[MUNICIPIO]],'4.CAP_ENDMNT'!B:B,'4.CAP_ENDMNT'!F:F,0,0,1)</f>
        <v>14300369685.6625</v>
      </c>
      <c r="Z402" s="44">
        <f>+_xlfn.XLOOKUP(PROYECTOS2[[#This Row],[MUNICIPIO]],'4.CAP_ENDMNT'!B:B,'4.CAP_ENDMNT'!G:G,0,0,1)</f>
        <v>3970281006</v>
      </c>
      <c r="AA402" s="44">
        <f>+_xlfn.XLOOKUP(PROYECTOS2[[#This Row],[MUNICIPIO]],'4.CAP_ENDMNT'!B:B,'4.CAP_ENDMNT'!H:H,0,0,1)</f>
        <v>1500000000</v>
      </c>
      <c r="AB402" s="44">
        <f>+_xlfn.XLOOKUP(PROYECTOS2[[#This Row],[MUNICIPIO]],'4.CAP_ENDMNT'!B:B,'4.CAP_ENDMNT'!I:I,0,0,1)</f>
        <v>5470281006</v>
      </c>
      <c r="AC402" s="146">
        <f>+_xlfn.XLOOKUP(PROYECTOS2[[#This Row],[MUNICIPIO]],'4.CAP_ENDMNT'!B:B,'4.CAP_ENDMNT'!J:J,0,0,1)</f>
        <v>0.29358556779588252</v>
      </c>
      <c r="AD402" s="44">
        <f>+_xlfn.XLOOKUP(PROYECTOS2[[#This Row],[MUNICIPIO]],'4.CAP_ENDMNT'!B:B,'4.CAP_ENDMNT'!K:K,0,0,1)</f>
        <v>13162382196.9925</v>
      </c>
      <c r="AE402" s="44">
        <f>+_xlfn.XLOOKUP(PROYECTOS2[[#This Row],[MUNICIPIO]],'4.CAP_ENDMNT'!B:B,'4.CAP_ENDMNT'!L:L,0,0,1)</f>
        <v>10529905757.594002</v>
      </c>
      <c r="AF402" s="44">
        <f>+_xlfn.XLOOKUP(PROYECTOS2[[#This Row],[MUNICIPIO]],'4.CAP_ENDMNT'!B:B,'4.CAP_ENDMNT'!M:M,0,0,1)</f>
        <v>7897429318.1954994</v>
      </c>
      <c r="AG402" s="146">
        <f>+_xlfn.XLOOKUP(PROYECTOS2[[#This Row],[MUNICIPIO]],'4.CAP_ENDMNT'!B:B,'4.CAP_ENDMNT'!N:N,0,0,1)</f>
        <v>0.72579105198531002</v>
      </c>
      <c r="AH402" s="146">
        <f>+_xlfn.XLOOKUP(PROYECTOS2[[#This Row],[MUNICIPIO]],'4.CAP_ENDMNT'!B:B,'4.CAP_ENDMNT'!O:O,0,0,1)</f>
        <v>0.44683077557401057</v>
      </c>
      <c r="AI402" s="146">
        <f>+_xlfn.XLOOKUP(PROYECTOS2[[#This Row],[MUNICIPIO]],'4.CAP_ENDMNT'!B:B,'4.CAP_ENDMNT'!P:P,0,0,1)</f>
        <v>0.8</v>
      </c>
      <c r="AJ402" s="44" t="str">
        <f>+_xlfn.XLOOKUP(PROYECTOS2[[#This Row],[MUNICIPIO]],'4.CAP_ENDMNT'!B:B,'4.CAP_ENDMNT'!Q:Q,0,0,1)</f>
        <v>Cumple</v>
      </c>
    </row>
    <row r="403" spans="1:36" ht="15" customHeight="1">
      <c r="A403" s="44">
        <v>432</v>
      </c>
      <c r="B403" s="37" t="s">
        <v>1000</v>
      </c>
      <c r="C403" s="118">
        <v>45747</v>
      </c>
      <c r="D403" s="46" t="s">
        <v>216</v>
      </c>
      <c r="E403" s="47" t="str">
        <f>+_xlfn.XLOOKUP(PROYECTOS2[[#This Row],[MUNICIPIO]],MUNICIPIOS!A:A,MUNICIPIOS!E:E,0,0,1)</f>
        <v>Suroeste</v>
      </c>
      <c r="F403" s="44" t="e" cm="1">
        <f t="array" ref="F403">+_xlfn.XLOOKUP(PROYECTOS2[[#This Row],[MUNICIPIO]],Table1[Municipio],MUNICIPIOS!F:F,0,0,1)</f>
        <v>#VALUE!</v>
      </c>
      <c r="G403" s="47" t="e">
        <f>+LOOKUP(PROYECTOS2[[#This Row],[MUNICIPIO]],Table1[Municipio],Table1[Latitud])</f>
        <v>#N/A</v>
      </c>
      <c r="H403" s="47" t="e">
        <f>+LOOKUP(PROYECTOS2[[#This Row],[MUNICIPIO]],Table1[Municipio],Table1[PDET])</f>
        <v>#N/A</v>
      </c>
      <c r="I403" s="45" t="e">
        <f>+LOOKUP(PROYECTOS2[[#This Row],[MUNICIPIO]],Table1[Municipio],Table1[ZOMAC])</f>
        <v>#N/A</v>
      </c>
      <c r="J403" s="34" t="str" cm="1">
        <f t="array" ref="J403">_xlfn.TEXTJOIN(", ", TRUE, IF(radicados[ID PROYECTOS]=A403, radicados[RADICADO], ""))</f>
        <v/>
      </c>
      <c r="K403" s="45">
        <v>3</v>
      </c>
      <c r="L403" s="45">
        <v>1</v>
      </c>
      <c r="M403" s="144"/>
      <c r="N403" s="72"/>
      <c r="O403" s="147">
        <v>980573018</v>
      </c>
      <c r="P403" s="147">
        <v>827723953</v>
      </c>
      <c r="Q403" s="148" t="s">
        <v>1068</v>
      </c>
      <c r="R403" s="42" t="s">
        <v>1072</v>
      </c>
      <c r="S403" s="40" t="s">
        <v>1079</v>
      </c>
      <c r="T403" s="40"/>
      <c r="U403" s="37" t="s">
        <v>1085</v>
      </c>
      <c r="V403" s="44">
        <f>+_xlfn.XLOOKUP(PROYECTOS2[[#This Row],[MUNICIPIO]],'4.CAP_ENDMNT'!B:B,'4.CAP_ENDMNT'!C:C,0,0,1)</f>
        <v>6</v>
      </c>
      <c r="W403" s="145">
        <f>+_xlfn.XLOOKUP(PROYECTOS2[[#This Row],[MUNICIPIO]],'4.CAP_ENDMNT'!B:B,'4.CAP_ENDMNT'!D:D,0,0,1)</f>
        <v>27843076411.630001</v>
      </c>
      <c r="X403" s="44">
        <f>+_xlfn.XLOOKUP(PROYECTOS2[[#This Row],[MUNICIPIO]],'4.CAP_ENDMNT'!B:B,'4.CAP_ENDMNT'!E:E,0,0,1)</f>
        <v>11739999040.630001</v>
      </c>
      <c r="Y403" s="44">
        <f>+_xlfn.XLOOKUP(PROYECTOS2[[#This Row],[MUNICIPIO]],'4.CAP_ENDMNT'!B:B,'4.CAP_ENDMNT'!F:F,0,0,1)</f>
        <v>16103077371</v>
      </c>
      <c r="Z403" s="44">
        <f>+_xlfn.XLOOKUP(PROYECTOS2[[#This Row],[MUNICIPIO]],'4.CAP_ENDMNT'!B:B,'4.CAP_ENDMNT'!G:G,0,0,1)</f>
        <v>13999483044</v>
      </c>
      <c r="AA403" s="44">
        <f>+_xlfn.XLOOKUP(PROYECTOS2[[#This Row],[MUNICIPIO]],'4.CAP_ENDMNT'!B:B,'4.CAP_ENDMNT'!H:H,0,0,1)</f>
        <v>1243354438.6800001</v>
      </c>
      <c r="AB403" s="44">
        <f>+_xlfn.XLOOKUP(PROYECTOS2[[#This Row],[MUNICIPIO]],'4.CAP_ENDMNT'!B:B,'4.CAP_ENDMNT'!I:I,0,0,1)</f>
        <v>15242837482.68</v>
      </c>
      <c r="AC403" s="146">
        <f>+_xlfn.XLOOKUP(PROYECTOS2[[#This Row],[MUNICIPIO]],'4.CAP_ENDMNT'!B:B,'4.CAP_ENDMNT'!J:J,0,0,1)</f>
        <v>0.54745521857322832</v>
      </c>
      <c r="AD403" s="44">
        <f>+_xlfn.XLOOKUP(PROYECTOS2[[#This Row],[MUNICIPIO]],'4.CAP_ENDMNT'!B:B,'4.CAP_ENDMNT'!K:K,0,0,1)</f>
        <v>12600238928.950001</v>
      </c>
      <c r="AE403" s="44">
        <f>+_xlfn.XLOOKUP(PROYECTOS2[[#This Row],[MUNICIPIO]],'4.CAP_ENDMNT'!B:B,'4.CAP_ENDMNT'!L:L,0,0,1)</f>
        <v>10080191143.160002</v>
      </c>
      <c r="AF403" s="44">
        <f>+_xlfn.XLOOKUP(PROYECTOS2[[#This Row],[MUNICIPIO]],'4.CAP_ENDMNT'!B:B,'4.CAP_ENDMNT'!M:M,0,0,1)</f>
        <v>7560143357.3699999</v>
      </c>
      <c r="AG403" s="146">
        <f>+_xlfn.XLOOKUP(PROYECTOS2[[#This Row],[MUNICIPIO]],'4.CAP_ENDMNT'!B:B,'4.CAP_ENDMNT'!N:N,0,0,1)</f>
        <v>0.91843025026719671</v>
      </c>
      <c r="AH403" s="146">
        <f>+_xlfn.XLOOKUP(PROYECTOS2[[#This Row],[MUNICIPIO]],'4.CAP_ENDMNT'!B:B,'4.CAP_ENDMNT'!O:O,0,0,1)</f>
        <v>0.46026317160648733</v>
      </c>
      <c r="AI403" s="146">
        <f>+_xlfn.XLOOKUP(PROYECTOS2[[#This Row],[MUNICIPIO]],'4.CAP_ENDMNT'!B:B,'4.CAP_ENDMNT'!P:P,0,0,1)</f>
        <v>0.8</v>
      </c>
      <c r="AJ403" s="44" t="str">
        <f>+_xlfn.XLOOKUP(PROYECTOS2[[#This Row],[MUNICIPIO]],'4.CAP_ENDMNT'!B:B,'4.CAP_ENDMNT'!Q:Q,0,0,1)</f>
        <v>Cumple</v>
      </c>
    </row>
    <row r="404" spans="1:36" ht="15" customHeight="1">
      <c r="A404" s="44">
        <v>433</v>
      </c>
      <c r="B404" s="37" t="s">
        <v>1001</v>
      </c>
      <c r="C404" s="118">
        <v>45747</v>
      </c>
      <c r="D404" s="46" t="s">
        <v>244</v>
      </c>
      <c r="E404" s="47" t="str">
        <f>+_xlfn.XLOOKUP(PROYECTOS2[[#This Row],[MUNICIPIO]],MUNICIPIOS!A:A,MUNICIPIOS!E:E,0,0,1)</f>
        <v>Nordeste</v>
      </c>
      <c r="F404" s="44" t="e" cm="1">
        <f t="array" ref="F404">+_xlfn.XLOOKUP(PROYECTOS2[[#This Row],[MUNICIPIO]],Table1[Municipio],MUNICIPIOS!F:F,0,0,1)</f>
        <v>#VALUE!</v>
      </c>
      <c r="G404" s="47" t="str">
        <f>+LOOKUP(PROYECTOS2[[#This Row],[MUNICIPIO]],Table1[Municipio],Table1[Latitud])</f>
        <v>6,537829</v>
      </c>
      <c r="H404" s="47">
        <f>+LOOKUP(PROYECTOS2[[#This Row],[MUNICIPIO]],Table1[Municipio],Table1[PDET])</f>
        <v>0</v>
      </c>
      <c r="I404" s="45">
        <f>+LOOKUP(PROYECTOS2[[#This Row],[MUNICIPIO]],Table1[Municipio],Table1[ZOMAC])</f>
        <v>0</v>
      </c>
      <c r="J404" s="34" t="str" cm="1">
        <f t="array" ref="J404">_xlfn.TEXTJOIN(", ", TRUE, IF(radicados[ID PROYECTOS]=A404, radicados[RADICADO], ""))</f>
        <v/>
      </c>
      <c r="K404" s="45">
        <v>3</v>
      </c>
      <c r="L404" s="45">
        <v>1</v>
      </c>
      <c r="M404" s="144"/>
      <c r="N404" s="72"/>
      <c r="O404" s="147">
        <v>722440923</v>
      </c>
      <c r="P404" s="147">
        <v>617440923</v>
      </c>
      <c r="Q404" s="148" t="s">
        <v>1068</v>
      </c>
      <c r="R404" s="42" t="s">
        <v>1072</v>
      </c>
      <c r="S404" s="40" t="s">
        <v>1079</v>
      </c>
      <c r="T404" s="40"/>
      <c r="U404" s="37" t="s">
        <v>1085</v>
      </c>
      <c r="V404" s="44">
        <f>+_xlfn.XLOOKUP(PROYECTOS2[[#This Row],[MUNICIPIO]],'4.CAP_ENDMNT'!B:B,'4.CAP_ENDMNT'!C:C,0,0,1)</f>
        <v>6</v>
      </c>
      <c r="W404" s="145">
        <f>+_xlfn.XLOOKUP(PROYECTOS2[[#This Row],[MUNICIPIO]],'4.CAP_ENDMNT'!B:B,'4.CAP_ENDMNT'!D:D,0,0,1)</f>
        <v>11769915072.3085</v>
      </c>
      <c r="X404" s="44">
        <f>+_xlfn.XLOOKUP(PROYECTOS2[[#This Row],[MUNICIPIO]],'4.CAP_ENDMNT'!B:B,'4.CAP_ENDMNT'!E:E,0,0,1)</f>
        <v>4043512144.3800001</v>
      </c>
      <c r="Y404" s="44">
        <f>+_xlfn.XLOOKUP(PROYECTOS2[[#This Row],[MUNICIPIO]],'4.CAP_ENDMNT'!B:B,'4.CAP_ENDMNT'!F:F,0,0,1)</f>
        <v>7726402927.9285002</v>
      </c>
      <c r="Z404" s="44">
        <f>+_xlfn.XLOOKUP(PROYECTOS2[[#This Row],[MUNICIPIO]],'4.CAP_ENDMNT'!B:B,'4.CAP_ENDMNT'!G:G,0,0,1)</f>
        <v>3010151420</v>
      </c>
      <c r="AA404" s="44">
        <f>+_xlfn.XLOOKUP(PROYECTOS2[[#This Row],[MUNICIPIO]],'4.CAP_ENDMNT'!B:B,'4.CAP_ENDMNT'!H:H,0,0,1)</f>
        <v>0</v>
      </c>
      <c r="AB404" s="44">
        <f>+_xlfn.XLOOKUP(PROYECTOS2[[#This Row],[MUNICIPIO]],'4.CAP_ENDMNT'!B:B,'4.CAP_ENDMNT'!I:I,0,0,1)</f>
        <v>3010151420</v>
      </c>
      <c r="AC404" s="146">
        <f>+_xlfn.XLOOKUP(PROYECTOS2[[#This Row],[MUNICIPIO]],'4.CAP_ENDMNT'!B:B,'4.CAP_ENDMNT'!J:J,0,0,1)</f>
        <v>0.255749629585866</v>
      </c>
      <c r="AD404" s="44">
        <f>+_xlfn.XLOOKUP(PROYECTOS2[[#This Row],[MUNICIPIO]],'4.CAP_ENDMNT'!B:B,'4.CAP_ENDMNT'!K:K,0,0,1)</f>
        <v>8759763652.3085003</v>
      </c>
      <c r="AE404" s="44">
        <f>+_xlfn.XLOOKUP(PROYECTOS2[[#This Row],[MUNICIPIO]],'4.CAP_ENDMNT'!B:B,'4.CAP_ENDMNT'!L:L,0,0,1)</f>
        <v>7007810921.8468008</v>
      </c>
      <c r="AF404" s="44">
        <f>+_xlfn.XLOOKUP(PROYECTOS2[[#This Row],[MUNICIPIO]],'4.CAP_ENDMNT'!B:B,'4.CAP_ENDMNT'!M:M,0,0,1)</f>
        <v>5255858191.3851004</v>
      </c>
      <c r="AG404" s="146">
        <f>+_xlfn.XLOOKUP(PROYECTOS2[[#This Row],[MUNICIPIO]],'4.CAP_ENDMNT'!B:B,'4.CAP_ENDMNT'!N:N,0,0,1)</f>
        <v>1</v>
      </c>
      <c r="AH404" s="146">
        <f>+_xlfn.XLOOKUP(PROYECTOS2[[#This Row],[MUNICIPIO]],'4.CAP_ENDMNT'!B:B,'4.CAP_ENDMNT'!O:O,0,0,1)</f>
        <v>0.52320001604697897</v>
      </c>
      <c r="AI404" s="146">
        <f>+_xlfn.XLOOKUP(PROYECTOS2[[#This Row],[MUNICIPIO]],'4.CAP_ENDMNT'!B:B,'4.CAP_ENDMNT'!P:P,0,0,1)</f>
        <v>0.8</v>
      </c>
      <c r="AJ404" s="44" t="str">
        <f>+_xlfn.XLOOKUP(PROYECTOS2[[#This Row],[MUNICIPIO]],'4.CAP_ENDMNT'!B:B,'4.CAP_ENDMNT'!Q:Q,0,0,1)</f>
        <v>Cumple</v>
      </c>
    </row>
    <row r="405" spans="1:36" ht="15" customHeight="1">
      <c r="A405" s="44">
        <v>434</v>
      </c>
      <c r="B405" s="37" t="s">
        <v>1002</v>
      </c>
      <c r="C405" s="118">
        <v>45747</v>
      </c>
      <c r="D405" s="46" t="s">
        <v>153</v>
      </c>
      <c r="E405" s="47" t="str">
        <f>+_xlfn.XLOOKUP(PROYECTOS2[[#This Row],[MUNICIPIO]],MUNICIPIOS!A:A,MUNICIPIOS!E:E,0,0,1)</f>
        <v>Urabá</v>
      </c>
      <c r="F405" s="44" t="e" cm="1">
        <f t="array" ref="F405">+_xlfn.XLOOKUP(PROYECTOS2[[#This Row],[MUNICIPIO]],Table1[Municipio],MUNICIPIOS!F:F,0,0,1)</f>
        <v>#VALUE!</v>
      </c>
      <c r="G405" s="47" t="str">
        <f>+LOOKUP(PROYECTOS2[[#This Row],[MUNICIPIO]],Table1[Municipio],Table1[Latitud])</f>
        <v>6,246631</v>
      </c>
      <c r="H405" s="47">
        <f>+LOOKUP(PROYECTOS2[[#This Row],[MUNICIPIO]],Table1[Municipio],Table1[PDET])</f>
        <v>0</v>
      </c>
      <c r="I405" s="45">
        <f>+LOOKUP(PROYECTOS2[[#This Row],[MUNICIPIO]],Table1[Municipio],Table1[ZOMAC])</f>
        <v>0</v>
      </c>
      <c r="J405" s="34" t="str" cm="1">
        <f t="array" ref="J405">_xlfn.TEXTJOIN(", ", TRUE, IF(radicados[ID PROYECTOS]=A405, radicados[RADICADO], ""))</f>
        <v/>
      </c>
      <c r="K405" s="45">
        <v>3</v>
      </c>
      <c r="L405" s="45">
        <v>1</v>
      </c>
      <c r="M405" s="144"/>
      <c r="N405" s="72"/>
      <c r="O405" s="147">
        <v>1429343699</v>
      </c>
      <c r="P405" s="147">
        <v>1323343699</v>
      </c>
      <c r="Q405" s="148" t="s">
        <v>1068</v>
      </c>
      <c r="R405" s="42" t="s">
        <v>1072</v>
      </c>
      <c r="S405" s="40" t="s">
        <v>1079</v>
      </c>
      <c r="T405" s="40"/>
      <c r="U405" s="37" t="s">
        <v>1085</v>
      </c>
      <c r="V405" s="44">
        <f>+_xlfn.XLOOKUP(PROYECTOS2[[#This Row],[MUNICIPIO]],'4.CAP_ENDMNT'!B:B,'4.CAP_ENDMNT'!C:C,0,0,1)</f>
        <v>6</v>
      </c>
      <c r="W405" s="145">
        <f>+_xlfn.XLOOKUP(PROYECTOS2[[#This Row],[MUNICIPIO]],'4.CAP_ENDMNT'!B:B,'4.CAP_ENDMNT'!D:D,0,0,1)</f>
        <v>30137297790.127998</v>
      </c>
      <c r="X405" s="44">
        <f>+_xlfn.XLOOKUP(PROYECTOS2[[#This Row],[MUNICIPIO]],'4.CAP_ENDMNT'!B:B,'4.CAP_ENDMNT'!E:E,0,0,1)</f>
        <v>12298726691.530001</v>
      </c>
      <c r="Y405" s="44">
        <f>+_xlfn.XLOOKUP(PROYECTOS2[[#This Row],[MUNICIPIO]],'4.CAP_ENDMNT'!B:B,'4.CAP_ENDMNT'!F:F,0,0,1)</f>
        <v>17838571098.598</v>
      </c>
      <c r="Z405" s="44">
        <f>+_xlfn.XLOOKUP(PROYECTOS2[[#This Row],[MUNICIPIO]],'4.CAP_ENDMNT'!B:B,'4.CAP_ENDMNT'!G:G,0,0,1)</f>
        <v>2369107602</v>
      </c>
      <c r="AA405" s="44">
        <f>+_xlfn.XLOOKUP(PROYECTOS2[[#This Row],[MUNICIPIO]],'4.CAP_ENDMNT'!B:B,'4.CAP_ENDMNT'!H:H,0,0,1)</f>
        <v>13974896585</v>
      </c>
      <c r="AB405" s="44">
        <f>+_xlfn.XLOOKUP(PROYECTOS2[[#This Row],[MUNICIPIO]],'4.CAP_ENDMNT'!B:B,'4.CAP_ENDMNT'!I:I,0,0,1)</f>
        <v>16344004187</v>
      </c>
      <c r="AC405" s="146">
        <f>+_xlfn.XLOOKUP(PROYECTOS2[[#This Row],[MUNICIPIO]],'4.CAP_ENDMNT'!B:B,'4.CAP_ENDMNT'!J:J,0,0,1)</f>
        <v>0.54231817002364979</v>
      </c>
      <c r="AD405" s="44">
        <f>+_xlfn.XLOOKUP(PROYECTOS2[[#This Row],[MUNICIPIO]],'4.CAP_ENDMNT'!B:B,'4.CAP_ENDMNT'!K:K,0,0,1)</f>
        <v>13793293603.127998</v>
      </c>
      <c r="AE405" s="44">
        <f>+_xlfn.XLOOKUP(PROYECTOS2[[#This Row],[MUNICIPIO]],'4.CAP_ENDMNT'!B:B,'4.CAP_ENDMNT'!L:L,0,0,1)</f>
        <v>11034634882.502399</v>
      </c>
      <c r="AF405" s="44">
        <f>+_xlfn.XLOOKUP(PROYECTOS2[[#This Row],[MUNICIPIO]],'4.CAP_ENDMNT'!B:B,'4.CAP_ENDMNT'!M:M,0,0,1)</f>
        <v>8275976161.8767986</v>
      </c>
      <c r="AG405" s="146">
        <f>+_xlfn.XLOOKUP(PROYECTOS2[[#This Row],[MUNICIPIO]],'4.CAP_ENDMNT'!B:B,'4.CAP_ENDMNT'!N:N,0,0,1)</f>
        <v>0.1449527040554961</v>
      </c>
      <c r="AH405" s="146">
        <f>+_xlfn.XLOOKUP(PROYECTOS2[[#This Row],[MUNICIPIO]],'4.CAP_ENDMNT'!B:B,'4.CAP_ENDMNT'!O:O,0,0,1)</f>
        <v>0.58055985759165929</v>
      </c>
      <c r="AI405" s="146">
        <f>+_xlfn.XLOOKUP(PROYECTOS2[[#This Row],[MUNICIPIO]],'4.CAP_ENDMNT'!B:B,'4.CAP_ENDMNT'!P:P,0,0,1)</f>
        <v>0.8</v>
      </c>
      <c r="AJ405" s="44" t="str">
        <f>+_xlfn.XLOOKUP(PROYECTOS2[[#This Row],[MUNICIPIO]],'4.CAP_ENDMNT'!B:B,'4.CAP_ENDMNT'!Q:Q,0,0,1)</f>
        <v>Cumple</v>
      </c>
    </row>
    <row r="406" spans="1:36" ht="15" customHeight="1">
      <c r="A406" s="44">
        <v>435</v>
      </c>
      <c r="B406" s="37" t="s">
        <v>1003</v>
      </c>
      <c r="C406" s="118">
        <v>45747</v>
      </c>
      <c r="D406" s="46" t="s">
        <v>153</v>
      </c>
      <c r="E406" s="47" t="str">
        <f>+_xlfn.XLOOKUP(PROYECTOS2[[#This Row],[MUNICIPIO]],MUNICIPIOS!A:A,MUNICIPIOS!E:E,0,0,1)</f>
        <v>Urabá</v>
      </c>
      <c r="F406" s="44" t="e" cm="1">
        <f t="array" ref="F406">+_xlfn.XLOOKUP(PROYECTOS2[[#This Row],[MUNICIPIO]],Table1[Municipio],MUNICIPIOS!F:F,0,0,1)</f>
        <v>#VALUE!</v>
      </c>
      <c r="G406" s="47" t="str">
        <f>+LOOKUP(PROYECTOS2[[#This Row],[MUNICIPIO]],Table1[Municipio],Table1[Latitud])</f>
        <v>6,246631</v>
      </c>
      <c r="H406" s="47">
        <f>+LOOKUP(PROYECTOS2[[#This Row],[MUNICIPIO]],Table1[Municipio],Table1[PDET])</f>
        <v>0</v>
      </c>
      <c r="I406" s="45">
        <f>+LOOKUP(PROYECTOS2[[#This Row],[MUNICIPIO]],Table1[Municipio],Table1[ZOMAC])</f>
        <v>0</v>
      </c>
      <c r="J406" s="34" t="str" cm="1">
        <f t="array" ref="J406">_xlfn.TEXTJOIN(", ", TRUE, IF(radicados[ID PROYECTOS]=A406, radicados[RADICADO], ""))</f>
        <v/>
      </c>
      <c r="K406" s="9">
        <v>1</v>
      </c>
      <c r="L406" s="45">
        <v>1</v>
      </c>
      <c r="M406" s="144"/>
      <c r="N406" s="72"/>
      <c r="O406" s="147">
        <v>1</v>
      </c>
      <c r="P406" s="147">
        <v>98762920</v>
      </c>
      <c r="Q406" s="148" t="s">
        <v>1068</v>
      </c>
      <c r="R406" s="42" t="s">
        <v>1078</v>
      </c>
      <c r="S406" s="40" t="s">
        <v>1079</v>
      </c>
      <c r="T406" s="40"/>
      <c r="U406" s="37" t="s">
        <v>1130</v>
      </c>
      <c r="V406" s="44">
        <f>+_xlfn.XLOOKUP(PROYECTOS2[[#This Row],[MUNICIPIO]],'4.CAP_ENDMNT'!B:B,'4.CAP_ENDMNT'!C:C,0,0,1)</f>
        <v>6</v>
      </c>
      <c r="W406" s="145">
        <f>+_xlfn.XLOOKUP(PROYECTOS2[[#This Row],[MUNICIPIO]],'4.CAP_ENDMNT'!B:B,'4.CAP_ENDMNT'!D:D,0,0,1)</f>
        <v>30137297790.127998</v>
      </c>
      <c r="X406" s="44">
        <f>+_xlfn.XLOOKUP(PROYECTOS2[[#This Row],[MUNICIPIO]],'4.CAP_ENDMNT'!B:B,'4.CAP_ENDMNT'!E:E,0,0,1)</f>
        <v>12298726691.530001</v>
      </c>
      <c r="Y406" s="44">
        <f>+_xlfn.XLOOKUP(PROYECTOS2[[#This Row],[MUNICIPIO]],'4.CAP_ENDMNT'!B:B,'4.CAP_ENDMNT'!F:F,0,0,1)</f>
        <v>17838571098.598</v>
      </c>
      <c r="Z406" s="44">
        <f>+_xlfn.XLOOKUP(PROYECTOS2[[#This Row],[MUNICIPIO]],'4.CAP_ENDMNT'!B:B,'4.CAP_ENDMNT'!G:G,0,0,1)</f>
        <v>2369107602</v>
      </c>
      <c r="AA406" s="44">
        <f>+_xlfn.XLOOKUP(PROYECTOS2[[#This Row],[MUNICIPIO]],'4.CAP_ENDMNT'!B:B,'4.CAP_ENDMNT'!H:H,0,0,1)</f>
        <v>13974896585</v>
      </c>
      <c r="AB406" s="44">
        <f>+_xlfn.XLOOKUP(PROYECTOS2[[#This Row],[MUNICIPIO]],'4.CAP_ENDMNT'!B:B,'4.CAP_ENDMNT'!I:I,0,0,1)</f>
        <v>16344004187</v>
      </c>
      <c r="AC406" s="146">
        <f>+_xlfn.XLOOKUP(PROYECTOS2[[#This Row],[MUNICIPIO]],'4.CAP_ENDMNT'!B:B,'4.CAP_ENDMNT'!J:J,0,0,1)</f>
        <v>0.54231817002364979</v>
      </c>
      <c r="AD406" s="44">
        <f>+_xlfn.XLOOKUP(PROYECTOS2[[#This Row],[MUNICIPIO]],'4.CAP_ENDMNT'!B:B,'4.CAP_ENDMNT'!K:K,0,0,1)</f>
        <v>13793293603.127998</v>
      </c>
      <c r="AE406" s="44">
        <f>+_xlfn.XLOOKUP(PROYECTOS2[[#This Row],[MUNICIPIO]],'4.CAP_ENDMNT'!B:B,'4.CAP_ENDMNT'!L:L,0,0,1)</f>
        <v>11034634882.502399</v>
      </c>
      <c r="AF406" s="44">
        <f>+_xlfn.XLOOKUP(PROYECTOS2[[#This Row],[MUNICIPIO]],'4.CAP_ENDMNT'!B:B,'4.CAP_ENDMNT'!M:M,0,0,1)</f>
        <v>8275976161.8767986</v>
      </c>
      <c r="AG406" s="146">
        <f>+_xlfn.XLOOKUP(PROYECTOS2[[#This Row],[MUNICIPIO]],'4.CAP_ENDMNT'!B:B,'4.CAP_ENDMNT'!N:N,0,0,1)</f>
        <v>0.1449527040554961</v>
      </c>
      <c r="AH406" s="146">
        <f>+_xlfn.XLOOKUP(PROYECTOS2[[#This Row],[MUNICIPIO]],'4.CAP_ENDMNT'!B:B,'4.CAP_ENDMNT'!O:O,0,0,1)</f>
        <v>0.58055985759165929</v>
      </c>
      <c r="AI406" s="146">
        <f>+_xlfn.XLOOKUP(PROYECTOS2[[#This Row],[MUNICIPIO]],'4.CAP_ENDMNT'!B:B,'4.CAP_ENDMNT'!P:P,0,0,1)</f>
        <v>0.8</v>
      </c>
      <c r="AJ406" s="44" t="str">
        <f>+_xlfn.XLOOKUP(PROYECTOS2[[#This Row],[MUNICIPIO]],'4.CAP_ENDMNT'!B:B,'4.CAP_ENDMNT'!Q:Q,0,0,1)</f>
        <v>Cumple</v>
      </c>
    </row>
    <row r="407" spans="1:36" ht="15" customHeight="1">
      <c r="A407" s="44">
        <v>436</v>
      </c>
      <c r="B407" s="37" t="s">
        <v>1004</v>
      </c>
      <c r="C407" s="118">
        <v>45747</v>
      </c>
      <c r="D407" s="46" t="s">
        <v>156</v>
      </c>
      <c r="E407" s="47" t="str">
        <f>+_xlfn.XLOOKUP(PROYECTOS2[[#This Row],[MUNICIPIO]],MUNICIPIOS!A:A,MUNICIPIOS!E:E,0,0,1)</f>
        <v>Suroeste</v>
      </c>
      <c r="F407" s="44" t="e" cm="1">
        <f t="array" ref="F407">+_xlfn.XLOOKUP(PROYECTOS2[[#This Row],[MUNICIPIO]],Table1[Municipio],MUNICIPIOS!F:F,0,0,1)</f>
        <v>#VALUE!</v>
      </c>
      <c r="G407" s="47" t="str">
        <f>+LOOKUP(PROYECTOS2[[#This Row],[MUNICIPIO]],Table1[Municipio],Table1[Latitud])</f>
        <v>6,232461</v>
      </c>
      <c r="H407" s="47">
        <f>+LOOKUP(PROYECTOS2[[#This Row],[MUNICIPIO]],Table1[Municipio],Table1[PDET])</f>
        <v>0</v>
      </c>
      <c r="I407" s="45">
        <f>+LOOKUP(PROYECTOS2[[#This Row],[MUNICIPIO]],Table1[Municipio],Table1[ZOMAC])</f>
        <v>0</v>
      </c>
      <c r="J407" s="34" t="str" cm="1">
        <f t="array" ref="J407">_xlfn.TEXTJOIN(", ", TRUE, IF(radicados[ID PROYECTOS]=A407, radicados[RADICADO], ""))</f>
        <v/>
      </c>
      <c r="K407" s="45">
        <v>3</v>
      </c>
      <c r="L407" s="45">
        <v>1</v>
      </c>
      <c r="M407" s="144"/>
      <c r="N407" s="72"/>
      <c r="O407" s="147">
        <v>841940036</v>
      </c>
      <c r="P407" s="147">
        <v>716091475</v>
      </c>
      <c r="Q407" s="148" t="s">
        <v>1068</v>
      </c>
      <c r="R407" s="42" t="s">
        <v>1072</v>
      </c>
      <c r="S407" s="40" t="s">
        <v>1079</v>
      </c>
      <c r="T407" s="40"/>
      <c r="U407" s="37" t="s">
        <v>1085</v>
      </c>
      <c r="V407" s="44">
        <f>+_xlfn.XLOOKUP(PROYECTOS2[[#This Row],[MUNICIPIO]],'4.CAP_ENDMNT'!B:B,'4.CAP_ENDMNT'!C:C,0,0,1)</f>
        <v>6</v>
      </c>
      <c r="W407" s="145">
        <f>+_xlfn.XLOOKUP(PROYECTOS2[[#This Row],[MUNICIPIO]],'4.CAP_ENDMNT'!B:B,'4.CAP_ENDMNT'!D:D,0,0,1)</f>
        <v>14419744847.987999</v>
      </c>
      <c r="X407" s="44">
        <f>+_xlfn.XLOOKUP(PROYECTOS2[[#This Row],[MUNICIPIO]],'4.CAP_ENDMNT'!B:B,'4.CAP_ENDMNT'!E:E,0,0,1)</f>
        <v>4888479181.79</v>
      </c>
      <c r="Y407" s="44">
        <f>+_xlfn.XLOOKUP(PROYECTOS2[[#This Row],[MUNICIPIO]],'4.CAP_ENDMNT'!B:B,'4.CAP_ENDMNT'!F:F,0,0,1)</f>
        <v>9531265666.197998</v>
      </c>
      <c r="Z407" s="44">
        <f>+_xlfn.XLOOKUP(PROYECTOS2[[#This Row],[MUNICIPIO]],'4.CAP_ENDMNT'!B:B,'4.CAP_ENDMNT'!G:G,0,0,1)</f>
        <v>0</v>
      </c>
      <c r="AA407" s="44">
        <f>+_xlfn.XLOOKUP(PROYECTOS2[[#This Row],[MUNICIPIO]],'4.CAP_ENDMNT'!B:B,'4.CAP_ENDMNT'!H:H,0,0,1)</f>
        <v>0</v>
      </c>
      <c r="AB407" s="44">
        <f>+_xlfn.XLOOKUP(PROYECTOS2[[#This Row],[MUNICIPIO]],'4.CAP_ENDMNT'!B:B,'4.CAP_ENDMNT'!I:I,0,0,1)</f>
        <v>0</v>
      </c>
      <c r="AC407" s="146">
        <f>+_xlfn.XLOOKUP(PROYECTOS2[[#This Row],[MUNICIPIO]],'4.CAP_ENDMNT'!B:B,'4.CAP_ENDMNT'!J:J,0,0,1)</f>
        <v>0</v>
      </c>
      <c r="AD407" s="44">
        <f>+_xlfn.XLOOKUP(PROYECTOS2[[#This Row],[MUNICIPIO]],'4.CAP_ENDMNT'!B:B,'4.CAP_ENDMNT'!K:K,0,0,1)</f>
        <v>14419744847.987999</v>
      </c>
      <c r="AE407" s="44">
        <f>+_xlfn.XLOOKUP(PROYECTOS2[[#This Row],[MUNICIPIO]],'4.CAP_ENDMNT'!B:B,'4.CAP_ENDMNT'!L:L,0,0,1)</f>
        <v>11535795878.3904</v>
      </c>
      <c r="AF407" s="44">
        <f>+_xlfn.XLOOKUP(PROYECTOS2[[#This Row],[MUNICIPIO]],'4.CAP_ENDMNT'!B:B,'4.CAP_ENDMNT'!M:M,0,0,1)</f>
        <v>8651846908.792799</v>
      </c>
      <c r="AG407" s="146">
        <f>+_xlfn.XLOOKUP(PROYECTOS2[[#This Row],[MUNICIPIO]],'4.CAP_ENDMNT'!B:B,'4.CAP_ENDMNT'!N:N,0,0,1)</f>
        <v>0</v>
      </c>
      <c r="AH407" s="146">
        <f>+_xlfn.XLOOKUP(PROYECTOS2[[#This Row],[MUNICIPIO]],'4.CAP_ENDMNT'!B:B,'4.CAP_ENDMNT'!O:O,0,0,1)</f>
        <v>0.45738888558733654</v>
      </c>
      <c r="AI407" s="146">
        <f>+_xlfn.XLOOKUP(PROYECTOS2[[#This Row],[MUNICIPIO]],'4.CAP_ENDMNT'!B:B,'4.CAP_ENDMNT'!P:P,0,0,1)</f>
        <v>0.8</v>
      </c>
      <c r="AJ407" s="44" t="str">
        <f>+_xlfn.XLOOKUP(PROYECTOS2[[#This Row],[MUNICIPIO]],'4.CAP_ENDMNT'!B:B,'4.CAP_ENDMNT'!Q:Q,0,0,1)</f>
        <v>Cumple</v>
      </c>
    </row>
    <row r="408" spans="1:36" ht="15" customHeight="1">
      <c r="A408" s="44">
        <v>437</v>
      </c>
      <c r="B408" s="37" t="s">
        <v>1005</v>
      </c>
      <c r="C408" s="118">
        <v>45747</v>
      </c>
      <c r="D408" s="46" t="s">
        <v>327</v>
      </c>
      <c r="E408" s="47" t="str">
        <f>+_xlfn.XLOOKUP(PROYECTOS2[[#This Row],[MUNICIPIO]],MUNICIPIOS!A:A,MUNICIPIOS!E:E,0,0,1)</f>
        <v>Nordeste</v>
      </c>
      <c r="F408" s="44" t="e" cm="1">
        <f t="array" ref="F408">+_xlfn.XLOOKUP(PROYECTOS2[[#This Row],[MUNICIPIO]],Table1[Municipio],MUNICIPIOS!F:F,0,0,1)</f>
        <v>#VALUE!</v>
      </c>
      <c r="G408" s="47" t="str">
        <f>+LOOKUP(PROYECTOS2[[#This Row],[MUNICIPIO]],Table1[Municipio],Table1[Latitud])</f>
        <v>6,149903</v>
      </c>
      <c r="H408" s="47">
        <f>+LOOKUP(PROYECTOS2[[#This Row],[MUNICIPIO]],Table1[Municipio],Table1[PDET])</f>
        <v>0</v>
      </c>
      <c r="I408" s="45">
        <f>+LOOKUP(PROYECTOS2[[#This Row],[MUNICIPIO]],Table1[Municipio],Table1[ZOMAC])</f>
        <v>0</v>
      </c>
      <c r="J408" s="34" t="str" cm="1">
        <f t="array" ref="J408">_xlfn.TEXTJOIN(", ", TRUE, IF(radicados[ID PROYECTOS]=A408, radicados[RADICADO], ""))</f>
        <v/>
      </c>
      <c r="K408" s="45">
        <v>3</v>
      </c>
      <c r="L408" s="45"/>
      <c r="M408" s="144"/>
      <c r="N408" s="72"/>
      <c r="O408" s="147">
        <v>1166470038</v>
      </c>
      <c r="P408" s="147">
        <v>990000000</v>
      </c>
      <c r="Q408" s="148" t="s">
        <v>1068</v>
      </c>
      <c r="R408" s="42" t="s">
        <v>1076</v>
      </c>
      <c r="S408" s="40" t="s">
        <v>1079</v>
      </c>
      <c r="T408" s="40"/>
      <c r="U408" s="37" t="s">
        <v>1086</v>
      </c>
      <c r="V408" s="44">
        <f>+_xlfn.XLOOKUP(PROYECTOS2[[#This Row],[MUNICIPIO]],'4.CAP_ENDMNT'!B:B,'4.CAP_ENDMNT'!C:C,0,0,1)</f>
        <v>6</v>
      </c>
      <c r="W408" s="145">
        <f>+_xlfn.XLOOKUP(PROYECTOS2[[#This Row],[MUNICIPIO]],'4.CAP_ENDMNT'!B:B,'4.CAP_ENDMNT'!D:D,0,0,1)</f>
        <v>13645854382.4415</v>
      </c>
      <c r="X408" s="44">
        <f>+_xlfn.XLOOKUP(PROYECTOS2[[#This Row],[MUNICIPIO]],'4.CAP_ENDMNT'!B:B,'4.CAP_ENDMNT'!E:E,0,0,1)</f>
        <v>5036095672.2200003</v>
      </c>
      <c r="Y408" s="44">
        <f>+_xlfn.XLOOKUP(PROYECTOS2[[#This Row],[MUNICIPIO]],'4.CAP_ENDMNT'!B:B,'4.CAP_ENDMNT'!F:F,0,0,1)</f>
        <v>8609758710.2215004</v>
      </c>
      <c r="Z408" s="44">
        <f>+_xlfn.XLOOKUP(PROYECTOS2[[#This Row],[MUNICIPIO]],'4.CAP_ENDMNT'!B:B,'4.CAP_ENDMNT'!G:G,0,0,1)</f>
        <v>2357809963</v>
      </c>
      <c r="AA408" s="44">
        <f>+_xlfn.XLOOKUP(PROYECTOS2[[#This Row],[MUNICIPIO]],'4.CAP_ENDMNT'!B:B,'4.CAP_ENDMNT'!H:H,0,0,1)</f>
        <v>1093248488</v>
      </c>
      <c r="AB408" s="44">
        <f>+_xlfn.XLOOKUP(PROYECTOS2[[#This Row],[MUNICIPIO]],'4.CAP_ENDMNT'!B:B,'4.CAP_ENDMNT'!I:I,0,0,1)</f>
        <v>3451058451</v>
      </c>
      <c r="AC408" s="146">
        <f>+_xlfn.XLOOKUP(PROYECTOS2[[#This Row],[MUNICIPIO]],'4.CAP_ENDMNT'!B:B,'4.CAP_ENDMNT'!J:J,0,0,1)</f>
        <v>0.25290160324739891</v>
      </c>
      <c r="AD408" s="44">
        <f>+_xlfn.XLOOKUP(PROYECTOS2[[#This Row],[MUNICIPIO]],'4.CAP_ENDMNT'!B:B,'4.CAP_ENDMNT'!K:K,0,0,1)</f>
        <v>10194795931.4415</v>
      </c>
      <c r="AE408" s="44">
        <f>+_xlfn.XLOOKUP(PROYECTOS2[[#This Row],[MUNICIPIO]],'4.CAP_ENDMNT'!B:B,'4.CAP_ENDMNT'!L:L,0,0,1)</f>
        <v>8155836745.1532001</v>
      </c>
      <c r="AF408" s="44">
        <f>+_xlfn.XLOOKUP(PROYECTOS2[[#This Row],[MUNICIPIO]],'4.CAP_ENDMNT'!B:B,'4.CAP_ENDMNT'!M:M,0,0,1)</f>
        <v>6116877558.8648996</v>
      </c>
      <c r="AG408" s="146">
        <f>+_xlfn.XLOOKUP(PROYECTOS2[[#This Row],[MUNICIPIO]],'4.CAP_ENDMNT'!B:B,'4.CAP_ENDMNT'!N:N,0,0,1)</f>
        <v>0.68321356954032075</v>
      </c>
      <c r="AH408" s="146">
        <f>+_xlfn.XLOOKUP(PROYECTOS2[[#This Row],[MUNICIPIO]],'4.CAP_ENDMNT'!B:B,'4.CAP_ENDMNT'!O:O,0,0,1)</f>
        <v>0.58815143933117542</v>
      </c>
      <c r="AI408" s="146">
        <f>+_xlfn.XLOOKUP(PROYECTOS2[[#This Row],[MUNICIPIO]],'4.CAP_ENDMNT'!B:B,'4.CAP_ENDMNT'!P:P,0,0,1)</f>
        <v>0.8</v>
      </c>
      <c r="AJ408" s="44" t="str">
        <f>+_xlfn.XLOOKUP(PROYECTOS2[[#This Row],[MUNICIPIO]],'4.CAP_ENDMNT'!B:B,'4.CAP_ENDMNT'!Q:Q,0,0,1)</f>
        <v>Cumple</v>
      </c>
    </row>
    <row r="409" spans="1:36" ht="15" customHeight="1">
      <c r="A409" s="44">
        <v>438</v>
      </c>
      <c r="B409" s="37" t="s">
        <v>1006</v>
      </c>
      <c r="C409" s="118">
        <v>45747</v>
      </c>
      <c r="D409" s="46" t="s">
        <v>177</v>
      </c>
      <c r="E409" s="47" t="str">
        <f>+_xlfn.XLOOKUP(PROYECTOS2[[#This Row],[MUNICIPIO]],MUNICIPIOS!A:A,MUNICIPIOS!E:E,0,0,1)</f>
        <v>Oriente</v>
      </c>
      <c r="F409" s="44" t="e" cm="1">
        <f t="array" ref="F409">+_xlfn.XLOOKUP(PROYECTOS2[[#This Row],[MUNICIPIO]],Table1[Municipio],MUNICIPIOS!F:F,0,0,1)</f>
        <v>#VALUE!</v>
      </c>
      <c r="G409" s="47" t="str">
        <f>+LOOKUP(PROYECTOS2[[#This Row],[MUNICIPIO]],Table1[Municipio],Table1[Latitud])</f>
        <v>5,743808</v>
      </c>
      <c r="H409" s="47">
        <f>+LOOKUP(PROYECTOS2[[#This Row],[MUNICIPIO]],Table1[Municipio],Table1[PDET])</f>
        <v>0</v>
      </c>
      <c r="I409" s="45">
        <f>+LOOKUP(PROYECTOS2[[#This Row],[MUNICIPIO]],Table1[Municipio],Table1[ZOMAC])</f>
        <v>0</v>
      </c>
      <c r="J409" s="34" t="str" cm="1">
        <f t="array" ref="J409">_xlfn.TEXTJOIN(", ", TRUE, IF(radicados[ID PROYECTOS]=A409, radicados[RADICADO], ""))</f>
        <v/>
      </c>
      <c r="K409" s="45">
        <v>3</v>
      </c>
      <c r="L409" s="45"/>
      <c r="M409" s="144"/>
      <c r="N409" s="72"/>
      <c r="O409" s="147">
        <v>1478930360</v>
      </c>
      <c r="P409" s="147">
        <v>1032176222</v>
      </c>
      <c r="Q409" s="148" t="s">
        <v>1068</v>
      </c>
      <c r="R409" s="42" t="s">
        <v>1072</v>
      </c>
      <c r="S409" s="40" t="s">
        <v>1079</v>
      </c>
      <c r="T409" s="40"/>
      <c r="U409" s="37" t="s">
        <v>1086</v>
      </c>
      <c r="V409" s="44">
        <f>+_xlfn.XLOOKUP(PROYECTOS2[[#This Row],[MUNICIPIO]],'4.CAP_ENDMNT'!B:B,'4.CAP_ENDMNT'!C:C,0,0,1)</f>
        <v>4</v>
      </c>
      <c r="W409" s="145">
        <f>+_xlfn.XLOOKUP(PROYECTOS2[[#This Row],[MUNICIPIO]],'4.CAP_ENDMNT'!B:B,'4.CAP_ENDMNT'!D:D,0,0,1)</f>
        <v>62016835956.019493</v>
      </c>
      <c r="X409" s="44">
        <f>+_xlfn.XLOOKUP(PROYECTOS2[[#This Row],[MUNICIPIO]],'4.CAP_ENDMNT'!B:B,'4.CAP_ENDMNT'!E:E,0,0,1)</f>
        <v>25368005936.310001</v>
      </c>
      <c r="Y409" s="44">
        <f>+_xlfn.XLOOKUP(PROYECTOS2[[#This Row],[MUNICIPIO]],'4.CAP_ENDMNT'!B:B,'4.CAP_ENDMNT'!F:F,0,0,1)</f>
        <v>36648830019.709488</v>
      </c>
      <c r="Z409" s="44">
        <f>+_xlfn.XLOOKUP(PROYECTOS2[[#This Row],[MUNICIPIO]],'4.CAP_ENDMNT'!B:B,'4.CAP_ENDMNT'!G:G,0,0,1)</f>
        <v>25635932166</v>
      </c>
      <c r="AA409" s="44">
        <f>+_xlfn.XLOOKUP(PROYECTOS2[[#This Row],[MUNICIPIO]],'4.CAP_ENDMNT'!B:B,'4.CAP_ENDMNT'!H:H,0,0,1)</f>
        <v>7522176280</v>
      </c>
      <c r="AB409" s="44">
        <f>+_xlfn.XLOOKUP(PROYECTOS2[[#This Row],[MUNICIPIO]],'4.CAP_ENDMNT'!B:B,'4.CAP_ENDMNT'!I:I,0,0,1)</f>
        <v>33158108446</v>
      </c>
      <c r="AC409" s="146">
        <f>+_xlfn.XLOOKUP(PROYECTOS2[[#This Row],[MUNICIPIO]],'4.CAP_ENDMNT'!B:B,'4.CAP_ENDMNT'!J:J,0,0,1)</f>
        <v>0.53466301424204787</v>
      </c>
      <c r="AD409" s="44">
        <f>+_xlfn.XLOOKUP(PROYECTOS2[[#This Row],[MUNICIPIO]],'4.CAP_ENDMNT'!B:B,'4.CAP_ENDMNT'!K:K,0,0,1)</f>
        <v>28858727510.019493</v>
      </c>
      <c r="AE409" s="44">
        <f>+_xlfn.XLOOKUP(PROYECTOS2[[#This Row],[MUNICIPIO]],'4.CAP_ENDMNT'!B:B,'4.CAP_ENDMNT'!L:L,0,0,1)</f>
        <v>23086982008.015594</v>
      </c>
      <c r="AF409" s="44">
        <f>+_xlfn.XLOOKUP(PROYECTOS2[[#This Row],[MUNICIPIO]],'4.CAP_ENDMNT'!B:B,'4.CAP_ENDMNT'!M:M,0,0,1)</f>
        <v>17315236506.011696</v>
      </c>
      <c r="AG409" s="146">
        <f>+_xlfn.XLOOKUP(PROYECTOS2[[#This Row],[MUNICIPIO]],'4.CAP_ENDMNT'!B:B,'4.CAP_ENDMNT'!N:N,0,0,1)</f>
        <v>0.77314217750839676</v>
      </c>
      <c r="AH409" s="146">
        <f>+_xlfn.XLOOKUP(PROYECTOS2[[#This Row],[MUNICIPIO]],'4.CAP_ENDMNT'!B:B,'4.CAP_ENDMNT'!O:O,0,0,1)</f>
        <v>0.52777286703387605</v>
      </c>
      <c r="AI409" s="146">
        <f>+_xlfn.XLOOKUP(PROYECTOS2[[#This Row],[MUNICIPIO]],'4.CAP_ENDMNT'!B:B,'4.CAP_ENDMNT'!P:P,0,0,1)</f>
        <v>0.8</v>
      </c>
      <c r="AJ409" s="44" t="str">
        <f>+_xlfn.XLOOKUP(PROYECTOS2[[#This Row],[MUNICIPIO]],'4.CAP_ENDMNT'!B:B,'4.CAP_ENDMNT'!Q:Q,0,0,1)</f>
        <v>Cumple</v>
      </c>
    </row>
    <row r="410" spans="1:36" ht="15" customHeight="1">
      <c r="A410" s="44">
        <v>439</v>
      </c>
      <c r="B410" s="37" t="s">
        <v>1007</v>
      </c>
      <c r="C410" s="118">
        <v>45747</v>
      </c>
      <c r="D410" s="46" t="s">
        <v>125</v>
      </c>
      <c r="E410" s="47" t="str">
        <f>+_xlfn.XLOOKUP(PROYECTOS2[[#This Row],[MUNICIPIO]],MUNICIPIOS!A:A,MUNICIPIOS!E:E,0,0,1)</f>
        <v>Oriente</v>
      </c>
      <c r="F410" s="44" t="e" cm="1">
        <f t="array" ref="F410">+_xlfn.XLOOKUP(PROYECTOS2[[#This Row],[MUNICIPIO]],Table1[Municipio],MUNICIPIOS!F:F,0,0,1)</f>
        <v>#VALUE!</v>
      </c>
      <c r="G410" s="47" t="str">
        <f>+LOOKUP(PROYECTOS2[[#This Row],[MUNICIPIO]],Table1[Municipio],Table1[Latitud])</f>
        <v>6,058295</v>
      </c>
      <c r="H410" s="47">
        <f>+LOOKUP(PROYECTOS2[[#This Row],[MUNICIPIO]],Table1[Municipio],Table1[PDET])</f>
        <v>0</v>
      </c>
      <c r="I410" s="45">
        <f>+LOOKUP(PROYECTOS2[[#This Row],[MUNICIPIO]],Table1[Municipio],Table1[ZOMAC])</f>
        <v>1</v>
      </c>
      <c r="J410" s="34" t="str" cm="1">
        <f t="array" ref="J410">_xlfn.TEXTJOIN(", ", TRUE, IF(radicados[ID PROYECTOS]=A410, radicados[RADICADO], ""))</f>
        <v/>
      </c>
      <c r="K410" s="45">
        <v>3</v>
      </c>
      <c r="L410" s="45"/>
      <c r="M410" s="144"/>
      <c r="N410" s="72"/>
      <c r="O410" s="147">
        <v>959485577</v>
      </c>
      <c r="P410" s="147">
        <v>671639904</v>
      </c>
      <c r="Q410" s="148" t="s">
        <v>1068</v>
      </c>
      <c r="R410" s="42" t="s">
        <v>1072</v>
      </c>
      <c r="S410" s="40" t="s">
        <v>1079</v>
      </c>
      <c r="T410" s="40"/>
      <c r="U410" s="37" t="s">
        <v>1087</v>
      </c>
      <c r="V410" s="44">
        <f>+_xlfn.XLOOKUP(PROYECTOS2[[#This Row],[MUNICIPIO]],'4.CAP_ENDMNT'!B:B,'4.CAP_ENDMNT'!C:C,0,0,1)</f>
        <v>6</v>
      </c>
      <c r="W410" s="145">
        <f>+_xlfn.XLOOKUP(PROYECTOS2[[#This Row],[MUNICIPIO]],'4.CAP_ENDMNT'!B:B,'4.CAP_ENDMNT'!D:D,0,0,1)</f>
        <v>12327690626.8465</v>
      </c>
      <c r="X410" s="44">
        <f>+_xlfn.XLOOKUP(PROYECTOS2[[#This Row],[MUNICIPIO]],'4.CAP_ENDMNT'!B:B,'4.CAP_ENDMNT'!E:E,0,0,1)</f>
        <v>4723680091.2799997</v>
      </c>
      <c r="Y410" s="44">
        <f>+_xlfn.XLOOKUP(PROYECTOS2[[#This Row],[MUNICIPIO]],'4.CAP_ENDMNT'!B:B,'4.CAP_ENDMNT'!F:F,0,0,1)</f>
        <v>7604010535.5665007</v>
      </c>
      <c r="Z410" s="44">
        <f>+_xlfn.XLOOKUP(PROYECTOS2[[#This Row],[MUNICIPIO]],'4.CAP_ENDMNT'!B:B,'4.CAP_ENDMNT'!G:G,0,0,1)</f>
        <v>445297438</v>
      </c>
      <c r="AA410" s="44">
        <f>+_xlfn.XLOOKUP(PROYECTOS2[[#This Row],[MUNICIPIO]],'4.CAP_ENDMNT'!B:B,'4.CAP_ENDMNT'!H:H,0,0,1)</f>
        <v>33508702</v>
      </c>
      <c r="AB410" s="44">
        <f>+_xlfn.XLOOKUP(PROYECTOS2[[#This Row],[MUNICIPIO]],'4.CAP_ENDMNT'!B:B,'4.CAP_ENDMNT'!I:I,0,0,1)</f>
        <v>478806140</v>
      </c>
      <c r="AC410" s="146">
        <f>+_xlfn.XLOOKUP(PROYECTOS2[[#This Row],[MUNICIPIO]],'4.CAP_ENDMNT'!B:B,'4.CAP_ENDMNT'!J:J,0,0,1)</f>
        <v>3.8839889359105498E-2</v>
      </c>
      <c r="AD410" s="44">
        <f>+_xlfn.XLOOKUP(PROYECTOS2[[#This Row],[MUNICIPIO]],'4.CAP_ENDMNT'!B:B,'4.CAP_ENDMNT'!K:K,0,0,1)</f>
        <v>11848884486.8465</v>
      </c>
      <c r="AE410" s="44">
        <f>+_xlfn.XLOOKUP(PROYECTOS2[[#This Row],[MUNICIPIO]],'4.CAP_ENDMNT'!B:B,'4.CAP_ENDMNT'!L:L,0,0,1)</f>
        <v>9479107589.4772015</v>
      </c>
      <c r="AF410" s="44">
        <f>+_xlfn.XLOOKUP(PROYECTOS2[[#This Row],[MUNICIPIO]],'4.CAP_ENDMNT'!B:B,'4.CAP_ENDMNT'!M:M,0,0,1)</f>
        <v>7109330692.1078997</v>
      </c>
      <c r="AG410" s="146">
        <f>+_xlfn.XLOOKUP(PROYECTOS2[[#This Row],[MUNICIPIO]],'4.CAP_ENDMNT'!B:B,'4.CAP_ENDMNT'!N:N,0,0,1)</f>
        <v>0.93001613972619479</v>
      </c>
      <c r="AH410" s="146">
        <f>+_xlfn.XLOOKUP(PROYECTOS2[[#This Row],[MUNICIPIO]],'4.CAP_ENDMNT'!B:B,'4.CAP_ENDMNT'!O:O,0,0,1)</f>
        <v>0.63996045822337311</v>
      </c>
      <c r="AI410" s="146">
        <f>+_xlfn.XLOOKUP(PROYECTOS2[[#This Row],[MUNICIPIO]],'4.CAP_ENDMNT'!B:B,'4.CAP_ENDMNT'!P:P,0,0,1)</f>
        <v>0.8</v>
      </c>
      <c r="AJ410" s="44" t="str">
        <f>+_xlfn.XLOOKUP(PROYECTOS2[[#This Row],[MUNICIPIO]],'4.CAP_ENDMNT'!B:B,'4.CAP_ENDMNT'!Q:Q,0,0,1)</f>
        <v>Cumple</v>
      </c>
    </row>
    <row r="411" spans="1:36" ht="15" customHeight="1">
      <c r="A411" s="44">
        <v>440</v>
      </c>
      <c r="B411" s="37" t="s">
        <v>1008</v>
      </c>
      <c r="C411" s="118">
        <v>45747</v>
      </c>
      <c r="D411" s="46" t="s">
        <v>84</v>
      </c>
      <c r="E411" s="47" t="str">
        <f>+_xlfn.XLOOKUP(PROYECTOS2[[#This Row],[MUNICIPIO]],MUNICIPIOS!A:A,MUNICIPIOS!E:E,0,0,1)</f>
        <v>Oriente</v>
      </c>
      <c r="F411" s="44" t="e" cm="1">
        <f t="array" ref="F411">+_xlfn.XLOOKUP(PROYECTOS2[[#This Row],[MUNICIPIO]],Table1[Municipio],MUNICIPIOS!F:F,0,0,1)</f>
        <v>#VALUE!</v>
      </c>
      <c r="G411" s="47" t="str">
        <f>+LOOKUP(PROYECTOS2[[#This Row],[MUNICIPIO]],Table1[Municipio],Table1[Latitud])</f>
        <v>6,149903</v>
      </c>
      <c r="H411" s="47">
        <f>+LOOKUP(PROYECTOS2[[#This Row],[MUNICIPIO]],Table1[Municipio],Table1[PDET])</f>
        <v>0</v>
      </c>
      <c r="I411" s="45">
        <f>+LOOKUP(PROYECTOS2[[#This Row],[MUNICIPIO]],Table1[Municipio],Table1[ZOMAC])</f>
        <v>0</v>
      </c>
      <c r="J411" s="34" t="str" cm="1">
        <f t="array" ref="J411">_xlfn.TEXTJOIN(", ", TRUE, IF(radicados[ID PROYECTOS]=A411, radicados[RADICADO], ""))</f>
        <v/>
      </c>
      <c r="K411" s="45">
        <v>3</v>
      </c>
      <c r="L411" s="45"/>
      <c r="M411" s="144"/>
      <c r="N411" s="72"/>
      <c r="O411" s="147">
        <v>2081912066</v>
      </c>
      <c r="P411" s="147">
        <v>1601470820</v>
      </c>
      <c r="Q411" s="148" t="s">
        <v>1068</v>
      </c>
      <c r="R411" s="42" t="s">
        <v>1072</v>
      </c>
      <c r="S411" s="40" t="s">
        <v>1079</v>
      </c>
      <c r="T411" s="40"/>
      <c r="U411" s="37" t="s">
        <v>1086</v>
      </c>
      <c r="V411" s="44">
        <f>+_xlfn.XLOOKUP(PROYECTOS2[[#This Row],[MUNICIPIO]],'4.CAP_ENDMNT'!B:B,'4.CAP_ENDMNT'!C:C,0,0,1)</f>
        <v>5</v>
      </c>
      <c r="W411" s="145">
        <f>+_xlfn.XLOOKUP(PROYECTOS2[[#This Row],[MUNICIPIO]],'4.CAP_ENDMNT'!B:B,'4.CAP_ENDMNT'!D:D,0,0,1)</f>
        <v>35695767669.016502</v>
      </c>
      <c r="X411" s="44">
        <f>+_xlfn.XLOOKUP(PROYECTOS2[[#This Row],[MUNICIPIO]],'4.CAP_ENDMNT'!B:B,'4.CAP_ENDMNT'!E:E,0,0,1)</f>
        <v>13532488388.23</v>
      </c>
      <c r="Y411" s="44">
        <f>+_xlfn.XLOOKUP(PROYECTOS2[[#This Row],[MUNICIPIO]],'4.CAP_ENDMNT'!B:B,'4.CAP_ENDMNT'!F:F,0,0,1)</f>
        <v>22163279280.786503</v>
      </c>
      <c r="Z411" s="44">
        <f>+_xlfn.XLOOKUP(PROYECTOS2[[#This Row],[MUNICIPIO]],'4.CAP_ENDMNT'!B:B,'4.CAP_ENDMNT'!G:G,0,0,1)</f>
        <v>1067761948</v>
      </c>
      <c r="AA411" s="44">
        <f>+_xlfn.XLOOKUP(PROYECTOS2[[#This Row],[MUNICIPIO]],'4.CAP_ENDMNT'!B:B,'4.CAP_ENDMNT'!H:H,0,0,1)</f>
        <v>4932032890</v>
      </c>
      <c r="AB411" s="44">
        <f>+_xlfn.XLOOKUP(PROYECTOS2[[#This Row],[MUNICIPIO]],'4.CAP_ENDMNT'!B:B,'4.CAP_ENDMNT'!I:I,0,0,1)</f>
        <v>5999794838</v>
      </c>
      <c r="AC411" s="146">
        <f>+_xlfn.XLOOKUP(PROYECTOS2[[#This Row],[MUNICIPIO]],'4.CAP_ENDMNT'!B:B,'4.CAP_ENDMNT'!J:J,0,0,1)</f>
        <v>0.16808140655867587</v>
      </c>
      <c r="AD411" s="44">
        <f>+_xlfn.XLOOKUP(PROYECTOS2[[#This Row],[MUNICIPIO]],'4.CAP_ENDMNT'!B:B,'4.CAP_ENDMNT'!K:K,0,0,1)</f>
        <v>29695972831.016502</v>
      </c>
      <c r="AE411" s="44">
        <f>+_xlfn.XLOOKUP(PROYECTOS2[[#This Row],[MUNICIPIO]],'4.CAP_ENDMNT'!B:B,'4.CAP_ENDMNT'!L:L,0,0,1)</f>
        <v>23756778264.813202</v>
      </c>
      <c r="AF411" s="44">
        <f>+_xlfn.XLOOKUP(PROYECTOS2[[#This Row],[MUNICIPIO]],'4.CAP_ENDMNT'!B:B,'4.CAP_ENDMNT'!M:M,0,0,1)</f>
        <v>17817583698.609901</v>
      </c>
      <c r="AG411" s="146">
        <f>+_xlfn.XLOOKUP(PROYECTOS2[[#This Row],[MUNICIPIO]],'4.CAP_ENDMNT'!B:B,'4.CAP_ENDMNT'!N:N,0,0,1)</f>
        <v>0.17796640999076777</v>
      </c>
      <c r="AH411" s="146">
        <f>+_xlfn.XLOOKUP(PROYECTOS2[[#This Row],[MUNICIPIO]],'4.CAP_ENDMNT'!B:B,'4.CAP_ENDMNT'!O:O,0,0,1)</f>
        <v>0.4016729815979605</v>
      </c>
      <c r="AI411" s="146">
        <f>+_xlfn.XLOOKUP(PROYECTOS2[[#This Row],[MUNICIPIO]],'4.CAP_ENDMNT'!B:B,'4.CAP_ENDMNT'!P:P,0,0,1)</f>
        <v>0.8</v>
      </c>
      <c r="AJ411" s="44" t="str">
        <f>+_xlfn.XLOOKUP(PROYECTOS2[[#This Row],[MUNICIPIO]],'4.CAP_ENDMNT'!B:B,'4.CAP_ENDMNT'!Q:Q,0,0,1)</f>
        <v>Cumple</v>
      </c>
    </row>
    <row r="412" spans="1:36" ht="15" customHeight="1">
      <c r="A412" s="44">
        <v>441</v>
      </c>
      <c r="B412" s="37" t="s">
        <v>1009</v>
      </c>
      <c r="C412" s="118">
        <v>45747</v>
      </c>
      <c r="D412" s="46" t="s">
        <v>168</v>
      </c>
      <c r="E412" s="47" t="str">
        <f>+_xlfn.XLOOKUP(PROYECTOS2[[#This Row],[MUNICIPIO]],MUNICIPIOS!A:A,MUNICIPIOS!E:E,0,0,1)</f>
        <v>Occidente</v>
      </c>
      <c r="F412" s="44" t="e" cm="1">
        <f t="array" ref="F412">+_xlfn.XLOOKUP(PROYECTOS2[[#This Row],[MUNICIPIO]],Table1[Municipio],MUNICIPIOS!F:F,0,0,1)</f>
        <v>#VALUE!</v>
      </c>
      <c r="G412" s="47" t="str">
        <f>+LOOKUP(PROYECTOS2[[#This Row],[MUNICIPIO]],Table1[Municipio],Table1[Latitud])</f>
        <v>7,074703</v>
      </c>
      <c r="H412" s="47">
        <f>+LOOKUP(PROYECTOS2[[#This Row],[MUNICIPIO]],Table1[Municipio],Table1[PDET])</f>
        <v>1</v>
      </c>
      <c r="I412" s="45">
        <f>+LOOKUP(PROYECTOS2[[#This Row],[MUNICIPIO]],Table1[Municipio],Table1[ZOMAC])</f>
        <v>1</v>
      </c>
      <c r="J412" s="34" t="str" cm="1">
        <f t="array" ref="J412">_xlfn.TEXTJOIN(", ", TRUE, IF(radicados[ID PROYECTOS]=A412, radicados[RADICADO], ""))</f>
        <v/>
      </c>
      <c r="K412" s="9">
        <v>1</v>
      </c>
      <c r="L412" s="45"/>
      <c r="M412" s="144"/>
      <c r="N412" s="72"/>
      <c r="O412" s="147">
        <v>1900000000</v>
      </c>
      <c r="P412" s="147">
        <v>1520000000</v>
      </c>
      <c r="Q412" s="148" t="s">
        <v>1068</v>
      </c>
      <c r="R412" s="42" t="s">
        <v>1072</v>
      </c>
      <c r="S412" s="40" t="s">
        <v>1079</v>
      </c>
      <c r="T412" s="40"/>
      <c r="U412" s="37" t="s">
        <v>1087</v>
      </c>
      <c r="V412" s="44">
        <f>+_xlfn.XLOOKUP(PROYECTOS2[[#This Row],[MUNICIPIO]],'4.CAP_ENDMNT'!B:B,'4.CAP_ENDMNT'!C:C,0,0,1)</f>
        <v>6</v>
      </c>
      <c r="W412" s="145">
        <f>+_xlfn.XLOOKUP(PROYECTOS2[[#This Row],[MUNICIPIO]],'4.CAP_ENDMNT'!B:B,'4.CAP_ENDMNT'!D:D,0,0,1)</f>
        <v>7049911897.9460001</v>
      </c>
      <c r="X412" s="44">
        <f>+_xlfn.XLOOKUP(PROYECTOS2[[#This Row],[MUNICIPIO]],'4.CAP_ENDMNT'!B:B,'4.CAP_ENDMNT'!E:E,0,0,1)</f>
        <v>2502449802.4500003</v>
      </c>
      <c r="Y412" s="44">
        <f>+_xlfn.XLOOKUP(PROYECTOS2[[#This Row],[MUNICIPIO]],'4.CAP_ENDMNT'!B:B,'4.CAP_ENDMNT'!F:F,0,0,1)</f>
        <v>4547462095.4960003</v>
      </c>
      <c r="Z412" s="44">
        <f>+_xlfn.XLOOKUP(PROYECTOS2[[#This Row],[MUNICIPIO]],'4.CAP_ENDMNT'!B:B,'4.CAP_ENDMNT'!G:G,0,0,1)</f>
        <v>1083993787</v>
      </c>
      <c r="AA412" s="44">
        <f>+_xlfn.XLOOKUP(PROYECTOS2[[#This Row],[MUNICIPIO]],'4.CAP_ENDMNT'!B:B,'4.CAP_ENDMNT'!H:H,0,0,1)</f>
        <v>0</v>
      </c>
      <c r="AB412" s="44">
        <f>+_xlfn.XLOOKUP(PROYECTOS2[[#This Row],[MUNICIPIO]],'4.CAP_ENDMNT'!B:B,'4.CAP_ENDMNT'!I:I,0,0,1)</f>
        <v>1083993787</v>
      </c>
      <c r="AC412" s="146">
        <f>+_xlfn.XLOOKUP(PROYECTOS2[[#This Row],[MUNICIPIO]],'4.CAP_ENDMNT'!B:B,'4.CAP_ENDMNT'!J:J,0,0,1)</f>
        <v>0.15375990546999926</v>
      </c>
      <c r="AD412" s="44">
        <f>+_xlfn.XLOOKUP(PROYECTOS2[[#This Row],[MUNICIPIO]],'4.CAP_ENDMNT'!B:B,'4.CAP_ENDMNT'!K:K,0,0,1)</f>
        <v>5965918110.9460001</v>
      </c>
      <c r="AE412" s="44">
        <f>+_xlfn.XLOOKUP(PROYECTOS2[[#This Row],[MUNICIPIO]],'4.CAP_ENDMNT'!B:B,'4.CAP_ENDMNT'!L:L,0,0,1)</f>
        <v>4772734488.7568007</v>
      </c>
      <c r="AF412" s="44">
        <f>+_xlfn.XLOOKUP(PROYECTOS2[[#This Row],[MUNICIPIO]],'4.CAP_ENDMNT'!B:B,'4.CAP_ENDMNT'!M:M,0,0,1)</f>
        <v>3579550866.5675998</v>
      </c>
      <c r="AG412" s="146">
        <f>+_xlfn.XLOOKUP(PROYECTOS2[[#This Row],[MUNICIPIO]],'4.CAP_ENDMNT'!B:B,'4.CAP_ENDMNT'!N:N,0,0,1)</f>
        <v>1</v>
      </c>
      <c r="AH412" s="146">
        <f>+_xlfn.XLOOKUP(PROYECTOS2[[#This Row],[MUNICIPIO]],'4.CAP_ENDMNT'!B:B,'4.CAP_ENDMNT'!O:O,0,0,1)</f>
        <v>0.68972189795110483</v>
      </c>
      <c r="AI412" s="146">
        <f>+_xlfn.XLOOKUP(PROYECTOS2[[#This Row],[MUNICIPIO]],'4.CAP_ENDMNT'!B:B,'4.CAP_ENDMNT'!P:P,0,0,1)</f>
        <v>0.8</v>
      </c>
      <c r="AJ412" s="44" t="str">
        <f>+_xlfn.XLOOKUP(PROYECTOS2[[#This Row],[MUNICIPIO]],'4.CAP_ENDMNT'!B:B,'4.CAP_ENDMNT'!Q:Q,0,0,1)</f>
        <v>Cumple</v>
      </c>
    </row>
    <row r="413" spans="1:36" ht="15" customHeight="1">
      <c r="A413" s="44">
        <v>442</v>
      </c>
      <c r="B413" s="37" t="s">
        <v>1010</v>
      </c>
      <c r="C413" s="118">
        <v>45747</v>
      </c>
      <c r="D413" s="46" t="s">
        <v>596</v>
      </c>
      <c r="E413" s="47" t="str">
        <f>+_xlfn.XLOOKUP(PROYECTOS2[[#This Row],[MUNICIPIO]],MUNICIPIOS!A:A,MUNICIPIOS!E:E,0,0,1)</f>
        <v>Oriente</v>
      </c>
      <c r="F413" s="44" t="e" cm="1">
        <f t="array" ref="F413">+_xlfn.XLOOKUP(PROYECTOS2[[#This Row],[MUNICIPIO]],Table1[Municipio],MUNICIPIOS!F:F,0,0,1)</f>
        <v>#VALUE!</v>
      </c>
      <c r="G413" s="47" t="str">
        <f>+LOOKUP(PROYECTOS2[[#This Row],[MUNICIPIO]],Table1[Municipio],Table1[Latitud])</f>
        <v>6,149903</v>
      </c>
      <c r="H413" s="47">
        <f>+LOOKUP(PROYECTOS2[[#This Row],[MUNICIPIO]],Table1[Municipio],Table1[PDET])</f>
        <v>0</v>
      </c>
      <c r="I413" s="45">
        <f>+LOOKUP(PROYECTOS2[[#This Row],[MUNICIPIO]],Table1[Municipio],Table1[ZOMAC])</f>
        <v>0</v>
      </c>
      <c r="J413" s="34" t="str" cm="1">
        <f t="array" ref="J413">_xlfn.TEXTJOIN(", ", TRUE, IF(radicados[ID PROYECTOS]=A413, radicados[RADICADO], ""))</f>
        <v/>
      </c>
      <c r="K413" s="45">
        <v>3</v>
      </c>
      <c r="L413" s="45"/>
      <c r="M413" s="144"/>
      <c r="N413" s="72"/>
      <c r="O413" s="147">
        <v>728000000</v>
      </c>
      <c r="P413" s="147">
        <v>560000000</v>
      </c>
      <c r="Q413" s="148" t="s">
        <v>1068</v>
      </c>
      <c r="R413" s="42" t="s">
        <v>1072</v>
      </c>
      <c r="S413" s="40" t="s">
        <v>1079</v>
      </c>
      <c r="T413" s="40"/>
      <c r="U413" s="37" t="s">
        <v>1087</v>
      </c>
      <c r="V413" s="44">
        <f>+_xlfn.XLOOKUP(PROYECTOS2[[#This Row],[MUNICIPIO]],'4.CAP_ENDMNT'!B:B,'4.CAP_ENDMNT'!C:C,0,0,1)</f>
        <v>6</v>
      </c>
      <c r="W413" s="145">
        <f>+_xlfn.XLOOKUP(PROYECTOS2[[#This Row],[MUNICIPIO]],'4.CAP_ENDMNT'!B:B,'4.CAP_ENDMNT'!D:D,0,0,1)</f>
        <v>18910688140.249004</v>
      </c>
      <c r="X413" s="44">
        <f>+_xlfn.XLOOKUP(PROYECTOS2[[#This Row],[MUNICIPIO]],'4.CAP_ENDMNT'!B:B,'4.CAP_ENDMNT'!E:E,0,0,1)</f>
        <v>5456011434.4000006</v>
      </c>
      <c r="Y413" s="44">
        <f>+_xlfn.XLOOKUP(PROYECTOS2[[#This Row],[MUNICIPIO]],'4.CAP_ENDMNT'!B:B,'4.CAP_ENDMNT'!F:F,0,0,1)</f>
        <v>13454676705.849003</v>
      </c>
      <c r="Z413" s="44">
        <f>+_xlfn.XLOOKUP(PROYECTOS2[[#This Row],[MUNICIPIO]],'4.CAP_ENDMNT'!B:B,'4.CAP_ENDMNT'!G:G,0,0,1)</f>
        <v>5580933878</v>
      </c>
      <c r="AA413" s="44">
        <f>+_xlfn.XLOOKUP(PROYECTOS2[[#This Row],[MUNICIPIO]],'4.CAP_ENDMNT'!B:B,'4.CAP_ENDMNT'!H:H,0,0,1)</f>
        <v>4737487939</v>
      </c>
      <c r="AB413" s="44">
        <f>+_xlfn.XLOOKUP(PROYECTOS2[[#This Row],[MUNICIPIO]],'4.CAP_ENDMNT'!B:B,'4.CAP_ENDMNT'!I:I,0,0,1)</f>
        <v>10318421817</v>
      </c>
      <c r="AC413" s="146">
        <f>+_xlfn.XLOOKUP(PROYECTOS2[[#This Row],[MUNICIPIO]],'4.CAP_ENDMNT'!B:B,'4.CAP_ENDMNT'!J:J,0,0,1)</f>
        <v>0.5456396795544709</v>
      </c>
      <c r="AD413" s="44">
        <f>+_xlfn.XLOOKUP(PROYECTOS2[[#This Row],[MUNICIPIO]],'4.CAP_ENDMNT'!B:B,'4.CAP_ENDMNT'!K:K,0,0,1)</f>
        <v>8592266323.2490044</v>
      </c>
      <c r="AE413" s="44">
        <f>+_xlfn.XLOOKUP(PROYECTOS2[[#This Row],[MUNICIPIO]],'4.CAP_ENDMNT'!B:B,'4.CAP_ENDMNT'!L:L,0,0,1)</f>
        <v>6873813058.5992041</v>
      </c>
      <c r="AF413" s="44">
        <f>+_xlfn.XLOOKUP(PROYECTOS2[[#This Row],[MUNICIPIO]],'4.CAP_ENDMNT'!B:B,'4.CAP_ENDMNT'!M:M,0,0,1)</f>
        <v>5155359793.9494028</v>
      </c>
      <c r="AG413" s="146">
        <f>+_xlfn.XLOOKUP(PROYECTOS2[[#This Row],[MUNICIPIO]],'4.CAP_ENDMNT'!B:B,'4.CAP_ENDMNT'!N:N,0,0,1)</f>
        <v>0.54087087899480857</v>
      </c>
      <c r="AH413" s="146">
        <f>+_xlfn.XLOOKUP(PROYECTOS2[[#This Row],[MUNICIPIO]],'4.CAP_ENDMNT'!B:B,'4.CAP_ENDMNT'!O:O,0,0,1)</f>
        <v>0.45745893515208286</v>
      </c>
      <c r="AI413" s="146">
        <f>+_xlfn.XLOOKUP(PROYECTOS2[[#This Row],[MUNICIPIO]],'4.CAP_ENDMNT'!B:B,'4.CAP_ENDMNT'!P:P,0,0,1)</f>
        <v>0.8</v>
      </c>
      <c r="AJ413" s="44" t="str">
        <f>+_xlfn.XLOOKUP(PROYECTOS2[[#This Row],[MUNICIPIO]],'4.CAP_ENDMNT'!B:B,'4.CAP_ENDMNT'!Q:Q,0,0,1)</f>
        <v>Cumple</v>
      </c>
    </row>
    <row r="414" spans="1:36" ht="15" customHeight="1">
      <c r="A414" s="44">
        <v>443</v>
      </c>
      <c r="B414" s="37" t="s">
        <v>1011</v>
      </c>
      <c r="C414" s="118">
        <v>45747</v>
      </c>
      <c r="D414" s="46" t="s">
        <v>163</v>
      </c>
      <c r="E414" s="47" t="str">
        <f>+_xlfn.XLOOKUP(PROYECTOS2[[#This Row],[MUNICIPIO]],MUNICIPIOS!A:A,MUNICIPIOS!E:E,0,0,1)</f>
        <v>Oriente</v>
      </c>
      <c r="F414" s="44" t="e" cm="1">
        <f t="array" ref="F414">+_xlfn.XLOOKUP(PROYECTOS2[[#This Row],[MUNICIPIO]],Table1[Municipio],MUNICIPIOS!F:F,0,0,1)</f>
        <v>#VALUE!</v>
      </c>
      <c r="G414" s="47" t="str">
        <f>+LOOKUP(PROYECTOS2[[#This Row],[MUNICIPIO]],Table1[Municipio],Table1[Latitud])</f>
        <v>6,27787</v>
      </c>
      <c r="H414" s="47">
        <f>+LOOKUP(PROYECTOS2[[#This Row],[MUNICIPIO]],Table1[Municipio],Table1[PDET])</f>
        <v>0</v>
      </c>
      <c r="I414" s="45">
        <f>+LOOKUP(PROYECTOS2[[#This Row],[MUNICIPIO]],Table1[Municipio],Table1[ZOMAC])</f>
        <v>0</v>
      </c>
      <c r="J414" s="34" t="str" cm="1">
        <f t="array" ref="J414">_xlfn.TEXTJOIN(", ", TRUE, IF(radicados[ID PROYECTOS]=A414, radicados[RADICADO], ""))</f>
        <v/>
      </c>
      <c r="K414" s="45">
        <v>3</v>
      </c>
      <c r="L414" s="45"/>
      <c r="M414" s="144"/>
      <c r="N414" s="72"/>
      <c r="O414" s="147">
        <v>1000000000</v>
      </c>
      <c r="P414" s="147">
        <v>700000000</v>
      </c>
      <c r="Q414" s="148" t="s">
        <v>1068</v>
      </c>
      <c r="R414" s="42" t="s">
        <v>1072</v>
      </c>
      <c r="S414" s="40" t="s">
        <v>1079</v>
      </c>
      <c r="T414" s="40"/>
      <c r="U414" s="37" t="s">
        <v>1087</v>
      </c>
      <c r="V414" s="44">
        <f>+_xlfn.XLOOKUP(PROYECTOS2[[#This Row],[MUNICIPIO]],'4.CAP_ENDMNT'!B:B,'4.CAP_ENDMNT'!C:C,0,0,1)</f>
        <v>2</v>
      </c>
      <c r="W414" s="145">
        <f>+_xlfn.XLOOKUP(PROYECTOS2[[#This Row],[MUNICIPIO]],'4.CAP_ENDMNT'!B:B,'4.CAP_ENDMNT'!D:D,0,0,1)</f>
        <v>94297942873.182495</v>
      </c>
      <c r="X414" s="44">
        <f>+_xlfn.XLOOKUP(PROYECTOS2[[#This Row],[MUNICIPIO]],'4.CAP_ENDMNT'!B:B,'4.CAP_ENDMNT'!E:E,0,0,1)</f>
        <v>31502477356.16</v>
      </c>
      <c r="Y414" s="44">
        <f>+_xlfn.XLOOKUP(PROYECTOS2[[#This Row],[MUNICIPIO]],'4.CAP_ENDMNT'!B:B,'4.CAP_ENDMNT'!F:F,0,0,1)</f>
        <v>62795465517.022491</v>
      </c>
      <c r="Z414" s="44">
        <f>+_xlfn.XLOOKUP(PROYECTOS2[[#This Row],[MUNICIPIO]],'4.CAP_ENDMNT'!B:B,'4.CAP_ENDMNT'!G:G,0,0,1)</f>
        <v>12269275368</v>
      </c>
      <c r="AA414" s="44">
        <f>+_xlfn.XLOOKUP(PROYECTOS2[[#This Row],[MUNICIPIO]],'4.CAP_ENDMNT'!B:B,'4.CAP_ENDMNT'!H:H,0,0,1)</f>
        <v>1587282296.6800001</v>
      </c>
      <c r="AB414" s="44">
        <f>+_xlfn.XLOOKUP(PROYECTOS2[[#This Row],[MUNICIPIO]],'4.CAP_ENDMNT'!B:B,'4.CAP_ENDMNT'!I:I,0,0,1)</f>
        <v>13856557664.68</v>
      </c>
      <c r="AC414" s="146">
        <f>+_xlfn.XLOOKUP(PROYECTOS2[[#This Row],[MUNICIPIO]],'4.CAP_ENDMNT'!B:B,'4.CAP_ENDMNT'!J:J,0,0,1)</f>
        <v>0.14694443211041333</v>
      </c>
      <c r="AD414" s="44">
        <f>+_xlfn.XLOOKUP(PROYECTOS2[[#This Row],[MUNICIPIO]],'4.CAP_ENDMNT'!B:B,'4.CAP_ENDMNT'!K:K,0,0,1)</f>
        <v>80441385208.502502</v>
      </c>
      <c r="AE414" s="44">
        <f>+_xlfn.XLOOKUP(PROYECTOS2[[#This Row],[MUNICIPIO]],'4.CAP_ENDMNT'!B:B,'4.CAP_ENDMNT'!L:L,0,0,1)</f>
        <v>64353108166.802002</v>
      </c>
      <c r="AF414" s="44">
        <f>+_xlfn.XLOOKUP(PROYECTOS2[[#This Row],[MUNICIPIO]],'4.CAP_ENDMNT'!B:B,'4.CAP_ENDMNT'!M:M,0,0,1)</f>
        <v>48264831125.101501</v>
      </c>
      <c r="AG414" s="146">
        <f>+_xlfn.XLOOKUP(PROYECTOS2[[#This Row],[MUNICIPIO]],'4.CAP_ENDMNT'!B:B,'4.CAP_ENDMNT'!N:N,0,0,1)</f>
        <v>0.88544901734678727</v>
      </c>
      <c r="AH414" s="146">
        <f>+_xlfn.XLOOKUP(PROYECTOS2[[#This Row],[MUNICIPIO]],'4.CAP_ENDMNT'!B:B,'4.CAP_ENDMNT'!O:O,0,0,1)</f>
        <v>0.32613717500698253</v>
      </c>
      <c r="AI414" s="146">
        <f>+_xlfn.XLOOKUP(PROYECTOS2[[#This Row],[MUNICIPIO]],'4.CAP_ENDMNT'!B:B,'4.CAP_ENDMNT'!P:P,0,0,1)</f>
        <v>0.7</v>
      </c>
      <c r="AJ414" s="44" t="str">
        <f>+_xlfn.XLOOKUP(PROYECTOS2[[#This Row],[MUNICIPIO]],'4.CAP_ENDMNT'!B:B,'4.CAP_ENDMNT'!Q:Q,0,0,1)</f>
        <v>Cumple</v>
      </c>
    </row>
    <row r="415" spans="1:36" ht="15" customHeight="1">
      <c r="A415" s="44">
        <v>444</v>
      </c>
      <c r="B415" s="37" t="s">
        <v>1012</v>
      </c>
      <c r="C415" s="118">
        <v>45747</v>
      </c>
      <c r="D415" s="46" t="s">
        <v>470</v>
      </c>
      <c r="E415" s="47" t="str">
        <f>+_xlfn.XLOOKUP(PROYECTOS2[[#This Row],[MUNICIPIO]],MUNICIPIOS!A:A,MUNICIPIOS!E:E,0,0,1)</f>
        <v>Oriente</v>
      </c>
      <c r="F415" s="44" t="e" cm="1">
        <f t="array" ref="F415">+_xlfn.XLOOKUP(PROYECTOS2[[#This Row],[MUNICIPIO]],Table1[Municipio],MUNICIPIOS!F:F,0,0,1)</f>
        <v>#VALUE!</v>
      </c>
      <c r="G415" s="47" t="str">
        <f>+LOOKUP(PROYECTOS2[[#This Row],[MUNICIPIO]],Table1[Municipio],Table1[Latitud])</f>
        <v>6,149903</v>
      </c>
      <c r="H415" s="47">
        <f>+LOOKUP(PROYECTOS2[[#This Row],[MUNICIPIO]],Table1[Municipio],Table1[PDET])</f>
        <v>0</v>
      </c>
      <c r="I415" s="45">
        <f>+LOOKUP(PROYECTOS2[[#This Row],[MUNICIPIO]],Table1[Municipio],Table1[ZOMAC])</f>
        <v>0</v>
      </c>
      <c r="J415" s="34" t="str" cm="1">
        <f t="array" ref="J415">_xlfn.TEXTJOIN(", ", TRUE, IF(radicados[ID PROYECTOS]=A415, radicados[RADICADO], ""))</f>
        <v/>
      </c>
      <c r="K415" s="45">
        <v>3</v>
      </c>
      <c r="L415" s="45"/>
      <c r="M415" s="144"/>
      <c r="N415" s="72"/>
      <c r="O415" s="147">
        <v>305630504</v>
      </c>
      <c r="P415" s="147">
        <v>213941353</v>
      </c>
      <c r="Q415" s="148" t="s">
        <v>1068</v>
      </c>
      <c r="R415" s="42" t="s">
        <v>1072</v>
      </c>
      <c r="S415" s="40" t="s">
        <v>1079</v>
      </c>
      <c r="T415" s="40"/>
      <c r="U415" s="37" t="s">
        <v>1087</v>
      </c>
      <c r="V415" s="44">
        <f>+_xlfn.XLOOKUP(PROYECTOS2[[#This Row],[MUNICIPIO]],'4.CAP_ENDMNT'!B:B,'4.CAP_ENDMNT'!C:C,0,0,1)</f>
        <v>6</v>
      </c>
      <c r="W415" s="145">
        <f>+_xlfn.XLOOKUP(PROYECTOS2[[#This Row],[MUNICIPIO]],'4.CAP_ENDMNT'!B:B,'4.CAP_ENDMNT'!D:D,0,0,1)</f>
        <v>17565923370.843998</v>
      </c>
      <c r="X415" s="44">
        <f>+_xlfn.XLOOKUP(PROYECTOS2[[#This Row],[MUNICIPIO]],'4.CAP_ENDMNT'!B:B,'4.CAP_ENDMNT'!E:E,0,0,1)</f>
        <v>4463335582.5100002</v>
      </c>
      <c r="Y415" s="44">
        <f>+_xlfn.XLOOKUP(PROYECTOS2[[#This Row],[MUNICIPIO]],'4.CAP_ENDMNT'!B:B,'4.CAP_ENDMNT'!F:F,0,0,1)</f>
        <v>13102587788.333998</v>
      </c>
      <c r="Z415" s="44">
        <f>+_xlfn.XLOOKUP(PROYECTOS2[[#This Row],[MUNICIPIO]],'4.CAP_ENDMNT'!B:B,'4.CAP_ENDMNT'!G:G,0,0,1)</f>
        <v>2561424191</v>
      </c>
      <c r="AA415" s="44">
        <f>+_xlfn.XLOOKUP(PROYECTOS2[[#This Row],[MUNICIPIO]],'4.CAP_ENDMNT'!B:B,'4.CAP_ENDMNT'!H:H,0,0,1)</f>
        <v>0</v>
      </c>
      <c r="AB415" s="44">
        <f>+_xlfn.XLOOKUP(PROYECTOS2[[#This Row],[MUNICIPIO]],'4.CAP_ENDMNT'!B:B,'4.CAP_ENDMNT'!I:I,0,0,1)</f>
        <v>2561424191</v>
      </c>
      <c r="AC415" s="146">
        <f>+_xlfn.XLOOKUP(PROYECTOS2[[#This Row],[MUNICIPIO]],'4.CAP_ENDMNT'!B:B,'4.CAP_ENDMNT'!J:J,0,0,1)</f>
        <v>0.14581779374328047</v>
      </c>
      <c r="AD415" s="44">
        <f>+_xlfn.XLOOKUP(PROYECTOS2[[#This Row],[MUNICIPIO]],'4.CAP_ENDMNT'!B:B,'4.CAP_ENDMNT'!K:K,0,0,1)</f>
        <v>15004499179.843998</v>
      </c>
      <c r="AE415" s="44">
        <f>+_xlfn.XLOOKUP(PROYECTOS2[[#This Row],[MUNICIPIO]],'4.CAP_ENDMNT'!B:B,'4.CAP_ENDMNT'!L:L,0,0,1)</f>
        <v>12003599343.875198</v>
      </c>
      <c r="AF415" s="44">
        <f>+_xlfn.XLOOKUP(PROYECTOS2[[#This Row],[MUNICIPIO]],'4.CAP_ENDMNT'!B:B,'4.CAP_ENDMNT'!M:M,0,0,1)</f>
        <v>9002699507.9063988</v>
      </c>
      <c r="AG415" s="146">
        <f>+_xlfn.XLOOKUP(PROYECTOS2[[#This Row],[MUNICIPIO]],'4.CAP_ENDMNT'!B:B,'4.CAP_ENDMNT'!N:N,0,0,1)</f>
        <v>1</v>
      </c>
      <c r="AH415" s="146">
        <f>+_xlfn.XLOOKUP(PROYECTOS2[[#This Row],[MUNICIPIO]],'4.CAP_ENDMNT'!B:B,'4.CAP_ENDMNT'!O:O,0,0,1)</f>
        <v>0.64471709259563048</v>
      </c>
      <c r="AI415" s="146">
        <f>+_xlfn.XLOOKUP(PROYECTOS2[[#This Row],[MUNICIPIO]],'4.CAP_ENDMNT'!B:B,'4.CAP_ENDMNT'!P:P,0,0,1)</f>
        <v>0.8</v>
      </c>
      <c r="AJ415" s="44" t="str">
        <f>+_xlfn.XLOOKUP(PROYECTOS2[[#This Row],[MUNICIPIO]],'4.CAP_ENDMNT'!B:B,'4.CAP_ENDMNT'!Q:Q,0,0,1)</f>
        <v>Cumple</v>
      </c>
    </row>
    <row r="416" spans="1:36" ht="15" customHeight="1">
      <c r="A416" s="44">
        <v>445</v>
      </c>
      <c r="B416" s="37" t="s">
        <v>1013</v>
      </c>
      <c r="C416" s="118">
        <v>45747</v>
      </c>
      <c r="D416" s="46" t="s">
        <v>601</v>
      </c>
      <c r="E416" s="47" t="str">
        <f>+_xlfn.XLOOKUP(PROYECTOS2[[#This Row],[MUNICIPIO]],MUNICIPIOS!A:A,MUNICIPIOS!E:E,0,0,1)</f>
        <v>Oriente</v>
      </c>
      <c r="F416" s="44" t="e" cm="1">
        <f t="array" ref="F416">+_xlfn.XLOOKUP(PROYECTOS2[[#This Row],[MUNICIPIO]],Table1[Municipio],MUNICIPIOS!F:F,0,0,1)</f>
        <v>#VALUE!</v>
      </c>
      <c r="G416" s="47" t="str">
        <f>+LOOKUP(PROYECTOS2[[#This Row],[MUNICIPIO]],Table1[Municipio],Table1[Latitud])</f>
        <v>6,232461</v>
      </c>
      <c r="H416" s="47">
        <f>+LOOKUP(PROYECTOS2[[#This Row],[MUNICIPIO]],Table1[Municipio],Table1[PDET])</f>
        <v>0</v>
      </c>
      <c r="I416" s="45">
        <f>+LOOKUP(PROYECTOS2[[#This Row],[MUNICIPIO]],Table1[Municipio],Table1[ZOMAC])</f>
        <v>0</v>
      </c>
      <c r="J416" s="34" t="str" cm="1">
        <f t="array" ref="J416">_xlfn.TEXTJOIN(", ", TRUE, IF(radicados[ID PROYECTOS]=A416, radicados[RADICADO], ""))</f>
        <v/>
      </c>
      <c r="K416" s="45">
        <v>3</v>
      </c>
      <c r="L416" s="45"/>
      <c r="M416" s="144"/>
      <c r="N416" s="72"/>
      <c r="O416" s="147">
        <v>502000000</v>
      </c>
      <c r="P416" s="147">
        <v>351400000</v>
      </c>
      <c r="Q416" s="148" t="s">
        <v>1068</v>
      </c>
      <c r="R416" s="42" t="s">
        <v>1072</v>
      </c>
      <c r="S416" s="40" t="s">
        <v>1079</v>
      </c>
      <c r="T416" s="40"/>
      <c r="U416" s="37" t="s">
        <v>1087</v>
      </c>
      <c r="V416" s="44">
        <f>+_xlfn.XLOOKUP(PROYECTOS2[[#This Row],[MUNICIPIO]],'4.CAP_ENDMNT'!B:B,'4.CAP_ENDMNT'!C:C,0,0,1)</f>
        <v>6</v>
      </c>
      <c r="W416" s="145">
        <f>+_xlfn.XLOOKUP(PROYECTOS2[[#This Row],[MUNICIPIO]],'4.CAP_ENDMNT'!B:B,'4.CAP_ENDMNT'!D:D,0,0,1)</f>
        <v>21077944175.9025</v>
      </c>
      <c r="X416" s="44">
        <f>+_xlfn.XLOOKUP(PROYECTOS2[[#This Row],[MUNICIPIO]],'4.CAP_ENDMNT'!B:B,'4.CAP_ENDMNT'!E:E,0,0,1)</f>
        <v>7240492267.29</v>
      </c>
      <c r="Y416" s="44">
        <f>+_xlfn.XLOOKUP(PROYECTOS2[[#This Row],[MUNICIPIO]],'4.CAP_ENDMNT'!B:B,'4.CAP_ENDMNT'!F:F,0,0,1)</f>
        <v>13837451908.612499</v>
      </c>
      <c r="Z416" s="44">
        <f>+_xlfn.XLOOKUP(PROYECTOS2[[#This Row],[MUNICIPIO]],'4.CAP_ENDMNT'!B:B,'4.CAP_ENDMNT'!G:G,0,0,1)</f>
        <v>6499961675</v>
      </c>
      <c r="AA416" s="44">
        <f>+_xlfn.XLOOKUP(PROYECTOS2[[#This Row],[MUNICIPIO]],'4.CAP_ENDMNT'!B:B,'4.CAP_ENDMNT'!H:H,0,0,1)</f>
        <v>4615945782.0699997</v>
      </c>
      <c r="AB416" s="44">
        <f>+_xlfn.XLOOKUP(PROYECTOS2[[#This Row],[MUNICIPIO]],'4.CAP_ENDMNT'!B:B,'4.CAP_ENDMNT'!I:I,0,0,1)</f>
        <v>11115907457.07</v>
      </c>
      <c r="AC416" s="146">
        <f>+_xlfn.XLOOKUP(PROYECTOS2[[#This Row],[MUNICIPIO]],'4.CAP_ENDMNT'!B:B,'4.CAP_ENDMNT'!J:J,0,0,1)</f>
        <v>0.52737151993116738</v>
      </c>
      <c r="AD416" s="44">
        <f>+_xlfn.XLOOKUP(PROYECTOS2[[#This Row],[MUNICIPIO]],'4.CAP_ENDMNT'!B:B,'4.CAP_ENDMNT'!K:K,0,0,1)</f>
        <v>9962036718.8325005</v>
      </c>
      <c r="AE416" s="44">
        <f>+_xlfn.XLOOKUP(PROYECTOS2[[#This Row],[MUNICIPIO]],'4.CAP_ENDMNT'!B:B,'4.CAP_ENDMNT'!L:L,0,0,1)</f>
        <v>7969629375.0660009</v>
      </c>
      <c r="AF416" s="44">
        <f>+_xlfn.XLOOKUP(PROYECTOS2[[#This Row],[MUNICIPIO]],'4.CAP_ENDMNT'!B:B,'4.CAP_ENDMNT'!M:M,0,0,1)</f>
        <v>5977222031.2995005</v>
      </c>
      <c r="AG416" s="146">
        <f>+_xlfn.XLOOKUP(PROYECTOS2[[#This Row],[MUNICIPIO]],'4.CAP_ENDMNT'!B:B,'4.CAP_ENDMNT'!N:N,0,0,1)</f>
        <v>0.58474413358541044</v>
      </c>
      <c r="AH416" s="146">
        <f>+_xlfn.XLOOKUP(PROYECTOS2[[#This Row],[MUNICIPIO]],'4.CAP_ENDMNT'!B:B,'4.CAP_ENDMNT'!O:O,0,0,1)</f>
        <v>0.56956931049455672</v>
      </c>
      <c r="AI416" s="146">
        <f>+_xlfn.XLOOKUP(PROYECTOS2[[#This Row],[MUNICIPIO]],'4.CAP_ENDMNT'!B:B,'4.CAP_ENDMNT'!P:P,0,0,1)</f>
        <v>0.8</v>
      </c>
      <c r="AJ416" s="44" t="str">
        <f>+_xlfn.XLOOKUP(PROYECTOS2[[#This Row],[MUNICIPIO]],'4.CAP_ENDMNT'!B:B,'4.CAP_ENDMNT'!Q:Q,0,0,1)</f>
        <v>Cumple</v>
      </c>
    </row>
    <row r="417" spans="1:36" ht="15" customHeight="1">
      <c r="A417" s="44">
        <v>446</v>
      </c>
      <c r="B417" s="37" t="s">
        <v>1014</v>
      </c>
      <c r="C417" s="118">
        <v>45747</v>
      </c>
      <c r="D417" s="46" t="s">
        <v>90</v>
      </c>
      <c r="E417" s="47" t="str">
        <f>+_xlfn.XLOOKUP(PROYECTOS2[[#This Row],[MUNICIPIO]],MUNICIPIOS!A:A,MUNICIPIOS!E:E,0,0,1)</f>
        <v>Suroeste</v>
      </c>
      <c r="F417" s="44" t="e" cm="1">
        <f t="array" ref="F417">+_xlfn.XLOOKUP(PROYECTOS2[[#This Row],[MUNICIPIO]],Table1[Municipio],MUNICIPIOS!F:F,0,0,1)</f>
        <v>#VALUE!</v>
      </c>
      <c r="G417" s="47" t="str">
        <f>+LOOKUP(PROYECTOS2[[#This Row],[MUNICIPIO]],Table1[Municipio],Table1[Latitud])</f>
        <v>6,149903</v>
      </c>
      <c r="H417" s="47">
        <f>+LOOKUP(PROYECTOS2[[#This Row],[MUNICIPIO]],Table1[Municipio],Table1[PDET])</f>
        <v>0</v>
      </c>
      <c r="I417" s="45">
        <f>+LOOKUP(PROYECTOS2[[#This Row],[MUNICIPIO]],Table1[Municipio],Table1[ZOMAC])</f>
        <v>0</v>
      </c>
      <c r="J417" s="34" t="str" cm="1">
        <f t="array" ref="J417">_xlfn.TEXTJOIN(", ", TRUE, IF(radicados[ID PROYECTOS]=A417, radicados[RADICADO], ""))</f>
        <v/>
      </c>
      <c r="K417" s="45">
        <v>3</v>
      </c>
      <c r="L417" s="45"/>
      <c r="M417" s="144"/>
      <c r="N417" s="72"/>
      <c r="O417" s="147">
        <v>806907081.60000002</v>
      </c>
      <c r="P417" s="147">
        <v>672422568</v>
      </c>
      <c r="Q417" s="148" t="s">
        <v>1068</v>
      </c>
      <c r="R417" s="42" t="s">
        <v>1075</v>
      </c>
      <c r="S417" s="40" t="s">
        <v>1079</v>
      </c>
      <c r="T417" s="40"/>
      <c r="U417" s="37" t="s">
        <v>1087</v>
      </c>
      <c r="V417" s="44">
        <f>+_xlfn.XLOOKUP(PROYECTOS2[[#This Row],[MUNICIPIO]],'4.CAP_ENDMNT'!B:B,'4.CAP_ENDMNT'!C:C,0,0,1)</f>
        <v>6</v>
      </c>
      <c r="W417" s="145">
        <f>+_xlfn.XLOOKUP(PROYECTOS2[[#This Row],[MUNICIPIO]],'4.CAP_ENDMNT'!B:B,'4.CAP_ENDMNT'!D:D,0,0,1)</f>
        <v>6485715716.868001</v>
      </c>
      <c r="X417" s="44">
        <f>+_xlfn.XLOOKUP(PROYECTOS2[[#This Row],[MUNICIPIO]],'4.CAP_ENDMNT'!B:B,'4.CAP_ENDMNT'!E:E,0,0,1)</f>
        <v>3717110032.7600002</v>
      </c>
      <c r="Y417" s="44">
        <f>+_xlfn.XLOOKUP(PROYECTOS2[[#This Row],[MUNICIPIO]],'4.CAP_ENDMNT'!B:B,'4.CAP_ENDMNT'!F:F,0,0,1)</f>
        <v>2768605684.1080008</v>
      </c>
      <c r="Z417" s="44">
        <f>+_xlfn.XLOOKUP(PROYECTOS2[[#This Row],[MUNICIPIO]],'4.CAP_ENDMNT'!B:B,'4.CAP_ENDMNT'!G:G,0,0,1)</f>
        <v>598561755.20000005</v>
      </c>
      <c r="AA417" s="44">
        <f>+_xlfn.XLOOKUP(PROYECTOS2[[#This Row],[MUNICIPIO]],'4.CAP_ENDMNT'!B:B,'4.CAP_ENDMNT'!H:H,0,0,1)</f>
        <v>823222224</v>
      </c>
      <c r="AB417" s="44">
        <f>+_xlfn.XLOOKUP(PROYECTOS2[[#This Row],[MUNICIPIO]],'4.CAP_ENDMNT'!B:B,'4.CAP_ENDMNT'!I:I,0,0,1)</f>
        <v>1421783979.2</v>
      </c>
      <c r="AC417" s="146">
        <f>+_xlfn.XLOOKUP(PROYECTOS2[[#This Row],[MUNICIPIO]],'4.CAP_ENDMNT'!B:B,'4.CAP_ENDMNT'!J:J,0,0,1)</f>
        <v>0.21921774577665112</v>
      </c>
      <c r="AD417" s="44">
        <f>+_xlfn.XLOOKUP(PROYECTOS2[[#This Row],[MUNICIPIO]],'4.CAP_ENDMNT'!B:B,'4.CAP_ENDMNT'!K:K,0,0,1)</f>
        <v>5063931737.6680012</v>
      </c>
      <c r="AE417" s="44">
        <f>+_xlfn.XLOOKUP(PROYECTOS2[[#This Row],[MUNICIPIO]],'4.CAP_ENDMNT'!B:B,'4.CAP_ENDMNT'!L:L,0,0,1)</f>
        <v>4051145390.1344013</v>
      </c>
      <c r="AF417" s="44">
        <f>+_xlfn.XLOOKUP(PROYECTOS2[[#This Row],[MUNICIPIO]],'4.CAP_ENDMNT'!B:B,'4.CAP_ENDMNT'!M:M,0,0,1)</f>
        <v>3038359042.6008005</v>
      </c>
      <c r="AG417" s="146">
        <f>+_xlfn.XLOOKUP(PROYECTOS2[[#This Row],[MUNICIPIO]],'4.CAP_ENDMNT'!B:B,'4.CAP_ENDMNT'!N:N,0,0,1)</f>
        <v>0.42099345889155032</v>
      </c>
      <c r="AH417" s="146">
        <f>+_xlfn.XLOOKUP(PROYECTOS2[[#This Row],[MUNICIPIO]],'4.CAP_ENDMNT'!B:B,'4.CAP_ENDMNT'!O:O,0,0,1)</f>
        <v>0.68598337343648785</v>
      </c>
      <c r="AI417" s="146">
        <f>+_xlfn.XLOOKUP(PROYECTOS2[[#This Row],[MUNICIPIO]],'4.CAP_ENDMNT'!B:B,'4.CAP_ENDMNT'!P:P,0,0,1)</f>
        <v>0.8</v>
      </c>
      <c r="AJ417" s="44" t="str">
        <f>+_xlfn.XLOOKUP(PROYECTOS2[[#This Row],[MUNICIPIO]],'4.CAP_ENDMNT'!B:B,'4.CAP_ENDMNT'!Q:Q,0,0,1)</f>
        <v>Cumple</v>
      </c>
    </row>
    <row r="418" spans="1:36" ht="15" customHeight="1">
      <c r="A418" s="44">
        <v>447</v>
      </c>
      <c r="B418" s="37" t="s">
        <v>1015</v>
      </c>
      <c r="C418" s="118">
        <v>45747</v>
      </c>
      <c r="D418" s="46" t="s">
        <v>230</v>
      </c>
      <c r="E418" s="47" t="str">
        <f>+_xlfn.XLOOKUP(PROYECTOS2[[#This Row],[MUNICIPIO]],MUNICIPIOS!A:A,MUNICIPIOS!E:E,0,0,1)</f>
        <v>Suroeste</v>
      </c>
      <c r="F418" s="44" t="e" cm="1">
        <f t="array" ref="F418">+_xlfn.XLOOKUP(PROYECTOS2[[#This Row],[MUNICIPIO]],Table1[Municipio],MUNICIPIOS!F:F,0,0,1)</f>
        <v>#VALUE!</v>
      </c>
      <c r="G418" s="47" t="str">
        <f>+LOOKUP(PROYECTOS2[[#This Row],[MUNICIPIO]],Table1[Municipio],Table1[Latitud])</f>
        <v>6,232461</v>
      </c>
      <c r="H418" s="47">
        <f>+LOOKUP(PROYECTOS2[[#This Row],[MUNICIPIO]],Table1[Municipio],Table1[PDET])</f>
        <v>0</v>
      </c>
      <c r="I418" s="45">
        <f>+LOOKUP(PROYECTOS2[[#This Row],[MUNICIPIO]],Table1[Municipio],Table1[ZOMAC])</f>
        <v>0</v>
      </c>
      <c r="J418" s="34" t="str" cm="1">
        <f t="array" ref="J418">_xlfn.TEXTJOIN(", ", TRUE, IF(radicados[ID PROYECTOS]=A418, radicados[RADICADO], ""))</f>
        <v/>
      </c>
      <c r="K418" s="45">
        <v>3</v>
      </c>
      <c r="L418" s="45"/>
      <c r="M418" s="144"/>
      <c r="N418" s="72"/>
      <c r="O418" s="147">
        <v>374818756</v>
      </c>
      <c r="P418" s="147">
        <v>358819756</v>
      </c>
      <c r="Q418" s="148" t="s">
        <v>1068</v>
      </c>
      <c r="R418" s="42" t="s">
        <v>1072</v>
      </c>
      <c r="S418" s="40" t="s">
        <v>1079</v>
      </c>
      <c r="T418" s="40"/>
      <c r="U418" s="37" t="s">
        <v>1087</v>
      </c>
      <c r="V418" s="44">
        <f>+_xlfn.XLOOKUP(PROYECTOS2[[#This Row],[MUNICIPIO]],'4.CAP_ENDMNT'!B:B,'4.CAP_ENDMNT'!C:C,0,0,1)</f>
        <v>6</v>
      </c>
      <c r="W418" s="145">
        <f>+_xlfn.XLOOKUP(PROYECTOS2[[#This Row],[MUNICIPIO]],'4.CAP_ENDMNT'!B:B,'4.CAP_ENDMNT'!D:D,0,0,1)</f>
        <v>6274381972.2840004</v>
      </c>
      <c r="X418" s="44">
        <f>+_xlfn.XLOOKUP(PROYECTOS2[[#This Row],[MUNICIPIO]],'4.CAP_ENDMNT'!B:B,'4.CAP_ENDMNT'!E:E,0,0,1)</f>
        <v>2404546434.0300002</v>
      </c>
      <c r="Y418" s="44">
        <f>+_xlfn.XLOOKUP(PROYECTOS2[[#This Row],[MUNICIPIO]],'4.CAP_ENDMNT'!B:B,'4.CAP_ENDMNT'!F:F,0,0,1)</f>
        <v>3869835538.2540002</v>
      </c>
      <c r="Z418" s="44">
        <f>+_xlfn.XLOOKUP(PROYECTOS2[[#This Row],[MUNICIPIO]],'4.CAP_ENDMNT'!B:B,'4.CAP_ENDMNT'!G:G,0,0,1)</f>
        <v>1292225834</v>
      </c>
      <c r="AA418" s="44">
        <f>+_xlfn.XLOOKUP(PROYECTOS2[[#This Row],[MUNICIPIO]],'4.CAP_ENDMNT'!B:B,'4.CAP_ENDMNT'!H:H,0,0,1)</f>
        <v>0</v>
      </c>
      <c r="AB418" s="44">
        <f>+_xlfn.XLOOKUP(PROYECTOS2[[#This Row],[MUNICIPIO]],'4.CAP_ENDMNT'!B:B,'4.CAP_ENDMNT'!I:I,0,0,1)</f>
        <v>1292225834</v>
      </c>
      <c r="AC418" s="146">
        <f>+_xlfn.XLOOKUP(PROYECTOS2[[#This Row],[MUNICIPIO]],'4.CAP_ENDMNT'!B:B,'4.CAP_ENDMNT'!J:J,0,0,1)</f>
        <v>0.20595268820230975</v>
      </c>
      <c r="AD418" s="44">
        <f>+_xlfn.XLOOKUP(PROYECTOS2[[#This Row],[MUNICIPIO]],'4.CAP_ENDMNT'!B:B,'4.CAP_ENDMNT'!K:K,0,0,1)</f>
        <v>4982156138.2840004</v>
      </c>
      <c r="AE418" s="44">
        <f>+_xlfn.XLOOKUP(PROYECTOS2[[#This Row],[MUNICIPIO]],'4.CAP_ENDMNT'!B:B,'4.CAP_ENDMNT'!L:L,0,0,1)</f>
        <v>3985724910.6272006</v>
      </c>
      <c r="AF418" s="44">
        <f>+_xlfn.XLOOKUP(PROYECTOS2[[#This Row],[MUNICIPIO]],'4.CAP_ENDMNT'!B:B,'4.CAP_ENDMNT'!M:M,0,0,1)</f>
        <v>2989293682.9704003</v>
      </c>
      <c r="AG418" s="146">
        <f>+_xlfn.XLOOKUP(PROYECTOS2[[#This Row],[MUNICIPIO]],'4.CAP_ENDMNT'!B:B,'4.CAP_ENDMNT'!N:N,0,0,1)</f>
        <v>1</v>
      </c>
      <c r="AH418" s="146">
        <f>+_xlfn.XLOOKUP(PROYECTOS2[[#This Row],[MUNICIPIO]],'4.CAP_ENDMNT'!B:B,'4.CAP_ENDMNT'!O:O,0,0,1)</f>
        <v>0.75496548270760855</v>
      </c>
      <c r="AI418" s="146">
        <f>+_xlfn.XLOOKUP(PROYECTOS2[[#This Row],[MUNICIPIO]],'4.CAP_ENDMNT'!B:B,'4.CAP_ENDMNT'!P:P,0,0,1)</f>
        <v>0.8</v>
      </c>
      <c r="AJ418" s="44" t="str">
        <f>+_xlfn.XLOOKUP(PROYECTOS2[[#This Row],[MUNICIPIO]],'4.CAP_ENDMNT'!B:B,'4.CAP_ENDMNT'!Q:Q,0,0,1)</f>
        <v>Riesgo</v>
      </c>
    </row>
    <row r="419" spans="1:36" ht="15" customHeight="1">
      <c r="A419" s="44">
        <v>448</v>
      </c>
      <c r="B419" s="37" t="s">
        <v>1016</v>
      </c>
      <c r="C419" s="118">
        <v>45747</v>
      </c>
      <c r="D419" s="46" t="s">
        <v>578</v>
      </c>
      <c r="E419" s="47" t="str">
        <f>+_xlfn.XLOOKUP(PROYECTOS2[[#This Row],[MUNICIPIO]],MUNICIPIOS!A:A,MUNICIPIOS!E:E,0,0,1)</f>
        <v>Occidente</v>
      </c>
      <c r="F419" s="44" t="e" cm="1">
        <f t="array" ref="F419">+_xlfn.XLOOKUP(PROYECTOS2[[#This Row],[MUNICIPIO]],Table1[Municipio],MUNICIPIOS!F:F,0,0,1)</f>
        <v>#VALUE!</v>
      </c>
      <c r="G419" s="47" t="str">
        <f>+LOOKUP(PROYECTOS2[[#This Row],[MUNICIPIO]],Table1[Municipio],Table1[Latitud])</f>
        <v>6,394348</v>
      </c>
      <c r="H419" s="47">
        <f>+LOOKUP(PROYECTOS2[[#This Row],[MUNICIPIO]],Table1[Municipio],Table1[PDET])</f>
        <v>0</v>
      </c>
      <c r="I419" s="45">
        <f>+LOOKUP(PROYECTOS2[[#This Row],[MUNICIPIO]],Table1[Municipio],Table1[ZOMAC])</f>
        <v>1</v>
      </c>
      <c r="J419" s="34" t="str" cm="1">
        <f t="array" ref="J419">_xlfn.TEXTJOIN(", ", TRUE, IF(radicados[ID PROYECTOS]=A419, radicados[RADICADO], ""))</f>
        <v/>
      </c>
      <c r="K419" s="9">
        <v>1</v>
      </c>
      <c r="L419" s="45"/>
      <c r="M419" s="144"/>
      <c r="N419" s="72"/>
      <c r="O419" s="147">
        <v>150000000</v>
      </c>
      <c r="P419" s="147">
        <v>135100000</v>
      </c>
      <c r="Q419" s="148" t="s">
        <v>1068</v>
      </c>
      <c r="R419" s="42" t="s">
        <v>1072</v>
      </c>
      <c r="S419" s="40" t="s">
        <v>1079</v>
      </c>
      <c r="T419" s="40"/>
      <c r="U419" s="37" t="s">
        <v>1080</v>
      </c>
      <c r="V419" s="44">
        <f>+_xlfn.XLOOKUP(PROYECTOS2[[#This Row],[MUNICIPIO]],'4.CAP_ENDMNT'!B:B,'4.CAP_ENDMNT'!C:C,0,0,1)</f>
        <v>6</v>
      </c>
      <c r="W419" s="145">
        <f>+_xlfn.XLOOKUP(PROYECTOS2[[#This Row],[MUNICIPIO]],'4.CAP_ENDMNT'!B:B,'4.CAP_ENDMNT'!D:D,0,0,1)</f>
        <v>9001864307.6529999</v>
      </c>
      <c r="X419" s="44">
        <f>+_xlfn.XLOOKUP(PROYECTOS2[[#This Row],[MUNICIPIO]],'4.CAP_ENDMNT'!B:B,'4.CAP_ENDMNT'!E:E,0,0,1)</f>
        <v>3627307640.0900002</v>
      </c>
      <c r="Y419" s="44">
        <f>+_xlfn.XLOOKUP(PROYECTOS2[[#This Row],[MUNICIPIO]],'4.CAP_ENDMNT'!B:B,'4.CAP_ENDMNT'!F:F,0,0,1)</f>
        <v>5374556667.5629997</v>
      </c>
      <c r="Z419" s="44">
        <f>+_xlfn.XLOOKUP(PROYECTOS2[[#This Row],[MUNICIPIO]],'4.CAP_ENDMNT'!B:B,'4.CAP_ENDMNT'!G:G,0,0,1)</f>
        <v>556835774</v>
      </c>
      <c r="AA419" s="44">
        <f>+_xlfn.XLOOKUP(PROYECTOS2[[#This Row],[MUNICIPIO]],'4.CAP_ENDMNT'!B:B,'4.CAP_ENDMNT'!H:H,0,0,1)</f>
        <v>0</v>
      </c>
      <c r="AB419" s="44">
        <f>+_xlfn.XLOOKUP(PROYECTOS2[[#This Row],[MUNICIPIO]],'4.CAP_ENDMNT'!B:B,'4.CAP_ENDMNT'!I:I,0,0,1)</f>
        <v>556835774</v>
      </c>
      <c r="AC419" s="146">
        <f>+_xlfn.XLOOKUP(PROYECTOS2[[#This Row],[MUNICIPIO]],'4.CAP_ENDMNT'!B:B,'4.CAP_ENDMNT'!J:J,0,0,1)</f>
        <v>6.1857827997540693E-2</v>
      </c>
      <c r="AD419" s="44">
        <f>+_xlfn.XLOOKUP(PROYECTOS2[[#This Row],[MUNICIPIO]],'4.CAP_ENDMNT'!B:B,'4.CAP_ENDMNT'!K:K,0,0,1)</f>
        <v>8445028533.6529999</v>
      </c>
      <c r="AE419" s="44">
        <f>+_xlfn.XLOOKUP(PROYECTOS2[[#This Row],[MUNICIPIO]],'4.CAP_ENDMNT'!B:B,'4.CAP_ENDMNT'!L:L,0,0,1)</f>
        <v>6756022826.9224005</v>
      </c>
      <c r="AF419" s="44">
        <f>+_xlfn.XLOOKUP(PROYECTOS2[[#This Row],[MUNICIPIO]],'4.CAP_ENDMNT'!B:B,'4.CAP_ENDMNT'!M:M,0,0,1)</f>
        <v>5067017120.1918001</v>
      </c>
      <c r="AG419" s="146">
        <f>+_xlfn.XLOOKUP(PROYECTOS2[[#This Row],[MUNICIPIO]],'4.CAP_ENDMNT'!B:B,'4.CAP_ENDMNT'!N:N,0,0,1)</f>
        <v>1</v>
      </c>
      <c r="AH419" s="146">
        <f>+_xlfn.XLOOKUP(PROYECTOS2[[#This Row],[MUNICIPIO]],'4.CAP_ENDMNT'!B:B,'4.CAP_ENDMNT'!O:O,0,0,1)</f>
        <v>0.55157730220974377</v>
      </c>
      <c r="AI419" s="146">
        <f>+_xlfn.XLOOKUP(PROYECTOS2[[#This Row],[MUNICIPIO]],'4.CAP_ENDMNT'!B:B,'4.CAP_ENDMNT'!P:P,0,0,1)</f>
        <v>0.8</v>
      </c>
      <c r="AJ419" s="44" t="str">
        <f>+_xlfn.XLOOKUP(PROYECTOS2[[#This Row],[MUNICIPIO]],'4.CAP_ENDMNT'!B:B,'4.CAP_ENDMNT'!Q:Q,0,0,1)</f>
        <v>Cumple</v>
      </c>
    </row>
    <row r="420" spans="1:36" ht="15" customHeight="1">
      <c r="A420" s="44">
        <v>449</v>
      </c>
      <c r="B420" s="37" t="s">
        <v>1017</v>
      </c>
      <c r="C420" s="118">
        <v>45747</v>
      </c>
      <c r="D420" s="46" t="s">
        <v>74</v>
      </c>
      <c r="E420" s="47" t="str">
        <f>+_xlfn.XLOOKUP(PROYECTOS2[[#This Row],[MUNICIPIO]],MUNICIPIOS!A:A,MUNICIPIOS!E:E,0,0,1)</f>
        <v>Urabá</v>
      </c>
      <c r="F420" s="44" t="e" cm="1">
        <f t="array" ref="F420">+_xlfn.XLOOKUP(PROYECTOS2[[#This Row],[MUNICIPIO]],Table1[Municipio],MUNICIPIOS!F:F,0,0,1)</f>
        <v>#VALUE!</v>
      </c>
      <c r="G420" s="47" t="str">
        <f>+LOOKUP(PROYECTOS2[[#This Row],[MUNICIPIO]],Table1[Municipio],Table1[Latitud])</f>
        <v>6,149903</v>
      </c>
      <c r="H420" s="47">
        <f>+LOOKUP(PROYECTOS2[[#This Row],[MUNICIPIO]],Table1[Municipio],Table1[PDET])</f>
        <v>0</v>
      </c>
      <c r="I420" s="45">
        <f>+LOOKUP(PROYECTOS2[[#This Row],[MUNICIPIO]],Table1[Municipio],Table1[ZOMAC])</f>
        <v>0</v>
      </c>
      <c r="J420" s="34" t="str" cm="1">
        <f t="array" ref="J420">_xlfn.TEXTJOIN(", ", TRUE, IF(radicados[ID PROYECTOS]=A420, radicados[RADICADO], ""))</f>
        <v/>
      </c>
      <c r="L420" s="45"/>
      <c r="M420" s="144"/>
      <c r="N420" s="72"/>
      <c r="O420" s="147">
        <v>700000000</v>
      </c>
      <c r="P420" s="147"/>
      <c r="Q420" s="148" t="s">
        <v>1068</v>
      </c>
      <c r="R420" s="42"/>
      <c r="S420" s="40" t="s">
        <v>1079</v>
      </c>
      <c r="T420" s="40"/>
      <c r="U420" s="37" t="s">
        <v>1088</v>
      </c>
      <c r="V420" s="44">
        <f>+_xlfn.XLOOKUP(PROYECTOS2[[#This Row],[MUNICIPIO]],'4.CAP_ENDMNT'!B:B,'4.CAP_ENDMNT'!C:C,0,0,1)</f>
        <v>5</v>
      </c>
      <c r="W420" s="145">
        <f>+_xlfn.XLOOKUP(PROYECTOS2[[#This Row],[MUNICIPIO]],'4.CAP_ENDMNT'!B:B,'4.CAP_ENDMNT'!D:D,0,0,1)</f>
        <v>57277943756.629501</v>
      </c>
      <c r="X420" s="44">
        <f>+_xlfn.XLOOKUP(PROYECTOS2[[#This Row],[MUNICIPIO]],'4.CAP_ENDMNT'!B:B,'4.CAP_ENDMNT'!E:E,0,0,1)</f>
        <v>34159399600.959999</v>
      </c>
      <c r="Y420" s="44">
        <f>+_xlfn.XLOOKUP(PROYECTOS2[[#This Row],[MUNICIPIO]],'4.CAP_ENDMNT'!B:B,'4.CAP_ENDMNT'!F:F,0,0,1)</f>
        <v>23118544155.669502</v>
      </c>
      <c r="Z420" s="44">
        <f>+_xlfn.XLOOKUP(PROYECTOS2[[#This Row],[MUNICIPIO]],'4.CAP_ENDMNT'!B:B,'4.CAP_ENDMNT'!G:G,0,0,1)</f>
        <v>3450000000</v>
      </c>
      <c r="AA420" s="44">
        <f>+_xlfn.XLOOKUP(PROYECTOS2[[#This Row],[MUNICIPIO]],'4.CAP_ENDMNT'!B:B,'4.CAP_ENDMNT'!H:H,0,0,1)</f>
        <v>21452083665</v>
      </c>
      <c r="AB420" s="44">
        <f>+_xlfn.XLOOKUP(PROYECTOS2[[#This Row],[MUNICIPIO]],'4.CAP_ENDMNT'!B:B,'4.CAP_ENDMNT'!I:I,0,0,1)</f>
        <v>24902083665</v>
      </c>
      <c r="AC420" s="146">
        <f>+_xlfn.XLOOKUP(PROYECTOS2[[#This Row],[MUNICIPIO]],'4.CAP_ENDMNT'!B:B,'4.CAP_ENDMNT'!J:J,0,0,1)</f>
        <v>0.43475868775610099</v>
      </c>
      <c r="AD420" s="44">
        <f>+_xlfn.XLOOKUP(PROYECTOS2[[#This Row],[MUNICIPIO]],'4.CAP_ENDMNT'!B:B,'4.CAP_ENDMNT'!K:K,0,0,1)</f>
        <v>32375860091.629501</v>
      </c>
      <c r="AE420" s="44">
        <f>+_xlfn.XLOOKUP(PROYECTOS2[[#This Row],[MUNICIPIO]],'4.CAP_ENDMNT'!B:B,'4.CAP_ENDMNT'!L:L,0,0,1)</f>
        <v>25900688073.303604</v>
      </c>
      <c r="AF420" s="44">
        <f>+_xlfn.XLOOKUP(PROYECTOS2[[#This Row],[MUNICIPIO]],'4.CAP_ENDMNT'!B:B,'4.CAP_ENDMNT'!M:M,0,0,1)</f>
        <v>19425516054.977699</v>
      </c>
      <c r="AG420" s="146">
        <f>+_xlfn.XLOOKUP(PROYECTOS2[[#This Row],[MUNICIPIO]],'4.CAP_ENDMNT'!B:B,'4.CAP_ENDMNT'!N:N,0,0,1)</f>
        <v>0.13854262343712995</v>
      </c>
      <c r="AH420" s="146">
        <f>+_xlfn.XLOOKUP(PROYECTOS2[[#This Row],[MUNICIPIO]],'4.CAP_ENDMNT'!B:B,'4.CAP_ENDMNT'!O:O,0,0,1)</f>
        <v>0.87015152665365447</v>
      </c>
      <c r="AI420" s="146">
        <f>+_xlfn.XLOOKUP(PROYECTOS2[[#This Row],[MUNICIPIO]],'4.CAP_ENDMNT'!B:B,'4.CAP_ENDMNT'!P:P,0,0,1)</f>
        <v>0.8</v>
      </c>
      <c r="AJ420" s="44" t="str">
        <f>+_xlfn.XLOOKUP(PROYECTOS2[[#This Row],[MUNICIPIO]],'4.CAP_ENDMNT'!B:B,'4.CAP_ENDMNT'!Q:Q,0,0,1)</f>
        <v>Incumple</v>
      </c>
    </row>
    <row r="421" spans="1:36" ht="15" customHeight="1">
      <c r="A421" s="44">
        <v>450</v>
      </c>
      <c r="B421" s="37" t="s">
        <v>1018</v>
      </c>
      <c r="C421" s="118">
        <v>45747</v>
      </c>
      <c r="D421" s="46" t="s">
        <v>244</v>
      </c>
      <c r="E421" s="47" t="str">
        <f>+_xlfn.XLOOKUP(PROYECTOS2[[#This Row],[MUNICIPIO]],MUNICIPIOS!A:A,MUNICIPIOS!E:E,0,0,1)</f>
        <v>Nordeste</v>
      </c>
      <c r="F421" s="44" t="e" cm="1">
        <f t="array" ref="F421">+_xlfn.XLOOKUP(PROYECTOS2[[#This Row],[MUNICIPIO]],Table1[Municipio],MUNICIPIOS!F:F,0,0,1)</f>
        <v>#VALUE!</v>
      </c>
      <c r="G421" s="47" t="str">
        <f>+LOOKUP(PROYECTOS2[[#This Row],[MUNICIPIO]],Table1[Municipio],Table1[Latitud])</f>
        <v>6,537829</v>
      </c>
      <c r="H421" s="47">
        <f>+LOOKUP(PROYECTOS2[[#This Row],[MUNICIPIO]],Table1[Municipio],Table1[PDET])</f>
        <v>0</v>
      </c>
      <c r="I421" s="45">
        <f>+LOOKUP(PROYECTOS2[[#This Row],[MUNICIPIO]],Table1[Municipio],Table1[ZOMAC])</f>
        <v>0</v>
      </c>
      <c r="J421" s="34" t="str" cm="1">
        <f t="array" ref="J421">_xlfn.TEXTJOIN(", ", TRUE, IF(radicados[ID PROYECTOS]=A421, radicados[RADICADO], ""))</f>
        <v/>
      </c>
      <c r="K421" s="9">
        <v>1</v>
      </c>
      <c r="L421" s="45"/>
      <c r="M421" s="144"/>
      <c r="N421" s="72"/>
      <c r="O421" s="147">
        <v>1600000000</v>
      </c>
      <c r="P421" s="147"/>
      <c r="Q421" s="148" t="s">
        <v>1068</v>
      </c>
      <c r="R421" s="42" t="s">
        <v>1072</v>
      </c>
      <c r="S421" s="40" t="s">
        <v>1079</v>
      </c>
      <c r="T421" s="40"/>
      <c r="U421" s="37" t="s">
        <v>1089</v>
      </c>
      <c r="V421" s="44">
        <f>+_xlfn.XLOOKUP(PROYECTOS2[[#This Row],[MUNICIPIO]],'4.CAP_ENDMNT'!B:B,'4.CAP_ENDMNT'!C:C,0,0,1)</f>
        <v>6</v>
      </c>
      <c r="W421" s="145">
        <f>+_xlfn.XLOOKUP(PROYECTOS2[[#This Row],[MUNICIPIO]],'4.CAP_ENDMNT'!B:B,'4.CAP_ENDMNT'!D:D,0,0,1)</f>
        <v>11769915072.3085</v>
      </c>
      <c r="X421" s="44">
        <f>+_xlfn.XLOOKUP(PROYECTOS2[[#This Row],[MUNICIPIO]],'4.CAP_ENDMNT'!B:B,'4.CAP_ENDMNT'!E:E,0,0,1)</f>
        <v>4043512144.3800001</v>
      </c>
      <c r="Y421" s="44">
        <f>+_xlfn.XLOOKUP(PROYECTOS2[[#This Row],[MUNICIPIO]],'4.CAP_ENDMNT'!B:B,'4.CAP_ENDMNT'!F:F,0,0,1)</f>
        <v>7726402927.9285002</v>
      </c>
      <c r="Z421" s="44">
        <f>+_xlfn.XLOOKUP(PROYECTOS2[[#This Row],[MUNICIPIO]],'4.CAP_ENDMNT'!B:B,'4.CAP_ENDMNT'!G:G,0,0,1)</f>
        <v>3010151420</v>
      </c>
      <c r="AA421" s="44">
        <f>+_xlfn.XLOOKUP(PROYECTOS2[[#This Row],[MUNICIPIO]],'4.CAP_ENDMNT'!B:B,'4.CAP_ENDMNT'!H:H,0,0,1)</f>
        <v>0</v>
      </c>
      <c r="AB421" s="44">
        <f>+_xlfn.XLOOKUP(PROYECTOS2[[#This Row],[MUNICIPIO]],'4.CAP_ENDMNT'!B:B,'4.CAP_ENDMNT'!I:I,0,0,1)</f>
        <v>3010151420</v>
      </c>
      <c r="AC421" s="146">
        <f>+_xlfn.XLOOKUP(PROYECTOS2[[#This Row],[MUNICIPIO]],'4.CAP_ENDMNT'!B:B,'4.CAP_ENDMNT'!J:J,0,0,1)</f>
        <v>0.255749629585866</v>
      </c>
      <c r="AD421" s="44">
        <f>+_xlfn.XLOOKUP(PROYECTOS2[[#This Row],[MUNICIPIO]],'4.CAP_ENDMNT'!B:B,'4.CAP_ENDMNT'!K:K,0,0,1)</f>
        <v>8759763652.3085003</v>
      </c>
      <c r="AE421" s="44">
        <f>+_xlfn.XLOOKUP(PROYECTOS2[[#This Row],[MUNICIPIO]],'4.CAP_ENDMNT'!B:B,'4.CAP_ENDMNT'!L:L,0,0,1)</f>
        <v>7007810921.8468008</v>
      </c>
      <c r="AF421" s="44">
        <f>+_xlfn.XLOOKUP(PROYECTOS2[[#This Row],[MUNICIPIO]],'4.CAP_ENDMNT'!B:B,'4.CAP_ENDMNT'!M:M,0,0,1)</f>
        <v>5255858191.3851004</v>
      </c>
      <c r="AG421" s="146">
        <f>+_xlfn.XLOOKUP(PROYECTOS2[[#This Row],[MUNICIPIO]],'4.CAP_ENDMNT'!B:B,'4.CAP_ENDMNT'!N:N,0,0,1)</f>
        <v>1</v>
      </c>
      <c r="AH421" s="146">
        <f>+_xlfn.XLOOKUP(PROYECTOS2[[#This Row],[MUNICIPIO]],'4.CAP_ENDMNT'!B:B,'4.CAP_ENDMNT'!O:O,0,0,1)</f>
        <v>0.52320001604697897</v>
      </c>
      <c r="AI421" s="146">
        <f>+_xlfn.XLOOKUP(PROYECTOS2[[#This Row],[MUNICIPIO]],'4.CAP_ENDMNT'!B:B,'4.CAP_ENDMNT'!P:P,0,0,1)</f>
        <v>0.8</v>
      </c>
      <c r="AJ421" s="44" t="str">
        <f>+_xlfn.XLOOKUP(PROYECTOS2[[#This Row],[MUNICIPIO]],'4.CAP_ENDMNT'!B:B,'4.CAP_ENDMNT'!Q:Q,0,0,1)</f>
        <v>Cumple</v>
      </c>
    </row>
    <row r="422" spans="1:36" ht="15" customHeight="1">
      <c r="A422" s="44">
        <v>451</v>
      </c>
      <c r="B422" s="37" t="s">
        <v>1019</v>
      </c>
      <c r="C422" s="118">
        <v>45747</v>
      </c>
      <c r="D422" s="46" t="s">
        <v>4</v>
      </c>
      <c r="E422" s="47" t="str">
        <f>+_xlfn.XLOOKUP(PROYECTOS2[[#This Row],[MUNICIPIO]],MUNICIPIOS!A:A,MUNICIPIOS!E:E,0,0,1)</f>
        <v>Nordeste</v>
      </c>
      <c r="F422" s="44" t="e" cm="1">
        <f t="array" ref="F422">+_xlfn.XLOOKUP(PROYECTOS2[[#This Row],[MUNICIPIO]],Table1[Municipio],MUNICIPIOS!F:F,0,0,1)</f>
        <v>#VALUE!</v>
      </c>
      <c r="G422" s="47" t="str">
        <f>+LOOKUP(PROYECTOS2[[#This Row],[MUNICIPIO]],Table1[Municipio],Table1[Latitud])</f>
        <v>6,149903</v>
      </c>
      <c r="H422" s="47">
        <f>+LOOKUP(PROYECTOS2[[#This Row],[MUNICIPIO]],Table1[Municipio],Table1[PDET])</f>
        <v>0</v>
      </c>
      <c r="I422" s="45">
        <f>+LOOKUP(PROYECTOS2[[#This Row],[MUNICIPIO]],Table1[Municipio],Table1[ZOMAC])</f>
        <v>0</v>
      </c>
      <c r="J422" s="34" t="str" cm="1">
        <f t="array" ref="J422">_xlfn.TEXTJOIN(", ", TRUE, IF(radicados[ID PROYECTOS]=A422, radicados[RADICADO], ""))</f>
        <v/>
      </c>
      <c r="K422" s="9">
        <v>1</v>
      </c>
      <c r="L422" s="45"/>
      <c r="M422" s="144"/>
      <c r="N422" s="72"/>
      <c r="O422" s="147">
        <v>2300000000</v>
      </c>
      <c r="P422" s="147"/>
      <c r="Q422" s="148" t="s">
        <v>1068</v>
      </c>
      <c r="R422" s="42" t="s">
        <v>1072</v>
      </c>
      <c r="S422" s="40" t="s">
        <v>1079</v>
      </c>
      <c r="T422" s="40"/>
      <c r="U422" s="37" t="s">
        <v>1089</v>
      </c>
      <c r="V422" s="44">
        <f>+_xlfn.XLOOKUP(PROYECTOS2[[#This Row],[MUNICIPIO]],'4.CAP_ENDMNT'!B:B,'4.CAP_ENDMNT'!C:C,0,0,1)</f>
        <v>6</v>
      </c>
      <c r="W422" s="145">
        <f>+_xlfn.XLOOKUP(PROYECTOS2[[#This Row],[MUNICIPIO]],'4.CAP_ENDMNT'!B:B,'4.CAP_ENDMNT'!D:D,0,0,1)</f>
        <v>14438255937.0725</v>
      </c>
      <c r="X422" s="44">
        <f>+_xlfn.XLOOKUP(PROYECTOS2[[#This Row],[MUNICIPIO]],'4.CAP_ENDMNT'!B:B,'4.CAP_ENDMNT'!E:E,0,0,1)</f>
        <v>4668200945.8400002</v>
      </c>
      <c r="Y422" s="44">
        <f>+_xlfn.XLOOKUP(PROYECTOS2[[#This Row],[MUNICIPIO]],'4.CAP_ENDMNT'!B:B,'4.CAP_ENDMNT'!F:F,0,0,1)</f>
        <v>9770054991.2325001</v>
      </c>
      <c r="Z422" s="44">
        <f>+_xlfn.XLOOKUP(PROYECTOS2[[#This Row],[MUNICIPIO]],'4.CAP_ENDMNT'!B:B,'4.CAP_ENDMNT'!G:G,0,0,1)</f>
        <v>2534414723</v>
      </c>
      <c r="AA422" s="44">
        <f>+_xlfn.XLOOKUP(PROYECTOS2[[#This Row],[MUNICIPIO]],'4.CAP_ENDMNT'!B:B,'4.CAP_ENDMNT'!H:H,0,0,1)</f>
        <v>0</v>
      </c>
      <c r="AB422" s="44">
        <f>+_xlfn.XLOOKUP(PROYECTOS2[[#This Row],[MUNICIPIO]],'4.CAP_ENDMNT'!B:B,'4.CAP_ENDMNT'!I:I,0,0,1)</f>
        <v>2534414723</v>
      </c>
      <c r="AC422" s="146">
        <f>+_xlfn.XLOOKUP(PROYECTOS2[[#This Row],[MUNICIPIO]],'4.CAP_ENDMNT'!B:B,'4.CAP_ENDMNT'!J:J,0,0,1)</f>
        <v>0.17553468604836753</v>
      </c>
      <c r="AD422" s="44">
        <f>+_xlfn.XLOOKUP(PROYECTOS2[[#This Row],[MUNICIPIO]],'4.CAP_ENDMNT'!B:B,'4.CAP_ENDMNT'!K:K,0,0,1)</f>
        <v>11903841214.0725</v>
      </c>
      <c r="AE422" s="44">
        <f>+_xlfn.XLOOKUP(PROYECTOS2[[#This Row],[MUNICIPIO]],'4.CAP_ENDMNT'!B:B,'4.CAP_ENDMNT'!L:L,0,0,1)</f>
        <v>9523072971.2580013</v>
      </c>
      <c r="AF422" s="44">
        <f>+_xlfn.XLOOKUP(PROYECTOS2[[#This Row],[MUNICIPIO]],'4.CAP_ENDMNT'!B:B,'4.CAP_ENDMNT'!M:M,0,0,1)</f>
        <v>7142304728.4434996</v>
      </c>
      <c r="AG422" s="146">
        <f>+_xlfn.XLOOKUP(PROYECTOS2[[#This Row],[MUNICIPIO]],'4.CAP_ENDMNT'!B:B,'4.CAP_ENDMNT'!N:N,0,0,1)</f>
        <v>1</v>
      </c>
      <c r="AH422" s="146">
        <f>+_xlfn.XLOOKUP(PROYECTOS2[[#This Row],[MUNICIPIO]],'4.CAP_ENDMNT'!B:B,'4.CAP_ENDMNT'!O:O,0,0,1)</f>
        <v>0.5148707777903756</v>
      </c>
      <c r="AI422" s="146">
        <f>+_xlfn.XLOOKUP(PROYECTOS2[[#This Row],[MUNICIPIO]],'4.CAP_ENDMNT'!B:B,'4.CAP_ENDMNT'!P:P,0,0,1)</f>
        <v>0.8</v>
      </c>
      <c r="AJ422" s="44" t="str">
        <f>+_xlfn.XLOOKUP(PROYECTOS2[[#This Row],[MUNICIPIO]],'4.CAP_ENDMNT'!B:B,'4.CAP_ENDMNT'!Q:Q,0,0,1)</f>
        <v>Cumple</v>
      </c>
    </row>
    <row r="423" spans="1:36" ht="15" customHeight="1">
      <c r="A423" s="44">
        <v>452</v>
      </c>
      <c r="B423" s="37" t="s">
        <v>1020</v>
      </c>
      <c r="C423" s="118">
        <v>45747</v>
      </c>
      <c r="D423" s="46" t="s">
        <v>67</v>
      </c>
      <c r="E423" s="47" t="str">
        <f>+_xlfn.XLOOKUP(PROYECTOS2[[#This Row],[MUNICIPIO]],MUNICIPIOS!A:A,MUNICIPIOS!E:E,0,0,1)</f>
        <v>Nordeste</v>
      </c>
      <c r="F423" s="44" t="e" cm="1">
        <f t="array" ref="F423">+_xlfn.XLOOKUP(PROYECTOS2[[#This Row],[MUNICIPIO]],Table1[Municipio],MUNICIPIOS!F:F,0,0,1)</f>
        <v>#VALUE!</v>
      </c>
      <c r="G423" s="47" t="str">
        <f>+LOOKUP(PROYECTOS2[[#This Row],[MUNICIPIO]],Table1[Municipio],Table1[Latitud])</f>
        <v>6,149903</v>
      </c>
      <c r="H423" s="47">
        <f>+LOOKUP(PROYECTOS2[[#This Row],[MUNICIPIO]],Table1[Municipio],Table1[PDET])</f>
        <v>0</v>
      </c>
      <c r="I423" s="45">
        <f>+LOOKUP(PROYECTOS2[[#This Row],[MUNICIPIO]],Table1[Municipio],Table1[ZOMAC])</f>
        <v>0</v>
      </c>
      <c r="J423" s="34" t="str" cm="1">
        <f t="array" ref="J423">_xlfn.TEXTJOIN(", ", TRUE, IF(radicados[ID PROYECTOS]=A423, radicados[RADICADO], ""))</f>
        <v/>
      </c>
      <c r="K423" s="45">
        <v>3</v>
      </c>
      <c r="L423" s="45"/>
      <c r="M423" s="144"/>
      <c r="N423" s="72"/>
      <c r="O423" s="147">
        <v>9000000000</v>
      </c>
      <c r="P423" s="147"/>
      <c r="Q423" s="148" t="s">
        <v>1068</v>
      </c>
      <c r="R423" s="42" t="s">
        <v>1077</v>
      </c>
      <c r="S423" s="40" t="s">
        <v>1079</v>
      </c>
      <c r="T423" s="40"/>
      <c r="U423" s="37" t="s">
        <v>1090</v>
      </c>
      <c r="V423" s="44">
        <f>+_xlfn.XLOOKUP(PROYECTOS2[[#This Row],[MUNICIPIO]],'4.CAP_ENDMNT'!B:B,'4.CAP_ENDMNT'!C:C,0,0,1)</f>
        <v>6</v>
      </c>
      <c r="W423" s="145">
        <f>+_xlfn.XLOOKUP(PROYECTOS2[[#This Row],[MUNICIPIO]],'4.CAP_ENDMNT'!B:B,'4.CAP_ENDMNT'!D:D,0,0,1)</f>
        <v>18632663202.9925</v>
      </c>
      <c r="X423" s="44">
        <f>+_xlfn.XLOOKUP(PROYECTOS2[[#This Row],[MUNICIPIO]],'4.CAP_ENDMNT'!B:B,'4.CAP_ENDMNT'!E:E,0,0,1)</f>
        <v>4332293517.3299999</v>
      </c>
      <c r="Y423" s="44">
        <f>+_xlfn.XLOOKUP(PROYECTOS2[[#This Row],[MUNICIPIO]],'4.CAP_ENDMNT'!B:B,'4.CAP_ENDMNT'!F:F,0,0,1)</f>
        <v>14300369685.6625</v>
      </c>
      <c r="Z423" s="44">
        <f>+_xlfn.XLOOKUP(PROYECTOS2[[#This Row],[MUNICIPIO]],'4.CAP_ENDMNT'!B:B,'4.CAP_ENDMNT'!G:G,0,0,1)</f>
        <v>3970281006</v>
      </c>
      <c r="AA423" s="44">
        <f>+_xlfn.XLOOKUP(PROYECTOS2[[#This Row],[MUNICIPIO]],'4.CAP_ENDMNT'!B:B,'4.CAP_ENDMNT'!H:H,0,0,1)</f>
        <v>1500000000</v>
      </c>
      <c r="AB423" s="44">
        <f>+_xlfn.XLOOKUP(PROYECTOS2[[#This Row],[MUNICIPIO]],'4.CAP_ENDMNT'!B:B,'4.CAP_ENDMNT'!I:I,0,0,1)</f>
        <v>5470281006</v>
      </c>
      <c r="AC423" s="146">
        <f>+_xlfn.XLOOKUP(PROYECTOS2[[#This Row],[MUNICIPIO]],'4.CAP_ENDMNT'!B:B,'4.CAP_ENDMNT'!J:J,0,0,1)</f>
        <v>0.29358556779588252</v>
      </c>
      <c r="AD423" s="44">
        <f>+_xlfn.XLOOKUP(PROYECTOS2[[#This Row],[MUNICIPIO]],'4.CAP_ENDMNT'!B:B,'4.CAP_ENDMNT'!K:K,0,0,1)</f>
        <v>13162382196.9925</v>
      </c>
      <c r="AE423" s="44">
        <f>+_xlfn.XLOOKUP(PROYECTOS2[[#This Row],[MUNICIPIO]],'4.CAP_ENDMNT'!B:B,'4.CAP_ENDMNT'!L:L,0,0,1)</f>
        <v>10529905757.594002</v>
      </c>
      <c r="AF423" s="44">
        <f>+_xlfn.XLOOKUP(PROYECTOS2[[#This Row],[MUNICIPIO]],'4.CAP_ENDMNT'!B:B,'4.CAP_ENDMNT'!M:M,0,0,1)</f>
        <v>7897429318.1954994</v>
      </c>
      <c r="AG423" s="146">
        <f>+_xlfn.XLOOKUP(PROYECTOS2[[#This Row],[MUNICIPIO]],'4.CAP_ENDMNT'!B:B,'4.CAP_ENDMNT'!N:N,0,0,1)</f>
        <v>0.72579105198531002</v>
      </c>
      <c r="AH423" s="146">
        <f>+_xlfn.XLOOKUP(PROYECTOS2[[#This Row],[MUNICIPIO]],'4.CAP_ENDMNT'!B:B,'4.CAP_ENDMNT'!O:O,0,0,1)</f>
        <v>0.44683077557401057</v>
      </c>
      <c r="AI423" s="146">
        <f>+_xlfn.XLOOKUP(PROYECTOS2[[#This Row],[MUNICIPIO]],'4.CAP_ENDMNT'!B:B,'4.CAP_ENDMNT'!P:P,0,0,1)</f>
        <v>0.8</v>
      </c>
      <c r="AJ423" s="44" t="str">
        <f>+_xlfn.XLOOKUP(PROYECTOS2[[#This Row],[MUNICIPIO]],'4.CAP_ENDMNT'!B:B,'4.CAP_ENDMNT'!Q:Q,0,0,1)</f>
        <v>Cumple</v>
      </c>
    </row>
    <row r="424" spans="1:36" ht="15" customHeight="1">
      <c r="A424" s="44">
        <v>453</v>
      </c>
      <c r="B424" s="37" t="s">
        <v>1021</v>
      </c>
      <c r="C424" s="118">
        <v>45747</v>
      </c>
      <c r="D424" s="46" t="s">
        <v>11</v>
      </c>
      <c r="E424" s="47" t="str">
        <f>+_xlfn.XLOOKUP(PROYECTOS2[[#This Row],[MUNICIPIO]],MUNICIPIOS!A:A,MUNICIPIOS!E:E,0,0,1)</f>
        <v>Magdalena Medio</v>
      </c>
      <c r="F424" s="44" t="e" cm="1">
        <f t="array" ref="F424">+_xlfn.XLOOKUP(PROYECTOS2[[#This Row],[MUNICIPIO]],Table1[Municipio],MUNICIPIOS!F:F,0,0,1)</f>
        <v>#VALUE!</v>
      </c>
      <c r="G424" s="47" t="str">
        <f>+LOOKUP(PROYECTOS2[[#This Row],[MUNICIPIO]],Table1[Municipio],Table1[Latitud])</f>
        <v>6,246631</v>
      </c>
      <c r="H424" s="47">
        <f>+LOOKUP(PROYECTOS2[[#This Row],[MUNICIPIO]],Table1[Municipio],Table1[PDET])</f>
        <v>0</v>
      </c>
      <c r="I424" s="45">
        <f>+LOOKUP(PROYECTOS2[[#This Row],[MUNICIPIO]],Table1[Municipio],Table1[ZOMAC])</f>
        <v>0</v>
      </c>
      <c r="J424" s="34" t="str" cm="1">
        <f t="array" ref="J424">_xlfn.TEXTJOIN(", ", TRUE, IF(radicados[ID PROYECTOS]=A424, radicados[RADICADO], ""))</f>
        <v/>
      </c>
      <c r="K424" s="45">
        <v>3</v>
      </c>
      <c r="L424" s="45"/>
      <c r="M424" s="144"/>
      <c r="N424" s="72"/>
      <c r="O424" s="147">
        <v>10000000000</v>
      </c>
      <c r="P424" s="147"/>
      <c r="Q424" s="148" t="s">
        <v>1068</v>
      </c>
      <c r="R424" s="42" t="s">
        <v>1077</v>
      </c>
      <c r="S424" s="40" t="s">
        <v>1079</v>
      </c>
      <c r="T424" s="40"/>
      <c r="U424" s="37" t="s">
        <v>1090</v>
      </c>
      <c r="V424" s="44">
        <f>+_xlfn.XLOOKUP(PROYECTOS2[[#This Row],[MUNICIPIO]],'4.CAP_ENDMNT'!B:B,'4.CAP_ENDMNT'!C:C,0,0,1)</f>
        <v>6</v>
      </c>
      <c r="W424" s="145">
        <f>+_xlfn.XLOOKUP(PROYECTOS2[[#This Row],[MUNICIPIO]],'4.CAP_ENDMNT'!B:B,'4.CAP_ENDMNT'!D:D,0,0,1)</f>
        <v>22896432570.9105</v>
      </c>
      <c r="X424" s="44">
        <f>+_xlfn.XLOOKUP(PROYECTOS2[[#This Row],[MUNICIPIO]],'4.CAP_ENDMNT'!B:B,'4.CAP_ENDMNT'!E:E,0,0,1)</f>
        <v>6514105665.9899998</v>
      </c>
      <c r="Y424" s="44">
        <f>+_xlfn.XLOOKUP(PROYECTOS2[[#This Row],[MUNICIPIO]],'4.CAP_ENDMNT'!B:B,'4.CAP_ENDMNT'!F:F,0,0,1)</f>
        <v>16382326904.9205</v>
      </c>
      <c r="Z424" s="44">
        <f>+_xlfn.XLOOKUP(PROYECTOS2[[#This Row],[MUNICIPIO]],'4.CAP_ENDMNT'!B:B,'4.CAP_ENDMNT'!G:G,0,0,1)</f>
        <v>15087488121</v>
      </c>
      <c r="AA424" s="44">
        <f>+_xlfn.XLOOKUP(PROYECTOS2[[#This Row],[MUNICIPIO]],'4.CAP_ENDMNT'!B:B,'4.CAP_ENDMNT'!H:H,0,0,1)</f>
        <v>152370595</v>
      </c>
      <c r="AB424" s="44">
        <f>+_xlfn.XLOOKUP(PROYECTOS2[[#This Row],[MUNICIPIO]],'4.CAP_ENDMNT'!B:B,'4.CAP_ENDMNT'!I:I,0,0,1)</f>
        <v>15239858716</v>
      </c>
      <c r="AC424" s="146">
        <f>+_xlfn.XLOOKUP(PROYECTOS2[[#This Row],[MUNICIPIO]],'4.CAP_ENDMNT'!B:B,'4.CAP_ENDMNT'!J:J,0,0,1)</f>
        <v>0.66559970287082904</v>
      </c>
      <c r="AD424" s="44">
        <f>+_xlfn.XLOOKUP(PROYECTOS2[[#This Row],[MUNICIPIO]],'4.CAP_ENDMNT'!B:B,'4.CAP_ENDMNT'!K:K,0,0,1)</f>
        <v>7656573854.9104996</v>
      </c>
      <c r="AE424" s="44">
        <f>+_xlfn.XLOOKUP(PROYECTOS2[[#This Row],[MUNICIPIO]],'4.CAP_ENDMNT'!B:B,'4.CAP_ENDMNT'!L:L,0,0,1)</f>
        <v>6125259083.9284</v>
      </c>
      <c r="AF424" s="44">
        <f>+_xlfn.XLOOKUP(PROYECTOS2[[#This Row],[MUNICIPIO]],'4.CAP_ENDMNT'!B:B,'4.CAP_ENDMNT'!M:M,0,0,1)</f>
        <v>4593944312.9462996</v>
      </c>
      <c r="AG424" s="146">
        <f>+_xlfn.XLOOKUP(PROYECTOS2[[#This Row],[MUNICIPIO]],'4.CAP_ENDMNT'!B:B,'4.CAP_ENDMNT'!N:N,0,0,1)</f>
        <v>0.99000183677293352</v>
      </c>
      <c r="AH424" s="146">
        <f>+_xlfn.XLOOKUP(PROYECTOS2[[#This Row],[MUNICIPIO]],'4.CAP_ENDMNT'!B:B,'4.CAP_ENDMNT'!O:O,0,0,1)</f>
        <v>0.53987925149269589</v>
      </c>
      <c r="AI424" s="146">
        <f>+_xlfn.XLOOKUP(PROYECTOS2[[#This Row],[MUNICIPIO]],'4.CAP_ENDMNT'!B:B,'4.CAP_ENDMNT'!P:P,0,0,1)</f>
        <v>0.8</v>
      </c>
      <c r="AJ424" s="44" t="str">
        <f>+_xlfn.XLOOKUP(PROYECTOS2[[#This Row],[MUNICIPIO]],'4.CAP_ENDMNT'!B:B,'4.CAP_ENDMNT'!Q:Q,0,0,1)</f>
        <v>Cumple</v>
      </c>
    </row>
    <row r="425" spans="1:36" ht="15" customHeight="1">
      <c r="A425" s="44">
        <v>454</v>
      </c>
      <c r="B425" s="37" t="s">
        <v>1022</v>
      </c>
      <c r="C425" s="118">
        <v>45747</v>
      </c>
      <c r="D425" s="46" t="s">
        <v>796</v>
      </c>
      <c r="E425" s="47" t="str">
        <f>+_xlfn.XLOOKUP(PROYECTOS2[[#This Row],[MUNICIPIO]],MUNICIPIOS!A:A,MUNICIPIOS!E:E,0,0,1)</f>
        <v>Norte</v>
      </c>
      <c r="F425" s="44" t="e" cm="1">
        <f t="array" ref="F425">+_xlfn.XLOOKUP(PROYECTOS2[[#This Row],[MUNICIPIO]],Table1[Municipio],MUNICIPIOS!F:F,0,0,1)</f>
        <v>#VALUE!</v>
      </c>
      <c r="G425" s="47" t="str">
        <f>+LOOKUP(PROYECTOS2[[#This Row],[MUNICIPIO]],Table1[Municipio],Table1[Latitud])</f>
        <v>7,074703</v>
      </c>
      <c r="H425" s="47">
        <f>+LOOKUP(PROYECTOS2[[#This Row],[MUNICIPIO]],Table1[Municipio],Table1[PDET])</f>
        <v>1</v>
      </c>
      <c r="I425" s="45">
        <f>+LOOKUP(PROYECTOS2[[#This Row],[MUNICIPIO]],Table1[Municipio],Table1[ZOMAC])</f>
        <v>1</v>
      </c>
      <c r="J425" s="34" t="str" cm="1">
        <f t="array" ref="J425">_xlfn.TEXTJOIN(", ", TRUE, IF(radicados[ID PROYECTOS]=A425, radicados[RADICADO], ""))</f>
        <v/>
      </c>
      <c r="K425" s="9">
        <v>1</v>
      </c>
      <c r="L425" s="45"/>
      <c r="M425" s="144"/>
      <c r="N425" s="72"/>
      <c r="O425" s="147">
        <v>700000000</v>
      </c>
      <c r="P425" s="147"/>
      <c r="Q425" s="148" t="s">
        <v>1068</v>
      </c>
      <c r="R425" s="42" t="s">
        <v>1072</v>
      </c>
      <c r="S425" s="40" t="s">
        <v>1079</v>
      </c>
      <c r="T425" s="40"/>
      <c r="U425" s="37" t="s">
        <v>1089</v>
      </c>
      <c r="V425" s="44">
        <f>+_xlfn.XLOOKUP(PROYECTOS2[[#This Row],[MUNICIPIO]],'4.CAP_ENDMNT'!B:B,'4.CAP_ENDMNT'!C:C,0,0,1)</f>
        <v>6</v>
      </c>
      <c r="W425" s="145">
        <f>+_xlfn.XLOOKUP(PROYECTOS2[[#This Row],[MUNICIPIO]],'4.CAP_ENDMNT'!B:B,'4.CAP_ENDMNT'!D:D,0,0,1)</f>
        <v>12753516160.956001</v>
      </c>
      <c r="X425" s="44">
        <f>+_xlfn.XLOOKUP(PROYECTOS2[[#This Row],[MUNICIPIO]],'4.CAP_ENDMNT'!B:B,'4.CAP_ENDMNT'!E:E,0,0,1)</f>
        <v>2768667331.0500002</v>
      </c>
      <c r="Y425" s="44">
        <f>+_xlfn.XLOOKUP(PROYECTOS2[[#This Row],[MUNICIPIO]],'4.CAP_ENDMNT'!B:B,'4.CAP_ENDMNT'!F:F,0,0,1)</f>
        <v>9984848829.906002</v>
      </c>
      <c r="Z425" s="44">
        <f>+_xlfn.XLOOKUP(PROYECTOS2[[#This Row],[MUNICIPIO]],'4.CAP_ENDMNT'!B:B,'4.CAP_ENDMNT'!G:G,0,0,1)</f>
        <v>1244778755</v>
      </c>
      <c r="AA425" s="44">
        <f>+_xlfn.XLOOKUP(PROYECTOS2[[#This Row],[MUNICIPIO]],'4.CAP_ENDMNT'!B:B,'4.CAP_ENDMNT'!H:H,0,0,1)</f>
        <v>0</v>
      </c>
      <c r="AB425" s="44">
        <f>+_xlfn.XLOOKUP(PROYECTOS2[[#This Row],[MUNICIPIO]],'4.CAP_ENDMNT'!B:B,'4.CAP_ENDMNT'!I:I,0,0,1)</f>
        <v>1244778755</v>
      </c>
      <c r="AC425" s="146">
        <f>+_xlfn.XLOOKUP(PROYECTOS2[[#This Row],[MUNICIPIO]],'4.CAP_ENDMNT'!B:B,'4.CAP_ENDMNT'!J:J,0,0,1)</f>
        <v>9.760278963779441E-2</v>
      </c>
      <c r="AD425" s="44">
        <f>+_xlfn.XLOOKUP(PROYECTOS2[[#This Row],[MUNICIPIO]],'4.CAP_ENDMNT'!B:B,'4.CAP_ENDMNT'!K:K,0,0,1)</f>
        <v>11508737405.956001</v>
      </c>
      <c r="AE425" s="44">
        <f>+_xlfn.XLOOKUP(PROYECTOS2[[#This Row],[MUNICIPIO]],'4.CAP_ENDMNT'!B:B,'4.CAP_ENDMNT'!L:L,0,0,1)</f>
        <v>9206989924.764801</v>
      </c>
      <c r="AF425" s="44">
        <f>+_xlfn.XLOOKUP(PROYECTOS2[[#This Row],[MUNICIPIO]],'4.CAP_ENDMNT'!B:B,'4.CAP_ENDMNT'!M:M,0,0,1)</f>
        <v>6905242443.5736008</v>
      </c>
      <c r="AG425" s="146">
        <f>+_xlfn.XLOOKUP(PROYECTOS2[[#This Row],[MUNICIPIO]],'4.CAP_ENDMNT'!B:B,'4.CAP_ENDMNT'!N:N,0,0,1)</f>
        <v>1</v>
      </c>
      <c r="AH425" s="146">
        <f>+_xlfn.XLOOKUP(PROYECTOS2[[#This Row],[MUNICIPIO]],'4.CAP_ENDMNT'!B:B,'4.CAP_ENDMNT'!O:O,0,0,1)</f>
        <v>0.7839967136976107</v>
      </c>
      <c r="AI425" s="146">
        <f>+_xlfn.XLOOKUP(PROYECTOS2[[#This Row],[MUNICIPIO]],'4.CAP_ENDMNT'!B:B,'4.CAP_ENDMNT'!P:P,0,0,1)</f>
        <v>0.8</v>
      </c>
      <c r="AJ425" s="44" t="str">
        <f>+_xlfn.XLOOKUP(PROYECTOS2[[#This Row],[MUNICIPIO]],'4.CAP_ENDMNT'!B:B,'4.CAP_ENDMNT'!Q:Q,0,0,1)</f>
        <v>Riesgo</v>
      </c>
    </row>
    <row r="426" spans="1:36" ht="15" customHeight="1">
      <c r="A426" s="44">
        <v>455</v>
      </c>
      <c r="B426" s="37" t="s">
        <v>1023</v>
      </c>
      <c r="C426" s="118">
        <v>45747</v>
      </c>
      <c r="D426" s="46" t="s">
        <v>35</v>
      </c>
      <c r="E426" s="47" t="str">
        <f>+_xlfn.XLOOKUP(PROYECTOS2[[#This Row],[MUNICIPIO]],MUNICIPIOS!A:A,MUNICIPIOS!E:E,0,0,1)</f>
        <v>Norte</v>
      </c>
      <c r="F426" s="44" t="e" cm="1">
        <f t="array" ref="F426">+_xlfn.XLOOKUP(PROYECTOS2[[#This Row],[MUNICIPIO]],Table1[Municipio],MUNICIPIOS!F:F,0,0,1)</f>
        <v>#VALUE!</v>
      </c>
      <c r="G426" s="47" t="str">
        <f>+LOOKUP(PROYECTOS2[[#This Row],[MUNICIPIO]],Table1[Municipio],Table1[Latitud])</f>
        <v>6,394348</v>
      </c>
      <c r="H426" s="47">
        <f>+LOOKUP(PROYECTOS2[[#This Row],[MUNICIPIO]],Table1[Municipio],Table1[PDET])</f>
        <v>0</v>
      </c>
      <c r="I426" s="45">
        <f>+LOOKUP(PROYECTOS2[[#This Row],[MUNICIPIO]],Table1[Municipio],Table1[ZOMAC])</f>
        <v>1</v>
      </c>
      <c r="J426" s="34" t="str" cm="1">
        <f t="array" ref="J426">_xlfn.TEXTJOIN(", ", TRUE, IF(radicados[ID PROYECTOS]=A426, radicados[RADICADO], ""))</f>
        <v/>
      </c>
      <c r="K426" s="9">
        <v>1</v>
      </c>
      <c r="L426" s="45"/>
      <c r="M426" s="144"/>
      <c r="N426" s="72"/>
      <c r="O426" s="147">
        <v>800000000</v>
      </c>
      <c r="P426" s="147"/>
      <c r="Q426" s="148" t="s">
        <v>1068</v>
      </c>
      <c r="R426" s="42" t="s">
        <v>1072</v>
      </c>
      <c r="S426" s="40" t="s">
        <v>1079</v>
      </c>
      <c r="T426" s="40"/>
      <c r="U426" s="37" t="s">
        <v>1089</v>
      </c>
      <c r="V426" s="44">
        <f>+_xlfn.XLOOKUP(PROYECTOS2[[#This Row],[MUNICIPIO]],'4.CAP_ENDMNT'!B:B,'4.CAP_ENDMNT'!C:C,0,0,1)</f>
        <v>6</v>
      </c>
      <c r="W426" s="145">
        <f>+_xlfn.XLOOKUP(PROYECTOS2[[#This Row],[MUNICIPIO]],'4.CAP_ENDMNT'!B:B,'4.CAP_ENDMNT'!D:D,0,0,1)</f>
        <v>24529039369.539501</v>
      </c>
      <c r="X426" s="44">
        <f>+_xlfn.XLOOKUP(PROYECTOS2[[#This Row],[MUNICIPIO]],'4.CAP_ENDMNT'!B:B,'4.CAP_ENDMNT'!E:E,0,0,1)</f>
        <v>8973012363.6700001</v>
      </c>
      <c r="Y426" s="44">
        <f>+_xlfn.XLOOKUP(PROYECTOS2[[#This Row],[MUNICIPIO]],'4.CAP_ENDMNT'!B:B,'4.CAP_ENDMNT'!F:F,0,0,1)</f>
        <v>15556027005.869501</v>
      </c>
      <c r="Z426" s="44">
        <f>+_xlfn.XLOOKUP(PROYECTOS2[[#This Row],[MUNICIPIO]],'4.CAP_ENDMNT'!B:B,'4.CAP_ENDMNT'!G:G,0,0,1)</f>
        <v>7973050390</v>
      </c>
      <c r="AA426" s="44">
        <f>+_xlfn.XLOOKUP(PROYECTOS2[[#This Row],[MUNICIPIO]],'4.CAP_ENDMNT'!B:B,'4.CAP_ENDMNT'!H:H,0,0,1)</f>
        <v>1625381984</v>
      </c>
      <c r="AB426" s="44">
        <f>+_xlfn.XLOOKUP(PROYECTOS2[[#This Row],[MUNICIPIO]],'4.CAP_ENDMNT'!B:B,'4.CAP_ENDMNT'!I:I,0,0,1)</f>
        <v>9598432374</v>
      </c>
      <c r="AC426" s="146">
        <f>+_xlfn.XLOOKUP(PROYECTOS2[[#This Row],[MUNICIPIO]],'4.CAP_ENDMNT'!B:B,'4.CAP_ENDMNT'!J:J,0,0,1)</f>
        <v>0.39130893914742809</v>
      </c>
      <c r="AD426" s="44">
        <f>+_xlfn.XLOOKUP(PROYECTOS2[[#This Row],[MUNICIPIO]],'4.CAP_ENDMNT'!B:B,'4.CAP_ENDMNT'!K:K,0,0,1)</f>
        <v>14930606995.539501</v>
      </c>
      <c r="AE426" s="44">
        <f>+_xlfn.XLOOKUP(PROYECTOS2[[#This Row],[MUNICIPIO]],'4.CAP_ENDMNT'!B:B,'4.CAP_ENDMNT'!L:L,0,0,1)</f>
        <v>11944485596.431602</v>
      </c>
      <c r="AF426" s="44">
        <f>+_xlfn.XLOOKUP(PROYECTOS2[[#This Row],[MUNICIPIO]],'4.CAP_ENDMNT'!B:B,'4.CAP_ENDMNT'!M:M,0,0,1)</f>
        <v>8958364197.3237</v>
      </c>
      <c r="AG426" s="146">
        <f>+_xlfn.XLOOKUP(PROYECTOS2[[#This Row],[MUNICIPIO]],'4.CAP_ENDMNT'!B:B,'4.CAP_ENDMNT'!N:N,0,0,1)</f>
        <v>0.83066172467883448</v>
      </c>
      <c r="AH426" s="146">
        <f>+_xlfn.XLOOKUP(PROYECTOS2[[#This Row],[MUNICIPIO]],'4.CAP_ENDMNT'!B:B,'4.CAP_ENDMNT'!O:O,0,0,1)</f>
        <v>0.53024343717246458</v>
      </c>
      <c r="AI426" s="146">
        <f>+_xlfn.XLOOKUP(PROYECTOS2[[#This Row],[MUNICIPIO]],'4.CAP_ENDMNT'!B:B,'4.CAP_ENDMNT'!P:P,0,0,1)</f>
        <v>0.8</v>
      </c>
      <c r="AJ426" s="44" t="str">
        <f>+_xlfn.XLOOKUP(PROYECTOS2[[#This Row],[MUNICIPIO]],'4.CAP_ENDMNT'!B:B,'4.CAP_ENDMNT'!Q:Q,0,0,1)</f>
        <v>Cumple</v>
      </c>
    </row>
    <row r="427" spans="1:36" ht="15" customHeight="1">
      <c r="A427" s="44">
        <v>456</v>
      </c>
      <c r="B427" s="37" t="s">
        <v>1024</v>
      </c>
      <c r="C427" s="118">
        <v>45747</v>
      </c>
      <c r="D427" s="46" t="s">
        <v>324</v>
      </c>
      <c r="E427" s="47" t="str">
        <f>+_xlfn.XLOOKUP(PROYECTOS2[[#This Row],[MUNICIPIO]],MUNICIPIOS!A:A,MUNICIPIOS!E:E,0,0,1)</f>
        <v>Norte</v>
      </c>
      <c r="F427" s="44" t="e" cm="1">
        <f t="array" ref="F427">+_xlfn.XLOOKUP(PROYECTOS2[[#This Row],[MUNICIPIO]],Table1[Municipio],MUNICIPIOS!F:F,0,0,1)</f>
        <v>#VALUE!</v>
      </c>
      <c r="G427" s="47" t="str">
        <f>+LOOKUP(PROYECTOS2[[#This Row],[MUNICIPIO]],Table1[Municipio],Table1[Latitud])</f>
        <v>6,149903</v>
      </c>
      <c r="H427" s="47">
        <f>+LOOKUP(PROYECTOS2[[#This Row],[MUNICIPIO]],Table1[Municipio],Table1[PDET])</f>
        <v>0</v>
      </c>
      <c r="I427" s="45">
        <f>+LOOKUP(PROYECTOS2[[#This Row],[MUNICIPIO]],Table1[Municipio],Table1[ZOMAC])</f>
        <v>0</v>
      </c>
      <c r="J427" s="34" t="str" cm="1">
        <f t="array" ref="J427">_xlfn.TEXTJOIN(", ", TRUE, IF(radicados[ID PROYECTOS]=A427, radicados[RADICADO], ""))</f>
        <v/>
      </c>
      <c r="K427" s="9">
        <v>1</v>
      </c>
      <c r="L427" s="45"/>
      <c r="M427" s="144"/>
      <c r="N427" s="72"/>
      <c r="O427" s="147">
        <v>400000000</v>
      </c>
      <c r="P427" s="147"/>
      <c r="Q427" s="148" t="s">
        <v>1068</v>
      </c>
      <c r="R427" s="42" t="s">
        <v>1072</v>
      </c>
      <c r="S427" s="40" t="s">
        <v>1079</v>
      </c>
      <c r="T427" s="40"/>
      <c r="U427" s="37" t="s">
        <v>1089</v>
      </c>
      <c r="V427" s="44">
        <f>+_xlfn.XLOOKUP(PROYECTOS2[[#This Row],[MUNICIPIO]],'4.CAP_ENDMNT'!B:B,'4.CAP_ENDMNT'!C:C,0,0,1)</f>
        <v>5</v>
      </c>
      <c r="W427" s="145">
        <f>+_xlfn.XLOOKUP(PROYECTOS2[[#This Row],[MUNICIPIO]],'4.CAP_ENDMNT'!B:B,'4.CAP_ENDMNT'!D:D,0,0,1)</f>
        <v>37911059539.454002</v>
      </c>
      <c r="X427" s="44">
        <f>+_xlfn.XLOOKUP(PROYECTOS2[[#This Row],[MUNICIPIO]],'4.CAP_ENDMNT'!B:B,'4.CAP_ENDMNT'!E:E,0,0,1)</f>
        <v>12962308085.960001</v>
      </c>
      <c r="Y427" s="44">
        <f>+_xlfn.XLOOKUP(PROYECTOS2[[#This Row],[MUNICIPIO]],'4.CAP_ENDMNT'!B:B,'4.CAP_ENDMNT'!F:F,0,0,1)</f>
        <v>24948751453.494003</v>
      </c>
      <c r="Z427" s="44">
        <f>+_xlfn.XLOOKUP(PROYECTOS2[[#This Row],[MUNICIPIO]],'4.CAP_ENDMNT'!B:B,'4.CAP_ENDMNT'!G:G,0,0,1)</f>
        <v>8258858552.8800001</v>
      </c>
      <c r="AA427" s="44">
        <f>+_xlfn.XLOOKUP(PROYECTOS2[[#This Row],[MUNICIPIO]],'4.CAP_ENDMNT'!B:B,'4.CAP_ENDMNT'!H:H,0,0,1)</f>
        <v>2659839682.1199999</v>
      </c>
      <c r="AB427" s="44">
        <f>+_xlfn.XLOOKUP(PROYECTOS2[[#This Row],[MUNICIPIO]],'4.CAP_ENDMNT'!B:B,'4.CAP_ENDMNT'!I:I,0,0,1)</f>
        <v>10918698235</v>
      </c>
      <c r="AC427" s="146">
        <f>+_xlfn.XLOOKUP(PROYECTOS2[[#This Row],[MUNICIPIO]],'4.CAP_ENDMNT'!B:B,'4.CAP_ENDMNT'!J:J,0,0,1)</f>
        <v>0.28800825847763295</v>
      </c>
      <c r="AD427" s="44">
        <f>+_xlfn.XLOOKUP(PROYECTOS2[[#This Row],[MUNICIPIO]],'4.CAP_ENDMNT'!B:B,'4.CAP_ENDMNT'!K:K,0,0,1)</f>
        <v>26992361304.454002</v>
      </c>
      <c r="AE427" s="44">
        <f>+_xlfn.XLOOKUP(PROYECTOS2[[#This Row],[MUNICIPIO]],'4.CAP_ENDMNT'!B:B,'4.CAP_ENDMNT'!L:L,0,0,1)</f>
        <v>21593889043.563202</v>
      </c>
      <c r="AF427" s="44">
        <f>+_xlfn.XLOOKUP(PROYECTOS2[[#This Row],[MUNICIPIO]],'4.CAP_ENDMNT'!B:B,'4.CAP_ENDMNT'!M:M,0,0,1)</f>
        <v>16195416782.672401</v>
      </c>
      <c r="AG427" s="146">
        <f>+_xlfn.XLOOKUP(PROYECTOS2[[#This Row],[MUNICIPIO]],'4.CAP_ENDMNT'!B:B,'4.CAP_ENDMNT'!N:N,0,0,1)</f>
        <v>0.75639589767268622</v>
      </c>
      <c r="AH427" s="146">
        <f>+_xlfn.XLOOKUP(PROYECTOS2[[#This Row],[MUNICIPIO]],'4.CAP_ENDMNT'!B:B,'4.CAP_ENDMNT'!O:O,0,0,1)</f>
        <v>0.52584208336367533</v>
      </c>
      <c r="AI427" s="146">
        <f>+_xlfn.XLOOKUP(PROYECTOS2[[#This Row],[MUNICIPIO]],'4.CAP_ENDMNT'!B:B,'4.CAP_ENDMNT'!P:P,0,0,1)</f>
        <v>0.8</v>
      </c>
      <c r="AJ427" s="44" t="str">
        <f>+_xlfn.XLOOKUP(PROYECTOS2[[#This Row],[MUNICIPIO]],'4.CAP_ENDMNT'!B:B,'4.CAP_ENDMNT'!Q:Q,0,0,1)</f>
        <v>Cumple</v>
      </c>
    </row>
    <row r="428" spans="1:36" ht="15" customHeight="1">
      <c r="A428" s="44">
        <v>457</v>
      </c>
      <c r="B428" s="37" t="s">
        <v>1025</v>
      </c>
      <c r="C428" s="118">
        <v>45747</v>
      </c>
      <c r="D428" s="46" t="s">
        <v>326</v>
      </c>
      <c r="E428" s="47" t="str">
        <f>+_xlfn.XLOOKUP(PROYECTOS2[[#This Row],[MUNICIPIO]],MUNICIPIOS!A:A,MUNICIPIOS!E:E,0,0,1)</f>
        <v>Norte</v>
      </c>
      <c r="F428" s="44" t="e" cm="1">
        <f t="array" ref="F428">+_xlfn.XLOOKUP(PROYECTOS2[[#This Row],[MUNICIPIO]],Table1[Municipio],MUNICIPIOS!F:F,0,0,1)</f>
        <v>#VALUE!</v>
      </c>
      <c r="G428" s="47" t="str">
        <f>+LOOKUP(PROYECTOS2[[#This Row],[MUNICIPIO]],Table1[Municipio],Table1[Latitud])</f>
        <v>6,136871</v>
      </c>
      <c r="H428" s="47">
        <f>+LOOKUP(PROYECTOS2[[#This Row],[MUNICIPIO]],Table1[Municipio],Table1[PDET])</f>
        <v>0</v>
      </c>
      <c r="I428" s="45">
        <f>+LOOKUP(PROYECTOS2[[#This Row],[MUNICIPIO]],Table1[Municipio],Table1[ZOMAC])</f>
        <v>0</v>
      </c>
      <c r="J428" s="34" t="str" cm="1">
        <f t="array" ref="J428">_xlfn.TEXTJOIN(", ", TRUE, IF(radicados[ID PROYECTOS]=A428, radicados[RADICADO], ""))</f>
        <v/>
      </c>
      <c r="K428" s="9">
        <v>2</v>
      </c>
      <c r="L428" s="45"/>
      <c r="M428" s="144"/>
      <c r="N428" s="72"/>
      <c r="O428" s="147">
        <v>826048109</v>
      </c>
      <c r="P428" s="147"/>
      <c r="Q428" s="148" t="s">
        <v>1068</v>
      </c>
      <c r="R428" s="42" t="s">
        <v>1072</v>
      </c>
      <c r="S428" s="40" t="s">
        <v>1079</v>
      </c>
      <c r="T428" s="40"/>
      <c r="U428" s="37" t="s">
        <v>1089</v>
      </c>
      <c r="V428" s="44">
        <f>+_xlfn.XLOOKUP(PROYECTOS2[[#This Row],[MUNICIPIO]],'4.CAP_ENDMNT'!B:B,'4.CAP_ENDMNT'!C:C,0,0,1)</f>
        <v>6</v>
      </c>
      <c r="W428" s="145">
        <f>+_xlfn.XLOOKUP(PROYECTOS2[[#This Row],[MUNICIPIO]],'4.CAP_ENDMNT'!B:B,'4.CAP_ENDMNT'!D:D,0,0,1)</f>
        <v>18940820544.593998</v>
      </c>
      <c r="X428" s="44">
        <f>+_xlfn.XLOOKUP(PROYECTOS2[[#This Row],[MUNICIPIO]],'4.CAP_ENDMNT'!B:B,'4.CAP_ENDMNT'!E:E,0,0,1)</f>
        <v>5983055403.6199999</v>
      </c>
      <c r="Y428" s="44">
        <f>+_xlfn.XLOOKUP(PROYECTOS2[[#This Row],[MUNICIPIO]],'4.CAP_ENDMNT'!B:B,'4.CAP_ENDMNT'!F:F,0,0,1)</f>
        <v>12957765140.973999</v>
      </c>
      <c r="Z428" s="44">
        <f>+_xlfn.XLOOKUP(PROYECTOS2[[#This Row],[MUNICIPIO]],'4.CAP_ENDMNT'!B:B,'4.CAP_ENDMNT'!G:G,0,0,1)</f>
        <v>528703455</v>
      </c>
      <c r="AA428" s="44">
        <f>+_xlfn.XLOOKUP(PROYECTOS2[[#This Row],[MUNICIPIO]],'4.CAP_ENDMNT'!B:B,'4.CAP_ENDMNT'!H:H,0,0,1)</f>
        <v>4617666038</v>
      </c>
      <c r="AB428" s="44">
        <f>+_xlfn.XLOOKUP(PROYECTOS2[[#This Row],[MUNICIPIO]],'4.CAP_ENDMNT'!B:B,'4.CAP_ENDMNT'!I:I,0,0,1)</f>
        <v>5146369493</v>
      </c>
      <c r="AC428" s="146">
        <f>+_xlfn.XLOOKUP(PROYECTOS2[[#This Row],[MUNICIPIO]],'4.CAP_ENDMNT'!B:B,'4.CAP_ENDMNT'!J:J,0,0,1)</f>
        <v>0.27170784290382038</v>
      </c>
      <c r="AD428" s="44">
        <f>+_xlfn.XLOOKUP(PROYECTOS2[[#This Row],[MUNICIPIO]],'4.CAP_ENDMNT'!B:B,'4.CAP_ENDMNT'!K:K,0,0,1)</f>
        <v>13794451051.593998</v>
      </c>
      <c r="AE428" s="44">
        <f>+_xlfn.XLOOKUP(PROYECTOS2[[#This Row],[MUNICIPIO]],'4.CAP_ENDMNT'!B:B,'4.CAP_ENDMNT'!L:L,0,0,1)</f>
        <v>11035560841.2752</v>
      </c>
      <c r="AF428" s="44">
        <f>+_xlfn.XLOOKUP(PROYECTOS2[[#This Row],[MUNICIPIO]],'4.CAP_ENDMNT'!B:B,'4.CAP_ENDMNT'!M:M,0,0,1)</f>
        <v>8276670630.956398</v>
      </c>
      <c r="AG428" s="146">
        <f>+_xlfn.XLOOKUP(PROYECTOS2[[#This Row],[MUNICIPIO]],'4.CAP_ENDMNT'!B:B,'4.CAP_ENDMNT'!N:N,0,0,1)</f>
        <v>0.10273328716858224</v>
      </c>
      <c r="AH428" s="146">
        <f>+_xlfn.XLOOKUP(PROYECTOS2[[#This Row],[MUNICIPIO]],'4.CAP_ENDMNT'!B:B,'4.CAP_ENDMNT'!O:O,0,0,1)</f>
        <v>0.44981176046067123</v>
      </c>
      <c r="AI428" s="146">
        <f>+_xlfn.XLOOKUP(PROYECTOS2[[#This Row],[MUNICIPIO]],'4.CAP_ENDMNT'!B:B,'4.CAP_ENDMNT'!P:P,0,0,1)</f>
        <v>0.8</v>
      </c>
      <c r="AJ428" s="44" t="str">
        <f>+_xlfn.XLOOKUP(PROYECTOS2[[#This Row],[MUNICIPIO]],'4.CAP_ENDMNT'!B:B,'4.CAP_ENDMNT'!Q:Q,0,0,1)</f>
        <v>Cumple</v>
      </c>
    </row>
    <row r="429" spans="1:36" ht="15" customHeight="1">
      <c r="A429" s="44">
        <v>458</v>
      </c>
      <c r="B429" s="37" t="s">
        <v>1026</v>
      </c>
      <c r="C429" s="118">
        <v>45747</v>
      </c>
      <c r="D429" s="46" t="s">
        <v>341</v>
      </c>
      <c r="E429" s="47" t="str">
        <f>+_xlfn.XLOOKUP(PROYECTOS2[[#This Row],[MUNICIPIO]],MUNICIPIOS!A:A,MUNICIPIOS!E:E,0,0,1)</f>
        <v>Norte</v>
      </c>
      <c r="F429" s="44" t="e" cm="1">
        <f t="array" ref="F429">+_xlfn.XLOOKUP(PROYECTOS2[[#This Row],[MUNICIPIO]],Table1[Municipio],MUNICIPIOS!F:F,0,0,1)</f>
        <v>#VALUE!</v>
      </c>
      <c r="G429" s="47" t="str">
        <f>+LOOKUP(PROYECTOS2[[#This Row],[MUNICIPIO]],Table1[Municipio],Table1[Latitud])</f>
        <v>7,074703</v>
      </c>
      <c r="H429" s="47">
        <f>+LOOKUP(PROYECTOS2[[#This Row],[MUNICIPIO]],Table1[Municipio],Table1[PDET])</f>
        <v>1</v>
      </c>
      <c r="I429" s="45">
        <f>+LOOKUP(PROYECTOS2[[#This Row],[MUNICIPIO]],Table1[Municipio],Table1[ZOMAC])</f>
        <v>1</v>
      </c>
      <c r="J429" s="34" t="str" cm="1">
        <f t="array" ref="J429">_xlfn.TEXTJOIN(", ", TRUE, IF(radicados[ID PROYECTOS]=A429, radicados[RADICADO], ""))</f>
        <v/>
      </c>
      <c r="K429" s="9">
        <v>2</v>
      </c>
      <c r="L429" s="45"/>
      <c r="M429" s="144"/>
      <c r="N429" s="72"/>
      <c r="O429" s="147">
        <v>300000000</v>
      </c>
      <c r="P429" s="147"/>
      <c r="Q429" s="148" t="s">
        <v>1068</v>
      </c>
      <c r="R429" s="42" t="s">
        <v>1072</v>
      </c>
      <c r="S429" s="40" t="s">
        <v>1079</v>
      </c>
      <c r="T429" s="40"/>
      <c r="U429" s="37" t="s">
        <v>1089</v>
      </c>
      <c r="V429" s="44">
        <f>+_xlfn.XLOOKUP(PROYECTOS2[[#This Row],[MUNICIPIO]],'4.CAP_ENDMNT'!B:B,'4.CAP_ENDMNT'!C:C,0,0,1)</f>
        <v>6</v>
      </c>
      <c r="W429" s="145">
        <f>+_xlfn.XLOOKUP(PROYECTOS2[[#This Row],[MUNICIPIO]],'4.CAP_ENDMNT'!B:B,'4.CAP_ENDMNT'!D:D,0,0,1)</f>
        <v>10160021082.964001</v>
      </c>
      <c r="X429" s="44">
        <f>+_xlfn.XLOOKUP(PROYECTOS2[[#This Row],[MUNICIPIO]],'4.CAP_ENDMNT'!B:B,'4.CAP_ENDMNT'!E:E,0,0,1)</f>
        <v>3265249234.6399999</v>
      </c>
      <c r="Y429" s="44">
        <f>+_xlfn.XLOOKUP(PROYECTOS2[[#This Row],[MUNICIPIO]],'4.CAP_ENDMNT'!B:B,'4.CAP_ENDMNT'!F:F,0,0,1)</f>
        <v>6894771848.3240013</v>
      </c>
      <c r="Z429" s="44">
        <f>+_xlfn.XLOOKUP(PROYECTOS2[[#This Row],[MUNICIPIO]],'4.CAP_ENDMNT'!B:B,'4.CAP_ENDMNT'!G:G,0,0,1)</f>
        <v>3316718973.96</v>
      </c>
      <c r="AA429" s="44">
        <f>+_xlfn.XLOOKUP(PROYECTOS2[[#This Row],[MUNICIPIO]],'4.CAP_ENDMNT'!B:B,'4.CAP_ENDMNT'!H:H,0,0,1)</f>
        <v>0</v>
      </c>
      <c r="AB429" s="44">
        <f>+_xlfn.XLOOKUP(PROYECTOS2[[#This Row],[MUNICIPIO]],'4.CAP_ENDMNT'!B:B,'4.CAP_ENDMNT'!I:I,0,0,1)</f>
        <v>3316718973.96</v>
      </c>
      <c r="AC429" s="146">
        <f>+_xlfn.XLOOKUP(PROYECTOS2[[#This Row],[MUNICIPIO]],'4.CAP_ENDMNT'!B:B,'4.CAP_ENDMNT'!J:J,0,0,1)</f>
        <v>0.32644804049879078</v>
      </c>
      <c r="AD429" s="44">
        <f>+_xlfn.XLOOKUP(PROYECTOS2[[#This Row],[MUNICIPIO]],'4.CAP_ENDMNT'!B:B,'4.CAP_ENDMNT'!K:K,0,0,1)</f>
        <v>6843302109.0040007</v>
      </c>
      <c r="AE429" s="44">
        <f>+_xlfn.XLOOKUP(PROYECTOS2[[#This Row],[MUNICIPIO]],'4.CAP_ENDMNT'!B:B,'4.CAP_ENDMNT'!L:L,0,0,1)</f>
        <v>5474641687.2032013</v>
      </c>
      <c r="AF429" s="44">
        <f>+_xlfn.XLOOKUP(PROYECTOS2[[#This Row],[MUNICIPIO]],'4.CAP_ENDMNT'!B:B,'4.CAP_ENDMNT'!M:M,0,0,1)</f>
        <v>4105981265.4024</v>
      </c>
      <c r="AG429" s="146">
        <f>+_xlfn.XLOOKUP(PROYECTOS2[[#This Row],[MUNICIPIO]],'4.CAP_ENDMNT'!B:B,'4.CAP_ENDMNT'!N:N,0,0,1)</f>
        <v>1</v>
      </c>
      <c r="AH429" s="146">
        <f>+_xlfn.XLOOKUP(PROYECTOS2[[#This Row],[MUNICIPIO]],'4.CAP_ENDMNT'!B:B,'4.CAP_ENDMNT'!O:O,0,0,1)</f>
        <v>0.59534208417675272</v>
      </c>
      <c r="AI429" s="146">
        <f>+_xlfn.XLOOKUP(PROYECTOS2[[#This Row],[MUNICIPIO]],'4.CAP_ENDMNT'!B:B,'4.CAP_ENDMNT'!P:P,0,0,1)</f>
        <v>0.8</v>
      </c>
      <c r="AJ429" s="44" t="str">
        <f>+_xlfn.XLOOKUP(PROYECTOS2[[#This Row],[MUNICIPIO]],'4.CAP_ENDMNT'!B:B,'4.CAP_ENDMNT'!Q:Q,0,0,1)</f>
        <v>Cumple</v>
      </c>
    </row>
    <row r="430" spans="1:36" ht="15" customHeight="1">
      <c r="A430" s="44">
        <v>459</v>
      </c>
      <c r="B430" s="37" t="s">
        <v>1119</v>
      </c>
      <c r="C430" s="118">
        <v>45747</v>
      </c>
      <c r="D430" s="46" t="s">
        <v>15</v>
      </c>
      <c r="E430" s="47" t="str">
        <f>+_xlfn.XLOOKUP(PROYECTOS2[[#This Row],[MUNICIPIO]],MUNICIPIOS!A:A,MUNICIPIOS!E:E,0,0,1)</f>
        <v>Valle de Aburrá</v>
      </c>
      <c r="F430" s="44" t="e" cm="1">
        <f t="array" ref="F430">+_xlfn.XLOOKUP(PROYECTOS2[[#This Row],[MUNICIPIO]],Table1[Municipio],MUNICIPIOS!F:F,0,0,1)</f>
        <v>#VALUE!</v>
      </c>
      <c r="G430" s="47" t="str">
        <f>+LOOKUP(PROYECTOS2[[#This Row],[MUNICIPIO]],Table1[Municipio],Table1[Latitud])</f>
        <v>7,074703</v>
      </c>
      <c r="H430" s="47">
        <f>+LOOKUP(PROYECTOS2[[#This Row],[MUNICIPIO]],Table1[Municipio],Table1[PDET])</f>
        <v>1</v>
      </c>
      <c r="I430" s="45">
        <f>+LOOKUP(PROYECTOS2[[#This Row],[MUNICIPIO]],Table1[Municipio],Table1[ZOMAC])</f>
        <v>1</v>
      </c>
      <c r="J430" s="34" t="str" cm="1">
        <f t="array" ref="J430">_xlfn.TEXTJOIN(", ", TRUE, IF(radicados[ID PROYECTOS]=A430, radicados[RADICADO], ""))</f>
        <v/>
      </c>
      <c r="L430" s="45"/>
      <c r="M430" s="144"/>
      <c r="N430" s="72"/>
      <c r="O430" s="147">
        <v>5092587314</v>
      </c>
      <c r="P430" s="147"/>
      <c r="Q430" s="148" t="s">
        <v>1068</v>
      </c>
      <c r="R430" s="42"/>
      <c r="S430" s="40" t="s">
        <v>1079</v>
      </c>
      <c r="T430" s="40"/>
      <c r="U430" s="37" t="s">
        <v>1088</v>
      </c>
      <c r="V430" s="44">
        <f>+_xlfn.XLOOKUP(PROYECTOS2[[#This Row],[MUNICIPIO]],'4.CAP_ENDMNT'!B:B,'4.CAP_ENDMNT'!C:C,0,0,1)</f>
        <v>4</v>
      </c>
      <c r="W430" s="145">
        <f>+_xlfn.XLOOKUP(PROYECTOS2[[#This Row],[MUNICIPIO]],'4.CAP_ENDMNT'!B:B,'4.CAP_ENDMNT'!D:D,0,0,1)</f>
        <v>56592203197.536499</v>
      </c>
      <c r="X430" s="44">
        <f>+_xlfn.XLOOKUP(PROYECTOS2[[#This Row],[MUNICIPIO]],'4.CAP_ENDMNT'!B:B,'4.CAP_ENDMNT'!E:E,0,0,1)</f>
        <v>24375972647.860001</v>
      </c>
      <c r="Y430" s="44">
        <f>+_xlfn.XLOOKUP(PROYECTOS2[[#This Row],[MUNICIPIO]],'4.CAP_ENDMNT'!B:B,'4.CAP_ENDMNT'!F:F,0,0,1)</f>
        <v>32216230549.676498</v>
      </c>
      <c r="Z430" s="44">
        <f>+_xlfn.XLOOKUP(PROYECTOS2[[#This Row],[MUNICIPIO]],'4.CAP_ENDMNT'!B:B,'4.CAP_ENDMNT'!G:G,0,0,1)</f>
        <v>0</v>
      </c>
      <c r="AA430" s="44">
        <f>+_xlfn.XLOOKUP(PROYECTOS2[[#This Row],[MUNICIPIO]],'4.CAP_ENDMNT'!B:B,'4.CAP_ENDMNT'!H:H,0,0,1)</f>
        <v>15044963334.42</v>
      </c>
      <c r="AB430" s="44">
        <f>+_xlfn.XLOOKUP(PROYECTOS2[[#This Row],[MUNICIPIO]],'4.CAP_ENDMNT'!B:B,'4.CAP_ENDMNT'!I:I,0,0,1)</f>
        <v>15044963334.42</v>
      </c>
      <c r="AC430" s="146">
        <f>+_xlfn.XLOOKUP(PROYECTOS2[[#This Row],[MUNICIPIO]],'4.CAP_ENDMNT'!B:B,'4.CAP_ENDMNT'!J:J,0,0,1)</f>
        <v>0.26584869442006315</v>
      </c>
      <c r="AD430" s="44">
        <f>+_xlfn.XLOOKUP(PROYECTOS2[[#This Row],[MUNICIPIO]],'4.CAP_ENDMNT'!B:B,'4.CAP_ENDMNT'!K:K,0,0,1)</f>
        <v>41547239863.116501</v>
      </c>
      <c r="AE430" s="44">
        <f>+_xlfn.XLOOKUP(PROYECTOS2[[#This Row],[MUNICIPIO]],'4.CAP_ENDMNT'!B:B,'4.CAP_ENDMNT'!L:L,0,0,1)</f>
        <v>33237791890.493202</v>
      </c>
      <c r="AF430" s="44">
        <f>+_xlfn.XLOOKUP(PROYECTOS2[[#This Row],[MUNICIPIO]],'4.CAP_ENDMNT'!B:B,'4.CAP_ENDMNT'!M:M,0,0,1)</f>
        <v>24928343917.8699</v>
      </c>
      <c r="AG430" s="146">
        <f>+_xlfn.XLOOKUP(PROYECTOS2[[#This Row],[MUNICIPIO]],'4.CAP_ENDMNT'!B:B,'4.CAP_ENDMNT'!N:N,0,0,1)</f>
        <v>0</v>
      </c>
      <c r="AH430" s="146">
        <f>+_xlfn.XLOOKUP(PROYECTOS2[[#This Row],[MUNICIPIO]],'4.CAP_ENDMNT'!B:B,'4.CAP_ENDMNT'!O:O,0,0,1)</f>
        <v>0.60385208261970102</v>
      </c>
      <c r="AI430" s="146">
        <f>+_xlfn.XLOOKUP(PROYECTOS2[[#This Row],[MUNICIPIO]],'4.CAP_ENDMNT'!B:B,'4.CAP_ENDMNT'!P:P,0,0,1)</f>
        <v>0.8</v>
      </c>
      <c r="AJ430" s="44" t="str">
        <f>+_xlfn.XLOOKUP(PROYECTOS2[[#This Row],[MUNICIPIO]],'4.CAP_ENDMNT'!B:B,'4.CAP_ENDMNT'!Q:Q,0,0,1)</f>
        <v>Cumple</v>
      </c>
    </row>
    <row r="431" spans="1:36" ht="15" customHeight="1">
      <c r="A431" s="44">
        <v>460</v>
      </c>
      <c r="B431" s="37" t="s">
        <v>1120</v>
      </c>
      <c r="C431" s="118">
        <v>45747</v>
      </c>
      <c r="D431" s="46" t="s">
        <v>227</v>
      </c>
      <c r="E431" s="47" t="str">
        <f>+_xlfn.XLOOKUP(PROYECTOS2[[#This Row],[MUNICIPIO]],MUNICIPIOS!A:A,MUNICIPIOS!E:E,0,0,1)</f>
        <v>Oriente</v>
      </c>
      <c r="F431" s="44" t="e" cm="1">
        <f t="array" ref="F431">+_xlfn.XLOOKUP(PROYECTOS2[[#This Row],[MUNICIPIO]],Table1[Municipio],MUNICIPIOS!F:F,0,0,1)</f>
        <v>#VALUE!</v>
      </c>
      <c r="G431" s="47" t="str">
        <f>+LOOKUP(PROYECTOS2[[#This Row],[MUNICIPIO]],Table1[Municipio],Table1[Latitud])</f>
        <v>6,142892</v>
      </c>
      <c r="H431" s="47">
        <f>+LOOKUP(PROYECTOS2[[#This Row],[MUNICIPIO]],Table1[Municipio],Table1[PDET])</f>
        <v>0</v>
      </c>
      <c r="I431" s="45">
        <f>+LOOKUP(PROYECTOS2[[#This Row],[MUNICIPIO]],Table1[Municipio],Table1[ZOMAC])</f>
        <v>1</v>
      </c>
      <c r="J431" s="34" t="str" cm="1">
        <f t="array" ref="J431">_xlfn.TEXTJOIN(", ", TRUE, IF(radicados[ID PROYECTOS]=A431, radicados[RADICADO], ""))</f>
        <v/>
      </c>
      <c r="L431" s="45"/>
      <c r="M431" s="144"/>
      <c r="N431" s="72"/>
      <c r="O431" s="147">
        <v>2350000000</v>
      </c>
      <c r="P431" s="147"/>
      <c r="Q431" s="148" t="s">
        <v>1068</v>
      </c>
      <c r="R431" s="42"/>
      <c r="S431" s="40" t="s">
        <v>1079</v>
      </c>
      <c r="T431" s="40"/>
      <c r="U431" s="37" t="s">
        <v>1088</v>
      </c>
      <c r="V431" s="44">
        <f>+_xlfn.XLOOKUP(PROYECTOS2[[#This Row],[MUNICIPIO]],'4.CAP_ENDMNT'!B:B,'4.CAP_ENDMNT'!C:C,0,0,1)</f>
        <v>6</v>
      </c>
      <c r="W431" s="145">
        <f>+_xlfn.XLOOKUP(PROYECTOS2[[#This Row],[MUNICIPIO]],'4.CAP_ENDMNT'!B:B,'4.CAP_ENDMNT'!D:D,0,0,1)</f>
        <v>9100976268.0305004</v>
      </c>
      <c r="X431" s="44">
        <f>+_xlfn.XLOOKUP(PROYECTOS2[[#This Row],[MUNICIPIO]],'4.CAP_ENDMNT'!B:B,'4.CAP_ENDMNT'!E:E,0,0,1)</f>
        <v>3221460794.1700001</v>
      </c>
      <c r="Y431" s="44">
        <f>+_xlfn.XLOOKUP(PROYECTOS2[[#This Row],[MUNICIPIO]],'4.CAP_ENDMNT'!B:B,'4.CAP_ENDMNT'!F:F,0,0,1)</f>
        <v>5879515473.8605003</v>
      </c>
      <c r="Z431" s="44">
        <f>+_xlfn.XLOOKUP(PROYECTOS2[[#This Row],[MUNICIPIO]],'4.CAP_ENDMNT'!B:B,'4.CAP_ENDMNT'!G:G,0,0,1)</f>
        <v>1026722956</v>
      </c>
      <c r="AA431" s="44">
        <f>+_xlfn.XLOOKUP(PROYECTOS2[[#This Row],[MUNICIPIO]],'4.CAP_ENDMNT'!B:B,'4.CAP_ENDMNT'!H:H,0,0,1)</f>
        <v>190000000</v>
      </c>
      <c r="AB431" s="44">
        <f>+_xlfn.XLOOKUP(PROYECTOS2[[#This Row],[MUNICIPIO]],'4.CAP_ENDMNT'!B:B,'4.CAP_ENDMNT'!I:I,0,0,1)</f>
        <v>1216722956</v>
      </c>
      <c r="AC431" s="146">
        <f>+_xlfn.XLOOKUP(PROYECTOS2[[#This Row],[MUNICIPIO]],'4.CAP_ENDMNT'!B:B,'4.CAP_ENDMNT'!J:J,0,0,1)</f>
        <v>0.13369147662477152</v>
      </c>
      <c r="AD431" s="44">
        <f>+_xlfn.XLOOKUP(PROYECTOS2[[#This Row],[MUNICIPIO]],'4.CAP_ENDMNT'!B:B,'4.CAP_ENDMNT'!K:K,0,0,1)</f>
        <v>7884253312.0305004</v>
      </c>
      <c r="AE431" s="44">
        <f>+_xlfn.XLOOKUP(PROYECTOS2[[#This Row],[MUNICIPIO]],'4.CAP_ENDMNT'!B:B,'4.CAP_ENDMNT'!L:L,0,0,1)</f>
        <v>6307402649.6244011</v>
      </c>
      <c r="AF431" s="44">
        <f>+_xlfn.XLOOKUP(PROYECTOS2[[#This Row],[MUNICIPIO]],'4.CAP_ENDMNT'!B:B,'4.CAP_ENDMNT'!M:M,0,0,1)</f>
        <v>4730551987.2182999</v>
      </c>
      <c r="AG431" s="146">
        <f>+_xlfn.XLOOKUP(PROYECTOS2[[#This Row],[MUNICIPIO]],'4.CAP_ENDMNT'!B:B,'4.CAP_ENDMNT'!N:N,0,0,1)</f>
        <v>0.84384284108140062</v>
      </c>
      <c r="AH431" s="146">
        <f>+_xlfn.XLOOKUP(PROYECTOS2[[#This Row],[MUNICIPIO]],'4.CAP_ENDMNT'!B:B,'4.CAP_ENDMNT'!O:O,0,0,1)</f>
        <v>0.65864601932480682</v>
      </c>
      <c r="AI431" s="146">
        <f>+_xlfn.XLOOKUP(PROYECTOS2[[#This Row],[MUNICIPIO]],'4.CAP_ENDMNT'!B:B,'4.CAP_ENDMNT'!P:P,0,0,1)</f>
        <v>0.8</v>
      </c>
      <c r="AJ431" s="44" t="str">
        <f>+_xlfn.XLOOKUP(PROYECTOS2[[#This Row],[MUNICIPIO]],'4.CAP_ENDMNT'!B:B,'4.CAP_ENDMNT'!Q:Q,0,0,1)</f>
        <v>Cumple</v>
      </c>
    </row>
    <row r="432" spans="1:36" ht="15" customHeight="1">
      <c r="A432" s="44">
        <v>461</v>
      </c>
      <c r="B432" s="37" t="s">
        <v>1027</v>
      </c>
      <c r="C432" s="118">
        <v>45747</v>
      </c>
      <c r="D432" s="46" t="s">
        <v>260</v>
      </c>
      <c r="E432" s="47" t="str">
        <f>+_xlfn.XLOOKUP(PROYECTOS2[[#This Row],[MUNICIPIO]],MUNICIPIOS!A:A,MUNICIPIOS!E:E,0,0,1)</f>
        <v>Occidente</v>
      </c>
      <c r="F432" s="44" t="e" cm="1">
        <f t="array" ref="F432">+_xlfn.XLOOKUP(PROYECTOS2[[#This Row],[MUNICIPIO]],Table1[Municipio],MUNICIPIOS!F:F,0,0,1)</f>
        <v>#VALUE!</v>
      </c>
      <c r="G432" s="47" t="str">
        <f>+LOOKUP(PROYECTOS2[[#This Row],[MUNICIPIO]],Table1[Municipio],Table1[Latitud])</f>
        <v>6,149903</v>
      </c>
      <c r="H432" s="47">
        <f>+LOOKUP(PROYECTOS2[[#This Row],[MUNICIPIO]],Table1[Municipio],Table1[PDET])</f>
        <v>0</v>
      </c>
      <c r="I432" s="45">
        <f>+LOOKUP(PROYECTOS2[[#This Row],[MUNICIPIO]],Table1[Municipio],Table1[ZOMAC])</f>
        <v>0</v>
      </c>
      <c r="J432" s="34" t="str" cm="1">
        <f t="array" ref="J432">_xlfn.TEXTJOIN(", ", TRUE, IF(radicados[ID PROYECTOS]=A432, radicados[RADICADO], ""))</f>
        <v/>
      </c>
      <c r="K432" s="9">
        <v>1</v>
      </c>
      <c r="L432" s="45"/>
      <c r="M432" s="144"/>
      <c r="N432" s="72"/>
      <c r="O432" s="147">
        <v>1700000000</v>
      </c>
      <c r="P432" s="147"/>
      <c r="Q432" s="148" t="s">
        <v>1068</v>
      </c>
      <c r="R432" s="42" t="s">
        <v>1072</v>
      </c>
      <c r="S432" s="40" t="s">
        <v>1079</v>
      </c>
      <c r="T432" s="40"/>
      <c r="U432" s="37" t="s">
        <v>1089</v>
      </c>
      <c r="V432" s="44">
        <f>+_xlfn.XLOOKUP(PROYECTOS2[[#This Row],[MUNICIPIO]],'4.CAP_ENDMNT'!B:B,'4.CAP_ENDMNT'!C:C,0,0,1)</f>
        <v>6</v>
      </c>
      <c r="W432" s="145">
        <f>+_xlfn.XLOOKUP(PROYECTOS2[[#This Row],[MUNICIPIO]],'4.CAP_ENDMNT'!B:B,'4.CAP_ENDMNT'!D:D,0,0,1)</f>
        <v>9683475507.1875</v>
      </c>
      <c r="X432" s="44">
        <f>+_xlfn.XLOOKUP(PROYECTOS2[[#This Row],[MUNICIPIO]],'4.CAP_ENDMNT'!B:B,'4.CAP_ENDMNT'!E:E,0,0,1)</f>
        <v>3083007311.46</v>
      </c>
      <c r="Y432" s="44">
        <f>+_xlfn.XLOOKUP(PROYECTOS2[[#This Row],[MUNICIPIO]],'4.CAP_ENDMNT'!B:B,'4.CAP_ENDMNT'!F:F,0,0,1)</f>
        <v>6600468195.7275</v>
      </c>
      <c r="Z432" s="44">
        <f>+_xlfn.XLOOKUP(PROYECTOS2[[#This Row],[MUNICIPIO]],'4.CAP_ENDMNT'!B:B,'4.CAP_ENDMNT'!G:G,0,0,1)</f>
        <v>178661475</v>
      </c>
      <c r="AA432" s="44">
        <f>+_xlfn.XLOOKUP(PROYECTOS2[[#This Row],[MUNICIPIO]],'4.CAP_ENDMNT'!B:B,'4.CAP_ENDMNT'!H:H,0,0,1)</f>
        <v>2978048806</v>
      </c>
      <c r="AB432" s="44">
        <f>+_xlfn.XLOOKUP(PROYECTOS2[[#This Row],[MUNICIPIO]],'4.CAP_ENDMNT'!B:B,'4.CAP_ENDMNT'!I:I,0,0,1)</f>
        <v>3156710281</v>
      </c>
      <c r="AC432" s="146">
        <f>+_xlfn.XLOOKUP(PROYECTOS2[[#This Row],[MUNICIPIO]],'4.CAP_ENDMNT'!B:B,'4.CAP_ENDMNT'!J:J,0,0,1)</f>
        <v>0.32598939075716682</v>
      </c>
      <c r="AD432" s="44">
        <f>+_xlfn.XLOOKUP(PROYECTOS2[[#This Row],[MUNICIPIO]],'4.CAP_ENDMNT'!B:B,'4.CAP_ENDMNT'!K:K,0,0,1)</f>
        <v>6526765226.1875</v>
      </c>
      <c r="AE432" s="44">
        <f>+_xlfn.XLOOKUP(PROYECTOS2[[#This Row],[MUNICIPIO]],'4.CAP_ENDMNT'!B:B,'4.CAP_ENDMNT'!L:L,0,0,1)</f>
        <v>5221412180.9500008</v>
      </c>
      <c r="AF432" s="44">
        <f>+_xlfn.XLOOKUP(PROYECTOS2[[#This Row],[MUNICIPIO]],'4.CAP_ENDMNT'!B:B,'4.CAP_ENDMNT'!M:M,0,0,1)</f>
        <v>3916059135.7124996</v>
      </c>
      <c r="AG432" s="146">
        <f>+_xlfn.XLOOKUP(PROYECTOS2[[#This Row],[MUNICIPIO]],'4.CAP_ENDMNT'!B:B,'4.CAP_ENDMNT'!N:N,0,0,1)</f>
        <v>5.6597362157480804E-2</v>
      </c>
      <c r="AH432" s="146">
        <f>+_xlfn.XLOOKUP(PROYECTOS2[[#This Row],[MUNICIPIO]],'4.CAP_ENDMNT'!B:B,'4.CAP_ENDMNT'!O:O,0,0,1)</f>
        <v>0.64507007180798703</v>
      </c>
      <c r="AI432" s="146">
        <f>+_xlfn.XLOOKUP(PROYECTOS2[[#This Row],[MUNICIPIO]],'4.CAP_ENDMNT'!B:B,'4.CAP_ENDMNT'!P:P,0,0,1)</f>
        <v>0.8</v>
      </c>
      <c r="AJ432" s="44" t="str">
        <f>+_xlfn.XLOOKUP(PROYECTOS2[[#This Row],[MUNICIPIO]],'4.CAP_ENDMNT'!B:B,'4.CAP_ENDMNT'!Q:Q,0,0,1)</f>
        <v>Cumple</v>
      </c>
    </row>
    <row r="433" spans="1:36" ht="15" customHeight="1">
      <c r="A433" s="44">
        <v>462</v>
      </c>
      <c r="B433" s="37" t="s">
        <v>1028</v>
      </c>
      <c r="C433" s="118">
        <v>45747</v>
      </c>
      <c r="D433" s="46" t="s">
        <v>362</v>
      </c>
      <c r="E433" s="47" t="str">
        <f>+_xlfn.XLOOKUP(PROYECTOS2[[#This Row],[MUNICIPIO]],MUNICIPIOS!A:A,MUNICIPIOS!E:E,0,0,1)</f>
        <v>Occidente</v>
      </c>
      <c r="F433" s="44" t="e" cm="1">
        <f t="array" ref="F433">+_xlfn.XLOOKUP(PROYECTOS2[[#This Row],[MUNICIPIO]],Table1[Municipio],MUNICIPIOS!F:F,0,0,1)</f>
        <v>#VALUE!</v>
      </c>
      <c r="G433" s="47" t="str">
        <f>+LOOKUP(PROYECTOS2[[#This Row],[MUNICIPIO]],Table1[Municipio],Table1[Latitud])</f>
        <v>6,394348</v>
      </c>
      <c r="H433" s="47">
        <f>+LOOKUP(PROYECTOS2[[#This Row],[MUNICIPIO]],Table1[Municipio],Table1[PDET])</f>
        <v>0</v>
      </c>
      <c r="I433" s="45">
        <f>+LOOKUP(PROYECTOS2[[#This Row],[MUNICIPIO]],Table1[Municipio],Table1[ZOMAC])</f>
        <v>1</v>
      </c>
      <c r="J433" s="34" t="str" cm="1">
        <f t="array" ref="J433">_xlfn.TEXTJOIN(", ", TRUE, IF(radicados[ID PROYECTOS]=A433, radicados[RADICADO], ""))</f>
        <v/>
      </c>
      <c r="K433" s="9">
        <v>1</v>
      </c>
      <c r="L433" s="45"/>
      <c r="M433" s="144"/>
      <c r="N433" s="72"/>
      <c r="O433" s="147">
        <v>1700000000</v>
      </c>
      <c r="P433" s="147"/>
      <c r="Q433" s="148" t="s">
        <v>1068</v>
      </c>
      <c r="R433" s="42" t="s">
        <v>1072</v>
      </c>
      <c r="S433" s="40" t="s">
        <v>1079</v>
      </c>
      <c r="T433" s="40"/>
      <c r="U433" s="37" t="s">
        <v>1089</v>
      </c>
      <c r="V433" s="44">
        <f>+_xlfn.XLOOKUP(PROYECTOS2[[#This Row],[MUNICIPIO]],'4.CAP_ENDMNT'!B:B,'4.CAP_ENDMNT'!C:C,0,0,1)</f>
        <v>6</v>
      </c>
      <c r="W433" s="145">
        <f>+_xlfn.XLOOKUP(PROYECTOS2[[#This Row],[MUNICIPIO]],'4.CAP_ENDMNT'!B:B,'4.CAP_ENDMNT'!D:D,0,0,1)</f>
        <v>24612921465.534</v>
      </c>
      <c r="X433" s="44">
        <f>+_xlfn.XLOOKUP(PROYECTOS2[[#This Row],[MUNICIPIO]],'4.CAP_ENDMNT'!B:B,'4.CAP_ENDMNT'!E:E,0,0,1)</f>
        <v>6692367651.6599998</v>
      </c>
      <c r="Y433" s="44">
        <f>+_xlfn.XLOOKUP(PROYECTOS2[[#This Row],[MUNICIPIO]],'4.CAP_ENDMNT'!B:B,'4.CAP_ENDMNT'!F:F,0,0,1)</f>
        <v>17920553813.874001</v>
      </c>
      <c r="Z433" s="44">
        <f>+_xlfn.XLOOKUP(PROYECTOS2[[#This Row],[MUNICIPIO]],'4.CAP_ENDMNT'!B:B,'4.CAP_ENDMNT'!G:G,0,0,1)</f>
        <v>830923107</v>
      </c>
      <c r="AA433" s="44">
        <f>+_xlfn.XLOOKUP(PROYECTOS2[[#This Row],[MUNICIPIO]],'4.CAP_ENDMNT'!B:B,'4.CAP_ENDMNT'!H:H,0,0,1)</f>
        <v>8409573820</v>
      </c>
      <c r="AB433" s="44">
        <f>+_xlfn.XLOOKUP(PROYECTOS2[[#This Row],[MUNICIPIO]],'4.CAP_ENDMNT'!B:B,'4.CAP_ENDMNT'!I:I,0,0,1)</f>
        <v>9240496927</v>
      </c>
      <c r="AC433" s="146">
        <f>+_xlfn.XLOOKUP(PROYECTOS2[[#This Row],[MUNICIPIO]],'4.CAP_ENDMNT'!B:B,'4.CAP_ENDMNT'!J:J,0,0,1)</f>
        <v>0.37543275551176097</v>
      </c>
      <c r="AD433" s="44">
        <f>+_xlfn.XLOOKUP(PROYECTOS2[[#This Row],[MUNICIPIO]],'4.CAP_ENDMNT'!B:B,'4.CAP_ENDMNT'!K:K,0,0,1)</f>
        <v>15372424538.534</v>
      </c>
      <c r="AE433" s="44">
        <f>+_xlfn.XLOOKUP(PROYECTOS2[[#This Row],[MUNICIPIO]],'4.CAP_ENDMNT'!B:B,'4.CAP_ENDMNT'!L:L,0,0,1)</f>
        <v>12297939630.827202</v>
      </c>
      <c r="AF433" s="44">
        <f>+_xlfn.XLOOKUP(PROYECTOS2[[#This Row],[MUNICIPIO]],'4.CAP_ENDMNT'!B:B,'4.CAP_ENDMNT'!M:M,0,0,1)</f>
        <v>9223454723.1203995</v>
      </c>
      <c r="AG433" s="146">
        <f>+_xlfn.XLOOKUP(PROYECTOS2[[#This Row],[MUNICIPIO]],'4.CAP_ENDMNT'!B:B,'4.CAP_ENDMNT'!N:N,0,0,1)</f>
        <v>8.9921907183596203E-2</v>
      </c>
      <c r="AH433" s="146">
        <f>+_xlfn.XLOOKUP(PROYECTOS2[[#This Row],[MUNICIPIO]],'4.CAP_ENDMNT'!B:B,'4.CAP_ENDMNT'!O:O,0,0,1)</f>
        <v>0.49254696748300181</v>
      </c>
      <c r="AI433" s="146">
        <f>+_xlfn.XLOOKUP(PROYECTOS2[[#This Row],[MUNICIPIO]],'4.CAP_ENDMNT'!B:B,'4.CAP_ENDMNT'!P:P,0,0,1)</f>
        <v>0.8</v>
      </c>
      <c r="AJ433" s="44" t="str">
        <f>+_xlfn.XLOOKUP(PROYECTOS2[[#This Row],[MUNICIPIO]],'4.CAP_ENDMNT'!B:B,'4.CAP_ENDMNT'!Q:Q,0,0,1)</f>
        <v>Cumple</v>
      </c>
    </row>
    <row r="434" spans="1:36" ht="15" customHeight="1">
      <c r="A434" s="44">
        <v>463</v>
      </c>
      <c r="B434" s="37" t="s">
        <v>1029</v>
      </c>
      <c r="C434" s="118">
        <v>45747</v>
      </c>
      <c r="D434" s="46" t="s">
        <v>827</v>
      </c>
      <c r="E434" s="47" t="str">
        <f>+_xlfn.XLOOKUP(PROYECTOS2[[#This Row],[MUNICIPIO]],MUNICIPIOS!A:A,MUNICIPIOS!E:E,0,0,1)</f>
        <v>Occidente</v>
      </c>
      <c r="F434" s="44" t="e" cm="1">
        <f t="array" ref="F434">+_xlfn.XLOOKUP(PROYECTOS2[[#This Row],[MUNICIPIO]],Table1[Municipio],MUNICIPIOS!F:F,0,0,1)</f>
        <v>#VALUE!</v>
      </c>
      <c r="G434" s="47" t="str">
        <f>+LOOKUP(PROYECTOS2[[#This Row],[MUNICIPIO]],Table1[Municipio],Table1[Latitud])</f>
        <v>6,232461</v>
      </c>
      <c r="H434" s="47">
        <f>+LOOKUP(PROYECTOS2[[#This Row],[MUNICIPIO]],Table1[Municipio],Table1[PDET])</f>
        <v>0</v>
      </c>
      <c r="I434" s="45">
        <f>+LOOKUP(PROYECTOS2[[#This Row],[MUNICIPIO]],Table1[Municipio],Table1[ZOMAC])</f>
        <v>0</v>
      </c>
      <c r="J434" s="34" t="str" cm="1">
        <f t="array" ref="J434">_xlfn.TEXTJOIN(", ", TRUE, IF(radicados[ID PROYECTOS]=A434, radicados[RADICADO], ""))</f>
        <v/>
      </c>
      <c r="K434" s="9">
        <v>1</v>
      </c>
      <c r="L434" s="45"/>
      <c r="M434" s="144"/>
      <c r="N434" s="72"/>
      <c r="O434" s="147">
        <v>1700000000</v>
      </c>
      <c r="P434" s="147"/>
      <c r="Q434" s="148" t="s">
        <v>1068</v>
      </c>
      <c r="R434" s="42" t="s">
        <v>1072</v>
      </c>
      <c r="S434" s="40" t="s">
        <v>1079</v>
      </c>
      <c r="T434" s="40"/>
      <c r="U434" s="37" t="s">
        <v>1089</v>
      </c>
      <c r="V434" s="44">
        <f>+_xlfn.XLOOKUP(PROYECTOS2[[#This Row],[MUNICIPIO]],'4.CAP_ENDMNT'!B:B,'4.CAP_ENDMNT'!C:C,0,0,1)</f>
        <v>6</v>
      </c>
      <c r="W434" s="145">
        <f>+_xlfn.XLOOKUP(PROYECTOS2[[#This Row],[MUNICIPIO]],'4.CAP_ENDMNT'!B:B,'4.CAP_ENDMNT'!D:D,0,0,1)</f>
        <v>5355567645.8094997</v>
      </c>
      <c r="X434" s="44">
        <f>+_xlfn.XLOOKUP(PROYECTOS2[[#This Row],[MUNICIPIO]],'4.CAP_ENDMNT'!B:B,'4.CAP_ENDMNT'!E:E,0,0,1)</f>
        <v>2449508849.96</v>
      </c>
      <c r="Y434" s="44">
        <f>+_xlfn.XLOOKUP(PROYECTOS2[[#This Row],[MUNICIPIO]],'4.CAP_ENDMNT'!B:B,'4.CAP_ENDMNT'!F:F,0,0,1)</f>
        <v>2906058795.8494997</v>
      </c>
      <c r="Z434" s="44">
        <f>+_xlfn.XLOOKUP(PROYECTOS2[[#This Row],[MUNICIPIO]],'4.CAP_ENDMNT'!B:B,'4.CAP_ENDMNT'!G:G,0,0,1)</f>
        <v>2066524240.5699999</v>
      </c>
      <c r="AA434" s="44">
        <f>+_xlfn.XLOOKUP(PROYECTOS2[[#This Row],[MUNICIPIO]],'4.CAP_ENDMNT'!B:B,'4.CAP_ENDMNT'!H:H,0,0,1)</f>
        <v>0</v>
      </c>
      <c r="AB434" s="44">
        <f>+_xlfn.XLOOKUP(PROYECTOS2[[#This Row],[MUNICIPIO]],'4.CAP_ENDMNT'!B:B,'4.CAP_ENDMNT'!I:I,0,0,1)</f>
        <v>2066524240.5699999</v>
      </c>
      <c r="AC434" s="146">
        <f>+_xlfn.XLOOKUP(PROYECTOS2[[#This Row],[MUNICIPIO]],'4.CAP_ENDMNT'!B:B,'4.CAP_ENDMNT'!J:J,0,0,1)</f>
        <v>0.38586465100239481</v>
      </c>
      <c r="AD434" s="44">
        <f>+_xlfn.XLOOKUP(PROYECTOS2[[#This Row],[MUNICIPIO]],'4.CAP_ENDMNT'!B:B,'4.CAP_ENDMNT'!K:K,0,0,1)</f>
        <v>3289043405.2395</v>
      </c>
      <c r="AE434" s="44">
        <f>+_xlfn.XLOOKUP(PROYECTOS2[[#This Row],[MUNICIPIO]],'4.CAP_ENDMNT'!B:B,'4.CAP_ENDMNT'!L:L,0,0,1)</f>
        <v>2631234724.1916003</v>
      </c>
      <c r="AF434" s="44">
        <f>+_xlfn.XLOOKUP(PROYECTOS2[[#This Row],[MUNICIPIO]],'4.CAP_ENDMNT'!B:B,'4.CAP_ENDMNT'!M:M,0,0,1)</f>
        <v>1973426043.1436999</v>
      </c>
      <c r="AG434" s="146">
        <f>+_xlfn.XLOOKUP(PROYECTOS2[[#This Row],[MUNICIPIO]],'4.CAP_ENDMNT'!B:B,'4.CAP_ENDMNT'!N:N,0,0,1)</f>
        <v>1</v>
      </c>
      <c r="AH434" s="146">
        <f>+_xlfn.XLOOKUP(PROYECTOS2[[#This Row],[MUNICIPIO]],'4.CAP_ENDMNT'!B:B,'4.CAP_ENDMNT'!O:O,0,0,1)</f>
        <v>0.75647396108034337</v>
      </c>
      <c r="AI434" s="146">
        <f>+_xlfn.XLOOKUP(PROYECTOS2[[#This Row],[MUNICIPIO]],'4.CAP_ENDMNT'!B:B,'4.CAP_ENDMNT'!P:P,0,0,1)</f>
        <v>0.8</v>
      </c>
      <c r="AJ434" s="44" t="str">
        <f>+_xlfn.XLOOKUP(PROYECTOS2[[#This Row],[MUNICIPIO]],'4.CAP_ENDMNT'!B:B,'4.CAP_ENDMNT'!Q:Q,0,0,1)</f>
        <v>Riesgo</v>
      </c>
    </row>
    <row r="435" spans="1:36" ht="15" customHeight="1">
      <c r="A435" s="44">
        <v>464</v>
      </c>
      <c r="B435" s="37" t="s">
        <v>1030</v>
      </c>
      <c r="C435" s="118">
        <v>45747</v>
      </c>
      <c r="D435" s="46" t="s">
        <v>182</v>
      </c>
      <c r="E435" s="47" t="str">
        <f>+_xlfn.XLOOKUP(PROYECTOS2[[#This Row],[MUNICIPIO]],MUNICIPIOS!A:A,MUNICIPIOS!E:E,0,0,1)</f>
        <v>Occidente</v>
      </c>
      <c r="F435" s="44" t="e" cm="1">
        <f t="array" ref="F435">+_xlfn.XLOOKUP(PROYECTOS2[[#This Row],[MUNICIPIO]],Table1[Municipio],MUNICIPIOS!F:F,0,0,1)</f>
        <v>#VALUE!</v>
      </c>
      <c r="G435" s="47" t="str">
        <f>+LOOKUP(PROYECTOS2[[#This Row],[MUNICIPIO]],Table1[Municipio],Table1[Latitud])</f>
        <v>7,074703</v>
      </c>
      <c r="H435" s="47">
        <f>+LOOKUP(PROYECTOS2[[#This Row],[MUNICIPIO]],Table1[Municipio],Table1[PDET])</f>
        <v>1</v>
      </c>
      <c r="I435" s="45">
        <f>+LOOKUP(PROYECTOS2[[#This Row],[MUNICIPIO]],Table1[Municipio],Table1[ZOMAC])</f>
        <v>1</v>
      </c>
      <c r="J435" s="34" t="str" cm="1">
        <f t="array" ref="J435">_xlfn.TEXTJOIN(", ", TRUE, IF(radicados[ID PROYECTOS]=A435, radicados[RADICADO], ""))</f>
        <v/>
      </c>
      <c r="K435" s="9">
        <v>1</v>
      </c>
      <c r="L435" s="45"/>
      <c r="M435" s="144"/>
      <c r="N435" s="72"/>
      <c r="O435" s="147">
        <v>1400000000</v>
      </c>
      <c r="P435" s="147"/>
      <c r="Q435" s="148" t="s">
        <v>1068</v>
      </c>
      <c r="R435" s="42" t="s">
        <v>1072</v>
      </c>
      <c r="S435" s="40" t="s">
        <v>1079</v>
      </c>
      <c r="T435" s="40"/>
      <c r="U435" s="37" t="s">
        <v>1089</v>
      </c>
      <c r="V435" s="44">
        <f>+_xlfn.XLOOKUP(PROYECTOS2[[#This Row],[MUNICIPIO]],'4.CAP_ENDMNT'!B:B,'4.CAP_ENDMNT'!C:C,0,0,1)</f>
        <v>6</v>
      </c>
      <c r="W435" s="145">
        <f>+_xlfn.XLOOKUP(PROYECTOS2[[#This Row],[MUNICIPIO]],'4.CAP_ENDMNT'!B:B,'4.CAP_ENDMNT'!D:D,0,0,1)</f>
        <v>17304408242.457001</v>
      </c>
      <c r="X435" s="44">
        <f>+_xlfn.XLOOKUP(PROYECTOS2[[#This Row],[MUNICIPIO]],'4.CAP_ENDMNT'!B:B,'4.CAP_ENDMNT'!E:E,0,0,1)</f>
        <v>4260885029.46</v>
      </c>
      <c r="Y435" s="44">
        <f>+_xlfn.XLOOKUP(PROYECTOS2[[#This Row],[MUNICIPIO]],'4.CAP_ENDMNT'!B:B,'4.CAP_ENDMNT'!F:F,0,0,1)</f>
        <v>13043523212.997002</v>
      </c>
      <c r="Z435" s="44">
        <f>+_xlfn.XLOOKUP(PROYECTOS2[[#This Row],[MUNICIPIO]],'4.CAP_ENDMNT'!B:B,'4.CAP_ENDMNT'!G:G,0,0,1)</f>
        <v>3210633884</v>
      </c>
      <c r="AA435" s="44">
        <f>+_xlfn.XLOOKUP(PROYECTOS2[[#This Row],[MUNICIPIO]],'4.CAP_ENDMNT'!B:B,'4.CAP_ENDMNT'!H:H,0,0,1)</f>
        <v>0</v>
      </c>
      <c r="AB435" s="44">
        <f>+_xlfn.XLOOKUP(PROYECTOS2[[#This Row],[MUNICIPIO]],'4.CAP_ENDMNT'!B:B,'4.CAP_ENDMNT'!I:I,0,0,1)</f>
        <v>3210633884</v>
      </c>
      <c r="AC435" s="146">
        <f>+_xlfn.XLOOKUP(PROYECTOS2[[#This Row],[MUNICIPIO]],'4.CAP_ENDMNT'!B:B,'4.CAP_ENDMNT'!J:J,0,0,1)</f>
        <v>0.1855384962614666</v>
      </c>
      <c r="AD435" s="44">
        <f>+_xlfn.XLOOKUP(PROYECTOS2[[#This Row],[MUNICIPIO]],'4.CAP_ENDMNT'!B:B,'4.CAP_ENDMNT'!K:K,0,0,1)</f>
        <v>14093774358.457001</v>
      </c>
      <c r="AE435" s="44">
        <f>+_xlfn.XLOOKUP(PROYECTOS2[[#This Row],[MUNICIPIO]],'4.CAP_ENDMNT'!B:B,'4.CAP_ENDMNT'!L:L,0,0,1)</f>
        <v>11275019486.765602</v>
      </c>
      <c r="AF435" s="44">
        <f>+_xlfn.XLOOKUP(PROYECTOS2[[#This Row],[MUNICIPIO]],'4.CAP_ENDMNT'!B:B,'4.CAP_ENDMNT'!M:M,0,0,1)</f>
        <v>8456264615.0741997</v>
      </c>
      <c r="AG435" s="146">
        <f>+_xlfn.XLOOKUP(PROYECTOS2[[#This Row],[MUNICIPIO]],'4.CAP_ENDMNT'!B:B,'4.CAP_ENDMNT'!N:N,0,0,1)</f>
        <v>1</v>
      </c>
      <c r="AH435" s="146">
        <f>+_xlfn.XLOOKUP(PROYECTOS2[[#This Row],[MUNICIPIO]],'4.CAP_ENDMNT'!B:B,'4.CAP_ENDMNT'!O:O,0,0,1)</f>
        <v>0.3794626866525494</v>
      </c>
      <c r="AI435" s="146">
        <f>+_xlfn.XLOOKUP(PROYECTOS2[[#This Row],[MUNICIPIO]],'4.CAP_ENDMNT'!B:B,'4.CAP_ENDMNT'!P:P,0,0,1)</f>
        <v>0.8</v>
      </c>
      <c r="AJ435" s="44" t="str">
        <f>+_xlfn.XLOOKUP(PROYECTOS2[[#This Row],[MUNICIPIO]],'4.CAP_ENDMNT'!B:B,'4.CAP_ENDMNT'!Q:Q,0,0,1)</f>
        <v>Cumple</v>
      </c>
    </row>
    <row r="436" spans="1:36" ht="15" customHeight="1">
      <c r="A436" s="44">
        <v>465</v>
      </c>
      <c r="B436" s="37" t="s">
        <v>1031</v>
      </c>
      <c r="C436" s="118">
        <v>45747</v>
      </c>
      <c r="D436" s="46" t="s">
        <v>334</v>
      </c>
      <c r="E436" s="47" t="str">
        <f>+_xlfn.XLOOKUP(PROYECTOS2[[#This Row],[MUNICIPIO]],MUNICIPIOS!A:A,MUNICIPIOS!E:E,0,0,1)</f>
        <v>Occidente</v>
      </c>
      <c r="F436" s="44" t="e" cm="1">
        <f t="array" ref="F436">+_xlfn.XLOOKUP(PROYECTOS2[[#This Row],[MUNICIPIO]],Table1[Municipio],MUNICIPIOS!F:F,0,0,1)</f>
        <v>#VALUE!</v>
      </c>
      <c r="G436" s="47" t="str">
        <f>+LOOKUP(PROYECTOS2[[#This Row],[MUNICIPIO]],Table1[Municipio],Table1[Latitud])</f>
        <v>6,149903</v>
      </c>
      <c r="H436" s="47">
        <f>+LOOKUP(PROYECTOS2[[#This Row],[MUNICIPIO]],Table1[Municipio],Table1[PDET])</f>
        <v>0</v>
      </c>
      <c r="I436" s="45">
        <f>+LOOKUP(PROYECTOS2[[#This Row],[MUNICIPIO]],Table1[Municipio],Table1[ZOMAC])</f>
        <v>0</v>
      </c>
      <c r="J436" s="34" t="str" cm="1">
        <f t="array" ref="J436">_xlfn.TEXTJOIN(", ", TRUE, IF(radicados[ID PROYECTOS]=A436, radicados[RADICADO], ""))</f>
        <v/>
      </c>
      <c r="K436" s="9">
        <v>1</v>
      </c>
      <c r="L436" s="45"/>
      <c r="M436" s="144"/>
      <c r="N436" s="72"/>
      <c r="O436" s="147">
        <v>600000000</v>
      </c>
      <c r="P436" s="147"/>
      <c r="Q436" s="148" t="s">
        <v>1068</v>
      </c>
      <c r="R436" s="42" t="s">
        <v>1072</v>
      </c>
      <c r="S436" s="40" t="s">
        <v>1079</v>
      </c>
      <c r="T436" s="40"/>
      <c r="U436" s="37" t="s">
        <v>1089</v>
      </c>
      <c r="V436" s="44">
        <f>+_xlfn.XLOOKUP(PROYECTOS2[[#This Row],[MUNICIPIO]],'4.CAP_ENDMNT'!B:B,'4.CAP_ENDMNT'!C:C,0,0,1)</f>
        <v>6</v>
      </c>
      <c r="W436" s="145">
        <f>+_xlfn.XLOOKUP(PROYECTOS2[[#This Row],[MUNICIPIO]],'4.CAP_ENDMNT'!B:B,'4.CAP_ENDMNT'!D:D,0,0,1)</f>
        <v>21865753958.964001</v>
      </c>
      <c r="X436" s="44">
        <f>+_xlfn.XLOOKUP(PROYECTOS2[[#This Row],[MUNICIPIO]],'4.CAP_ENDMNT'!B:B,'4.CAP_ENDMNT'!E:E,0,0,1)</f>
        <v>8371779870.6599998</v>
      </c>
      <c r="Y436" s="44">
        <f>+_xlfn.XLOOKUP(PROYECTOS2[[#This Row],[MUNICIPIO]],'4.CAP_ENDMNT'!B:B,'4.CAP_ENDMNT'!F:F,0,0,1)</f>
        <v>13493974088.304001</v>
      </c>
      <c r="Z436" s="44">
        <f>+_xlfn.XLOOKUP(PROYECTOS2[[#This Row],[MUNICIPIO]],'4.CAP_ENDMNT'!B:B,'4.CAP_ENDMNT'!G:G,0,0,1)</f>
        <v>851002641</v>
      </c>
      <c r="AA436" s="44">
        <f>+_xlfn.XLOOKUP(PROYECTOS2[[#This Row],[MUNICIPIO]],'4.CAP_ENDMNT'!B:B,'4.CAP_ENDMNT'!H:H,0,0,1)</f>
        <v>4636492005</v>
      </c>
      <c r="AB436" s="44">
        <f>+_xlfn.XLOOKUP(PROYECTOS2[[#This Row],[MUNICIPIO]],'4.CAP_ENDMNT'!B:B,'4.CAP_ENDMNT'!I:I,0,0,1)</f>
        <v>5487494646</v>
      </c>
      <c r="AC436" s="146">
        <f>+_xlfn.XLOOKUP(PROYECTOS2[[#This Row],[MUNICIPIO]],'4.CAP_ENDMNT'!B:B,'4.CAP_ENDMNT'!J:J,0,0,1)</f>
        <v>0.25096297416949431</v>
      </c>
      <c r="AD436" s="44">
        <f>+_xlfn.XLOOKUP(PROYECTOS2[[#This Row],[MUNICIPIO]],'4.CAP_ENDMNT'!B:B,'4.CAP_ENDMNT'!K:K,0,0,1)</f>
        <v>16378259312.964001</v>
      </c>
      <c r="AE436" s="44">
        <f>+_xlfn.XLOOKUP(PROYECTOS2[[#This Row],[MUNICIPIO]],'4.CAP_ENDMNT'!B:B,'4.CAP_ENDMNT'!L:L,0,0,1)</f>
        <v>13102607450.371201</v>
      </c>
      <c r="AF436" s="44">
        <f>+_xlfn.XLOOKUP(PROYECTOS2[[#This Row],[MUNICIPIO]],'4.CAP_ENDMNT'!B:B,'4.CAP_ENDMNT'!M:M,0,0,1)</f>
        <v>9826955587.7784004</v>
      </c>
      <c r="AG436" s="146">
        <f>+_xlfn.XLOOKUP(PROYECTOS2[[#This Row],[MUNICIPIO]],'4.CAP_ENDMNT'!B:B,'4.CAP_ENDMNT'!N:N,0,0,1)</f>
        <v>0.15508035923466848</v>
      </c>
      <c r="AH436" s="146">
        <f>+_xlfn.XLOOKUP(PROYECTOS2[[#This Row],[MUNICIPIO]],'4.CAP_ENDMNT'!B:B,'4.CAP_ENDMNT'!O:O,0,0,1)</f>
        <v>0.43479333121090752</v>
      </c>
      <c r="AI436" s="146">
        <f>+_xlfn.XLOOKUP(PROYECTOS2[[#This Row],[MUNICIPIO]],'4.CAP_ENDMNT'!B:B,'4.CAP_ENDMNT'!P:P,0,0,1)</f>
        <v>0.8</v>
      </c>
      <c r="AJ436" s="44" t="str">
        <f>+_xlfn.XLOOKUP(PROYECTOS2[[#This Row],[MUNICIPIO]],'4.CAP_ENDMNT'!B:B,'4.CAP_ENDMNT'!Q:Q,0,0,1)</f>
        <v>Cumple</v>
      </c>
    </row>
    <row r="437" spans="1:36" ht="15" customHeight="1">
      <c r="A437" s="44">
        <v>466</v>
      </c>
      <c r="B437" s="37" t="s">
        <v>1032</v>
      </c>
      <c r="C437" s="118">
        <v>45747</v>
      </c>
      <c r="D437" s="46" t="s">
        <v>193</v>
      </c>
      <c r="E437" s="47" t="str">
        <f>+_xlfn.XLOOKUP(PROYECTOS2[[#This Row],[MUNICIPIO]],MUNICIPIOS!A:A,MUNICIPIOS!E:E,0,0,1)</f>
        <v>Urabá</v>
      </c>
      <c r="F437" s="44" t="e" cm="1">
        <f t="array" ref="F437">+_xlfn.XLOOKUP(PROYECTOS2[[#This Row],[MUNICIPIO]],Table1[Municipio],MUNICIPIOS!F:F,0,0,1)</f>
        <v>#VALUE!</v>
      </c>
      <c r="G437" s="47" t="str">
        <f>+LOOKUP(PROYECTOS2[[#This Row],[MUNICIPIO]],Table1[Municipio],Table1[Latitud])</f>
        <v>7,074703</v>
      </c>
      <c r="H437" s="47">
        <f>+LOOKUP(PROYECTOS2[[#This Row],[MUNICIPIO]],Table1[Municipio],Table1[PDET])</f>
        <v>1</v>
      </c>
      <c r="I437" s="45">
        <f>+LOOKUP(PROYECTOS2[[#This Row],[MUNICIPIO]],Table1[Municipio],Table1[ZOMAC])</f>
        <v>1</v>
      </c>
      <c r="J437" s="34" t="str" cm="1">
        <f t="array" ref="J437">_xlfn.TEXTJOIN(", ", TRUE, IF(radicados[ID PROYECTOS]=A437, radicados[RADICADO], ""))</f>
        <v/>
      </c>
      <c r="K437" s="9">
        <v>1</v>
      </c>
      <c r="L437" s="45"/>
      <c r="M437" s="144"/>
      <c r="N437" s="72"/>
      <c r="O437" s="147">
        <v>320000000</v>
      </c>
      <c r="P437" s="147"/>
      <c r="Q437" s="148" t="s">
        <v>1068</v>
      </c>
      <c r="R437" s="42" t="s">
        <v>1072</v>
      </c>
      <c r="S437" s="40" t="s">
        <v>1079</v>
      </c>
      <c r="T437" s="40"/>
      <c r="U437" s="37" t="s">
        <v>1089</v>
      </c>
      <c r="V437" s="44">
        <f>+_xlfn.XLOOKUP(PROYECTOS2[[#This Row],[MUNICIPIO]],'4.CAP_ENDMNT'!B:B,'4.CAP_ENDMNT'!C:C,0,0,1)</f>
        <v>6</v>
      </c>
      <c r="W437" s="145">
        <f>+_xlfn.XLOOKUP(PROYECTOS2[[#This Row],[MUNICIPIO]],'4.CAP_ENDMNT'!B:B,'4.CAP_ENDMNT'!D:D,0,0,1)</f>
        <v>19782037469.424</v>
      </c>
      <c r="X437" s="44">
        <f>+_xlfn.XLOOKUP(PROYECTOS2[[#This Row],[MUNICIPIO]],'4.CAP_ENDMNT'!B:B,'4.CAP_ENDMNT'!E:E,0,0,1)</f>
        <v>6224691780.3400002</v>
      </c>
      <c r="Y437" s="44">
        <f>+_xlfn.XLOOKUP(PROYECTOS2[[#This Row],[MUNICIPIO]],'4.CAP_ENDMNT'!B:B,'4.CAP_ENDMNT'!F:F,0,0,1)</f>
        <v>13557345689.084</v>
      </c>
      <c r="Z437" s="44">
        <f>+_xlfn.XLOOKUP(PROYECTOS2[[#This Row],[MUNICIPIO]],'4.CAP_ENDMNT'!B:B,'4.CAP_ENDMNT'!G:G,0,0,1)</f>
        <v>5530076291</v>
      </c>
      <c r="AA437" s="44">
        <f>+_xlfn.XLOOKUP(PROYECTOS2[[#This Row],[MUNICIPIO]],'4.CAP_ENDMNT'!B:B,'4.CAP_ENDMNT'!H:H,0,0,1)</f>
        <v>135075758</v>
      </c>
      <c r="AB437" s="44">
        <f>+_xlfn.XLOOKUP(PROYECTOS2[[#This Row],[MUNICIPIO]],'4.CAP_ENDMNT'!B:B,'4.CAP_ENDMNT'!I:I,0,0,1)</f>
        <v>5665152049</v>
      </c>
      <c r="AC437" s="146">
        <f>+_xlfn.XLOOKUP(PROYECTOS2[[#This Row],[MUNICIPIO]],'4.CAP_ENDMNT'!B:B,'4.CAP_ENDMNT'!J:J,0,0,1)</f>
        <v>0.28637859258715448</v>
      </c>
      <c r="AD437" s="44">
        <f>+_xlfn.XLOOKUP(PROYECTOS2[[#This Row],[MUNICIPIO]],'4.CAP_ENDMNT'!B:B,'4.CAP_ENDMNT'!K:K,0,0,1)</f>
        <v>14116885420.424</v>
      </c>
      <c r="AE437" s="44">
        <f>+_xlfn.XLOOKUP(PROYECTOS2[[#This Row],[MUNICIPIO]],'4.CAP_ENDMNT'!B:B,'4.CAP_ENDMNT'!L:L,0,0,1)</f>
        <v>11293508336.339201</v>
      </c>
      <c r="AF437" s="44">
        <f>+_xlfn.XLOOKUP(PROYECTOS2[[#This Row],[MUNICIPIO]],'4.CAP_ENDMNT'!B:B,'4.CAP_ENDMNT'!M:M,0,0,1)</f>
        <v>8470131252.2543993</v>
      </c>
      <c r="AG437" s="146">
        <f>+_xlfn.XLOOKUP(PROYECTOS2[[#This Row],[MUNICIPIO]],'4.CAP_ENDMNT'!B:B,'4.CAP_ENDMNT'!N:N,0,0,1)</f>
        <v>0.97615672856938707</v>
      </c>
      <c r="AH437" s="146">
        <f>+_xlfn.XLOOKUP(PROYECTOS2[[#This Row],[MUNICIPIO]],'4.CAP_ENDMNT'!B:B,'4.CAP_ENDMNT'!O:O,0,0,1)</f>
        <v>0.63121490876418529</v>
      </c>
      <c r="AI437" s="146">
        <f>+_xlfn.XLOOKUP(PROYECTOS2[[#This Row],[MUNICIPIO]],'4.CAP_ENDMNT'!B:B,'4.CAP_ENDMNT'!P:P,0,0,1)</f>
        <v>0.8</v>
      </c>
      <c r="AJ437" s="44" t="str">
        <f>+_xlfn.XLOOKUP(PROYECTOS2[[#This Row],[MUNICIPIO]],'4.CAP_ENDMNT'!B:B,'4.CAP_ENDMNT'!Q:Q,0,0,1)</f>
        <v>Cumple</v>
      </c>
    </row>
    <row r="438" spans="1:36" ht="15" customHeight="1">
      <c r="A438" s="44">
        <v>467</v>
      </c>
      <c r="B438" s="37" t="s">
        <v>1033</v>
      </c>
      <c r="C438" s="118">
        <v>45747</v>
      </c>
      <c r="D438" s="46" t="s">
        <v>63</v>
      </c>
      <c r="E438" s="47" t="str">
        <f>+_xlfn.XLOOKUP(PROYECTOS2[[#This Row],[MUNICIPIO]],MUNICIPIOS!A:A,MUNICIPIOS!E:E,0,0,1)</f>
        <v>Urabá</v>
      </c>
      <c r="F438" s="44" t="e" cm="1">
        <f t="array" ref="F438">+_xlfn.XLOOKUP(PROYECTOS2[[#This Row],[MUNICIPIO]],Table1[Municipio],MUNICIPIOS!F:F,0,0,1)</f>
        <v>#VALUE!</v>
      </c>
      <c r="G438" s="47" t="str">
        <f>+LOOKUP(PROYECTOS2[[#This Row],[MUNICIPIO]],Table1[Municipio],Table1[Latitud])</f>
        <v>6,149903</v>
      </c>
      <c r="H438" s="47">
        <f>+LOOKUP(PROYECTOS2[[#This Row],[MUNICIPIO]],Table1[Municipio],Table1[PDET])</f>
        <v>0</v>
      </c>
      <c r="I438" s="45">
        <f>+LOOKUP(PROYECTOS2[[#This Row],[MUNICIPIO]],Table1[Municipio],Table1[ZOMAC])</f>
        <v>0</v>
      </c>
      <c r="J438" s="34" t="str" cm="1">
        <f t="array" ref="J438">_xlfn.TEXTJOIN(", ", TRUE, IF(radicados[ID PROYECTOS]=A438, radicados[RADICADO], ""))</f>
        <v/>
      </c>
      <c r="K438" s="9">
        <v>1</v>
      </c>
      <c r="L438" s="45"/>
      <c r="M438" s="144"/>
      <c r="N438" s="72"/>
      <c r="O438" s="147">
        <v>320000000</v>
      </c>
      <c r="P438" s="147"/>
      <c r="Q438" s="148" t="s">
        <v>1068</v>
      </c>
      <c r="R438" s="42" t="s">
        <v>1072</v>
      </c>
      <c r="S438" s="40" t="s">
        <v>1079</v>
      </c>
      <c r="T438" s="40"/>
      <c r="U438" s="37" t="s">
        <v>1089</v>
      </c>
      <c r="V438" s="44">
        <f>+_xlfn.XLOOKUP(PROYECTOS2[[#This Row],[MUNICIPIO]],'4.CAP_ENDMNT'!B:B,'4.CAP_ENDMNT'!C:C,0,0,1)</f>
        <v>6</v>
      </c>
      <c r="W438" s="145">
        <f>+_xlfn.XLOOKUP(PROYECTOS2[[#This Row],[MUNICIPIO]],'4.CAP_ENDMNT'!B:B,'4.CAP_ENDMNT'!D:D,0,0,1)</f>
        <v>19508372714.52</v>
      </c>
      <c r="X438" s="44">
        <f>+_xlfn.XLOOKUP(PROYECTOS2[[#This Row],[MUNICIPIO]],'4.CAP_ENDMNT'!B:B,'4.CAP_ENDMNT'!E:E,0,0,1)</f>
        <v>5389834315.5</v>
      </c>
      <c r="Y438" s="44">
        <f>+_xlfn.XLOOKUP(PROYECTOS2[[#This Row],[MUNICIPIO]],'4.CAP_ENDMNT'!B:B,'4.CAP_ENDMNT'!F:F,0,0,1)</f>
        <v>14118538399.02</v>
      </c>
      <c r="Z438" s="44">
        <f>+_xlfn.XLOOKUP(PROYECTOS2[[#This Row],[MUNICIPIO]],'4.CAP_ENDMNT'!B:B,'4.CAP_ENDMNT'!G:G,0,0,1)</f>
        <v>2594281047</v>
      </c>
      <c r="AA438" s="44">
        <f>+_xlfn.XLOOKUP(PROYECTOS2[[#This Row],[MUNICIPIO]],'4.CAP_ENDMNT'!B:B,'4.CAP_ENDMNT'!H:H,0,0,1)</f>
        <v>1833333333</v>
      </c>
      <c r="AB438" s="44">
        <f>+_xlfn.XLOOKUP(PROYECTOS2[[#This Row],[MUNICIPIO]],'4.CAP_ENDMNT'!B:B,'4.CAP_ENDMNT'!I:I,0,0,1)</f>
        <v>4427614380</v>
      </c>
      <c r="AC438" s="146">
        <f>+_xlfn.XLOOKUP(PROYECTOS2[[#This Row],[MUNICIPIO]],'4.CAP_ENDMNT'!B:B,'4.CAP_ENDMNT'!J:J,0,0,1)</f>
        <v>0.22695969801235882</v>
      </c>
      <c r="AD438" s="44">
        <f>+_xlfn.XLOOKUP(PROYECTOS2[[#This Row],[MUNICIPIO]],'4.CAP_ENDMNT'!B:B,'4.CAP_ENDMNT'!K:K,0,0,1)</f>
        <v>15080758334.52</v>
      </c>
      <c r="AE438" s="44">
        <f>+_xlfn.XLOOKUP(PROYECTOS2[[#This Row],[MUNICIPIO]],'4.CAP_ENDMNT'!B:B,'4.CAP_ENDMNT'!L:L,0,0,1)</f>
        <v>12064606667.616001</v>
      </c>
      <c r="AF438" s="44">
        <f>+_xlfn.XLOOKUP(PROYECTOS2[[#This Row],[MUNICIPIO]],'4.CAP_ENDMNT'!B:B,'4.CAP_ENDMNT'!M:M,0,0,1)</f>
        <v>9048455000.7119999</v>
      </c>
      <c r="AG438" s="146">
        <f>+_xlfn.XLOOKUP(PROYECTOS2[[#This Row],[MUNICIPIO]],'4.CAP_ENDMNT'!B:B,'4.CAP_ENDMNT'!N:N,0,0,1)</f>
        <v>0.58593202215591322</v>
      </c>
      <c r="AH438" s="146">
        <f>+_xlfn.XLOOKUP(PROYECTOS2[[#This Row],[MUNICIPIO]],'4.CAP_ENDMNT'!B:B,'4.CAP_ENDMNT'!O:O,0,0,1)</f>
        <v>0.58851112900500024</v>
      </c>
      <c r="AI438" s="146">
        <f>+_xlfn.XLOOKUP(PROYECTOS2[[#This Row],[MUNICIPIO]],'4.CAP_ENDMNT'!B:B,'4.CAP_ENDMNT'!P:P,0,0,1)</f>
        <v>0.8</v>
      </c>
      <c r="AJ438" s="44" t="str">
        <f>+_xlfn.XLOOKUP(PROYECTOS2[[#This Row],[MUNICIPIO]],'4.CAP_ENDMNT'!B:B,'4.CAP_ENDMNT'!Q:Q,0,0,1)</f>
        <v>Cumple</v>
      </c>
    </row>
    <row r="439" spans="1:36" ht="15" customHeight="1">
      <c r="A439" s="44">
        <v>468</v>
      </c>
      <c r="B439" s="37" t="s">
        <v>1034</v>
      </c>
      <c r="C439" s="118">
        <v>45747</v>
      </c>
      <c r="D439" s="46" t="s">
        <v>281</v>
      </c>
      <c r="E439" s="47" t="str">
        <f>+_xlfn.XLOOKUP(PROYECTOS2[[#This Row],[MUNICIPIO]],MUNICIPIOS!A:A,MUNICIPIOS!E:E,0,0,1)</f>
        <v>Suroeste</v>
      </c>
      <c r="F439" s="44" t="e" cm="1">
        <f t="array" ref="F439">+_xlfn.XLOOKUP(PROYECTOS2[[#This Row],[MUNICIPIO]],Table1[Municipio],MUNICIPIOS!F:F,0,0,1)</f>
        <v>#VALUE!</v>
      </c>
      <c r="G439" s="47" t="str">
        <f>+LOOKUP(PROYECTOS2[[#This Row],[MUNICIPIO]],Table1[Municipio],Table1[Latitud])</f>
        <v>6,149903</v>
      </c>
      <c r="H439" s="47">
        <f>+LOOKUP(PROYECTOS2[[#This Row],[MUNICIPIO]],Table1[Municipio],Table1[PDET])</f>
        <v>0</v>
      </c>
      <c r="I439" s="45">
        <f>+LOOKUP(PROYECTOS2[[#This Row],[MUNICIPIO]],Table1[Municipio],Table1[ZOMAC])</f>
        <v>0</v>
      </c>
      <c r="J439" s="34" t="str" cm="1">
        <f t="array" ref="J439">_xlfn.TEXTJOIN(", ", TRUE, IF(radicados[ID PROYECTOS]=A439, radicados[RADICADO], ""))</f>
        <v/>
      </c>
      <c r="K439" s="9">
        <v>1</v>
      </c>
      <c r="L439" s="45"/>
      <c r="M439" s="144"/>
      <c r="N439" s="72"/>
      <c r="O439" s="147">
        <v>1500000000</v>
      </c>
      <c r="P439" s="147"/>
      <c r="Q439" s="148" t="s">
        <v>1068</v>
      </c>
      <c r="R439" s="42" t="s">
        <v>1072</v>
      </c>
      <c r="S439" s="40" t="s">
        <v>1079</v>
      </c>
      <c r="T439" s="40"/>
      <c r="U439" s="37" t="s">
        <v>1089</v>
      </c>
      <c r="V439" s="44">
        <f>+_xlfn.XLOOKUP(PROYECTOS2[[#This Row],[MUNICIPIO]],'4.CAP_ENDMNT'!B:B,'4.CAP_ENDMNT'!C:C,0,0,1)</f>
        <v>6</v>
      </c>
      <c r="W439" s="145">
        <f>+_xlfn.XLOOKUP(PROYECTOS2[[#This Row],[MUNICIPIO]],'4.CAP_ENDMNT'!B:B,'4.CAP_ENDMNT'!D:D,0,0,1)</f>
        <v>12522207884.799</v>
      </c>
      <c r="X439" s="44">
        <f>+_xlfn.XLOOKUP(PROYECTOS2[[#This Row],[MUNICIPIO]],'4.CAP_ENDMNT'!B:B,'4.CAP_ENDMNT'!E:E,0,0,1)</f>
        <v>6810462569.46</v>
      </c>
      <c r="Y439" s="44">
        <f>+_xlfn.XLOOKUP(PROYECTOS2[[#This Row],[MUNICIPIO]],'4.CAP_ENDMNT'!B:B,'4.CAP_ENDMNT'!F:F,0,0,1)</f>
        <v>5711745315.3389997</v>
      </c>
      <c r="Z439" s="44">
        <f>+_xlfn.XLOOKUP(PROYECTOS2[[#This Row],[MUNICIPIO]],'4.CAP_ENDMNT'!B:B,'4.CAP_ENDMNT'!G:G,0,0,1)</f>
        <v>0</v>
      </c>
      <c r="AA439" s="44">
        <f>+_xlfn.XLOOKUP(PROYECTOS2[[#This Row],[MUNICIPIO]],'4.CAP_ENDMNT'!B:B,'4.CAP_ENDMNT'!H:H,0,0,1)</f>
        <v>0</v>
      </c>
      <c r="AB439" s="44">
        <f>+_xlfn.XLOOKUP(PROYECTOS2[[#This Row],[MUNICIPIO]],'4.CAP_ENDMNT'!B:B,'4.CAP_ENDMNT'!I:I,0,0,1)</f>
        <v>0</v>
      </c>
      <c r="AC439" s="146">
        <f>+_xlfn.XLOOKUP(PROYECTOS2[[#This Row],[MUNICIPIO]],'4.CAP_ENDMNT'!B:B,'4.CAP_ENDMNT'!J:J,0,0,1)</f>
        <v>0</v>
      </c>
      <c r="AD439" s="44">
        <f>+_xlfn.XLOOKUP(PROYECTOS2[[#This Row],[MUNICIPIO]],'4.CAP_ENDMNT'!B:B,'4.CAP_ENDMNT'!K:K,0,0,1)</f>
        <v>12522207884.799</v>
      </c>
      <c r="AE439" s="44">
        <f>+_xlfn.XLOOKUP(PROYECTOS2[[#This Row],[MUNICIPIO]],'4.CAP_ENDMNT'!B:B,'4.CAP_ENDMNT'!L:L,0,0,1)</f>
        <v>10017766307.839201</v>
      </c>
      <c r="AF439" s="44">
        <f>+_xlfn.XLOOKUP(PROYECTOS2[[#This Row],[MUNICIPIO]],'4.CAP_ENDMNT'!B:B,'4.CAP_ENDMNT'!M:M,0,0,1)</f>
        <v>7513324730.8793993</v>
      </c>
      <c r="AG439" s="146">
        <f>+_xlfn.XLOOKUP(PROYECTOS2[[#This Row],[MUNICIPIO]],'4.CAP_ENDMNT'!B:B,'4.CAP_ENDMNT'!N:N,0,0,1)</f>
        <v>0</v>
      </c>
      <c r="AH439" s="146">
        <f>+_xlfn.XLOOKUP(PROYECTOS2[[#This Row],[MUNICIPIO]],'4.CAP_ENDMNT'!B:B,'4.CAP_ENDMNT'!O:O,0,0,1)</f>
        <v>0.68767493145996073</v>
      </c>
      <c r="AI439" s="146">
        <f>+_xlfn.XLOOKUP(PROYECTOS2[[#This Row],[MUNICIPIO]],'4.CAP_ENDMNT'!B:B,'4.CAP_ENDMNT'!P:P,0,0,1)</f>
        <v>0.8</v>
      </c>
      <c r="AJ439" s="44" t="str">
        <f>+_xlfn.XLOOKUP(PROYECTOS2[[#This Row],[MUNICIPIO]],'4.CAP_ENDMNT'!B:B,'4.CAP_ENDMNT'!Q:Q,0,0,1)</f>
        <v>Cumple</v>
      </c>
    </row>
    <row r="440" spans="1:36" ht="15" customHeight="1">
      <c r="A440" s="44">
        <v>469</v>
      </c>
      <c r="B440" s="37" t="s">
        <v>1035</v>
      </c>
      <c r="C440" s="118">
        <v>45747</v>
      </c>
      <c r="D440" s="46" t="s">
        <v>101</v>
      </c>
      <c r="E440" s="47" t="str">
        <f>+_xlfn.XLOOKUP(PROYECTOS2[[#This Row],[MUNICIPIO]],MUNICIPIOS!A:A,MUNICIPIOS!E:E,0,0,1)</f>
        <v>Suroeste</v>
      </c>
      <c r="F440" s="44" t="e" cm="1">
        <f t="array" ref="F440">+_xlfn.XLOOKUP(PROYECTOS2[[#This Row],[MUNICIPIO]],Table1[Municipio],MUNICIPIOS!F:F,0,0,1)</f>
        <v>#VALUE!</v>
      </c>
      <c r="G440" s="47" t="str">
        <f>+LOOKUP(PROYECTOS2[[#This Row],[MUNICIPIO]],Table1[Municipio],Table1[Latitud])</f>
        <v>5,743808</v>
      </c>
      <c r="H440" s="47">
        <f>+LOOKUP(PROYECTOS2[[#This Row],[MUNICIPIO]],Table1[Municipio],Table1[PDET])</f>
        <v>0</v>
      </c>
      <c r="I440" s="45">
        <f>+LOOKUP(PROYECTOS2[[#This Row],[MUNICIPIO]],Table1[Municipio],Table1[ZOMAC])</f>
        <v>0</v>
      </c>
      <c r="J440" s="34" t="str" cm="1">
        <f t="array" ref="J440">_xlfn.TEXTJOIN(", ", TRUE, IF(radicados[ID PROYECTOS]=A440, radicados[RADICADO], ""))</f>
        <v/>
      </c>
      <c r="K440" s="9">
        <v>1</v>
      </c>
      <c r="L440" s="45"/>
      <c r="M440" s="144"/>
      <c r="N440" s="72"/>
      <c r="O440" s="147">
        <v>1100000000</v>
      </c>
      <c r="P440" s="147"/>
      <c r="Q440" s="148" t="s">
        <v>1068</v>
      </c>
      <c r="R440" s="42" t="s">
        <v>1072</v>
      </c>
      <c r="S440" s="40" t="s">
        <v>1079</v>
      </c>
      <c r="T440" s="40"/>
      <c r="U440" s="37" t="s">
        <v>1089</v>
      </c>
      <c r="V440" s="44">
        <f>+_xlfn.XLOOKUP(PROYECTOS2[[#This Row],[MUNICIPIO]],'4.CAP_ENDMNT'!B:B,'4.CAP_ENDMNT'!C:C,0,0,1)</f>
        <v>6</v>
      </c>
      <c r="W440" s="145">
        <f>+_xlfn.XLOOKUP(PROYECTOS2[[#This Row],[MUNICIPIO]],'4.CAP_ENDMNT'!B:B,'4.CAP_ENDMNT'!D:D,0,0,1)</f>
        <v>10783113038.2925</v>
      </c>
      <c r="X440" s="44">
        <f>+_xlfn.XLOOKUP(PROYECTOS2[[#This Row],[MUNICIPIO]],'4.CAP_ENDMNT'!B:B,'4.CAP_ENDMNT'!E:E,0,0,1)</f>
        <v>5750561650.9200001</v>
      </c>
      <c r="Y440" s="44">
        <f>+_xlfn.XLOOKUP(PROYECTOS2[[#This Row],[MUNICIPIO]],'4.CAP_ENDMNT'!B:B,'4.CAP_ENDMNT'!F:F,0,0,1)</f>
        <v>5032551387.3724995</v>
      </c>
      <c r="Z440" s="44">
        <f>+_xlfn.XLOOKUP(PROYECTOS2[[#This Row],[MUNICIPIO]],'4.CAP_ENDMNT'!B:B,'4.CAP_ENDMNT'!G:G,0,0,1)</f>
        <v>4104930290</v>
      </c>
      <c r="AA440" s="44">
        <f>+_xlfn.XLOOKUP(PROYECTOS2[[#This Row],[MUNICIPIO]],'4.CAP_ENDMNT'!B:B,'4.CAP_ENDMNT'!H:H,0,0,1)</f>
        <v>0</v>
      </c>
      <c r="AB440" s="44">
        <f>+_xlfn.XLOOKUP(PROYECTOS2[[#This Row],[MUNICIPIO]],'4.CAP_ENDMNT'!B:B,'4.CAP_ENDMNT'!I:I,0,0,1)</f>
        <v>4104930290</v>
      </c>
      <c r="AC440" s="146">
        <f>+_xlfn.XLOOKUP(PROYECTOS2[[#This Row],[MUNICIPIO]],'4.CAP_ENDMNT'!B:B,'4.CAP_ENDMNT'!J:J,0,0,1)</f>
        <v>0.38068137423977277</v>
      </c>
      <c r="AD440" s="44">
        <f>+_xlfn.XLOOKUP(PROYECTOS2[[#This Row],[MUNICIPIO]],'4.CAP_ENDMNT'!B:B,'4.CAP_ENDMNT'!K:K,0,0,1)</f>
        <v>6678182748.2924995</v>
      </c>
      <c r="AE440" s="44">
        <f>+_xlfn.XLOOKUP(PROYECTOS2[[#This Row],[MUNICIPIO]],'4.CAP_ENDMNT'!B:B,'4.CAP_ENDMNT'!L:L,0,0,1)</f>
        <v>5342546198.6339998</v>
      </c>
      <c r="AF440" s="44">
        <f>+_xlfn.XLOOKUP(PROYECTOS2[[#This Row],[MUNICIPIO]],'4.CAP_ENDMNT'!B:B,'4.CAP_ENDMNT'!M:M,0,0,1)</f>
        <v>4006909648.9754996</v>
      </c>
      <c r="AG440" s="146">
        <f>+_xlfn.XLOOKUP(PROYECTOS2[[#This Row],[MUNICIPIO]],'4.CAP_ENDMNT'!B:B,'4.CAP_ENDMNT'!N:N,0,0,1)</f>
        <v>1</v>
      </c>
      <c r="AH440" s="146">
        <f>+_xlfn.XLOOKUP(PROYECTOS2[[#This Row],[MUNICIPIO]],'4.CAP_ENDMNT'!B:B,'4.CAP_ENDMNT'!O:O,0,0,1)</f>
        <v>0.6829525248720959</v>
      </c>
      <c r="AI440" s="146">
        <f>+_xlfn.XLOOKUP(PROYECTOS2[[#This Row],[MUNICIPIO]],'4.CAP_ENDMNT'!B:B,'4.CAP_ENDMNT'!P:P,0,0,1)</f>
        <v>0.8</v>
      </c>
      <c r="AJ440" s="44" t="str">
        <f>+_xlfn.XLOOKUP(PROYECTOS2[[#This Row],[MUNICIPIO]],'4.CAP_ENDMNT'!B:B,'4.CAP_ENDMNT'!Q:Q,0,0,1)</f>
        <v>Cumple</v>
      </c>
    </row>
    <row r="441" spans="1:36" ht="15" customHeight="1">
      <c r="A441" s="44">
        <v>470</v>
      </c>
      <c r="B441" s="37" t="s">
        <v>1036</v>
      </c>
      <c r="C441" s="118">
        <v>45747</v>
      </c>
      <c r="D441" s="46" t="s">
        <v>23</v>
      </c>
      <c r="E441" s="47" t="str">
        <f>+_xlfn.XLOOKUP(PROYECTOS2[[#This Row],[MUNICIPIO]],MUNICIPIOS!A:A,MUNICIPIOS!E:E,0,0,1)</f>
        <v>Suroeste</v>
      </c>
      <c r="F441" s="44" t="e" cm="1">
        <f t="array" ref="F441">+_xlfn.XLOOKUP(PROYECTOS2[[#This Row],[MUNICIPIO]],Table1[Municipio],MUNICIPIOS!F:F,0,0,1)</f>
        <v>#VALUE!</v>
      </c>
      <c r="G441" s="47" t="str">
        <f>+LOOKUP(PROYECTOS2[[#This Row],[MUNICIPIO]],Table1[Municipio],Table1[Latitud])</f>
        <v>6,149903</v>
      </c>
      <c r="H441" s="47">
        <f>+LOOKUP(PROYECTOS2[[#This Row],[MUNICIPIO]],Table1[Municipio],Table1[PDET])</f>
        <v>0</v>
      </c>
      <c r="I441" s="45">
        <f>+LOOKUP(PROYECTOS2[[#This Row],[MUNICIPIO]],Table1[Municipio],Table1[ZOMAC])</f>
        <v>0</v>
      </c>
      <c r="J441" s="34" t="str" cm="1">
        <f t="array" ref="J441">_xlfn.TEXTJOIN(", ", TRUE, IF(radicados[ID PROYECTOS]=A441, radicados[RADICADO], ""))</f>
        <v/>
      </c>
      <c r="K441" s="9">
        <v>1</v>
      </c>
      <c r="L441" s="45"/>
      <c r="M441" s="144"/>
      <c r="N441" s="72"/>
      <c r="O441" s="147">
        <v>1600000000</v>
      </c>
      <c r="P441" s="147"/>
      <c r="Q441" s="148" t="s">
        <v>1068</v>
      </c>
      <c r="R441" s="42" t="s">
        <v>1072</v>
      </c>
      <c r="S441" s="40" t="s">
        <v>1079</v>
      </c>
      <c r="T441" s="40"/>
      <c r="U441" s="37" t="s">
        <v>1089</v>
      </c>
      <c r="V441" s="44">
        <f>+_xlfn.XLOOKUP(PROYECTOS2[[#This Row],[MUNICIPIO]],'4.CAP_ENDMNT'!B:B,'4.CAP_ENDMNT'!C:C,0,0,1)</f>
        <v>6</v>
      </c>
      <c r="W441" s="145">
        <f>+_xlfn.XLOOKUP(PROYECTOS2[[#This Row],[MUNICIPIO]],'4.CAP_ENDMNT'!B:B,'4.CAP_ENDMNT'!D:D,0,0,1)</f>
        <v>16589184003.816</v>
      </c>
      <c r="X441" s="44">
        <f>+_xlfn.XLOOKUP(PROYECTOS2[[#This Row],[MUNICIPIO]],'4.CAP_ENDMNT'!B:B,'4.CAP_ENDMNT'!E:E,0,0,1)</f>
        <v>7984390195.2300005</v>
      </c>
      <c r="Y441" s="44">
        <f>+_xlfn.XLOOKUP(PROYECTOS2[[#This Row],[MUNICIPIO]],'4.CAP_ENDMNT'!B:B,'4.CAP_ENDMNT'!F:F,0,0,1)</f>
        <v>8604793808.5859985</v>
      </c>
      <c r="Z441" s="44">
        <f>+_xlfn.XLOOKUP(PROYECTOS2[[#This Row],[MUNICIPIO]],'4.CAP_ENDMNT'!B:B,'4.CAP_ENDMNT'!G:G,0,0,1)</f>
        <v>1709535383</v>
      </c>
      <c r="AA441" s="44">
        <f>+_xlfn.XLOOKUP(PROYECTOS2[[#This Row],[MUNICIPIO]],'4.CAP_ENDMNT'!B:B,'4.CAP_ENDMNT'!H:H,0,0,1)</f>
        <v>1454838487</v>
      </c>
      <c r="AB441" s="44">
        <f>+_xlfn.XLOOKUP(PROYECTOS2[[#This Row],[MUNICIPIO]],'4.CAP_ENDMNT'!B:B,'4.CAP_ENDMNT'!I:I,0,0,1)</f>
        <v>3164373870</v>
      </c>
      <c r="AC441" s="146">
        <f>+_xlfn.XLOOKUP(PROYECTOS2[[#This Row],[MUNICIPIO]],'4.CAP_ENDMNT'!B:B,'4.CAP_ENDMNT'!J:J,0,0,1)</f>
        <v>0.19074921763916181</v>
      </c>
      <c r="AD441" s="44">
        <f>+_xlfn.XLOOKUP(PROYECTOS2[[#This Row],[MUNICIPIO]],'4.CAP_ENDMNT'!B:B,'4.CAP_ENDMNT'!K:K,0,0,1)</f>
        <v>13424810133.816</v>
      </c>
      <c r="AE441" s="44">
        <f>+_xlfn.XLOOKUP(PROYECTOS2[[#This Row],[MUNICIPIO]],'4.CAP_ENDMNT'!B:B,'4.CAP_ENDMNT'!L:L,0,0,1)</f>
        <v>10739848107.052801</v>
      </c>
      <c r="AF441" s="44">
        <f>+_xlfn.XLOOKUP(PROYECTOS2[[#This Row],[MUNICIPIO]],'4.CAP_ENDMNT'!B:B,'4.CAP_ENDMNT'!M:M,0,0,1)</f>
        <v>8054886080.2895994</v>
      </c>
      <c r="AG441" s="146">
        <f>+_xlfn.XLOOKUP(PROYECTOS2[[#This Row],[MUNICIPIO]],'4.CAP_ENDMNT'!B:B,'4.CAP_ENDMNT'!N:N,0,0,1)</f>
        <v>0.5402444379936685</v>
      </c>
      <c r="AH441" s="146">
        <f>+_xlfn.XLOOKUP(PROYECTOS2[[#This Row],[MUNICIPIO]],'4.CAP_ENDMNT'!B:B,'4.CAP_ENDMNT'!O:O,0,0,1)</f>
        <v>0.52370394920362784</v>
      </c>
      <c r="AI441" s="146">
        <f>+_xlfn.XLOOKUP(PROYECTOS2[[#This Row],[MUNICIPIO]],'4.CAP_ENDMNT'!B:B,'4.CAP_ENDMNT'!P:P,0,0,1)</f>
        <v>0.8</v>
      </c>
      <c r="AJ441" s="44" t="str">
        <f>+_xlfn.XLOOKUP(PROYECTOS2[[#This Row],[MUNICIPIO]],'4.CAP_ENDMNT'!B:B,'4.CAP_ENDMNT'!Q:Q,0,0,1)</f>
        <v>Cumple</v>
      </c>
    </row>
    <row r="442" spans="1:36" ht="15" customHeight="1">
      <c r="A442" s="44">
        <v>471</v>
      </c>
      <c r="B442" s="37" t="s">
        <v>1037</v>
      </c>
      <c r="C442" s="118">
        <v>45747</v>
      </c>
      <c r="D442" s="46" t="s">
        <v>369</v>
      </c>
      <c r="E442" s="47" t="str">
        <f>+_xlfn.XLOOKUP(PROYECTOS2[[#This Row],[MUNICIPIO]],MUNICIPIOS!A:A,MUNICIPIOS!E:E,0,0,1)</f>
        <v>Nordeste</v>
      </c>
      <c r="F442" s="44" t="e" cm="1">
        <f t="array" ref="F442">+_xlfn.XLOOKUP(PROYECTOS2[[#This Row],[MUNICIPIO]],Table1[Municipio],MUNICIPIOS!F:F,0,0,1)</f>
        <v>#VALUE!</v>
      </c>
      <c r="G442" s="47" t="str">
        <f>+LOOKUP(PROYECTOS2[[#This Row],[MUNICIPIO]],Table1[Municipio],Table1[Latitud])</f>
        <v>6,149903</v>
      </c>
      <c r="H442" s="47">
        <f>+LOOKUP(PROYECTOS2[[#This Row],[MUNICIPIO]],Table1[Municipio],Table1[PDET])</f>
        <v>0</v>
      </c>
      <c r="I442" s="45">
        <f>+LOOKUP(PROYECTOS2[[#This Row],[MUNICIPIO]],Table1[Municipio],Table1[ZOMAC])</f>
        <v>0</v>
      </c>
      <c r="J442" s="34" t="str" cm="1">
        <f t="array" ref="J442">_xlfn.TEXTJOIN(", ", TRUE, IF(radicados[ID PROYECTOS]=A442, radicados[RADICADO], ""))</f>
        <v/>
      </c>
      <c r="K442" s="9">
        <v>2</v>
      </c>
      <c r="L442" s="45"/>
      <c r="M442" s="144"/>
      <c r="N442" s="72"/>
      <c r="O442" s="147">
        <v>18000000000</v>
      </c>
      <c r="P442" s="147"/>
      <c r="Q442" s="148" t="s">
        <v>1068</v>
      </c>
      <c r="R442" s="42" t="s">
        <v>1077</v>
      </c>
      <c r="S442" s="40" t="s">
        <v>1079</v>
      </c>
      <c r="T442" s="40"/>
      <c r="U442" s="37" t="s">
        <v>1090</v>
      </c>
      <c r="V442" s="44">
        <f>+_xlfn.XLOOKUP(PROYECTOS2[[#This Row],[MUNICIPIO]],'4.CAP_ENDMNT'!B:B,'4.CAP_ENDMNT'!C:C,0,0,1)</f>
        <v>6</v>
      </c>
      <c r="W442" s="145">
        <f>+_xlfn.XLOOKUP(PROYECTOS2[[#This Row],[MUNICIPIO]],'4.CAP_ENDMNT'!B:B,'4.CAP_ENDMNT'!D:D,0,0,1)</f>
        <v>13758623676.126001</v>
      </c>
      <c r="X442" s="44">
        <f>+_xlfn.XLOOKUP(PROYECTOS2[[#This Row],[MUNICIPIO]],'4.CAP_ENDMNT'!B:B,'4.CAP_ENDMNT'!E:E,0,0,1)</f>
        <v>4170961872.3800001</v>
      </c>
      <c r="Y442" s="44">
        <f>+_xlfn.XLOOKUP(PROYECTOS2[[#This Row],[MUNICIPIO]],'4.CAP_ENDMNT'!B:B,'4.CAP_ENDMNT'!F:F,0,0,1)</f>
        <v>9587661803.7460022</v>
      </c>
      <c r="Z442" s="44">
        <f>+_xlfn.XLOOKUP(PROYECTOS2[[#This Row],[MUNICIPIO]],'4.CAP_ENDMNT'!B:B,'4.CAP_ENDMNT'!G:G,0,0,1)</f>
        <v>5765015946</v>
      </c>
      <c r="AA442" s="44">
        <f>+_xlfn.XLOOKUP(PROYECTOS2[[#This Row],[MUNICIPIO]],'4.CAP_ENDMNT'!B:B,'4.CAP_ENDMNT'!H:H,0,0,1)</f>
        <v>0</v>
      </c>
      <c r="AB442" s="44">
        <f>+_xlfn.XLOOKUP(PROYECTOS2[[#This Row],[MUNICIPIO]],'4.CAP_ENDMNT'!B:B,'4.CAP_ENDMNT'!I:I,0,0,1)</f>
        <v>5765015946</v>
      </c>
      <c r="AC442" s="146">
        <f>+_xlfn.XLOOKUP(PROYECTOS2[[#This Row],[MUNICIPIO]],'4.CAP_ENDMNT'!B:B,'4.CAP_ENDMNT'!J:J,0,0,1)</f>
        <v>0.41901109309381507</v>
      </c>
      <c r="AD442" s="44">
        <f>+_xlfn.XLOOKUP(PROYECTOS2[[#This Row],[MUNICIPIO]],'4.CAP_ENDMNT'!B:B,'4.CAP_ENDMNT'!K:K,0,0,1)</f>
        <v>7993607730.1260014</v>
      </c>
      <c r="AE442" s="44">
        <f>+_xlfn.XLOOKUP(PROYECTOS2[[#This Row],[MUNICIPIO]],'4.CAP_ENDMNT'!B:B,'4.CAP_ENDMNT'!L:L,0,0,1)</f>
        <v>6394886184.1008015</v>
      </c>
      <c r="AF442" s="44">
        <f>+_xlfn.XLOOKUP(PROYECTOS2[[#This Row],[MUNICIPIO]],'4.CAP_ENDMNT'!B:B,'4.CAP_ENDMNT'!M:M,0,0,1)</f>
        <v>4796164638.0756006</v>
      </c>
      <c r="AG442" s="146">
        <f>+_xlfn.XLOOKUP(PROYECTOS2[[#This Row],[MUNICIPIO]],'4.CAP_ENDMNT'!B:B,'4.CAP_ENDMNT'!N:N,0,0,1)</f>
        <v>1</v>
      </c>
      <c r="AH442" s="146">
        <f>+_xlfn.XLOOKUP(PROYECTOS2[[#This Row],[MUNICIPIO]],'4.CAP_ENDMNT'!B:B,'4.CAP_ENDMNT'!O:O,0,0,1)</f>
        <v>0.61660684639206742</v>
      </c>
      <c r="AI442" s="146">
        <f>+_xlfn.XLOOKUP(PROYECTOS2[[#This Row],[MUNICIPIO]],'4.CAP_ENDMNT'!B:B,'4.CAP_ENDMNT'!P:P,0,0,1)</f>
        <v>0.8</v>
      </c>
      <c r="AJ442" s="44" t="str">
        <f>+_xlfn.XLOOKUP(PROYECTOS2[[#This Row],[MUNICIPIO]],'4.CAP_ENDMNT'!B:B,'4.CAP_ENDMNT'!Q:Q,0,0,1)</f>
        <v>Cumple</v>
      </c>
    </row>
    <row r="443" spans="1:36" ht="15" customHeight="1">
      <c r="A443" s="44">
        <v>472</v>
      </c>
      <c r="B443" s="37" t="s">
        <v>1038</v>
      </c>
      <c r="C443" s="118">
        <v>45747</v>
      </c>
      <c r="D443" s="46" t="s">
        <v>191</v>
      </c>
      <c r="E443" s="47" t="str">
        <f>+_xlfn.XLOOKUP(PROYECTOS2[[#This Row],[MUNICIPIO]],MUNICIPIOS!A:A,MUNICIPIOS!E:E,0,0,1)</f>
        <v>Bajo Cauca</v>
      </c>
      <c r="F443" s="44" t="e" cm="1">
        <f t="array" ref="F443">+_xlfn.XLOOKUP(PROYECTOS2[[#This Row],[MUNICIPIO]],Table1[Municipio],MUNICIPIOS!F:F,0,0,1)</f>
        <v>#VALUE!</v>
      </c>
      <c r="G443" s="47" t="str">
        <f>+LOOKUP(PROYECTOS2[[#This Row],[MUNICIPIO]],Table1[Municipio],Table1[Latitud])</f>
        <v>7,074703</v>
      </c>
      <c r="H443" s="47">
        <f>+LOOKUP(PROYECTOS2[[#This Row],[MUNICIPIO]],Table1[Municipio],Table1[PDET])</f>
        <v>1</v>
      </c>
      <c r="I443" s="45">
        <f>+LOOKUP(PROYECTOS2[[#This Row],[MUNICIPIO]],Table1[Municipio],Table1[ZOMAC])</f>
        <v>1</v>
      </c>
      <c r="J443" s="34" t="str" cm="1">
        <f t="array" ref="J443">_xlfn.TEXTJOIN(", ", TRUE, IF(radicados[ID PROYECTOS]=A443, radicados[RADICADO], ""))</f>
        <v/>
      </c>
      <c r="K443" s="9">
        <v>2</v>
      </c>
      <c r="L443" s="45"/>
      <c r="M443" s="144"/>
      <c r="N443" s="72"/>
      <c r="O443" s="147">
        <v>750000000</v>
      </c>
      <c r="P443" s="147"/>
      <c r="Q443" s="148" t="s">
        <v>1068</v>
      </c>
      <c r="R443" s="42" t="s">
        <v>1072</v>
      </c>
      <c r="S443" s="40" t="s">
        <v>1079</v>
      </c>
      <c r="T443" s="40"/>
      <c r="U443" s="37" t="s">
        <v>1089</v>
      </c>
      <c r="V443" s="44">
        <f>+_xlfn.XLOOKUP(PROYECTOS2[[#This Row],[MUNICIPIO]],'4.CAP_ENDMNT'!B:B,'4.CAP_ENDMNT'!C:C,0,0,1)</f>
        <v>6</v>
      </c>
      <c r="W443" s="145">
        <f>+_xlfn.XLOOKUP(PROYECTOS2[[#This Row],[MUNICIPIO]],'4.CAP_ENDMNT'!B:B,'4.CAP_ENDMNT'!D:D,0,0,1)</f>
        <v>16341381522.362501</v>
      </c>
      <c r="X443" s="44">
        <f>+_xlfn.XLOOKUP(PROYECTOS2[[#This Row],[MUNICIPIO]],'4.CAP_ENDMNT'!B:B,'4.CAP_ENDMNT'!E:E,0,0,1)</f>
        <v>6183321664.5100002</v>
      </c>
      <c r="Y443" s="44">
        <f>+_xlfn.XLOOKUP(PROYECTOS2[[#This Row],[MUNICIPIO]],'4.CAP_ENDMNT'!B:B,'4.CAP_ENDMNT'!F:F,0,0,1)</f>
        <v>10158059857.852501</v>
      </c>
      <c r="Z443" s="44">
        <f>+_xlfn.XLOOKUP(PROYECTOS2[[#This Row],[MUNICIPIO]],'4.CAP_ENDMNT'!B:B,'4.CAP_ENDMNT'!G:G,0,0,1)</f>
        <v>3504148016</v>
      </c>
      <c r="AA443" s="44">
        <f>+_xlfn.XLOOKUP(PROYECTOS2[[#This Row],[MUNICIPIO]],'4.CAP_ENDMNT'!B:B,'4.CAP_ENDMNT'!H:H,0,0,1)</f>
        <v>5476192157</v>
      </c>
      <c r="AB443" s="44">
        <f>+_xlfn.XLOOKUP(PROYECTOS2[[#This Row],[MUNICIPIO]],'4.CAP_ENDMNT'!B:B,'4.CAP_ENDMNT'!I:I,0,0,1)</f>
        <v>8980340173</v>
      </c>
      <c r="AC443" s="146">
        <f>+_xlfn.XLOOKUP(PROYECTOS2[[#This Row],[MUNICIPIO]],'4.CAP_ENDMNT'!B:B,'4.CAP_ENDMNT'!J:J,0,0,1)</f>
        <v>0.54954595856603539</v>
      </c>
      <c r="AD443" s="44">
        <f>+_xlfn.XLOOKUP(PROYECTOS2[[#This Row],[MUNICIPIO]],'4.CAP_ENDMNT'!B:B,'4.CAP_ENDMNT'!K:K,0,0,1)</f>
        <v>7361041349.3625011</v>
      </c>
      <c r="AE443" s="44">
        <f>+_xlfn.XLOOKUP(PROYECTOS2[[#This Row],[MUNICIPIO]],'4.CAP_ENDMNT'!B:B,'4.CAP_ENDMNT'!L:L,0,0,1)</f>
        <v>5888833079.4900017</v>
      </c>
      <c r="AF443" s="44">
        <f>+_xlfn.XLOOKUP(PROYECTOS2[[#This Row],[MUNICIPIO]],'4.CAP_ENDMNT'!B:B,'4.CAP_ENDMNT'!M:M,0,0,1)</f>
        <v>4416624809.6175003</v>
      </c>
      <c r="AG443" s="146">
        <f>+_xlfn.XLOOKUP(PROYECTOS2[[#This Row],[MUNICIPIO]],'4.CAP_ENDMNT'!B:B,'4.CAP_ENDMNT'!N:N,0,0,1)</f>
        <v>0.39020214696715588</v>
      </c>
      <c r="AH443" s="146">
        <f>+_xlfn.XLOOKUP(PROYECTOS2[[#This Row],[MUNICIPIO]],'4.CAP_ENDMNT'!B:B,'4.CAP_ENDMNT'!O:O,0,0,1)</f>
        <v>0.6661172152696142</v>
      </c>
      <c r="AI443" s="146">
        <f>+_xlfn.XLOOKUP(PROYECTOS2[[#This Row],[MUNICIPIO]],'4.CAP_ENDMNT'!B:B,'4.CAP_ENDMNT'!P:P,0,0,1)</f>
        <v>0.8</v>
      </c>
      <c r="AJ443" s="44" t="str">
        <f>+_xlfn.XLOOKUP(PROYECTOS2[[#This Row],[MUNICIPIO]],'4.CAP_ENDMNT'!B:B,'4.CAP_ENDMNT'!Q:Q,0,0,1)</f>
        <v>Cumple</v>
      </c>
    </row>
    <row r="444" spans="1:36" ht="15" customHeight="1">
      <c r="A444" s="44">
        <v>473</v>
      </c>
      <c r="B444" s="37" t="s">
        <v>1039</v>
      </c>
      <c r="C444" s="118">
        <v>45747</v>
      </c>
      <c r="D444" s="46" t="s">
        <v>329</v>
      </c>
      <c r="E444" s="47" t="str">
        <f>+_xlfn.XLOOKUP(PROYECTOS2[[#This Row],[MUNICIPIO]],MUNICIPIOS!A:A,MUNICIPIOS!E:E,0,0,1)</f>
        <v>Bajo Cauca</v>
      </c>
      <c r="F444" s="44" t="e" cm="1">
        <f t="array" ref="F444">+_xlfn.XLOOKUP(PROYECTOS2[[#This Row],[MUNICIPIO]],Table1[Municipio],MUNICIPIOS!F:F,0,0,1)</f>
        <v>#VALUE!</v>
      </c>
      <c r="G444" s="47" t="str">
        <f>+LOOKUP(PROYECTOS2[[#This Row],[MUNICIPIO]],Table1[Municipio],Table1[Latitud])</f>
        <v>6,246631</v>
      </c>
      <c r="H444" s="47">
        <f>+LOOKUP(PROYECTOS2[[#This Row],[MUNICIPIO]],Table1[Municipio],Table1[PDET])</f>
        <v>0</v>
      </c>
      <c r="I444" s="45">
        <f>+LOOKUP(PROYECTOS2[[#This Row],[MUNICIPIO]],Table1[Municipio],Table1[ZOMAC])</f>
        <v>0</v>
      </c>
      <c r="J444" s="34" t="str" cm="1">
        <f t="array" ref="J444">_xlfn.TEXTJOIN(", ", TRUE, IF(radicados[ID PROYECTOS]=A444, radicados[RADICADO], ""))</f>
        <v/>
      </c>
      <c r="K444" s="9">
        <v>2</v>
      </c>
      <c r="L444" s="45"/>
      <c r="M444" s="144"/>
      <c r="N444" s="72"/>
      <c r="O444" s="147">
        <v>1560000000</v>
      </c>
      <c r="P444" s="147"/>
      <c r="Q444" s="148" t="s">
        <v>1068</v>
      </c>
      <c r="R444" s="42" t="s">
        <v>1072</v>
      </c>
      <c r="S444" s="40" t="s">
        <v>1079</v>
      </c>
      <c r="T444" s="40"/>
      <c r="U444" s="37" t="s">
        <v>1089</v>
      </c>
      <c r="V444" s="44">
        <f>+_xlfn.XLOOKUP(PROYECTOS2[[#This Row],[MUNICIPIO]],'4.CAP_ENDMNT'!B:B,'4.CAP_ENDMNT'!C:C,0,0,1)</f>
        <v>6</v>
      </c>
      <c r="W444" s="145">
        <f>+_xlfn.XLOOKUP(PROYECTOS2[[#This Row],[MUNICIPIO]],'4.CAP_ENDMNT'!B:B,'4.CAP_ENDMNT'!D:D,0,0,1)</f>
        <v>17207529181.433002</v>
      </c>
      <c r="X444" s="44">
        <f>+_xlfn.XLOOKUP(PROYECTOS2[[#This Row],[MUNICIPIO]],'4.CAP_ENDMNT'!B:B,'4.CAP_ENDMNT'!E:E,0,0,1)</f>
        <v>3556882387.1300001</v>
      </c>
      <c r="Y444" s="44">
        <f>+_xlfn.XLOOKUP(PROYECTOS2[[#This Row],[MUNICIPIO]],'4.CAP_ENDMNT'!B:B,'4.CAP_ENDMNT'!F:F,0,0,1)</f>
        <v>13650646794.303001</v>
      </c>
      <c r="Z444" s="44">
        <f>+_xlfn.XLOOKUP(PROYECTOS2[[#This Row],[MUNICIPIO]],'4.CAP_ENDMNT'!B:B,'4.CAP_ENDMNT'!G:G,0,0,1)</f>
        <v>2981910160</v>
      </c>
      <c r="AA444" s="44">
        <f>+_xlfn.XLOOKUP(PROYECTOS2[[#This Row],[MUNICIPIO]],'4.CAP_ENDMNT'!B:B,'4.CAP_ENDMNT'!H:H,0,0,1)</f>
        <v>5898924731</v>
      </c>
      <c r="AB444" s="44">
        <f>+_xlfn.XLOOKUP(PROYECTOS2[[#This Row],[MUNICIPIO]],'4.CAP_ENDMNT'!B:B,'4.CAP_ENDMNT'!I:I,0,0,1)</f>
        <v>8880834891</v>
      </c>
      <c r="AC444" s="146">
        <f>+_xlfn.XLOOKUP(PROYECTOS2[[#This Row],[MUNICIPIO]],'4.CAP_ENDMNT'!B:B,'4.CAP_ENDMNT'!J:J,0,0,1)</f>
        <v>0.51610168998478057</v>
      </c>
      <c r="AD444" s="44">
        <f>+_xlfn.XLOOKUP(PROYECTOS2[[#This Row],[MUNICIPIO]],'4.CAP_ENDMNT'!B:B,'4.CAP_ENDMNT'!K:K,0,0,1)</f>
        <v>8326694290.4330025</v>
      </c>
      <c r="AE444" s="44">
        <f>+_xlfn.XLOOKUP(PROYECTOS2[[#This Row],[MUNICIPIO]],'4.CAP_ENDMNT'!B:B,'4.CAP_ENDMNT'!L:L,0,0,1)</f>
        <v>6661355432.3464022</v>
      </c>
      <c r="AF444" s="44">
        <f>+_xlfn.XLOOKUP(PROYECTOS2[[#This Row],[MUNICIPIO]],'4.CAP_ENDMNT'!B:B,'4.CAP_ENDMNT'!M:M,0,0,1)</f>
        <v>4996016574.2598009</v>
      </c>
      <c r="AG444" s="146">
        <f>+_xlfn.XLOOKUP(PROYECTOS2[[#This Row],[MUNICIPIO]],'4.CAP_ENDMNT'!B:B,'4.CAP_ENDMNT'!N:N,0,0,1)</f>
        <v>0.3357691249301259</v>
      </c>
      <c r="AH444" s="146">
        <f>+_xlfn.XLOOKUP(PROYECTOS2[[#This Row],[MUNICIPIO]],'4.CAP_ENDMNT'!B:B,'4.CAP_ENDMNT'!O:O,0,0,1)</f>
        <v>0.46603493316730282</v>
      </c>
      <c r="AI444" s="146">
        <f>+_xlfn.XLOOKUP(PROYECTOS2[[#This Row],[MUNICIPIO]],'4.CAP_ENDMNT'!B:B,'4.CAP_ENDMNT'!P:P,0,0,1)</f>
        <v>0.8</v>
      </c>
      <c r="AJ444" s="44" t="str">
        <f>+_xlfn.XLOOKUP(PROYECTOS2[[#This Row],[MUNICIPIO]],'4.CAP_ENDMNT'!B:B,'4.CAP_ENDMNT'!Q:Q,0,0,1)</f>
        <v>Cumple</v>
      </c>
    </row>
    <row r="445" spans="1:36" ht="15" customHeight="1">
      <c r="A445" s="44">
        <v>474</v>
      </c>
      <c r="B445" s="37" t="s">
        <v>1040</v>
      </c>
      <c r="C445" s="118">
        <v>45747</v>
      </c>
      <c r="D445" s="46" t="s">
        <v>200</v>
      </c>
      <c r="E445" s="47" t="str">
        <f>+_xlfn.XLOOKUP(PROYECTOS2[[#This Row],[MUNICIPIO]],MUNICIPIOS!A:A,MUNICIPIOS!E:E,0,0,1)</f>
        <v>Bajo Cauca</v>
      </c>
      <c r="F445" s="44" t="e" cm="1">
        <f t="array" ref="F445">+_xlfn.XLOOKUP(PROYECTOS2[[#This Row],[MUNICIPIO]],Table1[Municipio],MUNICIPIOS!F:F,0,0,1)</f>
        <v>#VALUE!</v>
      </c>
      <c r="G445" s="47" t="str">
        <f>+LOOKUP(PROYECTOS2[[#This Row],[MUNICIPIO]],Table1[Municipio],Table1[Latitud])</f>
        <v>6,149903</v>
      </c>
      <c r="H445" s="47">
        <f>+LOOKUP(PROYECTOS2[[#This Row],[MUNICIPIO]],Table1[Municipio],Table1[PDET])</f>
        <v>0</v>
      </c>
      <c r="I445" s="45">
        <f>+LOOKUP(PROYECTOS2[[#This Row],[MUNICIPIO]],Table1[Municipio],Table1[ZOMAC])</f>
        <v>0</v>
      </c>
      <c r="J445" s="34" t="str" cm="1">
        <f t="array" ref="J445">_xlfn.TEXTJOIN(", ", TRUE, IF(radicados[ID PROYECTOS]=A445, radicados[RADICADO], ""))</f>
        <v/>
      </c>
      <c r="K445" s="9">
        <v>2</v>
      </c>
      <c r="L445" s="45"/>
      <c r="M445" s="144"/>
      <c r="N445" s="72"/>
      <c r="O445" s="147">
        <v>750000000</v>
      </c>
      <c r="P445" s="147"/>
      <c r="Q445" s="148" t="s">
        <v>1068</v>
      </c>
      <c r="R445" s="42" t="s">
        <v>1072</v>
      </c>
      <c r="S445" s="40" t="s">
        <v>1079</v>
      </c>
      <c r="T445" s="40"/>
      <c r="U445" s="37" t="s">
        <v>1089</v>
      </c>
      <c r="V445" s="44">
        <f>+_xlfn.XLOOKUP(PROYECTOS2[[#This Row],[MUNICIPIO]],'4.CAP_ENDMNT'!B:B,'4.CAP_ENDMNT'!C:C,0,0,1)</f>
        <v>6</v>
      </c>
      <c r="W445" s="145">
        <f>+_xlfn.XLOOKUP(PROYECTOS2[[#This Row],[MUNICIPIO]],'4.CAP_ENDMNT'!B:B,'4.CAP_ENDMNT'!D:D,0,0,1)</f>
        <v>26491016162.216</v>
      </c>
      <c r="X445" s="44">
        <f>+_xlfn.XLOOKUP(PROYECTOS2[[#This Row],[MUNICIPIO]],'4.CAP_ENDMNT'!B:B,'4.CAP_ENDMNT'!E:E,0,0,1)</f>
        <v>7986352410.1199999</v>
      </c>
      <c r="Y445" s="44">
        <f>+_xlfn.XLOOKUP(PROYECTOS2[[#This Row],[MUNICIPIO]],'4.CAP_ENDMNT'!B:B,'4.CAP_ENDMNT'!F:F,0,0,1)</f>
        <v>18504663752.096001</v>
      </c>
      <c r="Z445" s="44">
        <f>+_xlfn.XLOOKUP(PROYECTOS2[[#This Row],[MUNICIPIO]],'4.CAP_ENDMNT'!B:B,'4.CAP_ENDMNT'!G:G,0,0,1)</f>
        <v>6804069561</v>
      </c>
      <c r="AA445" s="44">
        <f>+_xlfn.XLOOKUP(PROYECTOS2[[#This Row],[MUNICIPIO]],'4.CAP_ENDMNT'!B:B,'4.CAP_ENDMNT'!H:H,0,0,1)</f>
        <v>0</v>
      </c>
      <c r="AB445" s="44">
        <f>+_xlfn.XLOOKUP(PROYECTOS2[[#This Row],[MUNICIPIO]],'4.CAP_ENDMNT'!B:B,'4.CAP_ENDMNT'!I:I,0,0,1)</f>
        <v>6804069561</v>
      </c>
      <c r="AC445" s="146">
        <f>+_xlfn.XLOOKUP(PROYECTOS2[[#This Row],[MUNICIPIO]],'4.CAP_ENDMNT'!B:B,'4.CAP_ENDMNT'!J:J,0,0,1)</f>
        <v>0.25684441545525194</v>
      </c>
      <c r="AD445" s="44">
        <f>+_xlfn.XLOOKUP(PROYECTOS2[[#This Row],[MUNICIPIO]],'4.CAP_ENDMNT'!B:B,'4.CAP_ENDMNT'!K:K,0,0,1)</f>
        <v>19686946601.216</v>
      </c>
      <c r="AE445" s="44">
        <f>+_xlfn.XLOOKUP(PROYECTOS2[[#This Row],[MUNICIPIO]],'4.CAP_ENDMNT'!B:B,'4.CAP_ENDMNT'!L:L,0,0,1)</f>
        <v>15749557280.972801</v>
      </c>
      <c r="AF445" s="44">
        <f>+_xlfn.XLOOKUP(PROYECTOS2[[#This Row],[MUNICIPIO]],'4.CAP_ENDMNT'!B:B,'4.CAP_ENDMNT'!M:M,0,0,1)</f>
        <v>11812167960.729599</v>
      </c>
      <c r="AG445" s="146">
        <f>+_xlfn.XLOOKUP(PROYECTOS2[[#This Row],[MUNICIPIO]],'4.CAP_ENDMNT'!B:B,'4.CAP_ENDMNT'!N:N,0,0,1)</f>
        <v>1</v>
      </c>
      <c r="AH445" s="146">
        <f>+_xlfn.XLOOKUP(PROYECTOS2[[#This Row],[MUNICIPIO]],'4.CAP_ENDMNT'!B:B,'4.CAP_ENDMNT'!O:O,0,0,1)</f>
        <v>0.54140540347070121</v>
      </c>
      <c r="AI445" s="146">
        <f>+_xlfn.XLOOKUP(PROYECTOS2[[#This Row],[MUNICIPIO]],'4.CAP_ENDMNT'!B:B,'4.CAP_ENDMNT'!P:P,0,0,1)</f>
        <v>0.8</v>
      </c>
      <c r="AJ445" s="44" t="str">
        <f>+_xlfn.XLOOKUP(PROYECTOS2[[#This Row],[MUNICIPIO]],'4.CAP_ENDMNT'!B:B,'4.CAP_ENDMNT'!Q:Q,0,0,1)</f>
        <v>Cumple</v>
      </c>
    </row>
    <row r="446" spans="1:36" ht="15" customHeight="1">
      <c r="A446" s="44">
        <v>475</v>
      </c>
      <c r="B446" s="37" t="s">
        <v>1041</v>
      </c>
      <c r="C446" s="118">
        <v>45747</v>
      </c>
      <c r="D446" s="46" t="s">
        <v>170</v>
      </c>
      <c r="E446" s="47" t="str">
        <f>+_xlfn.XLOOKUP(PROYECTOS2[[#This Row],[MUNICIPIO]],MUNICIPIOS!A:A,MUNICIPIOS!E:E,0,0,1)</f>
        <v>Bajo Cauca</v>
      </c>
      <c r="F446" s="44" t="e" cm="1">
        <f t="array" ref="F446">+_xlfn.XLOOKUP(PROYECTOS2[[#This Row],[MUNICIPIO]],Table1[Municipio],MUNICIPIOS!F:F,0,0,1)</f>
        <v>#VALUE!</v>
      </c>
      <c r="G446" s="47" t="str">
        <f>+LOOKUP(PROYECTOS2[[#This Row],[MUNICIPIO]],Table1[Municipio],Table1[Latitud])</f>
        <v>6,394348</v>
      </c>
      <c r="H446" s="47">
        <f>+LOOKUP(PROYECTOS2[[#This Row],[MUNICIPIO]],Table1[Municipio],Table1[PDET])</f>
        <v>0</v>
      </c>
      <c r="I446" s="45">
        <f>+LOOKUP(PROYECTOS2[[#This Row],[MUNICIPIO]],Table1[Municipio],Table1[ZOMAC])</f>
        <v>1</v>
      </c>
      <c r="J446" s="34" t="str" cm="1">
        <f t="array" ref="J446">_xlfn.TEXTJOIN(", ", TRUE, IF(radicados[ID PROYECTOS]=A446, radicados[RADICADO], ""))</f>
        <v/>
      </c>
      <c r="K446" s="9">
        <v>2</v>
      </c>
      <c r="L446" s="45"/>
      <c r="M446" s="144"/>
      <c r="N446" s="72"/>
      <c r="O446" s="147">
        <v>4880000000</v>
      </c>
      <c r="P446" s="147"/>
      <c r="Q446" s="148" t="s">
        <v>1068</v>
      </c>
      <c r="R446" s="42" t="s">
        <v>1072</v>
      </c>
      <c r="S446" s="40" t="s">
        <v>1079</v>
      </c>
      <c r="T446" s="40"/>
      <c r="U446" s="37" t="s">
        <v>1089</v>
      </c>
      <c r="V446" s="44">
        <f>+_xlfn.XLOOKUP(PROYECTOS2[[#This Row],[MUNICIPIO]],'4.CAP_ENDMNT'!B:B,'4.CAP_ENDMNT'!C:C,0,0,1)</f>
        <v>6</v>
      </c>
      <c r="W446" s="145">
        <f>+_xlfn.XLOOKUP(PROYECTOS2[[#This Row],[MUNICIPIO]],'4.CAP_ENDMNT'!B:B,'4.CAP_ENDMNT'!D:D,0,0,1)</f>
        <v>50634494381.026505</v>
      </c>
      <c r="X446" s="44">
        <f>+_xlfn.XLOOKUP(PROYECTOS2[[#This Row],[MUNICIPIO]],'4.CAP_ENDMNT'!B:B,'4.CAP_ENDMNT'!E:E,0,0,1)</f>
        <v>15839182742.690001</v>
      </c>
      <c r="Y446" s="44">
        <f>+_xlfn.XLOOKUP(PROYECTOS2[[#This Row],[MUNICIPIO]],'4.CAP_ENDMNT'!B:B,'4.CAP_ENDMNT'!F:F,0,0,1)</f>
        <v>34795311638.336502</v>
      </c>
      <c r="Z446" s="44">
        <f>+_xlfn.XLOOKUP(PROYECTOS2[[#This Row],[MUNICIPIO]],'4.CAP_ENDMNT'!B:B,'4.CAP_ENDMNT'!G:G,0,0,1)</f>
        <v>67652077</v>
      </c>
      <c r="AA446" s="44">
        <f>+_xlfn.XLOOKUP(PROYECTOS2[[#This Row],[MUNICIPIO]],'4.CAP_ENDMNT'!B:B,'4.CAP_ENDMNT'!H:H,0,0,1)</f>
        <v>17477834894.650002</v>
      </c>
      <c r="AB446" s="44">
        <f>+_xlfn.XLOOKUP(PROYECTOS2[[#This Row],[MUNICIPIO]],'4.CAP_ENDMNT'!B:B,'4.CAP_ENDMNT'!I:I,0,0,1)</f>
        <v>17545486971.650002</v>
      </c>
      <c r="AC446" s="146">
        <f>+_xlfn.XLOOKUP(PROYECTOS2[[#This Row],[MUNICIPIO]],'4.CAP_ENDMNT'!B:B,'4.CAP_ENDMNT'!J:J,0,0,1)</f>
        <v>0.34651253431345719</v>
      </c>
      <c r="AD446" s="44">
        <f>+_xlfn.XLOOKUP(PROYECTOS2[[#This Row],[MUNICIPIO]],'4.CAP_ENDMNT'!B:B,'4.CAP_ENDMNT'!K:K,0,0,1)</f>
        <v>33089007409.376503</v>
      </c>
      <c r="AE446" s="44">
        <f>+_xlfn.XLOOKUP(PROYECTOS2[[#This Row],[MUNICIPIO]],'4.CAP_ENDMNT'!B:B,'4.CAP_ENDMNT'!L:L,0,0,1)</f>
        <v>26471205927.501205</v>
      </c>
      <c r="AF446" s="44">
        <f>+_xlfn.XLOOKUP(PROYECTOS2[[#This Row],[MUNICIPIO]],'4.CAP_ENDMNT'!B:B,'4.CAP_ENDMNT'!M:M,0,0,1)</f>
        <v>19853404445.6259</v>
      </c>
      <c r="AG446" s="146">
        <f>+_xlfn.XLOOKUP(PROYECTOS2[[#This Row],[MUNICIPIO]],'4.CAP_ENDMNT'!B:B,'4.CAP_ENDMNT'!N:N,0,0,1)</f>
        <v>3.8558107340829141E-3</v>
      </c>
      <c r="AH446" s="146">
        <f>+_xlfn.XLOOKUP(PROYECTOS2[[#This Row],[MUNICIPIO]],'4.CAP_ENDMNT'!B:B,'4.CAP_ENDMNT'!O:O,0,0,1)</f>
        <v>0.40594992695874271</v>
      </c>
      <c r="AI446" s="146">
        <f>+_xlfn.XLOOKUP(PROYECTOS2[[#This Row],[MUNICIPIO]],'4.CAP_ENDMNT'!B:B,'4.CAP_ENDMNT'!P:P,0,0,1)</f>
        <v>0.8</v>
      </c>
      <c r="AJ446" s="44" t="str">
        <f>+_xlfn.XLOOKUP(PROYECTOS2[[#This Row],[MUNICIPIO]],'4.CAP_ENDMNT'!B:B,'4.CAP_ENDMNT'!Q:Q,0,0,1)</f>
        <v>Cumple</v>
      </c>
    </row>
    <row r="447" spans="1:36" ht="15" customHeight="1">
      <c r="A447" s="44">
        <v>476</v>
      </c>
      <c r="B447" s="37" t="s">
        <v>1042</v>
      </c>
      <c r="C447" s="118">
        <v>45747</v>
      </c>
      <c r="D447" s="46" t="s">
        <v>692</v>
      </c>
      <c r="E447" s="47" t="str">
        <f>+_xlfn.XLOOKUP(PROYECTOS2[[#This Row],[MUNICIPIO]],MUNICIPIOS!A:A,MUNICIPIOS!E:E,0,0,1)</f>
        <v>Bajo Cauca</v>
      </c>
      <c r="F447" s="44" t="e" cm="1">
        <f t="array" ref="F447">+_xlfn.XLOOKUP(PROYECTOS2[[#This Row],[MUNICIPIO]],Table1[Municipio],MUNICIPIOS!F:F,0,0,1)</f>
        <v>#VALUE!</v>
      </c>
      <c r="G447" s="47" t="str">
        <f>+LOOKUP(PROYECTOS2[[#This Row],[MUNICIPIO]],Table1[Municipio],Table1[Latitud])</f>
        <v>6,149903</v>
      </c>
      <c r="H447" s="47">
        <f>+LOOKUP(PROYECTOS2[[#This Row],[MUNICIPIO]],Table1[Municipio],Table1[PDET])</f>
        <v>0</v>
      </c>
      <c r="I447" s="45">
        <f>+LOOKUP(PROYECTOS2[[#This Row],[MUNICIPIO]],Table1[Municipio],Table1[ZOMAC])</f>
        <v>0</v>
      </c>
      <c r="J447" s="34" t="str" cm="1">
        <f t="array" ref="J447">_xlfn.TEXTJOIN(", ", TRUE, IF(radicados[ID PROYECTOS]=A447, radicados[RADICADO], ""))</f>
        <v/>
      </c>
      <c r="K447" s="9">
        <v>2</v>
      </c>
      <c r="L447" s="45"/>
      <c r="M447" s="144"/>
      <c r="N447" s="72"/>
      <c r="O447" s="147">
        <v>1480000000</v>
      </c>
      <c r="P447" s="147"/>
      <c r="Q447" s="148" t="s">
        <v>1068</v>
      </c>
      <c r="R447" s="42" t="s">
        <v>1072</v>
      </c>
      <c r="S447" s="40" t="s">
        <v>1079</v>
      </c>
      <c r="T447" s="40"/>
      <c r="U447" s="37" t="s">
        <v>1089</v>
      </c>
      <c r="V447" s="44">
        <f>+_xlfn.XLOOKUP(PROYECTOS2[[#This Row],[MUNICIPIO]],'4.CAP_ENDMNT'!B:B,'4.CAP_ENDMNT'!C:C,0,0,1)</f>
        <v>6</v>
      </c>
      <c r="W447" s="145">
        <f>+_xlfn.XLOOKUP(PROYECTOS2[[#This Row],[MUNICIPIO]],'4.CAP_ENDMNT'!B:B,'4.CAP_ENDMNT'!D:D,0,0,1)</f>
        <v>12386294028.284</v>
      </c>
      <c r="X447" s="44">
        <f>+_xlfn.XLOOKUP(PROYECTOS2[[#This Row],[MUNICIPIO]],'4.CAP_ENDMNT'!B:B,'4.CAP_ENDMNT'!E:E,0,0,1)</f>
        <v>5371610026.9800005</v>
      </c>
      <c r="Y447" s="44">
        <f>+_xlfn.XLOOKUP(PROYECTOS2[[#This Row],[MUNICIPIO]],'4.CAP_ENDMNT'!B:B,'4.CAP_ENDMNT'!F:F,0,0,1)</f>
        <v>7014684001.3039999</v>
      </c>
      <c r="Z447" s="44">
        <f>+_xlfn.XLOOKUP(PROYECTOS2[[#This Row],[MUNICIPIO]],'4.CAP_ENDMNT'!B:B,'4.CAP_ENDMNT'!G:G,0,0,1)</f>
        <v>1476389847</v>
      </c>
      <c r="AA447" s="44">
        <f>+_xlfn.XLOOKUP(PROYECTOS2[[#This Row],[MUNICIPIO]],'4.CAP_ENDMNT'!B:B,'4.CAP_ENDMNT'!H:H,0,0,1)</f>
        <v>1615533927.0799999</v>
      </c>
      <c r="AB447" s="44">
        <f>+_xlfn.XLOOKUP(PROYECTOS2[[#This Row],[MUNICIPIO]],'4.CAP_ENDMNT'!B:B,'4.CAP_ENDMNT'!I:I,0,0,1)</f>
        <v>3091923774.0799999</v>
      </c>
      <c r="AC447" s="146">
        <f>+_xlfn.XLOOKUP(PROYECTOS2[[#This Row],[MUNICIPIO]],'4.CAP_ENDMNT'!B:B,'4.CAP_ENDMNT'!J:J,0,0,1)</f>
        <v>0.24962460660304184</v>
      </c>
      <c r="AD447" s="44">
        <f>+_xlfn.XLOOKUP(PROYECTOS2[[#This Row],[MUNICIPIO]],'4.CAP_ENDMNT'!B:B,'4.CAP_ENDMNT'!K:K,0,0,1)</f>
        <v>9294370254.2040005</v>
      </c>
      <c r="AE447" s="44">
        <f>+_xlfn.XLOOKUP(PROYECTOS2[[#This Row],[MUNICIPIO]],'4.CAP_ENDMNT'!B:B,'4.CAP_ENDMNT'!L:L,0,0,1)</f>
        <v>7435496203.3632011</v>
      </c>
      <c r="AF447" s="44">
        <f>+_xlfn.XLOOKUP(PROYECTOS2[[#This Row],[MUNICIPIO]],'4.CAP_ENDMNT'!B:B,'4.CAP_ENDMNT'!M:M,0,0,1)</f>
        <v>5576622152.5223999</v>
      </c>
      <c r="AG447" s="146">
        <f>+_xlfn.XLOOKUP(PROYECTOS2[[#This Row],[MUNICIPIO]],'4.CAP_ENDMNT'!B:B,'4.CAP_ENDMNT'!N:N,0,0,1)</f>
        <v>0.47749878550589397</v>
      </c>
      <c r="AH447" s="146">
        <f>+_xlfn.XLOOKUP(PROYECTOS2[[#This Row],[MUNICIPIO]],'4.CAP_ENDMNT'!B:B,'4.CAP_ENDMNT'!O:O,0,0,1)</f>
        <v>0.88953529502502671</v>
      </c>
      <c r="AI447" s="146">
        <f>+_xlfn.XLOOKUP(PROYECTOS2[[#This Row],[MUNICIPIO]],'4.CAP_ENDMNT'!B:B,'4.CAP_ENDMNT'!P:P,0,0,1)</f>
        <v>0.8</v>
      </c>
      <c r="AJ447" s="44" t="str">
        <f>+_xlfn.XLOOKUP(PROYECTOS2[[#This Row],[MUNICIPIO]],'4.CAP_ENDMNT'!B:B,'4.CAP_ENDMNT'!Q:Q,0,0,1)</f>
        <v>Incumple</v>
      </c>
    </row>
    <row r="448" spans="1:36" ht="15" customHeight="1">
      <c r="A448" s="44">
        <v>477</v>
      </c>
      <c r="B448" s="37" t="s">
        <v>1043</v>
      </c>
      <c r="C448" s="118">
        <v>45747</v>
      </c>
      <c r="D448" s="46" t="s">
        <v>832</v>
      </c>
      <c r="E448" s="47" t="str">
        <f>+_xlfn.XLOOKUP(PROYECTOS2[[#This Row],[MUNICIPIO]],MUNICIPIOS!A:A,MUNICIPIOS!E:E,0,0,1)</f>
        <v>Norte</v>
      </c>
      <c r="F448" s="44" t="e" cm="1">
        <f t="array" ref="F448">+_xlfn.XLOOKUP(PROYECTOS2[[#This Row],[MUNICIPIO]],Table1[Municipio],MUNICIPIOS!F:F,0,0,1)</f>
        <v>#VALUE!</v>
      </c>
      <c r="G448" s="47" t="str">
        <f>+LOOKUP(PROYECTOS2[[#This Row],[MUNICIPIO]],Table1[Municipio],Table1[Latitud])</f>
        <v>6,232461</v>
      </c>
      <c r="H448" s="47">
        <f>+LOOKUP(PROYECTOS2[[#This Row],[MUNICIPIO]],Table1[Municipio],Table1[PDET])</f>
        <v>0</v>
      </c>
      <c r="I448" s="45">
        <f>+LOOKUP(PROYECTOS2[[#This Row],[MUNICIPIO]],Table1[Municipio],Table1[ZOMAC])</f>
        <v>0</v>
      </c>
      <c r="J448" s="34" t="str" cm="1">
        <f t="array" ref="J448">_xlfn.TEXTJOIN(", ", TRUE, IF(radicados[ID PROYECTOS]=A448, radicados[RADICADO], ""))</f>
        <v/>
      </c>
      <c r="K448" s="9">
        <v>2</v>
      </c>
      <c r="L448" s="45"/>
      <c r="M448" s="144"/>
      <c r="N448" s="72"/>
      <c r="O448" s="147">
        <v>3245000000</v>
      </c>
      <c r="P448" s="147"/>
      <c r="Q448" s="148" t="s">
        <v>1068</v>
      </c>
      <c r="R448" s="42" t="s">
        <v>1075</v>
      </c>
      <c r="S448" s="40" t="s">
        <v>1079</v>
      </c>
      <c r="T448" s="40"/>
      <c r="U448" s="37" t="s">
        <v>1089</v>
      </c>
      <c r="V448" s="44">
        <f>+_xlfn.XLOOKUP(PROYECTOS2[[#This Row],[MUNICIPIO]],'4.CAP_ENDMNT'!B:B,'4.CAP_ENDMNT'!C:C,0,0,1)</f>
        <v>6</v>
      </c>
      <c r="W448" s="145">
        <f>+_xlfn.XLOOKUP(PROYECTOS2[[#This Row],[MUNICIPIO]],'4.CAP_ENDMNT'!B:B,'4.CAP_ENDMNT'!D:D,0,0,1)</f>
        <v>18426107981.286503</v>
      </c>
      <c r="X448" s="44">
        <f>+_xlfn.XLOOKUP(PROYECTOS2[[#This Row],[MUNICIPIO]],'4.CAP_ENDMNT'!B:B,'4.CAP_ENDMNT'!E:E,0,0,1)</f>
        <v>4869802105.2700005</v>
      </c>
      <c r="Y448" s="44">
        <f>+_xlfn.XLOOKUP(PROYECTOS2[[#This Row],[MUNICIPIO]],'4.CAP_ENDMNT'!B:B,'4.CAP_ENDMNT'!F:F,0,0,1)</f>
        <v>13556305876.016502</v>
      </c>
      <c r="Z448" s="44">
        <f>+_xlfn.XLOOKUP(PROYECTOS2[[#This Row],[MUNICIPIO]],'4.CAP_ENDMNT'!B:B,'4.CAP_ENDMNT'!G:G,0,0,1)</f>
        <v>951343820.02999997</v>
      </c>
      <c r="AA448" s="44">
        <f>+_xlfn.XLOOKUP(PROYECTOS2[[#This Row],[MUNICIPIO]],'4.CAP_ENDMNT'!B:B,'4.CAP_ENDMNT'!H:H,0,0,1)</f>
        <v>9684082914</v>
      </c>
      <c r="AB448" s="44">
        <f>+_xlfn.XLOOKUP(PROYECTOS2[[#This Row],[MUNICIPIO]],'4.CAP_ENDMNT'!B:B,'4.CAP_ENDMNT'!I:I,0,0,1)</f>
        <v>10635426734.030001</v>
      </c>
      <c r="AC448" s="146">
        <f>+_xlfn.XLOOKUP(PROYECTOS2[[#This Row],[MUNICIPIO]],'4.CAP_ENDMNT'!B:B,'4.CAP_ENDMNT'!J:J,0,0,1)</f>
        <v>0.57719333593569011</v>
      </c>
      <c r="AD448" s="44">
        <f>+_xlfn.XLOOKUP(PROYECTOS2[[#This Row],[MUNICIPIO]],'4.CAP_ENDMNT'!B:B,'4.CAP_ENDMNT'!K:K,0,0,1)</f>
        <v>7790681247.2565022</v>
      </c>
      <c r="AE448" s="44">
        <f>+_xlfn.XLOOKUP(PROYECTOS2[[#This Row],[MUNICIPIO]],'4.CAP_ENDMNT'!B:B,'4.CAP_ENDMNT'!L:L,0,0,1)</f>
        <v>6232544997.8052025</v>
      </c>
      <c r="AF448" s="44">
        <f>+_xlfn.XLOOKUP(PROYECTOS2[[#This Row],[MUNICIPIO]],'4.CAP_ENDMNT'!B:B,'4.CAP_ENDMNT'!M:M,0,0,1)</f>
        <v>4674408748.3539009</v>
      </c>
      <c r="AG448" s="146">
        <f>+_xlfn.XLOOKUP(PROYECTOS2[[#This Row],[MUNICIPIO]],'4.CAP_ENDMNT'!B:B,'4.CAP_ENDMNT'!N:N,0,0,1)</f>
        <v>8.9450460599385329E-2</v>
      </c>
      <c r="AH448" s="146">
        <f>+_xlfn.XLOOKUP(PROYECTOS2[[#This Row],[MUNICIPIO]],'4.CAP_ENDMNT'!B:B,'4.CAP_ENDMNT'!O:O,0,0,1)</f>
        <v>0.56172885881394896</v>
      </c>
      <c r="AI448" s="146">
        <f>+_xlfn.XLOOKUP(PROYECTOS2[[#This Row],[MUNICIPIO]],'4.CAP_ENDMNT'!B:B,'4.CAP_ENDMNT'!P:P,0,0,1)</f>
        <v>0.8</v>
      </c>
      <c r="AJ448" s="44" t="str">
        <f>+_xlfn.XLOOKUP(PROYECTOS2[[#This Row],[MUNICIPIO]],'4.CAP_ENDMNT'!B:B,'4.CAP_ENDMNT'!Q:Q,0,0,1)</f>
        <v>Cumple</v>
      </c>
    </row>
    <row r="449" spans="1:36" ht="15" customHeight="1">
      <c r="A449" s="44">
        <v>478</v>
      </c>
      <c r="B449" s="37" t="s">
        <v>1044</v>
      </c>
      <c r="C449" s="118">
        <v>45747</v>
      </c>
      <c r="D449" s="46" t="s">
        <v>209</v>
      </c>
      <c r="E449" s="47" t="str">
        <f>+_xlfn.XLOOKUP(PROYECTOS2[[#This Row],[MUNICIPIO]],MUNICIPIOS!A:A,MUNICIPIOS!E:E,0,0,1)</f>
        <v>Norte</v>
      </c>
      <c r="F449" s="44" t="e" cm="1">
        <f t="array" ref="F449">+_xlfn.XLOOKUP(PROYECTOS2[[#This Row],[MUNICIPIO]],Table1[Municipio],MUNICIPIOS!F:F,0,0,1)</f>
        <v>#VALUE!</v>
      </c>
      <c r="G449" s="47" t="str">
        <f>+LOOKUP(PROYECTOS2[[#This Row],[MUNICIPIO]],Table1[Municipio],Table1[Latitud])</f>
        <v>6,149903</v>
      </c>
      <c r="H449" s="47">
        <f>+LOOKUP(PROYECTOS2[[#This Row],[MUNICIPIO]],Table1[Municipio],Table1[PDET])</f>
        <v>0</v>
      </c>
      <c r="I449" s="45">
        <f>+LOOKUP(PROYECTOS2[[#This Row],[MUNICIPIO]],Table1[Municipio],Table1[ZOMAC])</f>
        <v>0</v>
      </c>
      <c r="J449" s="34" t="str" cm="1">
        <f t="array" ref="J449">_xlfn.TEXTJOIN(", ", TRUE, IF(radicados[ID PROYECTOS]=A449, radicados[RADICADO], ""))</f>
        <v/>
      </c>
      <c r="K449" s="9">
        <v>2</v>
      </c>
      <c r="L449" s="45"/>
      <c r="M449" s="144"/>
      <c r="N449" s="72"/>
      <c r="O449" s="147">
        <v>2284650000</v>
      </c>
      <c r="P449" s="147"/>
      <c r="Q449" s="148" t="s">
        <v>1068</v>
      </c>
      <c r="R449" s="42" t="s">
        <v>1072</v>
      </c>
      <c r="S449" s="40" t="s">
        <v>1079</v>
      </c>
      <c r="T449" s="40"/>
      <c r="U449" s="37" t="s">
        <v>1089</v>
      </c>
      <c r="V449" s="44">
        <f>+_xlfn.XLOOKUP(PROYECTOS2[[#This Row],[MUNICIPIO]],'4.CAP_ENDMNT'!B:B,'4.CAP_ENDMNT'!C:C,0,0,1)</f>
        <v>6</v>
      </c>
      <c r="W449" s="145">
        <f>+_xlfn.XLOOKUP(PROYECTOS2[[#This Row],[MUNICIPIO]],'4.CAP_ENDMNT'!B:B,'4.CAP_ENDMNT'!D:D,0,0,1)</f>
        <v>13037566833.207003</v>
      </c>
      <c r="X449" s="44">
        <f>+_xlfn.XLOOKUP(PROYECTOS2[[#This Row],[MUNICIPIO]],'4.CAP_ENDMNT'!B:B,'4.CAP_ENDMNT'!E:E,0,0,1)</f>
        <v>3869989518.3099999</v>
      </c>
      <c r="Y449" s="44">
        <f>+_xlfn.XLOOKUP(PROYECTOS2[[#This Row],[MUNICIPIO]],'4.CAP_ENDMNT'!B:B,'4.CAP_ENDMNT'!F:F,0,0,1)</f>
        <v>9167577314.8970032</v>
      </c>
      <c r="Z449" s="44">
        <f>+_xlfn.XLOOKUP(PROYECTOS2[[#This Row],[MUNICIPIO]],'4.CAP_ENDMNT'!B:B,'4.CAP_ENDMNT'!G:G,0,0,1)</f>
        <v>3761583922</v>
      </c>
      <c r="AA449" s="44">
        <f>+_xlfn.XLOOKUP(PROYECTOS2[[#This Row],[MUNICIPIO]],'4.CAP_ENDMNT'!B:B,'4.CAP_ENDMNT'!H:H,0,0,1)</f>
        <v>0</v>
      </c>
      <c r="AB449" s="44">
        <f>+_xlfn.XLOOKUP(PROYECTOS2[[#This Row],[MUNICIPIO]],'4.CAP_ENDMNT'!B:B,'4.CAP_ENDMNT'!I:I,0,0,1)</f>
        <v>3761583922</v>
      </c>
      <c r="AC449" s="146">
        <f>+_xlfn.XLOOKUP(PROYECTOS2[[#This Row],[MUNICIPIO]],'4.CAP_ENDMNT'!B:B,'4.CAP_ENDMNT'!J:J,0,0,1)</f>
        <v>0.28851886016178674</v>
      </c>
      <c r="AD449" s="44">
        <f>+_xlfn.XLOOKUP(PROYECTOS2[[#This Row],[MUNICIPIO]],'4.CAP_ENDMNT'!B:B,'4.CAP_ENDMNT'!K:K,0,0,1)</f>
        <v>9275982911.2070026</v>
      </c>
      <c r="AE449" s="44">
        <f>+_xlfn.XLOOKUP(PROYECTOS2[[#This Row],[MUNICIPIO]],'4.CAP_ENDMNT'!B:B,'4.CAP_ENDMNT'!L:L,0,0,1)</f>
        <v>7420786328.9656029</v>
      </c>
      <c r="AF449" s="44">
        <f>+_xlfn.XLOOKUP(PROYECTOS2[[#This Row],[MUNICIPIO]],'4.CAP_ENDMNT'!B:B,'4.CAP_ENDMNT'!M:M,0,0,1)</f>
        <v>5565589746.7242012</v>
      </c>
      <c r="AG449" s="146">
        <f>+_xlfn.XLOOKUP(PROYECTOS2[[#This Row],[MUNICIPIO]],'4.CAP_ENDMNT'!B:B,'4.CAP_ENDMNT'!N:N,0,0,1)</f>
        <v>1</v>
      </c>
      <c r="AH449" s="146">
        <f>+_xlfn.XLOOKUP(PROYECTOS2[[#This Row],[MUNICIPIO]],'4.CAP_ENDMNT'!B:B,'4.CAP_ENDMNT'!O:O,0,0,1)</f>
        <v>0.55776534569064784</v>
      </c>
      <c r="AI449" s="146">
        <f>+_xlfn.XLOOKUP(PROYECTOS2[[#This Row],[MUNICIPIO]],'4.CAP_ENDMNT'!B:B,'4.CAP_ENDMNT'!P:P,0,0,1)</f>
        <v>0.8</v>
      </c>
      <c r="AJ449" s="44" t="str">
        <f>+_xlfn.XLOOKUP(PROYECTOS2[[#This Row],[MUNICIPIO]],'4.CAP_ENDMNT'!B:B,'4.CAP_ENDMNT'!Q:Q,0,0,1)</f>
        <v>Cumple</v>
      </c>
    </row>
    <row r="450" spans="1:36" ht="15" customHeight="1">
      <c r="A450" s="44">
        <v>479</v>
      </c>
      <c r="B450" s="37" t="s">
        <v>1045</v>
      </c>
      <c r="C450" s="118">
        <v>45747</v>
      </c>
      <c r="D450" s="46" t="s">
        <v>468</v>
      </c>
      <c r="E450" s="47" t="str">
        <f>+_xlfn.XLOOKUP(PROYECTOS2[[#This Row],[MUNICIPIO]],MUNICIPIOS!A:A,MUNICIPIOS!E:E,0,0,1)</f>
        <v>Nordeste</v>
      </c>
      <c r="F450" s="44" t="e" cm="1">
        <f t="array" ref="F450">+_xlfn.XLOOKUP(PROYECTOS2[[#This Row],[MUNICIPIO]],Table1[Municipio],MUNICIPIOS!F:F,0,0,1)</f>
        <v>#VALUE!</v>
      </c>
      <c r="G450" s="47" t="str">
        <f>+LOOKUP(PROYECTOS2[[#This Row],[MUNICIPIO]],Table1[Municipio],Table1[Latitud])</f>
        <v>7,074703</v>
      </c>
      <c r="H450" s="47">
        <f>+LOOKUP(PROYECTOS2[[#This Row],[MUNICIPIO]],Table1[Municipio],Table1[PDET])</f>
        <v>1</v>
      </c>
      <c r="I450" s="45">
        <f>+LOOKUP(PROYECTOS2[[#This Row],[MUNICIPIO]],Table1[Municipio],Table1[ZOMAC])</f>
        <v>1</v>
      </c>
      <c r="J450" s="34" t="str" cm="1">
        <f t="array" ref="J450">_xlfn.TEXTJOIN(", ", TRUE, IF(radicados[ID PROYECTOS]=A450, radicados[RADICADO], ""))</f>
        <v/>
      </c>
      <c r="K450" s="9">
        <v>2</v>
      </c>
      <c r="L450" s="45"/>
      <c r="M450" s="144"/>
      <c r="N450" s="72"/>
      <c r="O450" s="147">
        <v>845000000</v>
      </c>
      <c r="P450" s="147"/>
      <c r="Q450" s="148" t="s">
        <v>1068</v>
      </c>
      <c r="R450" s="42" t="s">
        <v>1072</v>
      </c>
      <c r="S450" s="40" t="s">
        <v>1079</v>
      </c>
      <c r="T450" s="40"/>
      <c r="U450" s="37" t="s">
        <v>1089</v>
      </c>
      <c r="V450" s="44">
        <f>+_xlfn.XLOOKUP(PROYECTOS2[[#This Row],[MUNICIPIO]],'4.CAP_ENDMNT'!B:B,'4.CAP_ENDMNT'!C:C,0,0,1)</f>
        <v>6</v>
      </c>
      <c r="W450" s="145">
        <f>+_xlfn.XLOOKUP(PROYECTOS2[[#This Row],[MUNICIPIO]],'4.CAP_ENDMNT'!B:B,'4.CAP_ENDMNT'!D:D,0,0,1)</f>
        <v>16148449667.859503</v>
      </c>
      <c r="X450" s="44">
        <f>+_xlfn.XLOOKUP(PROYECTOS2[[#This Row],[MUNICIPIO]],'4.CAP_ENDMNT'!B:B,'4.CAP_ENDMNT'!E:E,0,0,1)</f>
        <v>5168319228.7700005</v>
      </c>
      <c r="Y450" s="44">
        <f>+_xlfn.XLOOKUP(PROYECTOS2[[#This Row],[MUNICIPIO]],'4.CAP_ENDMNT'!B:B,'4.CAP_ENDMNT'!F:F,0,0,1)</f>
        <v>10980130439.089502</v>
      </c>
      <c r="Z450" s="44">
        <f>+_xlfn.XLOOKUP(PROYECTOS2[[#This Row],[MUNICIPIO]],'4.CAP_ENDMNT'!B:B,'4.CAP_ENDMNT'!G:G,0,0,1)</f>
        <v>943947740</v>
      </c>
      <c r="AA450" s="44">
        <f>+_xlfn.XLOOKUP(PROYECTOS2[[#This Row],[MUNICIPIO]],'4.CAP_ENDMNT'!B:B,'4.CAP_ENDMNT'!H:H,0,0,1)</f>
        <v>680000000</v>
      </c>
      <c r="AB450" s="44">
        <f>+_xlfn.XLOOKUP(PROYECTOS2[[#This Row],[MUNICIPIO]],'4.CAP_ENDMNT'!B:B,'4.CAP_ENDMNT'!I:I,0,0,1)</f>
        <v>1623947740</v>
      </c>
      <c r="AC450" s="146">
        <f>+_xlfn.XLOOKUP(PROYECTOS2[[#This Row],[MUNICIPIO]],'4.CAP_ENDMNT'!B:B,'4.CAP_ENDMNT'!J:J,0,0,1)</f>
        <v>0.10056369332049052</v>
      </c>
      <c r="AD450" s="44">
        <f>+_xlfn.XLOOKUP(PROYECTOS2[[#This Row],[MUNICIPIO]],'4.CAP_ENDMNT'!B:B,'4.CAP_ENDMNT'!K:K,0,0,1)</f>
        <v>14524501927.859503</v>
      </c>
      <c r="AE450" s="44">
        <f>+_xlfn.XLOOKUP(PROYECTOS2[[#This Row],[MUNICIPIO]],'4.CAP_ENDMNT'!B:B,'4.CAP_ENDMNT'!L:L,0,0,1)</f>
        <v>11619601542.287603</v>
      </c>
      <c r="AF450" s="44">
        <f>+_xlfn.XLOOKUP(PROYECTOS2[[#This Row],[MUNICIPIO]],'4.CAP_ENDMNT'!B:B,'4.CAP_ENDMNT'!M:M,0,0,1)</f>
        <v>8714701156.7157021</v>
      </c>
      <c r="AG450" s="146">
        <f>+_xlfn.XLOOKUP(PROYECTOS2[[#This Row],[MUNICIPIO]],'4.CAP_ENDMNT'!B:B,'4.CAP_ENDMNT'!N:N,0,0,1)</f>
        <v>0.58126731344199534</v>
      </c>
      <c r="AH450" s="146">
        <f>+_xlfn.XLOOKUP(PROYECTOS2[[#This Row],[MUNICIPIO]],'4.CAP_ENDMNT'!B:B,'4.CAP_ENDMNT'!O:O,0,0,1)</f>
        <v>0.64090582782582184</v>
      </c>
      <c r="AI450" s="146">
        <f>+_xlfn.XLOOKUP(PROYECTOS2[[#This Row],[MUNICIPIO]],'4.CAP_ENDMNT'!B:B,'4.CAP_ENDMNT'!P:P,0,0,1)</f>
        <v>0.8</v>
      </c>
      <c r="AJ450" s="44" t="str">
        <f>+_xlfn.XLOOKUP(PROYECTOS2[[#This Row],[MUNICIPIO]],'4.CAP_ENDMNT'!B:B,'4.CAP_ENDMNT'!Q:Q,0,0,1)</f>
        <v>Cumple</v>
      </c>
    </row>
    <row r="451" spans="1:36" ht="15" customHeight="1">
      <c r="A451" s="44">
        <v>480</v>
      </c>
      <c r="B451" s="37" t="s">
        <v>1046</v>
      </c>
      <c r="C451" s="118">
        <v>45747</v>
      </c>
      <c r="D451" s="46" t="s">
        <v>136</v>
      </c>
      <c r="E451" s="47" t="str">
        <f>+_xlfn.XLOOKUP(PROYECTOS2[[#This Row],[MUNICIPIO]],MUNICIPIOS!A:A,MUNICIPIOS!E:E,0,0,1)</f>
        <v>Norte</v>
      </c>
      <c r="F451" s="44" t="e" cm="1">
        <f t="array" ref="F451">+_xlfn.XLOOKUP(PROYECTOS2[[#This Row],[MUNICIPIO]],Table1[Municipio],MUNICIPIOS!F:F,0,0,1)</f>
        <v>#VALUE!</v>
      </c>
      <c r="G451" s="47" t="str">
        <f>+LOOKUP(PROYECTOS2[[#This Row],[MUNICIPIO]],Table1[Municipio],Table1[Latitud])</f>
        <v>7,074703</v>
      </c>
      <c r="H451" s="47">
        <f>+LOOKUP(PROYECTOS2[[#This Row],[MUNICIPIO]],Table1[Municipio],Table1[PDET])</f>
        <v>1</v>
      </c>
      <c r="I451" s="45">
        <f>+LOOKUP(PROYECTOS2[[#This Row],[MUNICIPIO]],Table1[Municipio],Table1[ZOMAC])</f>
        <v>1</v>
      </c>
      <c r="J451" s="34" t="str" cm="1">
        <f t="array" ref="J451">_xlfn.TEXTJOIN(", ", TRUE, IF(radicados[ID PROYECTOS]=A451, radicados[RADICADO], ""))</f>
        <v/>
      </c>
      <c r="K451" s="45">
        <v>3</v>
      </c>
      <c r="L451" s="45"/>
      <c r="M451" s="144"/>
      <c r="N451" s="72"/>
      <c r="O451" s="147">
        <v>373181403</v>
      </c>
      <c r="P451" s="147"/>
      <c r="Q451" s="148" t="s">
        <v>1068</v>
      </c>
      <c r="R451" s="42" t="s">
        <v>1072</v>
      </c>
      <c r="S451" s="40" t="s">
        <v>1079</v>
      </c>
      <c r="T451" s="40"/>
      <c r="U451" s="37" t="s">
        <v>1089</v>
      </c>
      <c r="V451" s="44">
        <f>+_xlfn.XLOOKUP(PROYECTOS2[[#This Row],[MUNICIPIO]],'4.CAP_ENDMNT'!B:B,'4.CAP_ENDMNT'!C:C,0,0,1)</f>
        <v>6</v>
      </c>
      <c r="W451" s="145">
        <f>+_xlfn.XLOOKUP(PROYECTOS2[[#This Row],[MUNICIPIO]],'4.CAP_ENDMNT'!B:B,'4.CAP_ENDMNT'!D:D,0,0,1)</f>
        <v>15936675551.976999</v>
      </c>
      <c r="X451" s="44">
        <f>+_xlfn.XLOOKUP(PROYECTOS2[[#This Row],[MUNICIPIO]],'4.CAP_ENDMNT'!B:B,'4.CAP_ENDMNT'!E:E,0,0,1)</f>
        <v>6355203503.6700001</v>
      </c>
      <c r="Y451" s="44">
        <f>+_xlfn.XLOOKUP(PROYECTOS2[[#This Row],[MUNICIPIO]],'4.CAP_ENDMNT'!B:B,'4.CAP_ENDMNT'!F:F,0,0,1)</f>
        <v>9581472048.3069992</v>
      </c>
      <c r="Z451" s="44">
        <f>+_xlfn.XLOOKUP(PROYECTOS2[[#This Row],[MUNICIPIO]],'4.CAP_ENDMNT'!B:B,'4.CAP_ENDMNT'!G:G,0,0,1)</f>
        <v>166905356.59</v>
      </c>
      <c r="AA451" s="44">
        <f>+_xlfn.XLOOKUP(PROYECTOS2[[#This Row],[MUNICIPIO]],'4.CAP_ENDMNT'!B:B,'4.CAP_ENDMNT'!H:H,0,0,1)</f>
        <v>5064590198</v>
      </c>
      <c r="AB451" s="44">
        <f>+_xlfn.XLOOKUP(PROYECTOS2[[#This Row],[MUNICIPIO]],'4.CAP_ENDMNT'!B:B,'4.CAP_ENDMNT'!I:I,0,0,1)</f>
        <v>5231495554.5900002</v>
      </c>
      <c r="AC451" s="146">
        <f>+_xlfn.XLOOKUP(PROYECTOS2[[#This Row],[MUNICIPIO]],'4.CAP_ENDMNT'!B:B,'4.CAP_ENDMNT'!J:J,0,0,1)</f>
        <v>0.32826768277534613</v>
      </c>
      <c r="AD451" s="44">
        <f>+_xlfn.XLOOKUP(PROYECTOS2[[#This Row],[MUNICIPIO]],'4.CAP_ENDMNT'!B:B,'4.CAP_ENDMNT'!K:K,0,0,1)</f>
        <v>10705179997.386999</v>
      </c>
      <c r="AE451" s="44">
        <f>+_xlfn.XLOOKUP(PROYECTOS2[[#This Row],[MUNICIPIO]],'4.CAP_ENDMNT'!B:B,'4.CAP_ENDMNT'!L:L,0,0,1)</f>
        <v>8564143997.9095993</v>
      </c>
      <c r="AF451" s="44">
        <f>+_xlfn.XLOOKUP(PROYECTOS2[[#This Row],[MUNICIPIO]],'4.CAP_ENDMNT'!B:B,'4.CAP_ENDMNT'!M:M,0,0,1)</f>
        <v>6423107998.4321995</v>
      </c>
      <c r="AG451" s="146">
        <f>+_xlfn.XLOOKUP(PROYECTOS2[[#This Row],[MUNICIPIO]],'4.CAP_ENDMNT'!B:B,'4.CAP_ENDMNT'!N:N,0,0,1)</f>
        <v>3.1903946939907245E-2</v>
      </c>
      <c r="AH451" s="146">
        <f>+_xlfn.XLOOKUP(PROYECTOS2[[#This Row],[MUNICIPIO]],'4.CAP_ENDMNT'!B:B,'4.CAP_ENDMNT'!O:O,0,0,1)</f>
        <v>0.65192157878949775</v>
      </c>
      <c r="AI451" s="146">
        <f>+_xlfn.XLOOKUP(PROYECTOS2[[#This Row],[MUNICIPIO]],'4.CAP_ENDMNT'!B:B,'4.CAP_ENDMNT'!P:P,0,0,1)</f>
        <v>0.8</v>
      </c>
      <c r="AJ451" s="44" t="str">
        <f>+_xlfn.XLOOKUP(PROYECTOS2[[#This Row],[MUNICIPIO]],'4.CAP_ENDMNT'!B:B,'4.CAP_ENDMNT'!Q:Q,0,0,1)</f>
        <v>Cumple</v>
      </c>
    </row>
    <row r="452" spans="1:36" ht="15" customHeight="1">
      <c r="A452" s="44">
        <v>481</v>
      </c>
      <c r="B452" s="37" t="s">
        <v>1047</v>
      </c>
      <c r="C452" s="118">
        <v>45747</v>
      </c>
      <c r="D452" s="46" t="s">
        <v>45</v>
      </c>
      <c r="E452" s="47" t="str">
        <f>+_xlfn.XLOOKUP(PROYECTOS2[[#This Row],[MUNICIPIO]],MUNICIPIOS!A:A,MUNICIPIOS!E:E,0,0,1)</f>
        <v>Bajo Cauca</v>
      </c>
      <c r="F452" s="44" t="e" cm="1">
        <f t="array" ref="F452">+_xlfn.XLOOKUP(PROYECTOS2[[#This Row],[MUNICIPIO]],Table1[Municipio],MUNICIPIOS!F:F,0,0,1)</f>
        <v>#VALUE!</v>
      </c>
      <c r="G452" s="47" t="str">
        <f>+LOOKUP(PROYECTOS2[[#This Row],[MUNICIPIO]],Table1[Municipio],Table1[Latitud])</f>
        <v>7,074703</v>
      </c>
      <c r="H452" s="47">
        <f>+LOOKUP(PROYECTOS2[[#This Row],[MUNICIPIO]],Table1[Municipio],Table1[PDET])</f>
        <v>1</v>
      </c>
      <c r="I452" s="45">
        <f>+LOOKUP(PROYECTOS2[[#This Row],[MUNICIPIO]],Table1[Municipio],Table1[ZOMAC])</f>
        <v>1</v>
      </c>
      <c r="J452" s="34" t="str" cm="1">
        <f t="array" ref="J452">_xlfn.TEXTJOIN(", ", TRUE, IF(radicados[ID PROYECTOS]=A452, radicados[RADICADO], ""))</f>
        <v/>
      </c>
      <c r="L452" s="45"/>
      <c r="M452" s="144"/>
      <c r="N452" s="72"/>
      <c r="O452" s="147">
        <v>4500000000</v>
      </c>
      <c r="P452" s="147"/>
      <c r="Q452" s="148" t="s">
        <v>1068</v>
      </c>
      <c r="R452" s="42"/>
      <c r="S452" s="40" t="s">
        <v>1079</v>
      </c>
      <c r="T452" s="40"/>
      <c r="U452" s="37" t="s">
        <v>1088</v>
      </c>
      <c r="V452" s="44">
        <f>+_xlfn.XLOOKUP(PROYECTOS2[[#This Row],[MUNICIPIO]],'4.CAP_ENDMNT'!B:B,'4.CAP_ENDMNT'!C:C,0,0,1)</f>
        <v>5</v>
      </c>
      <c r="W452" s="145">
        <f>+_xlfn.XLOOKUP(PROYECTOS2[[#This Row],[MUNICIPIO]],'4.CAP_ENDMNT'!B:B,'4.CAP_ENDMNT'!D:D,0,0,1)</f>
        <v>55415011363.643501</v>
      </c>
      <c r="X452" s="44">
        <f>+_xlfn.XLOOKUP(PROYECTOS2[[#This Row],[MUNICIPIO]],'4.CAP_ENDMNT'!B:B,'4.CAP_ENDMNT'!E:E,0,0,1)</f>
        <v>24252117123.400002</v>
      </c>
      <c r="Y452" s="44">
        <f>+_xlfn.XLOOKUP(PROYECTOS2[[#This Row],[MUNICIPIO]],'4.CAP_ENDMNT'!B:B,'4.CAP_ENDMNT'!F:F,0,0,1)</f>
        <v>31162894240.2435</v>
      </c>
      <c r="Z452" s="44">
        <f>+_xlfn.XLOOKUP(PROYECTOS2[[#This Row],[MUNICIPIO]],'4.CAP_ENDMNT'!B:B,'4.CAP_ENDMNT'!G:G,0,0,1)</f>
        <v>8970758412</v>
      </c>
      <c r="AA452" s="44">
        <f>+_xlfn.XLOOKUP(PROYECTOS2[[#This Row],[MUNICIPIO]],'4.CAP_ENDMNT'!B:B,'4.CAP_ENDMNT'!H:H,0,0,1)</f>
        <v>3572173854.98</v>
      </c>
      <c r="AB452" s="44">
        <f>+_xlfn.XLOOKUP(PROYECTOS2[[#This Row],[MUNICIPIO]],'4.CAP_ENDMNT'!B:B,'4.CAP_ENDMNT'!I:I,0,0,1)</f>
        <v>12542932266.98</v>
      </c>
      <c r="AC452" s="146">
        <f>+_xlfn.XLOOKUP(PROYECTOS2[[#This Row],[MUNICIPIO]],'4.CAP_ENDMNT'!B:B,'4.CAP_ENDMNT'!J:J,0,0,1)</f>
        <v>0.22634538834019124</v>
      </c>
      <c r="AD452" s="44">
        <f>+_xlfn.XLOOKUP(PROYECTOS2[[#This Row],[MUNICIPIO]],'4.CAP_ENDMNT'!B:B,'4.CAP_ENDMNT'!K:K,0,0,1)</f>
        <v>42872079096.663498</v>
      </c>
      <c r="AE452" s="44">
        <f>+_xlfn.XLOOKUP(PROYECTOS2[[#This Row],[MUNICIPIO]],'4.CAP_ENDMNT'!B:B,'4.CAP_ENDMNT'!L:L,0,0,1)</f>
        <v>34297663277.330799</v>
      </c>
      <c r="AF452" s="44">
        <f>+_xlfn.XLOOKUP(PROYECTOS2[[#This Row],[MUNICIPIO]],'4.CAP_ENDMNT'!B:B,'4.CAP_ENDMNT'!M:M,0,0,1)</f>
        <v>25723247457.998096</v>
      </c>
      <c r="AG452" s="146">
        <f>+_xlfn.XLOOKUP(PROYECTOS2[[#This Row],[MUNICIPIO]],'4.CAP_ENDMNT'!B:B,'4.CAP_ENDMNT'!N:N,0,0,1)</f>
        <v>0.71520424578996133</v>
      </c>
      <c r="AH452" s="146">
        <f>+_xlfn.XLOOKUP(PROYECTOS2[[#This Row],[MUNICIPIO]],'4.CAP_ENDMNT'!B:B,'4.CAP_ENDMNT'!O:O,0,0,1)</f>
        <v>0.67052010826145281</v>
      </c>
      <c r="AI452" s="146">
        <f>+_xlfn.XLOOKUP(PROYECTOS2[[#This Row],[MUNICIPIO]],'4.CAP_ENDMNT'!B:B,'4.CAP_ENDMNT'!P:P,0,0,1)</f>
        <v>0.8</v>
      </c>
      <c r="AJ452" s="44" t="str">
        <f>+_xlfn.XLOOKUP(PROYECTOS2[[#This Row],[MUNICIPIO]],'4.CAP_ENDMNT'!B:B,'4.CAP_ENDMNT'!Q:Q,0,0,1)</f>
        <v>Cumple</v>
      </c>
    </row>
    <row r="453" spans="1:36" ht="15" customHeight="1">
      <c r="A453" s="44">
        <v>482</v>
      </c>
      <c r="B453" s="37" t="s">
        <v>1048</v>
      </c>
      <c r="C453" s="118">
        <v>45747</v>
      </c>
      <c r="D453" s="46" t="s">
        <v>65</v>
      </c>
      <c r="E453" s="47" t="str">
        <f>+_xlfn.XLOOKUP(PROYECTOS2[[#This Row],[MUNICIPIO]],MUNICIPIOS!A:A,MUNICIPIOS!E:E,0,0,1)</f>
        <v>Urabá</v>
      </c>
      <c r="F453" s="44" t="e" cm="1">
        <f t="array" ref="F453">+_xlfn.XLOOKUP(PROYECTOS2[[#This Row],[MUNICIPIO]],Table1[Municipio],MUNICIPIOS!F:F,0,0,1)</f>
        <v>#VALUE!</v>
      </c>
      <c r="G453" s="47" t="str">
        <f>+LOOKUP(PROYECTOS2[[#This Row],[MUNICIPIO]],Table1[Municipio],Table1[Latitud])</f>
        <v>6,149903</v>
      </c>
      <c r="H453" s="47">
        <f>+LOOKUP(PROYECTOS2[[#This Row],[MUNICIPIO]],Table1[Municipio],Table1[PDET])</f>
        <v>0</v>
      </c>
      <c r="I453" s="45">
        <f>+LOOKUP(PROYECTOS2[[#This Row],[MUNICIPIO]],Table1[Municipio],Table1[ZOMAC])</f>
        <v>0</v>
      </c>
      <c r="J453" s="34" t="str" cm="1">
        <f t="array" ref="J453">_xlfn.TEXTJOIN(", ", TRUE, IF(radicados[ID PROYECTOS]=A453, radicados[RADICADO], ""))</f>
        <v/>
      </c>
      <c r="K453" s="9">
        <v>1</v>
      </c>
      <c r="L453" s="45"/>
      <c r="M453" s="144"/>
      <c r="N453" s="72"/>
      <c r="O453" s="147">
        <v>127500000</v>
      </c>
      <c r="P453" s="147"/>
      <c r="Q453" s="148" t="s">
        <v>1068</v>
      </c>
      <c r="R453" s="42" t="s">
        <v>1072</v>
      </c>
      <c r="S453" s="40" t="s">
        <v>1079</v>
      </c>
      <c r="T453" s="40"/>
      <c r="U453" s="37" t="s">
        <v>1089</v>
      </c>
      <c r="V453" s="44">
        <f>+_xlfn.XLOOKUP(PROYECTOS2[[#This Row],[MUNICIPIO]],'4.CAP_ENDMNT'!B:B,'4.CAP_ENDMNT'!C:C,0,0,1)</f>
        <v>6</v>
      </c>
      <c r="W453" s="145">
        <f>+_xlfn.XLOOKUP(PROYECTOS2[[#This Row],[MUNICIPIO]],'4.CAP_ENDMNT'!B:B,'4.CAP_ENDMNT'!D:D,0,0,1)</f>
        <v>21558400486.167</v>
      </c>
      <c r="X453" s="44">
        <f>+_xlfn.XLOOKUP(PROYECTOS2[[#This Row],[MUNICIPIO]],'4.CAP_ENDMNT'!B:B,'4.CAP_ENDMNT'!E:E,0,0,1)</f>
        <v>4028552935.2600002</v>
      </c>
      <c r="Y453" s="44">
        <f>+_xlfn.XLOOKUP(PROYECTOS2[[#This Row],[MUNICIPIO]],'4.CAP_ENDMNT'!B:B,'4.CAP_ENDMNT'!F:F,0,0,1)</f>
        <v>17529847550.906998</v>
      </c>
      <c r="Z453" s="44">
        <f>+_xlfn.XLOOKUP(PROYECTOS2[[#This Row],[MUNICIPIO]],'4.CAP_ENDMNT'!B:B,'4.CAP_ENDMNT'!G:G,0,0,1)</f>
        <v>573337825</v>
      </c>
      <c r="AA453" s="44">
        <f>+_xlfn.XLOOKUP(PROYECTOS2[[#This Row],[MUNICIPIO]],'4.CAP_ENDMNT'!B:B,'4.CAP_ENDMNT'!H:H,0,0,1)</f>
        <v>3454671378</v>
      </c>
      <c r="AB453" s="44">
        <f>+_xlfn.XLOOKUP(PROYECTOS2[[#This Row],[MUNICIPIO]],'4.CAP_ENDMNT'!B:B,'4.CAP_ENDMNT'!I:I,0,0,1)</f>
        <v>4028009203</v>
      </c>
      <c r="AC453" s="146">
        <f>+_xlfn.XLOOKUP(PROYECTOS2[[#This Row],[MUNICIPIO]],'4.CAP_ENDMNT'!B:B,'4.CAP_ENDMNT'!J:J,0,0,1)</f>
        <v>0.18684174670493675</v>
      </c>
      <c r="AD453" s="44">
        <f>+_xlfn.XLOOKUP(PROYECTOS2[[#This Row],[MUNICIPIO]],'4.CAP_ENDMNT'!B:B,'4.CAP_ENDMNT'!K:K,0,0,1)</f>
        <v>17530391283.167</v>
      </c>
      <c r="AE453" s="44">
        <f>+_xlfn.XLOOKUP(PROYECTOS2[[#This Row],[MUNICIPIO]],'4.CAP_ENDMNT'!B:B,'4.CAP_ENDMNT'!L:L,0,0,1)</f>
        <v>14024313026.5336</v>
      </c>
      <c r="AF453" s="44">
        <f>+_xlfn.XLOOKUP(PROYECTOS2[[#This Row],[MUNICIPIO]],'4.CAP_ENDMNT'!B:B,'4.CAP_ENDMNT'!M:M,0,0,1)</f>
        <v>10518234769.9002</v>
      </c>
      <c r="AG453" s="146">
        <f>+_xlfn.XLOOKUP(PROYECTOS2[[#This Row],[MUNICIPIO]],'4.CAP_ENDMNT'!B:B,'4.CAP_ENDMNT'!N:N,0,0,1)</f>
        <v>0.14233776441548016</v>
      </c>
      <c r="AH453" s="146">
        <f>+_xlfn.XLOOKUP(PROYECTOS2[[#This Row],[MUNICIPIO]],'4.CAP_ENDMNT'!B:B,'4.CAP_ENDMNT'!O:O,0,0,1)</f>
        <v>0.45202185420266422</v>
      </c>
      <c r="AI453" s="146">
        <f>+_xlfn.XLOOKUP(PROYECTOS2[[#This Row],[MUNICIPIO]],'4.CAP_ENDMNT'!B:B,'4.CAP_ENDMNT'!P:P,0,0,1)</f>
        <v>0.8</v>
      </c>
      <c r="AJ453" s="44" t="str">
        <f>+_xlfn.XLOOKUP(PROYECTOS2[[#This Row],[MUNICIPIO]],'4.CAP_ENDMNT'!B:B,'4.CAP_ENDMNT'!Q:Q,0,0,1)</f>
        <v>Cumple</v>
      </c>
    </row>
    <row r="454" spans="1:36" ht="15" customHeight="1">
      <c r="A454" s="44">
        <v>483</v>
      </c>
      <c r="B454" s="37" t="s">
        <v>1118</v>
      </c>
      <c r="C454" s="118">
        <v>45747</v>
      </c>
      <c r="D454" s="46" t="s">
        <v>32</v>
      </c>
      <c r="E454" s="47" t="str">
        <f>+_xlfn.XLOOKUP(PROYECTOS2[[#This Row],[MUNICIPIO]],MUNICIPIOS!A:A,MUNICIPIOS!E:E,0,0,1)</f>
        <v>Oriente</v>
      </c>
      <c r="F454" s="44" t="e" cm="1">
        <f t="array" ref="F454">+_xlfn.XLOOKUP(PROYECTOS2[[#This Row],[MUNICIPIO]],Table1[Municipio],MUNICIPIOS!F:F,0,0,1)</f>
        <v>#VALUE!</v>
      </c>
      <c r="G454" s="47" t="e">
        <f>+LOOKUP(PROYECTOS2[[#This Row],[MUNICIPIO]],Table1[Municipio],Table1[Latitud])</f>
        <v>#N/A</v>
      </c>
      <c r="H454" s="47" t="e">
        <f>+LOOKUP(PROYECTOS2[[#This Row],[MUNICIPIO]],Table1[Municipio],Table1[PDET])</f>
        <v>#N/A</v>
      </c>
      <c r="I454" s="45" t="e">
        <f>+LOOKUP(PROYECTOS2[[#This Row],[MUNICIPIO]],Table1[Municipio],Table1[ZOMAC])</f>
        <v>#N/A</v>
      </c>
      <c r="J454" s="34" t="str" cm="1">
        <f t="array" ref="J454">_xlfn.TEXTJOIN(", ", TRUE, IF(radicados[ID PROYECTOS]=A454, radicados[RADICADO], ""))</f>
        <v/>
      </c>
      <c r="L454" s="45"/>
      <c r="M454" s="144"/>
      <c r="N454" s="72"/>
      <c r="O454" s="147">
        <v>2000000000</v>
      </c>
      <c r="P454" s="147"/>
      <c r="Q454" s="148" t="s">
        <v>1068</v>
      </c>
      <c r="R454" s="42"/>
      <c r="S454" s="40" t="s">
        <v>1079</v>
      </c>
      <c r="T454" s="40"/>
      <c r="U454" s="37" t="s">
        <v>1088</v>
      </c>
      <c r="V454" s="44">
        <f>+_xlfn.XLOOKUP(PROYECTOS2[[#This Row],[MUNICIPIO]],'4.CAP_ENDMNT'!B:B,'4.CAP_ENDMNT'!C:C,0,0,1)</f>
        <v>6</v>
      </c>
      <c r="W454" s="145">
        <f>+_xlfn.XLOOKUP(PROYECTOS2[[#This Row],[MUNICIPIO]],'4.CAP_ENDMNT'!B:B,'4.CAP_ENDMNT'!D:D,0,0,1)</f>
        <v>15030770872.282</v>
      </c>
      <c r="X454" s="44">
        <f>+_xlfn.XLOOKUP(PROYECTOS2[[#This Row],[MUNICIPIO]],'4.CAP_ENDMNT'!B:B,'4.CAP_ENDMNT'!E:E,0,0,1)</f>
        <v>4409672661.8199997</v>
      </c>
      <c r="Y454" s="44">
        <f>+_xlfn.XLOOKUP(PROYECTOS2[[#This Row],[MUNICIPIO]],'4.CAP_ENDMNT'!B:B,'4.CAP_ENDMNT'!F:F,0,0,1)</f>
        <v>10621098210.462</v>
      </c>
      <c r="Z454" s="44">
        <f>+_xlfn.XLOOKUP(PROYECTOS2[[#This Row],[MUNICIPIO]],'4.CAP_ENDMNT'!B:B,'4.CAP_ENDMNT'!G:G,0,0,1)</f>
        <v>1969764886</v>
      </c>
      <c r="AA454" s="44">
        <f>+_xlfn.XLOOKUP(PROYECTOS2[[#This Row],[MUNICIPIO]],'4.CAP_ENDMNT'!B:B,'4.CAP_ENDMNT'!H:H,0,0,1)</f>
        <v>0</v>
      </c>
      <c r="AB454" s="44">
        <f>+_xlfn.XLOOKUP(PROYECTOS2[[#This Row],[MUNICIPIO]],'4.CAP_ENDMNT'!B:B,'4.CAP_ENDMNT'!I:I,0,0,1)</f>
        <v>1969764886</v>
      </c>
      <c r="AC454" s="146">
        <f>+_xlfn.XLOOKUP(PROYECTOS2[[#This Row],[MUNICIPIO]],'4.CAP_ENDMNT'!B:B,'4.CAP_ENDMNT'!J:J,0,0,1)</f>
        <v>0.13104882661955891</v>
      </c>
      <c r="AD454" s="44">
        <f>+_xlfn.XLOOKUP(PROYECTOS2[[#This Row],[MUNICIPIO]],'4.CAP_ENDMNT'!B:B,'4.CAP_ENDMNT'!K:K,0,0,1)</f>
        <v>13061005986.282</v>
      </c>
      <c r="AE454" s="44">
        <f>+_xlfn.XLOOKUP(PROYECTOS2[[#This Row],[MUNICIPIO]],'4.CAP_ENDMNT'!B:B,'4.CAP_ENDMNT'!L:L,0,0,1)</f>
        <v>10448804789.0256</v>
      </c>
      <c r="AF454" s="44">
        <f>+_xlfn.XLOOKUP(PROYECTOS2[[#This Row],[MUNICIPIO]],'4.CAP_ENDMNT'!B:B,'4.CAP_ENDMNT'!M:M,0,0,1)</f>
        <v>7836603591.7691994</v>
      </c>
      <c r="AG454" s="146">
        <f>+_xlfn.XLOOKUP(PROYECTOS2[[#This Row],[MUNICIPIO]],'4.CAP_ENDMNT'!B:B,'4.CAP_ENDMNT'!N:N,0,0,1)</f>
        <v>1</v>
      </c>
      <c r="AH454" s="146">
        <f>+_xlfn.XLOOKUP(PROYECTOS2[[#This Row],[MUNICIPIO]],'4.CAP_ENDMNT'!B:B,'4.CAP_ENDMNT'!O:O,0,0,1)</f>
        <v>0.39507659260977307</v>
      </c>
      <c r="AI454" s="146">
        <f>+_xlfn.XLOOKUP(PROYECTOS2[[#This Row],[MUNICIPIO]],'4.CAP_ENDMNT'!B:B,'4.CAP_ENDMNT'!P:P,0,0,1)</f>
        <v>0.8</v>
      </c>
      <c r="AJ454" s="44" t="str">
        <f>+_xlfn.XLOOKUP(PROYECTOS2[[#This Row],[MUNICIPIO]],'4.CAP_ENDMNT'!B:B,'4.CAP_ENDMNT'!Q:Q,0,0,1)</f>
        <v>Cumple</v>
      </c>
    </row>
    <row r="455" spans="1:36" ht="15" customHeight="1">
      <c r="A455" s="44">
        <v>484</v>
      </c>
      <c r="B455" s="37" t="s">
        <v>1049</v>
      </c>
      <c r="C455" s="118">
        <v>45747</v>
      </c>
      <c r="D455" s="46" t="s">
        <v>546</v>
      </c>
      <c r="E455" s="47" t="str">
        <f>+_xlfn.XLOOKUP(PROYECTOS2[[#This Row],[MUNICIPIO]],MUNICIPIOS!A:A,MUNICIPIOS!E:E,0,0,1)</f>
        <v>Nordeste</v>
      </c>
      <c r="F455" s="44" t="e" cm="1">
        <f t="array" ref="F455">+_xlfn.XLOOKUP(PROYECTOS2[[#This Row],[MUNICIPIO]],Table1[Municipio],MUNICIPIOS!F:F,0,0,1)</f>
        <v>#VALUE!</v>
      </c>
      <c r="G455" s="47" t="e">
        <f>+LOOKUP(PROYECTOS2[[#This Row],[MUNICIPIO]],Table1[Municipio],Table1[Latitud])</f>
        <v>#N/A</v>
      </c>
      <c r="H455" s="47" t="e">
        <f>+LOOKUP(PROYECTOS2[[#This Row],[MUNICIPIO]],Table1[Municipio],Table1[PDET])</f>
        <v>#N/A</v>
      </c>
      <c r="I455" s="45" t="e">
        <f>+LOOKUP(PROYECTOS2[[#This Row],[MUNICIPIO]],Table1[Municipio],Table1[ZOMAC])</f>
        <v>#N/A</v>
      </c>
      <c r="J455" s="34" t="str" cm="1">
        <f t="array" ref="J455">_xlfn.TEXTJOIN(", ", TRUE, IF(radicados[ID PROYECTOS]=A455, radicados[RADICADO], ""))</f>
        <v/>
      </c>
      <c r="K455" s="9">
        <v>2</v>
      </c>
      <c r="L455" s="45"/>
      <c r="M455" s="144"/>
      <c r="N455" s="72"/>
      <c r="O455" s="147">
        <v>450000000</v>
      </c>
      <c r="P455" s="147"/>
      <c r="Q455" s="148" t="s">
        <v>1068</v>
      </c>
      <c r="R455" s="42" t="s">
        <v>1072</v>
      </c>
      <c r="S455" s="40" t="s">
        <v>1079</v>
      </c>
      <c r="T455" s="40"/>
      <c r="U455" s="37" t="s">
        <v>1090</v>
      </c>
      <c r="V455" s="44">
        <f>+_xlfn.XLOOKUP(PROYECTOS2[[#This Row],[MUNICIPIO]],'4.CAP_ENDMNT'!B:B,'4.CAP_ENDMNT'!C:C,0,0,1)</f>
        <v>6</v>
      </c>
      <c r="W455" s="145">
        <f>+_xlfn.XLOOKUP(PROYECTOS2[[#This Row],[MUNICIPIO]],'4.CAP_ENDMNT'!B:B,'4.CAP_ENDMNT'!D:D,0,0,1)</f>
        <v>15844230778.251999</v>
      </c>
      <c r="X455" s="44">
        <f>+_xlfn.XLOOKUP(PROYECTOS2[[#This Row],[MUNICIPIO]],'4.CAP_ENDMNT'!B:B,'4.CAP_ENDMNT'!E:E,0,0,1)</f>
        <v>8497967637.5100002</v>
      </c>
      <c r="Y455" s="44">
        <f>+_xlfn.XLOOKUP(PROYECTOS2[[#This Row],[MUNICIPIO]],'4.CAP_ENDMNT'!B:B,'4.CAP_ENDMNT'!F:F,0,0,1)</f>
        <v>7346263140.7419987</v>
      </c>
      <c r="Z455" s="44">
        <f>+_xlfn.XLOOKUP(PROYECTOS2[[#This Row],[MUNICIPIO]],'4.CAP_ENDMNT'!B:B,'4.CAP_ENDMNT'!G:G,0,0,1)</f>
        <v>0</v>
      </c>
      <c r="AA455" s="44">
        <f>+_xlfn.XLOOKUP(PROYECTOS2[[#This Row],[MUNICIPIO]],'4.CAP_ENDMNT'!B:B,'4.CAP_ENDMNT'!H:H,0,0,1)</f>
        <v>7918633450</v>
      </c>
      <c r="AB455" s="44">
        <f>+_xlfn.XLOOKUP(PROYECTOS2[[#This Row],[MUNICIPIO]],'4.CAP_ENDMNT'!B:B,'4.CAP_ENDMNT'!I:I,0,0,1)</f>
        <v>7918633450</v>
      </c>
      <c r="AC455" s="146">
        <f>+_xlfn.XLOOKUP(PROYECTOS2[[#This Row],[MUNICIPIO]],'4.CAP_ENDMNT'!B:B,'4.CAP_ENDMNT'!J:J,0,0,1)</f>
        <v>0.49978023930762366</v>
      </c>
      <c r="AD455" s="44">
        <f>+_xlfn.XLOOKUP(PROYECTOS2[[#This Row],[MUNICIPIO]],'4.CAP_ENDMNT'!B:B,'4.CAP_ENDMNT'!K:K,0,0,1)</f>
        <v>7925597328.2519989</v>
      </c>
      <c r="AE455" s="44">
        <f>+_xlfn.XLOOKUP(PROYECTOS2[[#This Row],[MUNICIPIO]],'4.CAP_ENDMNT'!B:B,'4.CAP_ENDMNT'!L:L,0,0,1)</f>
        <v>6340477862.6015997</v>
      </c>
      <c r="AF455" s="44">
        <f>+_xlfn.XLOOKUP(PROYECTOS2[[#This Row],[MUNICIPIO]],'4.CAP_ENDMNT'!B:B,'4.CAP_ENDMNT'!M:M,0,0,1)</f>
        <v>4755358396.9511995</v>
      </c>
      <c r="AG455" s="146">
        <f>+_xlfn.XLOOKUP(PROYECTOS2[[#This Row],[MUNICIPIO]],'4.CAP_ENDMNT'!B:B,'4.CAP_ENDMNT'!N:N,0,0,1)</f>
        <v>0</v>
      </c>
      <c r="AH455" s="146">
        <f>+_xlfn.XLOOKUP(PROYECTOS2[[#This Row],[MUNICIPIO]],'4.CAP_ENDMNT'!B:B,'4.CAP_ENDMNT'!O:O,0,0,1)</f>
        <v>0.78459127310588017</v>
      </c>
      <c r="AI455" s="146">
        <f>+_xlfn.XLOOKUP(PROYECTOS2[[#This Row],[MUNICIPIO]],'4.CAP_ENDMNT'!B:B,'4.CAP_ENDMNT'!P:P,0,0,1)</f>
        <v>0.8</v>
      </c>
      <c r="AJ455" s="44" t="str">
        <f>+_xlfn.XLOOKUP(PROYECTOS2[[#This Row],[MUNICIPIO]],'4.CAP_ENDMNT'!B:B,'4.CAP_ENDMNT'!Q:Q,0,0,1)</f>
        <v>Riesgo</v>
      </c>
    </row>
    <row r="456" spans="1:36" ht="15" customHeight="1">
      <c r="A456" s="44">
        <v>485</v>
      </c>
      <c r="B456" s="37" t="s">
        <v>1050</v>
      </c>
      <c r="C456" s="118">
        <v>45747</v>
      </c>
      <c r="D456" s="46" t="s">
        <v>465</v>
      </c>
      <c r="E456" s="47" t="str">
        <f>+_xlfn.XLOOKUP(PROYECTOS2[[#This Row],[MUNICIPIO]],MUNICIPIOS!A:A,MUNICIPIOS!E:E,0,0,1)</f>
        <v>Suroeste</v>
      </c>
      <c r="F456" s="44" t="e" cm="1">
        <f t="array" ref="F456">+_xlfn.XLOOKUP(PROYECTOS2[[#This Row],[MUNICIPIO]],Table1[Municipio],MUNICIPIOS!F:F,0,0,1)</f>
        <v>#VALUE!</v>
      </c>
      <c r="G456" s="47" t="e">
        <f>+LOOKUP(PROYECTOS2[[#This Row],[MUNICIPIO]],Table1[Municipio],Table1[Latitud])</f>
        <v>#N/A</v>
      </c>
      <c r="H456" s="47" t="e">
        <f>+LOOKUP(PROYECTOS2[[#This Row],[MUNICIPIO]],Table1[Municipio],Table1[PDET])</f>
        <v>#N/A</v>
      </c>
      <c r="I456" s="45" t="e">
        <f>+LOOKUP(PROYECTOS2[[#This Row],[MUNICIPIO]],Table1[Municipio],Table1[ZOMAC])</f>
        <v>#N/A</v>
      </c>
      <c r="J456" s="34" t="str" cm="1">
        <f t="array" ref="J456">_xlfn.TEXTJOIN(", ", TRUE, IF(radicados[ID PROYECTOS]=A456, radicados[RADICADO], ""))</f>
        <v/>
      </c>
      <c r="K456" s="9">
        <v>1</v>
      </c>
      <c r="L456" s="45"/>
      <c r="M456" s="144"/>
      <c r="N456" s="72"/>
      <c r="O456" s="147">
        <v>3000000000</v>
      </c>
      <c r="P456" s="147"/>
      <c r="Q456" s="148" t="s">
        <v>1068</v>
      </c>
      <c r="R456" s="42" t="s">
        <v>1077</v>
      </c>
      <c r="S456" s="40" t="s">
        <v>1079</v>
      </c>
      <c r="T456" s="40"/>
      <c r="U456" s="37" t="s">
        <v>1091</v>
      </c>
      <c r="V456" s="44">
        <f>+_xlfn.XLOOKUP(PROYECTOS2[[#This Row],[MUNICIPIO]],'4.CAP_ENDMNT'!B:B,'4.CAP_ENDMNT'!C:C,0,0,1)</f>
        <v>5</v>
      </c>
      <c r="W456" s="145">
        <f>+_xlfn.XLOOKUP(PROYECTOS2[[#This Row],[MUNICIPIO]],'4.CAP_ENDMNT'!B:B,'4.CAP_ENDMNT'!D:D,0,0,1)</f>
        <v>7630980393.4579992</v>
      </c>
      <c r="X456" s="44">
        <f>+_xlfn.XLOOKUP(PROYECTOS2[[#This Row],[MUNICIPIO]],'4.CAP_ENDMNT'!B:B,'4.CAP_ENDMNT'!E:E,0,0,1)</f>
        <v>2836641555.8400002</v>
      </c>
      <c r="Y456" s="44">
        <f>+_xlfn.XLOOKUP(PROYECTOS2[[#This Row],[MUNICIPIO]],'4.CAP_ENDMNT'!B:B,'4.CAP_ENDMNT'!F:F,0,0,1)</f>
        <v>4794338837.6179991</v>
      </c>
      <c r="Z456" s="44">
        <f>+_xlfn.XLOOKUP(PROYECTOS2[[#This Row],[MUNICIPIO]],'4.CAP_ENDMNT'!B:B,'4.CAP_ENDMNT'!G:G,0,0,1)</f>
        <v>46770446.019999996</v>
      </c>
      <c r="AA456" s="44">
        <f>+_xlfn.XLOOKUP(PROYECTOS2[[#This Row],[MUNICIPIO]],'4.CAP_ENDMNT'!B:B,'4.CAP_ENDMNT'!H:H,0,0,1)</f>
        <v>1700000000</v>
      </c>
      <c r="AB456" s="44">
        <f>+_xlfn.XLOOKUP(PROYECTOS2[[#This Row],[MUNICIPIO]],'4.CAP_ENDMNT'!B:B,'4.CAP_ENDMNT'!I:I,0,0,1)</f>
        <v>1746770446.02</v>
      </c>
      <c r="AC456" s="146">
        <f>+_xlfn.XLOOKUP(PROYECTOS2[[#This Row],[MUNICIPIO]],'4.CAP_ENDMNT'!B:B,'4.CAP_ENDMNT'!J:J,0,0,1)</f>
        <v>0.22890511519561726</v>
      </c>
      <c r="AD456" s="44">
        <f>+_xlfn.XLOOKUP(PROYECTOS2[[#This Row],[MUNICIPIO]],'4.CAP_ENDMNT'!B:B,'4.CAP_ENDMNT'!K:K,0,0,1)</f>
        <v>5884209947.4379997</v>
      </c>
      <c r="AE456" s="44">
        <f>+_xlfn.XLOOKUP(PROYECTOS2[[#This Row],[MUNICIPIO]],'4.CAP_ENDMNT'!B:B,'4.CAP_ENDMNT'!L:L,0,0,1)</f>
        <v>4707367957.9504004</v>
      </c>
      <c r="AF456" s="44">
        <f>+_xlfn.XLOOKUP(PROYECTOS2[[#This Row],[MUNICIPIO]],'4.CAP_ENDMNT'!B:B,'4.CAP_ENDMNT'!M:M,0,0,1)</f>
        <v>3530525968.4627995</v>
      </c>
      <c r="AG456" s="146">
        <f>+_xlfn.XLOOKUP(PROYECTOS2[[#This Row],[MUNICIPIO]],'4.CAP_ENDMNT'!B:B,'4.CAP_ENDMNT'!N:N,0,0,1)</f>
        <v>2.6775382035210189E-2</v>
      </c>
      <c r="AH456" s="146">
        <f>+_xlfn.XLOOKUP(PROYECTOS2[[#This Row],[MUNICIPIO]],'4.CAP_ENDMNT'!B:B,'4.CAP_ENDMNT'!O:O,0,0,1)</f>
        <v>0.7580768893854527</v>
      </c>
      <c r="AI456" s="146">
        <f>+_xlfn.XLOOKUP(PROYECTOS2[[#This Row],[MUNICIPIO]],'4.CAP_ENDMNT'!B:B,'4.CAP_ENDMNT'!P:P,0,0,1)</f>
        <v>0.8</v>
      </c>
      <c r="AJ456" s="44" t="str">
        <f>+_xlfn.XLOOKUP(PROYECTOS2[[#This Row],[MUNICIPIO]],'4.CAP_ENDMNT'!B:B,'4.CAP_ENDMNT'!Q:Q,0,0,1)</f>
        <v>Riesgo</v>
      </c>
    </row>
    <row r="457" spans="1:36" ht="15" customHeight="1">
      <c r="A457" s="44">
        <v>486</v>
      </c>
      <c r="B457" s="37" t="s">
        <v>1051</v>
      </c>
      <c r="C457" s="118">
        <v>45747</v>
      </c>
      <c r="D457" s="46" t="s">
        <v>477</v>
      </c>
      <c r="E457" s="47" t="str">
        <f>+_xlfn.XLOOKUP(PROYECTOS2[[#This Row],[MUNICIPIO]],MUNICIPIOS!A:A,MUNICIPIOS!E:E,0,0,1)</f>
        <v>Norte</v>
      </c>
      <c r="F457" s="44" t="e" cm="1">
        <f t="array" ref="F457">+_xlfn.XLOOKUP(PROYECTOS2[[#This Row],[MUNICIPIO]],Table1[Municipio],MUNICIPIOS!F:F,0,0,1)</f>
        <v>#VALUE!</v>
      </c>
      <c r="G457" s="47" t="e">
        <f>+LOOKUP(PROYECTOS2[[#This Row],[MUNICIPIO]],Table1[Municipio],Table1[Latitud])</f>
        <v>#N/A</v>
      </c>
      <c r="H457" s="47" t="e">
        <f>+LOOKUP(PROYECTOS2[[#This Row],[MUNICIPIO]],Table1[Municipio],Table1[PDET])</f>
        <v>#N/A</v>
      </c>
      <c r="I457" s="45" t="e">
        <f>+LOOKUP(PROYECTOS2[[#This Row],[MUNICIPIO]],Table1[Municipio],Table1[ZOMAC])</f>
        <v>#N/A</v>
      </c>
      <c r="J457" s="34" t="str" cm="1">
        <f t="array" ref="J457">_xlfn.TEXTJOIN(", ", TRUE, IF(radicados[ID PROYECTOS]=A457, radicados[RADICADO], ""))</f>
        <v/>
      </c>
      <c r="K457" s="9">
        <v>1</v>
      </c>
      <c r="L457" s="45"/>
      <c r="M457" s="144"/>
      <c r="N457" s="72"/>
      <c r="O457" s="147">
        <v>284000000</v>
      </c>
      <c r="P457" s="147"/>
      <c r="Q457" s="148" t="s">
        <v>1068</v>
      </c>
      <c r="R457" s="42" t="s">
        <v>1072</v>
      </c>
      <c r="S457" s="40" t="s">
        <v>1079</v>
      </c>
      <c r="T457" s="40"/>
      <c r="U457" s="37" t="s">
        <v>1089</v>
      </c>
      <c r="V457" s="44">
        <f>+_xlfn.XLOOKUP(PROYECTOS2[[#This Row],[MUNICIPIO]],'4.CAP_ENDMNT'!B:B,'4.CAP_ENDMNT'!C:C,0,0,1)</f>
        <v>6</v>
      </c>
      <c r="W457" s="145">
        <f>+_xlfn.XLOOKUP(PROYECTOS2[[#This Row],[MUNICIPIO]],'4.CAP_ENDMNT'!B:B,'4.CAP_ENDMNT'!D:D,0,0,1)</f>
        <v>12764062914.553999</v>
      </c>
      <c r="X457" s="44">
        <f>+_xlfn.XLOOKUP(PROYECTOS2[[#This Row],[MUNICIPIO]],'4.CAP_ENDMNT'!B:B,'4.CAP_ENDMNT'!E:E,0,0,1)</f>
        <v>4266060462.2200003</v>
      </c>
      <c r="Y457" s="44">
        <f>+_xlfn.XLOOKUP(PROYECTOS2[[#This Row],[MUNICIPIO]],'4.CAP_ENDMNT'!B:B,'4.CAP_ENDMNT'!F:F,0,0,1)</f>
        <v>8498002452.3339987</v>
      </c>
      <c r="Z457" s="44">
        <f>+_xlfn.XLOOKUP(PROYECTOS2[[#This Row],[MUNICIPIO]],'4.CAP_ENDMNT'!B:B,'4.CAP_ENDMNT'!G:G,0,0,1)</f>
        <v>4258957687</v>
      </c>
      <c r="AA457" s="44">
        <f>+_xlfn.XLOOKUP(PROYECTOS2[[#This Row],[MUNICIPIO]],'4.CAP_ENDMNT'!B:B,'4.CAP_ENDMNT'!H:H,0,0,1)</f>
        <v>500000000</v>
      </c>
      <c r="AB457" s="44">
        <f>+_xlfn.XLOOKUP(PROYECTOS2[[#This Row],[MUNICIPIO]],'4.CAP_ENDMNT'!B:B,'4.CAP_ENDMNT'!I:I,0,0,1)</f>
        <v>4758957687</v>
      </c>
      <c r="AC457" s="146">
        <f>+_xlfn.XLOOKUP(PROYECTOS2[[#This Row],[MUNICIPIO]],'4.CAP_ENDMNT'!B:B,'4.CAP_ENDMNT'!J:J,0,0,1)</f>
        <v>0.37284035019708983</v>
      </c>
      <c r="AD457" s="44">
        <f>+_xlfn.XLOOKUP(PROYECTOS2[[#This Row],[MUNICIPIO]],'4.CAP_ENDMNT'!B:B,'4.CAP_ENDMNT'!K:K,0,0,1)</f>
        <v>8005105227.5539989</v>
      </c>
      <c r="AE457" s="44">
        <f>+_xlfn.XLOOKUP(PROYECTOS2[[#This Row],[MUNICIPIO]],'4.CAP_ENDMNT'!B:B,'4.CAP_ENDMNT'!L:L,0,0,1)</f>
        <v>6404084182.0431995</v>
      </c>
      <c r="AF457" s="44">
        <f>+_xlfn.XLOOKUP(PROYECTOS2[[#This Row],[MUNICIPIO]],'4.CAP_ENDMNT'!B:B,'4.CAP_ENDMNT'!M:M,0,0,1)</f>
        <v>4803063136.5323992</v>
      </c>
      <c r="AG457" s="146">
        <f>+_xlfn.XLOOKUP(PROYECTOS2[[#This Row],[MUNICIPIO]],'4.CAP_ENDMNT'!B:B,'4.CAP_ENDMNT'!N:N,0,0,1)</f>
        <v>0.89493497675639244</v>
      </c>
      <c r="AH457" s="146">
        <f>+_xlfn.XLOOKUP(PROYECTOS2[[#This Row],[MUNICIPIO]],'4.CAP_ENDMNT'!B:B,'4.CAP_ENDMNT'!O:O,0,0,1)</f>
        <v>0.64132957807138946</v>
      </c>
      <c r="AI457" s="146">
        <f>+_xlfn.XLOOKUP(PROYECTOS2[[#This Row],[MUNICIPIO]],'4.CAP_ENDMNT'!B:B,'4.CAP_ENDMNT'!P:P,0,0,1)</f>
        <v>0.8</v>
      </c>
      <c r="AJ457" s="44" t="str">
        <f>+_xlfn.XLOOKUP(PROYECTOS2[[#This Row],[MUNICIPIO]],'4.CAP_ENDMNT'!B:B,'4.CAP_ENDMNT'!Q:Q,0,0,1)</f>
        <v>Cumple</v>
      </c>
    </row>
    <row r="458" spans="1:36" ht="15" customHeight="1">
      <c r="A458" s="44">
        <v>487</v>
      </c>
      <c r="B458" s="37" t="s">
        <v>1117</v>
      </c>
      <c r="C458" s="118">
        <v>45747</v>
      </c>
      <c r="D458" s="46" t="s">
        <v>343</v>
      </c>
      <c r="E458" s="47" t="str">
        <f>+_xlfn.XLOOKUP(PROYECTOS2[[#This Row],[MUNICIPIO]],MUNICIPIOS!A:A,MUNICIPIOS!E:E,0,0,1)</f>
        <v>Valle de Aburrá</v>
      </c>
      <c r="F458" s="44" t="e" cm="1">
        <f t="array" ref="F458">+_xlfn.XLOOKUP(PROYECTOS2[[#This Row],[MUNICIPIO]],Table1[Municipio],MUNICIPIOS!F:F,0,0,1)</f>
        <v>#VALUE!</v>
      </c>
      <c r="G458" s="47" t="str">
        <f>+LOOKUP(PROYECTOS2[[#This Row],[MUNICIPIO]],Table1[Municipio],Table1[Latitud])</f>
        <v>7,074703</v>
      </c>
      <c r="H458" s="47">
        <f>+LOOKUP(PROYECTOS2[[#This Row],[MUNICIPIO]],Table1[Municipio],Table1[PDET])</f>
        <v>1</v>
      </c>
      <c r="I458" s="45">
        <f>+LOOKUP(PROYECTOS2[[#This Row],[MUNICIPIO]],Table1[Municipio],Table1[ZOMAC])</f>
        <v>1</v>
      </c>
      <c r="J458" s="34" t="str" cm="1">
        <f t="array" ref="J458">_xlfn.TEXTJOIN(", ", TRUE, IF(radicados[ID PROYECTOS]=A458, radicados[RADICADO], ""))</f>
        <v/>
      </c>
      <c r="L458" s="45"/>
      <c r="M458" s="144"/>
      <c r="N458" s="72"/>
      <c r="O458" s="147">
        <v>18111001552.001999</v>
      </c>
      <c r="P458" s="147"/>
      <c r="Q458" s="148" t="s">
        <v>1068</v>
      </c>
      <c r="R458" s="151"/>
      <c r="S458" s="40" t="s">
        <v>1079</v>
      </c>
      <c r="T458" s="40"/>
      <c r="U458" s="37" t="s">
        <v>1088</v>
      </c>
      <c r="V458" s="44">
        <f>+_xlfn.XLOOKUP(PROYECTOS2[[#This Row],[MUNICIPIO]],'4.CAP_ENDMNT'!B:B,'4.CAP_ENDMNT'!C:C,0,0,1)</f>
        <v>3</v>
      </c>
      <c r="W458" s="145">
        <f>+_xlfn.XLOOKUP(PROYECTOS2[[#This Row],[MUNICIPIO]],'4.CAP_ENDMNT'!B:B,'4.CAP_ENDMNT'!D:D,0,0,1)</f>
        <v>60283861588.903008</v>
      </c>
      <c r="X458" s="44">
        <f>+_xlfn.XLOOKUP(PROYECTOS2[[#This Row],[MUNICIPIO]],'4.CAP_ENDMNT'!B:B,'4.CAP_ENDMNT'!E:E,0,0,1)</f>
        <v>20841388380.529999</v>
      </c>
      <c r="Y458" s="44">
        <f>+_xlfn.XLOOKUP(PROYECTOS2[[#This Row],[MUNICIPIO]],'4.CAP_ENDMNT'!B:B,'4.CAP_ENDMNT'!F:F,0,0,1)</f>
        <v>39442473208.373009</v>
      </c>
      <c r="Z458" s="44">
        <f>+_xlfn.XLOOKUP(PROYECTOS2[[#This Row],[MUNICIPIO]],'4.CAP_ENDMNT'!B:B,'4.CAP_ENDMNT'!G:G,0,0,1)</f>
        <v>0</v>
      </c>
      <c r="AA458" s="44">
        <f>+_xlfn.XLOOKUP(PROYECTOS2[[#This Row],[MUNICIPIO]],'4.CAP_ENDMNT'!B:B,'4.CAP_ENDMNT'!H:H,0,0,1)</f>
        <v>16534829375</v>
      </c>
      <c r="AB458" s="44">
        <f>+_xlfn.XLOOKUP(PROYECTOS2[[#This Row],[MUNICIPIO]],'4.CAP_ENDMNT'!B:B,'4.CAP_ENDMNT'!I:I,0,0,1)</f>
        <v>16534829375</v>
      </c>
      <c r="AC458" s="146">
        <f>+_xlfn.XLOOKUP(PROYECTOS2[[#This Row],[MUNICIPIO]],'4.CAP_ENDMNT'!B:B,'4.CAP_ENDMNT'!J:J,0,0,1)</f>
        <v>0.27428285015576565</v>
      </c>
      <c r="AD458" s="44">
        <f>+_xlfn.XLOOKUP(PROYECTOS2[[#This Row],[MUNICIPIO]],'4.CAP_ENDMNT'!B:B,'4.CAP_ENDMNT'!K:K,0,0,1)</f>
        <v>43749032213.903008</v>
      </c>
      <c r="AE458" s="44">
        <f>+_xlfn.XLOOKUP(PROYECTOS2[[#This Row],[MUNICIPIO]],'4.CAP_ENDMNT'!B:B,'4.CAP_ENDMNT'!L:L,0,0,1)</f>
        <v>34999225771.122406</v>
      </c>
      <c r="AF458" s="44">
        <f>+_xlfn.XLOOKUP(PROYECTOS2[[#This Row],[MUNICIPIO]],'4.CAP_ENDMNT'!B:B,'4.CAP_ENDMNT'!M:M,0,0,1)</f>
        <v>26249419328.341805</v>
      </c>
      <c r="AG458" s="146">
        <f>+_xlfn.XLOOKUP(PROYECTOS2[[#This Row],[MUNICIPIO]],'4.CAP_ENDMNT'!B:B,'4.CAP_ENDMNT'!N:N,0,0,1)</f>
        <v>0</v>
      </c>
      <c r="AH458" s="146">
        <f>+_xlfn.XLOOKUP(PROYECTOS2[[#This Row],[MUNICIPIO]],'4.CAP_ENDMNT'!B:B,'4.CAP_ENDMNT'!O:O,0,0,1)</f>
        <v>0.44205372732348919</v>
      </c>
      <c r="AI458" s="146">
        <f>+_xlfn.XLOOKUP(PROYECTOS2[[#This Row],[MUNICIPIO]],'4.CAP_ENDMNT'!B:B,'4.CAP_ENDMNT'!P:P,0,0,1)</f>
        <v>0.7</v>
      </c>
      <c r="AJ458" s="44" t="str">
        <f>+_xlfn.XLOOKUP(PROYECTOS2[[#This Row],[MUNICIPIO]],'4.CAP_ENDMNT'!B:B,'4.CAP_ENDMNT'!Q:Q,0,0,1)</f>
        <v>Cumple</v>
      </c>
    </row>
    <row r="459" spans="1:36" ht="15" customHeight="1">
      <c r="A459" s="44">
        <v>488</v>
      </c>
      <c r="B459" s="37" t="s">
        <v>1022</v>
      </c>
      <c r="C459" s="118">
        <v>45747</v>
      </c>
      <c r="D459" s="46" t="s">
        <v>796</v>
      </c>
      <c r="E459" s="47" t="str">
        <f>+_xlfn.XLOOKUP(PROYECTOS2[[#This Row],[MUNICIPIO]],MUNICIPIOS!A:A,MUNICIPIOS!E:E,0,0,1)</f>
        <v>Norte</v>
      </c>
      <c r="F459" s="44" t="e" cm="1">
        <f t="array" ref="F459">+_xlfn.XLOOKUP(PROYECTOS2[[#This Row],[MUNICIPIO]],Table1[Municipio],MUNICIPIOS!F:F,0,0,1)</f>
        <v>#VALUE!</v>
      </c>
      <c r="G459" s="47" t="str">
        <f>+LOOKUP(PROYECTOS2[[#This Row],[MUNICIPIO]],Table1[Municipio],Table1[Latitud])</f>
        <v>7,074703</v>
      </c>
      <c r="H459" s="47">
        <f>+LOOKUP(PROYECTOS2[[#This Row],[MUNICIPIO]],Table1[Municipio],Table1[PDET])</f>
        <v>1</v>
      </c>
      <c r="I459" s="45">
        <f>+LOOKUP(PROYECTOS2[[#This Row],[MUNICIPIO]],Table1[Municipio],Table1[ZOMAC])</f>
        <v>1</v>
      </c>
      <c r="J459" s="34" t="str" cm="1">
        <f t="array" ref="J459">_xlfn.TEXTJOIN(", ", TRUE, IF(radicados[ID PROYECTOS]=A459, radicados[RADICADO], ""))</f>
        <v/>
      </c>
      <c r="K459" s="9">
        <v>1</v>
      </c>
      <c r="L459" s="45"/>
      <c r="M459" s="144"/>
      <c r="N459" s="72"/>
      <c r="O459" s="147">
        <v>459350792</v>
      </c>
      <c r="P459" s="147"/>
      <c r="Q459" s="148" t="s">
        <v>1068</v>
      </c>
      <c r="R459" s="42" t="s">
        <v>1072</v>
      </c>
      <c r="S459" s="40" t="s">
        <v>1079</v>
      </c>
      <c r="T459" s="40"/>
      <c r="U459" s="37" t="s">
        <v>1089</v>
      </c>
      <c r="V459" s="44">
        <f>+_xlfn.XLOOKUP(PROYECTOS2[[#This Row],[MUNICIPIO]],'4.CAP_ENDMNT'!B:B,'4.CAP_ENDMNT'!C:C,0,0,1)</f>
        <v>6</v>
      </c>
      <c r="W459" s="145">
        <f>+_xlfn.XLOOKUP(PROYECTOS2[[#This Row],[MUNICIPIO]],'4.CAP_ENDMNT'!B:B,'4.CAP_ENDMNT'!D:D,0,0,1)</f>
        <v>12753516160.956001</v>
      </c>
      <c r="X459" s="44">
        <f>+_xlfn.XLOOKUP(PROYECTOS2[[#This Row],[MUNICIPIO]],'4.CAP_ENDMNT'!B:B,'4.CAP_ENDMNT'!E:E,0,0,1)</f>
        <v>2768667331.0500002</v>
      </c>
      <c r="Y459" s="44">
        <f>+_xlfn.XLOOKUP(PROYECTOS2[[#This Row],[MUNICIPIO]],'4.CAP_ENDMNT'!B:B,'4.CAP_ENDMNT'!F:F,0,0,1)</f>
        <v>9984848829.906002</v>
      </c>
      <c r="Z459" s="44">
        <f>+_xlfn.XLOOKUP(PROYECTOS2[[#This Row],[MUNICIPIO]],'4.CAP_ENDMNT'!B:B,'4.CAP_ENDMNT'!G:G,0,0,1)</f>
        <v>1244778755</v>
      </c>
      <c r="AA459" s="44">
        <f>+_xlfn.XLOOKUP(PROYECTOS2[[#This Row],[MUNICIPIO]],'4.CAP_ENDMNT'!B:B,'4.CAP_ENDMNT'!H:H,0,0,1)</f>
        <v>0</v>
      </c>
      <c r="AB459" s="44">
        <f>+_xlfn.XLOOKUP(PROYECTOS2[[#This Row],[MUNICIPIO]],'4.CAP_ENDMNT'!B:B,'4.CAP_ENDMNT'!I:I,0,0,1)</f>
        <v>1244778755</v>
      </c>
      <c r="AC459" s="146">
        <f>+_xlfn.XLOOKUP(PROYECTOS2[[#This Row],[MUNICIPIO]],'4.CAP_ENDMNT'!B:B,'4.CAP_ENDMNT'!J:J,0,0,1)</f>
        <v>9.760278963779441E-2</v>
      </c>
      <c r="AD459" s="44">
        <f>+_xlfn.XLOOKUP(PROYECTOS2[[#This Row],[MUNICIPIO]],'4.CAP_ENDMNT'!B:B,'4.CAP_ENDMNT'!K:K,0,0,1)</f>
        <v>11508737405.956001</v>
      </c>
      <c r="AE459" s="44">
        <f>+_xlfn.XLOOKUP(PROYECTOS2[[#This Row],[MUNICIPIO]],'4.CAP_ENDMNT'!B:B,'4.CAP_ENDMNT'!L:L,0,0,1)</f>
        <v>9206989924.764801</v>
      </c>
      <c r="AF459" s="44">
        <f>+_xlfn.XLOOKUP(PROYECTOS2[[#This Row],[MUNICIPIO]],'4.CAP_ENDMNT'!B:B,'4.CAP_ENDMNT'!M:M,0,0,1)</f>
        <v>6905242443.5736008</v>
      </c>
      <c r="AG459" s="146">
        <f>+_xlfn.XLOOKUP(PROYECTOS2[[#This Row],[MUNICIPIO]],'4.CAP_ENDMNT'!B:B,'4.CAP_ENDMNT'!N:N,0,0,1)</f>
        <v>1</v>
      </c>
      <c r="AH459" s="146">
        <f>+_xlfn.XLOOKUP(PROYECTOS2[[#This Row],[MUNICIPIO]],'4.CAP_ENDMNT'!B:B,'4.CAP_ENDMNT'!O:O,0,0,1)</f>
        <v>0.7839967136976107</v>
      </c>
      <c r="AI459" s="146">
        <f>+_xlfn.XLOOKUP(PROYECTOS2[[#This Row],[MUNICIPIO]],'4.CAP_ENDMNT'!B:B,'4.CAP_ENDMNT'!P:P,0,0,1)</f>
        <v>0.8</v>
      </c>
      <c r="AJ459" s="44" t="str">
        <f>+_xlfn.XLOOKUP(PROYECTOS2[[#This Row],[MUNICIPIO]],'4.CAP_ENDMNT'!B:B,'4.CAP_ENDMNT'!Q:Q,0,0,1)</f>
        <v>Riesgo</v>
      </c>
    </row>
    <row r="460" spans="1:36" ht="15" customHeight="1">
      <c r="A460" s="44">
        <v>489</v>
      </c>
      <c r="B460" s="37" t="s">
        <v>1052</v>
      </c>
      <c r="C460" s="118">
        <v>45747</v>
      </c>
      <c r="D460" s="46" t="s">
        <v>45</v>
      </c>
      <c r="E460" s="47" t="str">
        <f>+_xlfn.XLOOKUP(PROYECTOS2[[#This Row],[MUNICIPIO]],MUNICIPIOS!A:A,MUNICIPIOS!E:E,0,0,1)</f>
        <v>Bajo Cauca</v>
      </c>
      <c r="F460" s="44" t="e" cm="1">
        <f t="array" ref="F460">+_xlfn.XLOOKUP(PROYECTOS2[[#This Row],[MUNICIPIO]],Table1[Municipio],MUNICIPIOS!F:F,0,0,1)</f>
        <v>#VALUE!</v>
      </c>
      <c r="G460" s="47" t="str">
        <f>+LOOKUP(PROYECTOS2[[#This Row],[MUNICIPIO]],Table1[Municipio],Table1[Latitud])</f>
        <v>7,074703</v>
      </c>
      <c r="H460" s="47">
        <f>+LOOKUP(PROYECTOS2[[#This Row],[MUNICIPIO]],Table1[Municipio],Table1[PDET])</f>
        <v>1</v>
      </c>
      <c r="I460" s="45">
        <f>+LOOKUP(PROYECTOS2[[#This Row],[MUNICIPIO]],Table1[Municipio],Table1[ZOMAC])</f>
        <v>1</v>
      </c>
      <c r="J460" s="34" t="str" cm="1">
        <f t="array" ref="J460">_xlfn.TEXTJOIN(", ", TRUE, IF(radicados[ID PROYECTOS]=A460, radicados[RADICADO], ""))</f>
        <v/>
      </c>
      <c r="K460" s="9">
        <v>2</v>
      </c>
      <c r="L460" s="45"/>
      <c r="M460" s="144"/>
      <c r="N460" s="72"/>
      <c r="O460" s="147">
        <v>24000000000</v>
      </c>
      <c r="P460" s="147"/>
      <c r="Q460" s="148" t="s">
        <v>1068</v>
      </c>
      <c r="R460" s="151" t="s">
        <v>1075</v>
      </c>
      <c r="S460" s="40" t="s">
        <v>1079</v>
      </c>
      <c r="T460" s="40"/>
      <c r="U460" s="37" t="s">
        <v>1089</v>
      </c>
      <c r="V460" s="44">
        <f>+_xlfn.XLOOKUP(PROYECTOS2[[#This Row],[MUNICIPIO]],'4.CAP_ENDMNT'!B:B,'4.CAP_ENDMNT'!C:C,0,0,1)</f>
        <v>5</v>
      </c>
      <c r="W460" s="145">
        <f>+_xlfn.XLOOKUP(PROYECTOS2[[#This Row],[MUNICIPIO]],'4.CAP_ENDMNT'!B:B,'4.CAP_ENDMNT'!D:D,0,0,1)</f>
        <v>55415011363.643501</v>
      </c>
      <c r="X460" s="44">
        <f>+_xlfn.XLOOKUP(PROYECTOS2[[#This Row],[MUNICIPIO]],'4.CAP_ENDMNT'!B:B,'4.CAP_ENDMNT'!E:E,0,0,1)</f>
        <v>24252117123.400002</v>
      </c>
      <c r="Y460" s="44">
        <f>+_xlfn.XLOOKUP(PROYECTOS2[[#This Row],[MUNICIPIO]],'4.CAP_ENDMNT'!B:B,'4.CAP_ENDMNT'!F:F,0,0,1)</f>
        <v>31162894240.2435</v>
      </c>
      <c r="Z460" s="44">
        <f>+_xlfn.XLOOKUP(PROYECTOS2[[#This Row],[MUNICIPIO]],'4.CAP_ENDMNT'!B:B,'4.CAP_ENDMNT'!G:G,0,0,1)</f>
        <v>8970758412</v>
      </c>
      <c r="AA460" s="44">
        <f>+_xlfn.XLOOKUP(PROYECTOS2[[#This Row],[MUNICIPIO]],'4.CAP_ENDMNT'!B:B,'4.CAP_ENDMNT'!H:H,0,0,1)</f>
        <v>3572173854.98</v>
      </c>
      <c r="AB460" s="44">
        <f>+_xlfn.XLOOKUP(PROYECTOS2[[#This Row],[MUNICIPIO]],'4.CAP_ENDMNT'!B:B,'4.CAP_ENDMNT'!I:I,0,0,1)</f>
        <v>12542932266.98</v>
      </c>
      <c r="AC460" s="146">
        <f>+_xlfn.XLOOKUP(PROYECTOS2[[#This Row],[MUNICIPIO]],'4.CAP_ENDMNT'!B:B,'4.CAP_ENDMNT'!J:J,0,0,1)</f>
        <v>0.22634538834019124</v>
      </c>
      <c r="AD460" s="44">
        <f>+_xlfn.XLOOKUP(PROYECTOS2[[#This Row],[MUNICIPIO]],'4.CAP_ENDMNT'!B:B,'4.CAP_ENDMNT'!K:K,0,0,1)</f>
        <v>42872079096.663498</v>
      </c>
      <c r="AE460" s="44">
        <f>+_xlfn.XLOOKUP(PROYECTOS2[[#This Row],[MUNICIPIO]],'4.CAP_ENDMNT'!B:B,'4.CAP_ENDMNT'!L:L,0,0,1)</f>
        <v>34297663277.330799</v>
      </c>
      <c r="AF460" s="44">
        <f>+_xlfn.XLOOKUP(PROYECTOS2[[#This Row],[MUNICIPIO]],'4.CAP_ENDMNT'!B:B,'4.CAP_ENDMNT'!M:M,0,0,1)</f>
        <v>25723247457.998096</v>
      </c>
      <c r="AG460" s="146">
        <f>+_xlfn.XLOOKUP(PROYECTOS2[[#This Row],[MUNICIPIO]],'4.CAP_ENDMNT'!B:B,'4.CAP_ENDMNT'!N:N,0,0,1)</f>
        <v>0.71520424578996133</v>
      </c>
      <c r="AH460" s="146">
        <f>+_xlfn.XLOOKUP(PROYECTOS2[[#This Row],[MUNICIPIO]],'4.CAP_ENDMNT'!B:B,'4.CAP_ENDMNT'!O:O,0,0,1)</f>
        <v>0.67052010826145281</v>
      </c>
      <c r="AI460" s="146">
        <f>+_xlfn.XLOOKUP(PROYECTOS2[[#This Row],[MUNICIPIO]],'4.CAP_ENDMNT'!B:B,'4.CAP_ENDMNT'!P:P,0,0,1)</f>
        <v>0.8</v>
      </c>
      <c r="AJ460" s="44" t="str">
        <f>+_xlfn.XLOOKUP(PROYECTOS2[[#This Row],[MUNICIPIO]],'4.CAP_ENDMNT'!B:B,'4.CAP_ENDMNT'!Q:Q,0,0,1)</f>
        <v>Cumple</v>
      </c>
    </row>
    <row r="461" spans="1:36" ht="15" customHeight="1">
      <c r="A461" s="44">
        <v>490</v>
      </c>
      <c r="B461" s="37" t="s">
        <v>1053</v>
      </c>
      <c r="C461" s="118">
        <v>45747</v>
      </c>
      <c r="D461" s="46" t="s">
        <v>326</v>
      </c>
      <c r="E461" s="47" t="str">
        <f>+_xlfn.XLOOKUP(PROYECTOS2[[#This Row],[MUNICIPIO]],MUNICIPIOS!A:A,MUNICIPIOS!E:E,0,0,1)</f>
        <v>Norte</v>
      </c>
      <c r="F461" s="44" t="e" cm="1">
        <f t="array" ref="F461">+_xlfn.XLOOKUP(PROYECTOS2[[#This Row],[MUNICIPIO]],Table1[Municipio],MUNICIPIOS!F:F,0,0,1)</f>
        <v>#VALUE!</v>
      </c>
      <c r="G461" s="47" t="str">
        <f>+LOOKUP(PROYECTOS2[[#This Row],[MUNICIPIO]],Table1[Municipio],Table1[Latitud])</f>
        <v>6,136871</v>
      </c>
      <c r="H461" s="47">
        <f>+LOOKUP(PROYECTOS2[[#This Row],[MUNICIPIO]],Table1[Municipio],Table1[PDET])</f>
        <v>0</v>
      </c>
      <c r="I461" s="45">
        <f>+LOOKUP(PROYECTOS2[[#This Row],[MUNICIPIO]],Table1[Municipio],Table1[ZOMAC])</f>
        <v>0</v>
      </c>
      <c r="J461" s="34" t="str" cm="1">
        <f t="array" ref="J461">_xlfn.TEXTJOIN(", ", TRUE, IF(radicados[ID PROYECTOS]=A461, radicados[RADICADO], ""))</f>
        <v/>
      </c>
      <c r="K461" s="9">
        <v>1</v>
      </c>
      <c r="L461" s="45"/>
      <c r="M461" s="144"/>
      <c r="N461" s="72"/>
      <c r="O461" s="147">
        <v>346343262</v>
      </c>
      <c r="P461" s="147"/>
      <c r="Q461" s="148" t="s">
        <v>1068</v>
      </c>
      <c r="R461" s="42" t="s">
        <v>1072</v>
      </c>
      <c r="S461" s="40" t="s">
        <v>1079</v>
      </c>
      <c r="T461" s="40"/>
      <c r="U461" s="37" t="s">
        <v>1089</v>
      </c>
      <c r="V461" s="44">
        <f>+_xlfn.XLOOKUP(PROYECTOS2[[#This Row],[MUNICIPIO]],'4.CAP_ENDMNT'!B:B,'4.CAP_ENDMNT'!C:C,0,0,1)</f>
        <v>6</v>
      </c>
      <c r="W461" s="145">
        <f>+_xlfn.XLOOKUP(PROYECTOS2[[#This Row],[MUNICIPIO]],'4.CAP_ENDMNT'!B:B,'4.CAP_ENDMNT'!D:D,0,0,1)</f>
        <v>18940820544.593998</v>
      </c>
      <c r="X461" s="44">
        <f>+_xlfn.XLOOKUP(PROYECTOS2[[#This Row],[MUNICIPIO]],'4.CAP_ENDMNT'!B:B,'4.CAP_ENDMNT'!E:E,0,0,1)</f>
        <v>5983055403.6199999</v>
      </c>
      <c r="Y461" s="44">
        <f>+_xlfn.XLOOKUP(PROYECTOS2[[#This Row],[MUNICIPIO]],'4.CAP_ENDMNT'!B:B,'4.CAP_ENDMNT'!F:F,0,0,1)</f>
        <v>12957765140.973999</v>
      </c>
      <c r="Z461" s="44">
        <f>+_xlfn.XLOOKUP(PROYECTOS2[[#This Row],[MUNICIPIO]],'4.CAP_ENDMNT'!B:B,'4.CAP_ENDMNT'!G:G,0,0,1)</f>
        <v>528703455</v>
      </c>
      <c r="AA461" s="44">
        <f>+_xlfn.XLOOKUP(PROYECTOS2[[#This Row],[MUNICIPIO]],'4.CAP_ENDMNT'!B:B,'4.CAP_ENDMNT'!H:H,0,0,1)</f>
        <v>4617666038</v>
      </c>
      <c r="AB461" s="44">
        <f>+_xlfn.XLOOKUP(PROYECTOS2[[#This Row],[MUNICIPIO]],'4.CAP_ENDMNT'!B:B,'4.CAP_ENDMNT'!I:I,0,0,1)</f>
        <v>5146369493</v>
      </c>
      <c r="AC461" s="146">
        <f>+_xlfn.XLOOKUP(PROYECTOS2[[#This Row],[MUNICIPIO]],'4.CAP_ENDMNT'!B:B,'4.CAP_ENDMNT'!J:J,0,0,1)</f>
        <v>0.27170784290382038</v>
      </c>
      <c r="AD461" s="44">
        <f>+_xlfn.XLOOKUP(PROYECTOS2[[#This Row],[MUNICIPIO]],'4.CAP_ENDMNT'!B:B,'4.CAP_ENDMNT'!K:K,0,0,1)</f>
        <v>13794451051.593998</v>
      </c>
      <c r="AE461" s="44">
        <f>+_xlfn.XLOOKUP(PROYECTOS2[[#This Row],[MUNICIPIO]],'4.CAP_ENDMNT'!B:B,'4.CAP_ENDMNT'!L:L,0,0,1)</f>
        <v>11035560841.2752</v>
      </c>
      <c r="AF461" s="44">
        <f>+_xlfn.XLOOKUP(PROYECTOS2[[#This Row],[MUNICIPIO]],'4.CAP_ENDMNT'!B:B,'4.CAP_ENDMNT'!M:M,0,0,1)</f>
        <v>8276670630.956398</v>
      </c>
      <c r="AG461" s="146">
        <f>+_xlfn.XLOOKUP(PROYECTOS2[[#This Row],[MUNICIPIO]],'4.CAP_ENDMNT'!B:B,'4.CAP_ENDMNT'!N:N,0,0,1)</f>
        <v>0.10273328716858224</v>
      </c>
      <c r="AH461" s="146">
        <f>+_xlfn.XLOOKUP(PROYECTOS2[[#This Row],[MUNICIPIO]],'4.CAP_ENDMNT'!B:B,'4.CAP_ENDMNT'!O:O,0,0,1)</f>
        <v>0.44981176046067123</v>
      </c>
      <c r="AI461" s="146">
        <f>+_xlfn.XLOOKUP(PROYECTOS2[[#This Row],[MUNICIPIO]],'4.CAP_ENDMNT'!B:B,'4.CAP_ENDMNT'!P:P,0,0,1)</f>
        <v>0.8</v>
      </c>
      <c r="AJ461" s="44" t="str">
        <f>+_xlfn.XLOOKUP(PROYECTOS2[[#This Row],[MUNICIPIO]],'4.CAP_ENDMNT'!B:B,'4.CAP_ENDMNT'!Q:Q,0,0,1)</f>
        <v>Cumple</v>
      </c>
    </row>
    <row r="462" spans="1:36" ht="15" customHeight="1">
      <c r="A462" s="44">
        <v>491</v>
      </c>
      <c r="B462" s="37" t="s">
        <v>1116</v>
      </c>
      <c r="C462" s="118">
        <v>45747</v>
      </c>
      <c r="D462" s="46" t="s">
        <v>1062</v>
      </c>
      <c r="E462" s="47" t="str">
        <f>+_xlfn.XLOOKUP(PROYECTOS2[[#This Row],[MUNICIPIO]],MUNICIPIOS!A:A,MUNICIPIOS!E:E,0,0,1)</f>
        <v>Oriente</v>
      </c>
      <c r="F462" s="44" t="e" cm="1">
        <f t="array" ref="F462">+_xlfn.XLOOKUP(PROYECTOS2[[#This Row],[MUNICIPIO]],Table1[Municipio],MUNICIPIOS!F:F,0,0,1)</f>
        <v>#VALUE!</v>
      </c>
      <c r="G462" s="47" t="str">
        <f>+LOOKUP(PROYECTOS2[[#This Row],[MUNICIPIO]],Table1[Municipio],Table1[Latitud])</f>
        <v>6,028062</v>
      </c>
      <c r="H462" s="47">
        <f>+LOOKUP(PROYECTOS2[[#This Row],[MUNICIPIO]],Table1[Municipio],Table1[PDET])</f>
        <v>0</v>
      </c>
      <c r="I462" s="45">
        <f>+LOOKUP(PROYECTOS2[[#This Row],[MUNICIPIO]],Table1[Municipio],Table1[ZOMAC])</f>
        <v>0</v>
      </c>
      <c r="J462" s="34" t="str" cm="1">
        <f t="array" ref="J462">_xlfn.TEXTJOIN(", ", TRUE, IF(radicados[ID PROYECTOS]=A462, radicados[RADICADO], ""))</f>
        <v/>
      </c>
      <c r="L462" s="45"/>
      <c r="M462" s="144"/>
      <c r="N462" s="72"/>
      <c r="O462" s="147">
        <v>3500000000</v>
      </c>
      <c r="P462" s="147"/>
      <c r="Q462" s="148" t="s">
        <v>1068</v>
      </c>
      <c r="R462" s="151"/>
      <c r="S462" s="40" t="s">
        <v>1079</v>
      </c>
      <c r="T462" s="40"/>
      <c r="U462" s="37" t="s">
        <v>1088</v>
      </c>
      <c r="V462" s="44">
        <f>+_xlfn.XLOOKUP(PROYECTOS2[[#This Row],[MUNICIPIO]],'4.CAP_ENDMNT'!B:B,'4.CAP_ENDMNT'!C:C,0,0,1)</f>
        <v>2</v>
      </c>
      <c r="W462" s="145">
        <f>+_xlfn.XLOOKUP(PROYECTOS2[[#This Row],[MUNICIPIO]],'4.CAP_ENDMNT'!B:B,'4.CAP_ENDMNT'!D:D,0,0,1)</f>
        <v>102691614388.099</v>
      </c>
      <c r="X462" s="44">
        <f>+_xlfn.XLOOKUP(PROYECTOS2[[#This Row],[MUNICIPIO]],'4.CAP_ENDMNT'!B:B,'4.CAP_ENDMNT'!E:E,0,0,1)</f>
        <v>29123622287.32</v>
      </c>
      <c r="Y462" s="44">
        <f>+_xlfn.XLOOKUP(PROYECTOS2[[#This Row],[MUNICIPIO]],'4.CAP_ENDMNT'!B:B,'4.CAP_ENDMNT'!F:F,0,0,1)</f>
        <v>73567992100.778992</v>
      </c>
      <c r="Z462" s="44">
        <f>+_xlfn.XLOOKUP(PROYECTOS2[[#This Row],[MUNICIPIO]],'4.CAP_ENDMNT'!B:B,'4.CAP_ENDMNT'!G:G,0,0,1)</f>
        <v>5166195556</v>
      </c>
      <c r="AA462" s="44">
        <f>+_xlfn.XLOOKUP(PROYECTOS2[[#This Row],[MUNICIPIO]],'4.CAP_ENDMNT'!B:B,'4.CAP_ENDMNT'!H:H,0,0,1)</f>
        <v>27283390599</v>
      </c>
      <c r="AB462" s="44">
        <f>+_xlfn.XLOOKUP(PROYECTOS2[[#This Row],[MUNICIPIO]],'4.CAP_ENDMNT'!B:B,'4.CAP_ENDMNT'!I:I,0,0,1)</f>
        <v>32449586155</v>
      </c>
      <c r="AC462" s="146">
        <f>+_xlfn.XLOOKUP(PROYECTOS2[[#This Row],[MUNICIPIO]],'4.CAP_ENDMNT'!B:B,'4.CAP_ENDMNT'!J:J,0,0,1)</f>
        <v>0.3159906127521217</v>
      </c>
      <c r="AD462" s="44">
        <f>+_xlfn.XLOOKUP(PROYECTOS2[[#This Row],[MUNICIPIO]],'4.CAP_ENDMNT'!B:B,'4.CAP_ENDMNT'!K:K,0,0,1)</f>
        <v>70242028233.098999</v>
      </c>
      <c r="AE462" s="44">
        <f>+_xlfn.XLOOKUP(PROYECTOS2[[#This Row],[MUNICIPIO]],'4.CAP_ENDMNT'!B:B,'4.CAP_ENDMNT'!L:L,0,0,1)</f>
        <v>56193622586.479202</v>
      </c>
      <c r="AF462" s="44">
        <f>+_xlfn.XLOOKUP(PROYECTOS2[[#This Row],[MUNICIPIO]],'4.CAP_ENDMNT'!B:B,'4.CAP_ENDMNT'!M:M,0,0,1)</f>
        <v>42145216939.859398</v>
      </c>
      <c r="AG462" s="146">
        <f>+_xlfn.XLOOKUP(PROYECTOS2[[#This Row],[MUNICIPIO]],'4.CAP_ENDMNT'!B:B,'4.CAP_ENDMNT'!N:N,0,0,1)</f>
        <v>0.15920682412783146</v>
      </c>
      <c r="AH462" s="146">
        <f>+_xlfn.XLOOKUP(PROYECTOS2[[#This Row],[MUNICIPIO]],'4.CAP_ENDMNT'!B:B,'4.CAP_ENDMNT'!O:O,0,0,1)</f>
        <v>0.28977187660096981</v>
      </c>
      <c r="AI462" s="146">
        <f>+_xlfn.XLOOKUP(PROYECTOS2[[#This Row],[MUNICIPIO]],'4.CAP_ENDMNT'!B:B,'4.CAP_ENDMNT'!P:P,0,0,1)</f>
        <v>0.7</v>
      </c>
      <c r="AJ462" s="44" t="str">
        <f>+_xlfn.XLOOKUP(PROYECTOS2[[#This Row],[MUNICIPIO]],'4.CAP_ENDMNT'!B:B,'4.CAP_ENDMNT'!Q:Q,0,0,1)</f>
        <v>Cumple</v>
      </c>
    </row>
    <row r="463" spans="1:36" ht="15" customHeight="1">
      <c r="A463" s="44">
        <v>492</v>
      </c>
      <c r="B463" s="37" t="s">
        <v>1054</v>
      </c>
      <c r="C463" s="118">
        <v>45747</v>
      </c>
      <c r="D463" s="46" t="s">
        <v>323</v>
      </c>
      <c r="E463" s="47" t="str">
        <f>+_xlfn.XLOOKUP(PROYECTOS2[[#This Row],[MUNICIPIO]],MUNICIPIOS!A:A,MUNICIPIOS!E:E,0,0,1)</f>
        <v>Oriente</v>
      </c>
      <c r="F463" s="44" t="e" cm="1">
        <f t="array" ref="F463">+_xlfn.XLOOKUP(PROYECTOS2[[#This Row],[MUNICIPIO]],Table1[Municipio],MUNICIPIOS!F:F,0,0,1)</f>
        <v>#VALUE!</v>
      </c>
      <c r="G463" s="47" t="str">
        <f>+LOOKUP(PROYECTOS2[[#This Row],[MUNICIPIO]],Table1[Municipio],Table1[Latitud])</f>
        <v>6,062454</v>
      </c>
      <c r="H463" s="47">
        <f>+LOOKUP(PROYECTOS2[[#This Row],[MUNICIPIO]],Table1[Municipio],Table1[PDET])</f>
        <v>0</v>
      </c>
      <c r="I463" s="45">
        <f>+LOOKUP(PROYECTOS2[[#This Row],[MUNICIPIO]],Table1[Municipio],Table1[ZOMAC])</f>
        <v>0</v>
      </c>
      <c r="J463" s="34" t="str" cm="1">
        <f t="array" ref="J463">_xlfn.TEXTJOIN(", ", TRUE, IF(radicados[ID PROYECTOS]=A463, radicados[RADICADO], ""))</f>
        <v/>
      </c>
      <c r="K463" s="9">
        <v>1</v>
      </c>
      <c r="L463" s="45"/>
      <c r="M463" s="144"/>
      <c r="N463" s="72"/>
      <c r="O463" s="147">
        <v>6100000000</v>
      </c>
      <c r="P463" s="147"/>
      <c r="Q463" s="148" t="s">
        <v>1068</v>
      </c>
      <c r="R463" s="42" t="s">
        <v>1072</v>
      </c>
      <c r="S463" s="40" t="s">
        <v>1079</v>
      </c>
      <c r="T463" s="40"/>
      <c r="U463" s="37" t="s">
        <v>1089</v>
      </c>
      <c r="V463" s="44">
        <f>+_xlfn.XLOOKUP(PROYECTOS2[[#This Row],[MUNICIPIO]],'4.CAP_ENDMNT'!B:B,'4.CAP_ENDMNT'!C:C,0,0,1)</f>
        <v>3</v>
      </c>
      <c r="W463" s="145">
        <f>+_xlfn.XLOOKUP(PROYECTOS2[[#This Row],[MUNICIPIO]],'4.CAP_ENDMNT'!B:B,'4.CAP_ENDMNT'!D:D,0,0,1)</f>
        <v>69187005609.695007</v>
      </c>
      <c r="X463" s="44">
        <f>+_xlfn.XLOOKUP(PROYECTOS2[[#This Row],[MUNICIPIO]],'4.CAP_ENDMNT'!B:B,'4.CAP_ENDMNT'!E:E,0,0,1)</f>
        <v>24929217109.209999</v>
      </c>
      <c r="Y463" s="44">
        <f>+_xlfn.XLOOKUP(PROYECTOS2[[#This Row],[MUNICIPIO]],'4.CAP_ENDMNT'!B:B,'4.CAP_ENDMNT'!F:F,0,0,1)</f>
        <v>44257788500.485008</v>
      </c>
      <c r="Z463" s="44">
        <f>+_xlfn.XLOOKUP(PROYECTOS2[[#This Row],[MUNICIPIO]],'4.CAP_ENDMNT'!B:B,'4.CAP_ENDMNT'!G:G,0,0,1)</f>
        <v>0</v>
      </c>
      <c r="AA463" s="44">
        <f>+_xlfn.XLOOKUP(PROYECTOS2[[#This Row],[MUNICIPIO]],'4.CAP_ENDMNT'!B:B,'4.CAP_ENDMNT'!H:H,0,0,1)</f>
        <v>0</v>
      </c>
      <c r="AB463" s="44">
        <f>+_xlfn.XLOOKUP(PROYECTOS2[[#This Row],[MUNICIPIO]],'4.CAP_ENDMNT'!B:B,'4.CAP_ENDMNT'!I:I,0,0,1)</f>
        <v>0</v>
      </c>
      <c r="AC463" s="146">
        <f>+_xlfn.XLOOKUP(PROYECTOS2[[#This Row],[MUNICIPIO]],'4.CAP_ENDMNT'!B:B,'4.CAP_ENDMNT'!J:J,0,0,1)</f>
        <v>0</v>
      </c>
      <c r="AD463" s="44">
        <f>+_xlfn.XLOOKUP(PROYECTOS2[[#This Row],[MUNICIPIO]],'4.CAP_ENDMNT'!B:B,'4.CAP_ENDMNT'!K:K,0,0,1)</f>
        <v>69187005609.695007</v>
      </c>
      <c r="AE463" s="44">
        <f>+_xlfn.XLOOKUP(PROYECTOS2[[#This Row],[MUNICIPIO]],'4.CAP_ENDMNT'!B:B,'4.CAP_ENDMNT'!L:L,0,0,1)</f>
        <v>55349604487.756012</v>
      </c>
      <c r="AF463" s="44">
        <f>+_xlfn.XLOOKUP(PROYECTOS2[[#This Row],[MUNICIPIO]],'4.CAP_ENDMNT'!B:B,'4.CAP_ENDMNT'!M:M,0,0,1)</f>
        <v>41512203365.817001</v>
      </c>
      <c r="AG463" s="146">
        <f>+_xlfn.XLOOKUP(PROYECTOS2[[#This Row],[MUNICIPIO]],'4.CAP_ENDMNT'!B:B,'4.CAP_ENDMNT'!N:N,0,0,1)</f>
        <v>0</v>
      </c>
      <c r="AH463" s="146">
        <f>+_xlfn.XLOOKUP(PROYECTOS2[[#This Row],[MUNICIPIO]],'4.CAP_ENDMNT'!B:B,'4.CAP_ENDMNT'!O:O,0,0,1)</f>
        <v>0.36680132048521774</v>
      </c>
      <c r="AI463" s="146">
        <f>+_xlfn.XLOOKUP(PROYECTOS2[[#This Row],[MUNICIPIO]],'4.CAP_ENDMNT'!B:B,'4.CAP_ENDMNT'!P:P,0,0,1)</f>
        <v>0.7</v>
      </c>
      <c r="AJ463" s="44" t="str">
        <f>+_xlfn.XLOOKUP(PROYECTOS2[[#This Row],[MUNICIPIO]],'4.CAP_ENDMNT'!B:B,'4.CAP_ENDMNT'!Q:Q,0,0,1)</f>
        <v>Cumple</v>
      </c>
    </row>
    <row r="464" spans="1:36" ht="15" customHeight="1">
      <c r="A464" s="44">
        <v>493</v>
      </c>
      <c r="B464" s="37" t="s">
        <v>1115</v>
      </c>
      <c r="C464" s="118">
        <v>45747</v>
      </c>
      <c r="D464" s="46" t="s">
        <v>1063</v>
      </c>
      <c r="E464" s="47" t="str">
        <f>+_xlfn.XLOOKUP(PROYECTOS2[[#This Row],[MUNICIPIO]],MUNICIPIOS!A:A,MUNICIPIOS!E:E,0,0,1)</f>
        <v>Oriente</v>
      </c>
      <c r="F464" s="44" t="e" cm="1">
        <f t="array" ref="F464">+_xlfn.XLOOKUP(PROYECTOS2[[#This Row],[MUNICIPIO]],Table1[Municipio],MUNICIPIOS!F:F,0,0,1)</f>
        <v>#VALUE!</v>
      </c>
      <c r="G464" s="47" t="str">
        <f>+LOOKUP(PROYECTOS2[[#This Row],[MUNICIPIO]],Table1[Municipio],Table1[Latitud])</f>
        <v>6,149903</v>
      </c>
      <c r="H464" s="47">
        <f>+LOOKUP(PROYECTOS2[[#This Row],[MUNICIPIO]],Table1[Municipio],Table1[PDET])</f>
        <v>0</v>
      </c>
      <c r="I464" s="45">
        <f>+LOOKUP(PROYECTOS2[[#This Row],[MUNICIPIO]],Table1[Municipio],Table1[ZOMAC])</f>
        <v>0</v>
      </c>
      <c r="J464" s="34" t="str" cm="1">
        <f t="array" ref="J464">_xlfn.TEXTJOIN(", ", TRUE, IF(radicados[ID PROYECTOS]=A464, radicados[RADICADO], ""))</f>
        <v/>
      </c>
      <c r="L464" s="45"/>
      <c r="M464" s="144"/>
      <c r="N464" s="72"/>
      <c r="O464" s="147">
        <v>22000000000</v>
      </c>
      <c r="P464" s="147"/>
      <c r="Q464" s="148" t="s">
        <v>1068</v>
      </c>
      <c r="R464" s="151"/>
      <c r="S464" s="40" t="s">
        <v>1079</v>
      </c>
      <c r="T464" s="40"/>
      <c r="U464" s="37" t="s">
        <v>1088</v>
      </c>
      <c r="V464" s="44">
        <f>+_xlfn.XLOOKUP(PROYECTOS2[[#This Row],[MUNICIPIO]],'4.CAP_ENDMNT'!B:B,'4.CAP_ENDMNT'!C:C,0,0,1)</f>
        <v>6</v>
      </c>
      <c r="W464" s="145">
        <f>+_xlfn.XLOOKUP(PROYECTOS2[[#This Row],[MUNICIPIO]],'4.CAP_ENDMNT'!B:B,'4.CAP_ENDMNT'!D:D,0,0,1)</f>
        <v>7763487077.335</v>
      </c>
      <c r="X464" s="44">
        <f>+_xlfn.XLOOKUP(PROYECTOS2[[#This Row],[MUNICIPIO]],'4.CAP_ENDMNT'!B:B,'4.CAP_ENDMNT'!E:E,0,0,1)</f>
        <v>2329929022.3600001</v>
      </c>
      <c r="Y464" s="44">
        <f>+_xlfn.XLOOKUP(PROYECTOS2[[#This Row],[MUNICIPIO]],'4.CAP_ENDMNT'!B:B,'4.CAP_ENDMNT'!F:F,0,0,1)</f>
        <v>5433558054.9750004</v>
      </c>
      <c r="Z464" s="44">
        <f>+_xlfn.XLOOKUP(PROYECTOS2[[#This Row],[MUNICIPIO]],'4.CAP_ENDMNT'!B:B,'4.CAP_ENDMNT'!G:G,0,0,1)</f>
        <v>1217107364.4400001</v>
      </c>
      <c r="AA464" s="44">
        <f>+_xlfn.XLOOKUP(PROYECTOS2[[#This Row],[MUNICIPIO]],'4.CAP_ENDMNT'!B:B,'4.CAP_ENDMNT'!H:H,0,0,1)</f>
        <v>0</v>
      </c>
      <c r="AB464" s="44">
        <f>+_xlfn.XLOOKUP(PROYECTOS2[[#This Row],[MUNICIPIO]],'4.CAP_ENDMNT'!B:B,'4.CAP_ENDMNT'!I:I,0,0,1)</f>
        <v>1217107364.4400001</v>
      </c>
      <c r="AC464" s="146">
        <f>+_xlfn.XLOOKUP(PROYECTOS2[[#This Row],[MUNICIPIO]],'4.CAP_ENDMNT'!B:B,'4.CAP_ENDMNT'!J:J,0,0,1)</f>
        <v>0.15677328400446064</v>
      </c>
      <c r="AD464" s="44">
        <f>+_xlfn.XLOOKUP(PROYECTOS2[[#This Row],[MUNICIPIO]],'4.CAP_ENDMNT'!B:B,'4.CAP_ENDMNT'!K:K,0,0,1)</f>
        <v>6546379712.8950005</v>
      </c>
      <c r="AE464" s="44">
        <f>+_xlfn.XLOOKUP(PROYECTOS2[[#This Row],[MUNICIPIO]],'4.CAP_ENDMNT'!B:B,'4.CAP_ENDMNT'!L:L,0,0,1)</f>
        <v>5237103770.3160009</v>
      </c>
      <c r="AF464" s="44">
        <f>+_xlfn.XLOOKUP(PROYECTOS2[[#This Row],[MUNICIPIO]],'4.CAP_ENDMNT'!B:B,'4.CAP_ENDMNT'!M:M,0,0,1)</f>
        <v>3927827827.737</v>
      </c>
      <c r="AG464" s="146">
        <f>+_xlfn.XLOOKUP(PROYECTOS2[[#This Row],[MUNICIPIO]],'4.CAP_ENDMNT'!B:B,'4.CAP_ENDMNT'!N:N,0,0,1)</f>
        <v>1</v>
      </c>
      <c r="AH464" s="146">
        <f>+_xlfn.XLOOKUP(PROYECTOS2[[#This Row],[MUNICIPIO]],'4.CAP_ENDMNT'!B:B,'4.CAP_ENDMNT'!O:O,0,0,1)</f>
        <v>0.68141761997590633</v>
      </c>
      <c r="AI464" s="146">
        <f>+_xlfn.XLOOKUP(PROYECTOS2[[#This Row],[MUNICIPIO]],'4.CAP_ENDMNT'!B:B,'4.CAP_ENDMNT'!P:P,0,0,1)</f>
        <v>0.8</v>
      </c>
      <c r="AJ464" s="44" t="str">
        <f>+_xlfn.XLOOKUP(PROYECTOS2[[#This Row],[MUNICIPIO]],'4.CAP_ENDMNT'!B:B,'4.CAP_ENDMNT'!Q:Q,0,0,1)</f>
        <v>Cumple</v>
      </c>
    </row>
    <row r="465" spans="1:36" ht="15" customHeight="1">
      <c r="A465" s="44">
        <v>494</v>
      </c>
      <c r="B465" s="37" t="s">
        <v>1055</v>
      </c>
      <c r="C465" s="118">
        <v>45747</v>
      </c>
      <c r="D465" s="46" t="s">
        <v>1064</v>
      </c>
      <c r="E465" s="47" t="str">
        <f>+_xlfn.XLOOKUP(PROYECTOS2[[#This Row],[MUNICIPIO]],MUNICIPIOS!A:A,MUNICIPIOS!E:E,0,0,1)</f>
        <v>Norte</v>
      </c>
      <c r="F465" s="44" t="e" cm="1">
        <f t="array" ref="F465">+_xlfn.XLOOKUP(PROYECTOS2[[#This Row],[MUNICIPIO]],Table1[Municipio],MUNICIPIOS!F:F,0,0,1)</f>
        <v>#VALUE!</v>
      </c>
      <c r="G465" s="47" t="str">
        <f>+LOOKUP(PROYECTOS2[[#This Row],[MUNICIPIO]],Table1[Municipio],Table1[Latitud])</f>
        <v>6,149903</v>
      </c>
      <c r="H465" s="47">
        <f>+LOOKUP(PROYECTOS2[[#This Row],[MUNICIPIO]],Table1[Municipio],Table1[PDET])</f>
        <v>0</v>
      </c>
      <c r="I465" s="45">
        <f>+LOOKUP(PROYECTOS2[[#This Row],[MUNICIPIO]],Table1[Municipio],Table1[ZOMAC])</f>
        <v>0</v>
      </c>
      <c r="J465" s="34" t="str" cm="1">
        <f t="array" ref="J465">_xlfn.TEXTJOIN(", ", TRUE, IF(radicados[ID PROYECTOS]=A465, radicados[RADICADO], ""))</f>
        <v/>
      </c>
      <c r="K465" s="9">
        <v>1</v>
      </c>
      <c r="L465" s="45"/>
      <c r="M465" s="144"/>
      <c r="N465" s="72"/>
      <c r="O465" s="147">
        <v>2782118631</v>
      </c>
      <c r="P465" s="147"/>
      <c r="Q465" s="148" t="s">
        <v>1068</v>
      </c>
      <c r="R465" s="42" t="s">
        <v>1072</v>
      </c>
      <c r="S465" s="40" t="s">
        <v>1079</v>
      </c>
      <c r="T465" s="40"/>
      <c r="U465" s="37" t="s">
        <v>1089</v>
      </c>
      <c r="V465" s="44">
        <f>+_xlfn.XLOOKUP(PROYECTOS2[[#This Row],[MUNICIPIO]],'4.CAP_ENDMNT'!B:B,'4.CAP_ENDMNT'!C:C,0,0,1)</f>
        <v>5</v>
      </c>
      <c r="W465" s="145">
        <f>+_xlfn.XLOOKUP(PROYECTOS2[[#This Row],[MUNICIPIO]],'4.CAP_ENDMNT'!B:B,'4.CAP_ENDMNT'!D:D,0,0,1)</f>
        <v>37911059539.454002</v>
      </c>
      <c r="X465" s="44">
        <f>+_xlfn.XLOOKUP(PROYECTOS2[[#This Row],[MUNICIPIO]],'4.CAP_ENDMNT'!B:B,'4.CAP_ENDMNT'!E:E,0,0,1)</f>
        <v>12962308085.960001</v>
      </c>
      <c r="Y465" s="44">
        <f>+_xlfn.XLOOKUP(PROYECTOS2[[#This Row],[MUNICIPIO]],'4.CAP_ENDMNT'!B:B,'4.CAP_ENDMNT'!F:F,0,0,1)</f>
        <v>24948751453.494003</v>
      </c>
      <c r="Z465" s="44">
        <f>+_xlfn.XLOOKUP(PROYECTOS2[[#This Row],[MUNICIPIO]],'4.CAP_ENDMNT'!B:B,'4.CAP_ENDMNT'!G:G,0,0,1)</f>
        <v>8258858552.8800001</v>
      </c>
      <c r="AA465" s="44">
        <f>+_xlfn.XLOOKUP(PROYECTOS2[[#This Row],[MUNICIPIO]],'4.CAP_ENDMNT'!B:B,'4.CAP_ENDMNT'!H:H,0,0,1)</f>
        <v>2659839682.1199999</v>
      </c>
      <c r="AB465" s="44">
        <f>+_xlfn.XLOOKUP(PROYECTOS2[[#This Row],[MUNICIPIO]],'4.CAP_ENDMNT'!B:B,'4.CAP_ENDMNT'!I:I,0,0,1)</f>
        <v>10918698235</v>
      </c>
      <c r="AC465" s="146">
        <f>+_xlfn.XLOOKUP(PROYECTOS2[[#This Row],[MUNICIPIO]],'4.CAP_ENDMNT'!B:B,'4.CAP_ENDMNT'!J:J,0,0,1)</f>
        <v>0.28800825847763295</v>
      </c>
      <c r="AD465" s="44">
        <f>+_xlfn.XLOOKUP(PROYECTOS2[[#This Row],[MUNICIPIO]],'4.CAP_ENDMNT'!B:B,'4.CAP_ENDMNT'!K:K,0,0,1)</f>
        <v>26992361304.454002</v>
      </c>
      <c r="AE465" s="44">
        <f>+_xlfn.XLOOKUP(PROYECTOS2[[#This Row],[MUNICIPIO]],'4.CAP_ENDMNT'!B:B,'4.CAP_ENDMNT'!L:L,0,0,1)</f>
        <v>21593889043.563202</v>
      </c>
      <c r="AF465" s="44">
        <f>+_xlfn.XLOOKUP(PROYECTOS2[[#This Row],[MUNICIPIO]],'4.CAP_ENDMNT'!B:B,'4.CAP_ENDMNT'!M:M,0,0,1)</f>
        <v>16195416782.672401</v>
      </c>
      <c r="AG465" s="146">
        <f>+_xlfn.XLOOKUP(PROYECTOS2[[#This Row],[MUNICIPIO]],'4.CAP_ENDMNT'!B:B,'4.CAP_ENDMNT'!N:N,0,0,1)</f>
        <v>0.75639589767268622</v>
      </c>
      <c r="AH465" s="146">
        <f>+_xlfn.XLOOKUP(PROYECTOS2[[#This Row],[MUNICIPIO]],'4.CAP_ENDMNT'!B:B,'4.CAP_ENDMNT'!O:O,0,0,1)</f>
        <v>0.52584208336367533</v>
      </c>
      <c r="AI465" s="146">
        <f>+_xlfn.XLOOKUP(PROYECTOS2[[#This Row],[MUNICIPIO]],'4.CAP_ENDMNT'!B:B,'4.CAP_ENDMNT'!P:P,0,0,1)</f>
        <v>0.8</v>
      </c>
      <c r="AJ465" s="44" t="str">
        <f>+_xlfn.XLOOKUP(PROYECTOS2[[#This Row],[MUNICIPIO]],'4.CAP_ENDMNT'!B:B,'4.CAP_ENDMNT'!Q:Q,0,0,1)</f>
        <v>Cumple</v>
      </c>
    </row>
    <row r="466" spans="1:36" ht="15" customHeight="1">
      <c r="A466" s="44">
        <v>495</v>
      </c>
      <c r="B466" s="37" t="s">
        <v>1056</v>
      </c>
      <c r="C466" s="118">
        <v>45747</v>
      </c>
      <c r="D466" s="46" t="s">
        <v>1065</v>
      </c>
      <c r="E466" s="47" t="str">
        <f>+_xlfn.XLOOKUP(PROYECTOS2[[#This Row],[MUNICIPIO]],MUNICIPIOS!A:A,MUNICIPIOS!E:E,0,0,1)</f>
        <v>Nordeste</v>
      </c>
      <c r="F466" s="44" t="e" cm="1">
        <f t="array" ref="F466">+_xlfn.XLOOKUP(PROYECTOS2[[#This Row],[MUNICIPIO]],Table1[Municipio],MUNICIPIOS!F:F,0,0,1)</f>
        <v>#VALUE!</v>
      </c>
      <c r="G466" s="47" t="str">
        <f>+LOOKUP(PROYECTOS2[[#This Row],[MUNICIPIO]],Table1[Municipio],Table1[Latitud])</f>
        <v>6,149903</v>
      </c>
      <c r="H466" s="47">
        <f>+LOOKUP(PROYECTOS2[[#This Row],[MUNICIPIO]],Table1[Municipio],Table1[PDET])</f>
        <v>0</v>
      </c>
      <c r="I466" s="45">
        <f>+LOOKUP(PROYECTOS2[[#This Row],[MUNICIPIO]],Table1[Municipio],Table1[ZOMAC])</f>
        <v>0</v>
      </c>
      <c r="J466" s="34" t="str" cm="1">
        <f t="array" ref="J466">_xlfn.TEXTJOIN(", ", TRUE, IF(radicados[ID PROYECTOS]=A466, radicados[RADICADO], ""))</f>
        <v/>
      </c>
      <c r="K466" s="9">
        <v>2</v>
      </c>
      <c r="L466" s="45"/>
      <c r="M466" s="144"/>
      <c r="N466" s="72"/>
      <c r="O466" s="147">
        <v>1974958700</v>
      </c>
      <c r="P466" s="147"/>
      <c r="Q466" s="148" t="s">
        <v>1068</v>
      </c>
      <c r="R466" s="42" t="s">
        <v>1072</v>
      </c>
      <c r="S466" s="40" t="s">
        <v>1079</v>
      </c>
      <c r="T466" s="40"/>
      <c r="U466" s="37" t="s">
        <v>1090</v>
      </c>
      <c r="V466" s="44">
        <f>+_xlfn.XLOOKUP(PROYECTOS2[[#This Row],[MUNICIPIO]],'4.CAP_ENDMNT'!B:B,'4.CAP_ENDMNT'!C:C,0,0,1)</f>
        <v>6</v>
      </c>
      <c r="W466" s="145">
        <f>+_xlfn.XLOOKUP(PROYECTOS2[[#This Row],[MUNICIPIO]],'4.CAP_ENDMNT'!B:B,'4.CAP_ENDMNT'!D:D,0,0,1)</f>
        <v>13645854382.4415</v>
      </c>
      <c r="X466" s="44">
        <f>+_xlfn.XLOOKUP(PROYECTOS2[[#This Row],[MUNICIPIO]],'4.CAP_ENDMNT'!B:B,'4.CAP_ENDMNT'!E:E,0,0,1)</f>
        <v>5036095672.2200003</v>
      </c>
      <c r="Y466" s="44">
        <f>+_xlfn.XLOOKUP(PROYECTOS2[[#This Row],[MUNICIPIO]],'4.CAP_ENDMNT'!B:B,'4.CAP_ENDMNT'!F:F,0,0,1)</f>
        <v>8609758710.2215004</v>
      </c>
      <c r="Z466" s="44">
        <f>+_xlfn.XLOOKUP(PROYECTOS2[[#This Row],[MUNICIPIO]],'4.CAP_ENDMNT'!B:B,'4.CAP_ENDMNT'!G:G,0,0,1)</f>
        <v>2357809963</v>
      </c>
      <c r="AA466" s="44">
        <f>+_xlfn.XLOOKUP(PROYECTOS2[[#This Row],[MUNICIPIO]],'4.CAP_ENDMNT'!B:B,'4.CAP_ENDMNT'!H:H,0,0,1)</f>
        <v>1093248488</v>
      </c>
      <c r="AB466" s="44">
        <f>+_xlfn.XLOOKUP(PROYECTOS2[[#This Row],[MUNICIPIO]],'4.CAP_ENDMNT'!B:B,'4.CAP_ENDMNT'!I:I,0,0,1)</f>
        <v>3451058451</v>
      </c>
      <c r="AC466" s="146">
        <f>+_xlfn.XLOOKUP(PROYECTOS2[[#This Row],[MUNICIPIO]],'4.CAP_ENDMNT'!B:B,'4.CAP_ENDMNT'!J:J,0,0,1)</f>
        <v>0.25290160324739891</v>
      </c>
      <c r="AD466" s="44">
        <f>+_xlfn.XLOOKUP(PROYECTOS2[[#This Row],[MUNICIPIO]],'4.CAP_ENDMNT'!B:B,'4.CAP_ENDMNT'!K:K,0,0,1)</f>
        <v>10194795931.4415</v>
      </c>
      <c r="AE466" s="44">
        <f>+_xlfn.XLOOKUP(PROYECTOS2[[#This Row],[MUNICIPIO]],'4.CAP_ENDMNT'!B:B,'4.CAP_ENDMNT'!L:L,0,0,1)</f>
        <v>8155836745.1532001</v>
      </c>
      <c r="AF466" s="44">
        <f>+_xlfn.XLOOKUP(PROYECTOS2[[#This Row],[MUNICIPIO]],'4.CAP_ENDMNT'!B:B,'4.CAP_ENDMNT'!M:M,0,0,1)</f>
        <v>6116877558.8648996</v>
      </c>
      <c r="AG466" s="146">
        <f>+_xlfn.XLOOKUP(PROYECTOS2[[#This Row],[MUNICIPIO]],'4.CAP_ENDMNT'!B:B,'4.CAP_ENDMNT'!N:N,0,0,1)</f>
        <v>0.68321356954032075</v>
      </c>
      <c r="AH466" s="146">
        <f>+_xlfn.XLOOKUP(PROYECTOS2[[#This Row],[MUNICIPIO]],'4.CAP_ENDMNT'!B:B,'4.CAP_ENDMNT'!O:O,0,0,1)</f>
        <v>0.58815143933117542</v>
      </c>
      <c r="AI466" s="146">
        <f>+_xlfn.XLOOKUP(PROYECTOS2[[#This Row],[MUNICIPIO]],'4.CAP_ENDMNT'!B:B,'4.CAP_ENDMNT'!P:P,0,0,1)</f>
        <v>0.8</v>
      </c>
      <c r="AJ466" s="44" t="str">
        <f>+_xlfn.XLOOKUP(PROYECTOS2[[#This Row],[MUNICIPIO]],'4.CAP_ENDMNT'!B:B,'4.CAP_ENDMNT'!Q:Q,0,0,1)</f>
        <v>Cumple</v>
      </c>
    </row>
    <row r="467" spans="1:36" ht="15" customHeight="1">
      <c r="A467" s="44">
        <v>496</v>
      </c>
      <c r="B467" s="37" t="s">
        <v>1057</v>
      </c>
      <c r="C467" s="118">
        <v>45747</v>
      </c>
      <c r="D467" s="46" t="s">
        <v>84</v>
      </c>
      <c r="E467" s="47" t="str">
        <f>+_xlfn.XLOOKUP(PROYECTOS2[[#This Row],[MUNICIPIO]],MUNICIPIOS!A:A,MUNICIPIOS!E:E,0,0,1)</f>
        <v>Oriente</v>
      </c>
      <c r="F467" s="44" t="e" cm="1">
        <f t="array" ref="F467">+_xlfn.XLOOKUP(PROYECTOS2[[#This Row],[MUNICIPIO]],Table1[Municipio],MUNICIPIOS!F:F,0,0,1)</f>
        <v>#VALUE!</v>
      </c>
      <c r="G467" s="47" t="str">
        <f>+LOOKUP(PROYECTOS2[[#This Row],[MUNICIPIO]],Table1[Municipio],Table1[Latitud])</f>
        <v>6,149903</v>
      </c>
      <c r="H467" s="47">
        <f>+LOOKUP(PROYECTOS2[[#This Row],[MUNICIPIO]],Table1[Municipio],Table1[PDET])</f>
        <v>0</v>
      </c>
      <c r="I467" s="45">
        <f>+LOOKUP(PROYECTOS2[[#This Row],[MUNICIPIO]],Table1[Municipio],Table1[ZOMAC])</f>
        <v>0</v>
      </c>
      <c r="J467" s="34" t="str" cm="1">
        <f t="array" ref="J467">_xlfn.TEXTJOIN(", ", TRUE, IF(radicados[ID PROYECTOS]=A467, radicados[RADICADO], ""))</f>
        <v/>
      </c>
      <c r="K467" s="45">
        <v>3</v>
      </c>
      <c r="L467" s="45"/>
      <c r="M467" s="144"/>
      <c r="N467" s="72"/>
      <c r="O467" s="147">
        <v>2081912066</v>
      </c>
      <c r="P467" s="147">
        <v>1601470820</v>
      </c>
      <c r="Q467" s="148" t="s">
        <v>1068</v>
      </c>
      <c r="R467" s="42" t="s">
        <v>1072</v>
      </c>
      <c r="S467" s="40" t="s">
        <v>1079</v>
      </c>
      <c r="T467" s="40"/>
      <c r="U467" s="37" t="s">
        <v>1090</v>
      </c>
      <c r="V467" s="44">
        <f>+_xlfn.XLOOKUP(PROYECTOS2[[#This Row],[MUNICIPIO]],'4.CAP_ENDMNT'!B:B,'4.CAP_ENDMNT'!C:C,0,0,1)</f>
        <v>5</v>
      </c>
      <c r="W467" s="145">
        <f>+_xlfn.XLOOKUP(PROYECTOS2[[#This Row],[MUNICIPIO]],'4.CAP_ENDMNT'!B:B,'4.CAP_ENDMNT'!D:D,0,0,1)</f>
        <v>35695767669.016502</v>
      </c>
      <c r="X467" s="44">
        <f>+_xlfn.XLOOKUP(PROYECTOS2[[#This Row],[MUNICIPIO]],'4.CAP_ENDMNT'!B:B,'4.CAP_ENDMNT'!E:E,0,0,1)</f>
        <v>13532488388.23</v>
      </c>
      <c r="Y467" s="44">
        <f>+_xlfn.XLOOKUP(PROYECTOS2[[#This Row],[MUNICIPIO]],'4.CAP_ENDMNT'!B:B,'4.CAP_ENDMNT'!F:F,0,0,1)</f>
        <v>22163279280.786503</v>
      </c>
      <c r="Z467" s="44">
        <f>+_xlfn.XLOOKUP(PROYECTOS2[[#This Row],[MUNICIPIO]],'4.CAP_ENDMNT'!B:B,'4.CAP_ENDMNT'!G:G,0,0,1)</f>
        <v>1067761948</v>
      </c>
      <c r="AA467" s="44">
        <f>+_xlfn.XLOOKUP(PROYECTOS2[[#This Row],[MUNICIPIO]],'4.CAP_ENDMNT'!B:B,'4.CAP_ENDMNT'!H:H,0,0,1)</f>
        <v>4932032890</v>
      </c>
      <c r="AB467" s="44">
        <f>+_xlfn.XLOOKUP(PROYECTOS2[[#This Row],[MUNICIPIO]],'4.CAP_ENDMNT'!B:B,'4.CAP_ENDMNT'!I:I,0,0,1)</f>
        <v>5999794838</v>
      </c>
      <c r="AC467" s="146">
        <f>+_xlfn.XLOOKUP(PROYECTOS2[[#This Row],[MUNICIPIO]],'4.CAP_ENDMNT'!B:B,'4.CAP_ENDMNT'!J:J,0,0,1)</f>
        <v>0.16808140655867587</v>
      </c>
      <c r="AD467" s="44">
        <f>+_xlfn.XLOOKUP(PROYECTOS2[[#This Row],[MUNICIPIO]],'4.CAP_ENDMNT'!B:B,'4.CAP_ENDMNT'!K:K,0,0,1)</f>
        <v>29695972831.016502</v>
      </c>
      <c r="AE467" s="44">
        <f>+_xlfn.XLOOKUP(PROYECTOS2[[#This Row],[MUNICIPIO]],'4.CAP_ENDMNT'!B:B,'4.CAP_ENDMNT'!L:L,0,0,1)</f>
        <v>23756778264.813202</v>
      </c>
      <c r="AF467" s="44">
        <f>+_xlfn.XLOOKUP(PROYECTOS2[[#This Row],[MUNICIPIO]],'4.CAP_ENDMNT'!B:B,'4.CAP_ENDMNT'!M:M,0,0,1)</f>
        <v>17817583698.609901</v>
      </c>
      <c r="AG467" s="146">
        <f>+_xlfn.XLOOKUP(PROYECTOS2[[#This Row],[MUNICIPIO]],'4.CAP_ENDMNT'!B:B,'4.CAP_ENDMNT'!N:N,0,0,1)</f>
        <v>0.17796640999076777</v>
      </c>
      <c r="AH467" s="146">
        <f>+_xlfn.XLOOKUP(PROYECTOS2[[#This Row],[MUNICIPIO]],'4.CAP_ENDMNT'!B:B,'4.CAP_ENDMNT'!O:O,0,0,1)</f>
        <v>0.4016729815979605</v>
      </c>
      <c r="AI467" s="146">
        <f>+_xlfn.XLOOKUP(PROYECTOS2[[#This Row],[MUNICIPIO]],'4.CAP_ENDMNT'!B:B,'4.CAP_ENDMNT'!P:P,0,0,1)</f>
        <v>0.8</v>
      </c>
      <c r="AJ467" s="44" t="str">
        <f>+_xlfn.XLOOKUP(PROYECTOS2[[#This Row],[MUNICIPIO]],'4.CAP_ENDMNT'!B:B,'4.CAP_ENDMNT'!Q:Q,0,0,1)</f>
        <v>Cumple</v>
      </c>
    </row>
    <row r="468" spans="1:36" ht="15" customHeight="1">
      <c r="A468" s="44">
        <v>497</v>
      </c>
      <c r="B468" s="37" t="s">
        <v>1058</v>
      </c>
      <c r="C468" s="118">
        <v>45747</v>
      </c>
      <c r="D468" s="46" t="s">
        <v>95</v>
      </c>
      <c r="E468" s="47" t="str">
        <f>+_xlfn.XLOOKUP(PROYECTOS2[[#This Row],[MUNICIPIO]],MUNICIPIOS!A:A,MUNICIPIOS!E:E,0,0,1)</f>
        <v>Occidente</v>
      </c>
      <c r="F468" s="44" t="e" cm="1">
        <f t="array" ref="F468">+_xlfn.XLOOKUP(PROYECTOS2[[#This Row],[MUNICIPIO]],Table1[Municipio],MUNICIPIOS!F:F,0,0,1)</f>
        <v>#VALUE!</v>
      </c>
      <c r="G468" s="47" t="str">
        <f>+LOOKUP(PROYECTOS2[[#This Row],[MUNICIPIO]],Table1[Municipio],Table1[Latitud])</f>
        <v>6,149903</v>
      </c>
      <c r="H468" s="47">
        <f>+LOOKUP(PROYECTOS2[[#This Row],[MUNICIPIO]],Table1[Municipio],Table1[PDET])</f>
        <v>0</v>
      </c>
      <c r="I468" s="45">
        <f>+LOOKUP(PROYECTOS2[[#This Row],[MUNICIPIO]],Table1[Municipio],Table1[ZOMAC])</f>
        <v>0</v>
      </c>
      <c r="J468" s="34" t="str" cm="1">
        <f t="array" ref="J468">_xlfn.TEXTJOIN(", ", TRUE, IF(radicados[ID PROYECTOS]=A468, radicados[RADICADO], ""))</f>
        <v/>
      </c>
      <c r="K468" s="9">
        <v>2</v>
      </c>
      <c r="L468" s="45"/>
      <c r="M468" s="144"/>
      <c r="N468" s="72"/>
      <c r="O468" s="147">
        <v>6600000000</v>
      </c>
      <c r="P468" s="147"/>
      <c r="Q468" s="148" t="s">
        <v>1068</v>
      </c>
      <c r="R468" s="151" t="s">
        <v>1077</v>
      </c>
      <c r="S468" s="40" t="s">
        <v>1079</v>
      </c>
      <c r="T468" s="40"/>
      <c r="U468" s="37" t="s">
        <v>1090</v>
      </c>
      <c r="V468" s="44">
        <f>+_xlfn.XLOOKUP(PROYECTOS2[[#This Row],[MUNICIPIO]],'4.CAP_ENDMNT'!B:B,'4.CAP_ENDMNT'!C:C,0,0,1)</f>
        <v>6</v>
      </c>
      <c r="W468" s="145">
        <f>+_xlfn.XLOOKUP(PROYECTOS2[[#This Row],[MUNICIPIO]],'4.CAP_ENDMNT'!B:B,'4.CAP_ENDMNT'!D:D,0,0,1)</f>
        <v>16347842057.745998</v>
      </c>
      <c r="X468" s="44">
        <f>+_xlfn.XLOOKUP(PROYECTOS2[[#This Row],[MUNICIPIO]],'4.CAP_ENDMNT'!B:B,'4.CAP_ENDMNT'!E:E,0,0,1)</f>
        <v>7901643157.3299999</v>
      </c>
      <c r="Y468" s="44">
        <f>+_xlfn.XLOOKUP(PROYECTOS2[[#This Row],[MUNICIPIO]],'4.CAP_ENDMNT'!B:B,'4.CAP_ENDMNT'!F:F,0,0,1)</f>
        <v>8446198900.4159985</v>
      </c>
      <c r="Z468" s="44">
        <f>+_xlfn.XLOOKUP(PROYECTOS2[[#This Row],[MUNICIPIO]],'4.CAP_ENDMNT'!B:B,'4.CAP_ENDMNT'!G:G,0,0,1)</f>
        <v>1620905965.8499999</v>
      </c>
      <c r="AA468" s="44">
        <f>+_xlfn.XLOOKUP(PROYECTOS2[[#This Row],[MUNICIPIO]],'4.CAP_ENDMNT'!B:B,'4.CAP_ENDMNT'!H:H,0,0,1)</f>
        <v>2416666620</v>
      </c>
      <c r="AB468" s="44">
        <f>+_xlfn.XLOOKUP(PROYECTOS2[[#This Row],[MUNICIPIO]],'4.CAP_ENDMNT'!B:B,'4.CAP_ENDMNT'!I:I,0,0,1)</f>
        <v>4037572585.8499999</v>
      </c>
      <c r="AC468" s="146">
        <f>+_xlfn.XLOOKUP(PROYECTOS2[[#This Row],[MUNICIPIO]],'4.CAP_ENDMNT'!B:B,'4.CAP_ENDMNT'!J:J,0,0,1)</f>
        <v>0.24697893285168493</v>
      </c>
      <c r="AD468" s="44">
        <f>+_xlfn.XLOOKUP(PROYECTOS2[[#This Row],[MUNICIPIO]],'4.CAP_ENDMNT'!B:B,'4.CAP_ENDMNT'!K:K,0,0,1)</f>
        <v>12310269471.895998</v>
      </c>
      <c r="AE468" s="44">
        <f>+_xlfn.XLOOKUP(PROYECTOS2[[#This Row],[MUNICIPIO]],'4.CAP_ENDMNT'!B:B,'4.CAP_ENDMNT'!L:L,0,0,1)</f>
        <v>9848215577.516798</v>
      </c>
      <c r="AF468" s="44">
        <f>+_xlfn.XLOOKUP(PROYECTOS2[[#This Row],[MUNICIPIO]],'4.CAP_ENDMNT'!B:B,'4.CAP_ENDMNT'!M:M,0,0,1)</f>
        <v>7386161683.137599</v>
      </c>
      <c r="AG468" s="146">
        <f>+_xlfn.XLOOKUP(PROYECTOS2[[#This Row],[MUNICIPIO]],'4.CAP_ENDMNT'!B:B,'4.CAP_ENDMNT'!N:N,0,0,1)</f>
        <v>0.40145556058375176</v>
      </c>
      <c r="AH468" s="146">
        <f>+_xlfn.XLOOKUP(PROYECTOS2[[#This Row],[MUNICIPIO]],'4.CAP_ENDMNT'!B:B,'4.CAP_ENDMNT'!O:O,0,0,1)</f>
        <v>0.5852153455768756</v>
      </c>
      <c r="AI468" s="146">
        <f>+_xlfn.XLOOKUP(PROYECTOS2[[#This Row],[MUNICIPIO]],'4.CAP_ENDMNT'!B:B,'4.CAP_ENDMNT'!P:P,0,0,1)</f>
        <v>0.8</v>
      </c>
      <c r="AJ468" s="44" t="str">
        <f>+_xlfn.XLOOKUP(PROYECTOS2[[#This Row],[MUNICIPIO]],'4.CAP_ENDMNT'!B:B,'4.CAP_ENDMNT'!Q:Q,0,0,1)</f>
        <v>Cumple</v>
      </c>
    </row>
    <row r="469" spans="1:36" ht="15" customHeight="1">
      <c r="A469" s="44">
        <v>498</v>
      </c>
      <c r="B469" s="37" t="s">
        <v>1059</v>
      </c>
      <c r="C469" s="118">
        <v>45747</v>
      </c>
      <c r="D469" s="46" t="s">
        <v>645</v>
      </c>
      <c r="E469" s="47" t="str">
        <f>+_xlfn.XLOOKUP(PROYECTOS2[[#This Row],[MUNICIPIO]],MUNICIPIOS!A:A,MUNICIPIOS!E:E,0,0,1)</f>
        <v>Nordeste</v>
      </c>
      <c r="F469" s="44" t="e" cm="1">
        <f t="array" ref="F469">+_xlfn.XLOOKUP(PROYECTOS2[[#This Row],[MUNICIPIO]],Table1[Municipio],MUNICIPIOS!F:F,0,0,1)</f>
        <v>#VALUE!</v>
      </c>
      <c r="G469" s="47" t="str">
        <f>+LOOKUP(PROYECTOS2[[#This Row],[MUNICIPIO]],Table1[Municipio],Table1[Latitud])</f>
        <v>6,149903</v>
      </c>
      <c r="H469" s="47">
        <f>+LOOKUP(PROYECTOS2[[#This Row],[MUNICIPIO]],Table1[Municipio],Table1[PDET])</f>
        <v>0</v>
      </c>
      <c r="I469" s="45">
        <f>+LOOKUP(PROYECTOS2[[#This Row],[MUNICIPIO]],Table1[Municipio],Table1[ZOMAC])</f>
        <v>0</v>
      </c>
      <c r="J469" s="34" t="str" cm="1">
        <f t="array" ref="J469">_xlfn.TEXTJOIN(", ", TRUE, IF(radicados[ID PROYECTOS]=A469, radicados[RADICADO], ""))</f>
        <v/>
      </c>
      <c r="K469" s="9">
        <v>1</v>
      </c>
      <c r="L469" s="45"/>
      <c r="M469" s="144"/>
      <c r="N469" s="72"/>
      <c r="O469" s="147">
        <v>650000000</v>
      </c>
      <c r="P469" s="147"/>
      <c r="Q469" s="148" t="s">
        <v>1068</v>
      </c>
      <c r="R469" s="42" t="s">
        <v>1072</v>
      </c>
      <c r="S469" s="40" t="s">
        <v>1079</v>
      </c>
      <c r="T469" s="40"/>
      <c r="U469" s="37" t="s">
        <v>1089</v>
      </c>
      <c r="V469" s="44">
        <f>+_xlfn.XLOOKUP(PROYECTOS2[[#This Row],[MUNICIPIO]],'4.CAP_ENDMNT'!B:B,'4.CAP_ENDMNT'!C:C,0,0,1)</f>
        <v>6</v>
      </c>
      <c r="W469" s="145">
        <f>+_xlfn.XLOOKUP(PROYECTOS2[[#This Row],[MUNICIPIO]],'4.CAP_ENDMNT'!B:B,'4.CAP_ENDMNT'!D:D,0,0,1)</f>
        <v>8242883516.8785</v>
      </c>
      <c r="X469" s="44">
        <f>+_xlfn.XLOOKUP(PROYECTOS2[[#This Row],[MUNICIPIO]],'4.CAP_ENDMNT'!B:B,'4.CAP_ENDMNT'!E:E,0,0,1)</f>
        <v>3016955550.77</v>
      </c>
      <c r="Y469" s="44">
        <f>+_xlfn.XLOOKUP(PROYECTOS2[[#This Row],[MUNICIPIO]],'4.CAP_ENDMNT'!B:B,'4.CAP_ENDMNT'!F:F,0,0,1)</f>
        <v>5225927966.1084995</v>
      </c>
      <c r="Z469" s="44">
        <f>+_xlfn.XLOOKUP(PROYECTOS2[[#This Row],[MUNICIPIO]],'4.CAP_ENDMNT'!B:B,'4.CAP_ENDMNT'!G:G,0,0,1)</f>
        <v>1780602025</v>
      </c>
      <c r="AA469" s="44">
        <f>+_xlfn.XLOOKUP(PROYECTOS2[[#This Row],[MUNICIPIO]],'4.CAP_ENDMNT'!B:B,'4.CAP_ENDMNT'!H:H,0,0,1)</f>
        <v>0</v>
      </c>
      <c r="AB469" s="44">
        <f>+_xlfn.XLOOKUP(PROYECTOS2[[#This Row],[MUNICIPIO]],'4.CAP_ENDMNT'!B:B,'4.CAP_ENDMNT'!I:I,0,0,1)</f>
        <v>1780602025</v>
      </c>
      <c r="AC469" s="146">
        <f>+_xlfn.XLOOKUP(PROYECTOS2[[#This Row],[MUNICIPIO]],'4.CAP_ENDMNT'!B:B,'4.CAP_ENDMNT'!J:J,0,0,1)</f>
        <v>0.2160168855175448</v>
      </c>
      <c r="AD469" s="44">
        <f>+_xlfn.XLOOKUP(PROYECTOS2[[#This Row],[MUNICIPIO]],'4.CAP_ENDMNT'!B:B,'4.CAP_ENDMNT'!K:K,0,0,1)</f>
        <v>6462281491.8785</v>
      </c>
      <c r="AE469" s="44">
        <f>+_xlfn.XLOOKUP(PROYECTOS2[[#This Row],[MUNICIPIO]],'4.CAP_ENDMNT'!B:B,'4.CAP_ENDMNT'!L:L,0,0,1)</f>
        <v>5169825193.5028</v>
      </c>
      <c r="AF469" s="44">
        <f>+_xlfn.XLOOKUP(PROYECTOS2[[#This Row],[MUNICIPIO]],'4.CAP_ENDMNT'!B:B,'4.CAP_ENDMNT'!M:M,0,0,1)</f>
        <v>3877368895.1271</v>
      </c>
      <c r="AG469" s="146">
        <f>+_xlfn.XLOOKUP(PROYECTOS2[[#This Row],[MUNICIPIO]],'4.CAP_ENDMNT'!B:B,'4.CAP_ENDMNT'!N:N,0,0,1)</f>
        <v>1</v>
      </c>
      <c r="AH469" s="146">
        <f>+_xlfn.XLOOKUP(PROYECTOS2[[#This Row],[MUNICIPIO]],'4.CAP_ENDMNT'!B:B,'4.CAP_ENDMNT'!O:O,0,0,1)</f>
        <v>0.64988265281416979</v>
      </c>
      <c r="AI469" s="146">
        <f>+_xlfn.XLOOKUP(PROYECTOS2[[#This Row],[MUNICIPIO]],'4.CAP_ENDMNT'!B:B,'4.CAP_ENDMNT'!P:P,0,0,1)</f>
        <v>0.8</v>
      </c>
      <c r="AJ469" s="44" t="str">
        <f>+_xlfn.XLOOKUP(PROYECTOS2[[#This Row],[MUNICIPIO]],'4.CAP_ENDMNT'!B:B,'4.CAP_ENDMNT'!Q:Q,0,0,1)</f>
        <v>Cumple</v>
      </c>
    </row>
    <row r="470" spans="1:36" ht="15" customHeight="1">
      <c r="A470" s="44">
        <v>499</v>
      </c>
      <c r="B470" s="37" t="s">
        <v>1060</v>
      </c>
      <c r="C470" s="118">
        <v>45747</v>
      </c>
      <c r="D470" s="46" t="s">
        <v>120</v>
      </c>
      <c r="E470" s="47" t="str">
        <f>+_xlfn.XLOOKUP(PROYECTOS2[[#This Row],[MUNICIPIO]],MUNICIPIOS!A:A,MUNICIPIOS!E:E,0,0,1)</f>
        <v>Norte</v>
      </c>
      <c r="F470" s="44" t="e" cm="1">
        <f t="array" ref="F470">+_xlfn.XLOOKUP(PROYECTOS2[[#This Row],[MUNICIPIO]],Table1[Municipio],MUNICIPIOS!F:F,0,0,1)</f>
        <v>#VALUE!</v>
      </c>
      <c r="G470" s="47" t="str">
        <f>+LOOKUP(PROYECTOS2[[#This Row],[MUNICIPIO]],Table1[Municipio],Table1[Latitud])</f>
        <v>6,149903</v>
      </c>
      <c r="H470" s="47">
        <f>+LOOKUP(PROYECTOS2[[#This Row],[MUNICIPIO]],Table1[Municipio],Table1[PDET])</f>
        <v>0</v>
      </c>
      <c r="I470" s="45">
        <f>+LOOKUP(PROYECTOS2[[#This Row],[MUNICIPIO]],Table1[Municipio],Table1[ZOMAC])</f>
        <v>0</v>
      </c>
      <c r="J470" s="34" t="str" cm="1">
        <f t="array" ref="J470">_xlfn.TEXTJOIN(", ", TRUE, IF(radicados[ID PROYECTOS]=A470, radicados[RADICADO], ""))</f>
        <v/>
      </c>
      <c r="K470" s="9">
        <v>1</v>
      </c>
      <c r="L470" s="45"/>
      <c r="M470" s="144"/>
      <c r="N470" s="72"/>
      <c r="O470" s="147">
        <v>1259701485</v>
      </c>
      <c r="P470" s="147"/>
      <c r="Q470" s="148" t="s">
        <v>1068</v>
      </c>
      <c r="R470" s="42" t="s">
        <v>1072</v>
      </c>
      <c r="S470" s="40" t="s">
        <v>1079</v>
      </c>
      <c r="T470" s="40"/>
      <c r="U470" s="37" t="s">
        <v>1089</v>
      </c>
      <c r="V470" s="44">
        <f>+_xlfn.XLOOKUP(PROYECTOS2[[#This Row],[MUNICIPIO]],'4.CAP_ENDMNT'!B:B,'4.CAP_ENDMNT'!C:C,0,0,1)</f>
        <v>5</v>
      </c>
      <c r="W470" s="145">
        <f>+_xlfn.XLOOKUP(PROYECTOS2[[#This Row],[MUNICIPIO]],'4.CAP_ENDMNT'!B:B,'4.CAP_ENDMNT'!D:D,0,0,1)</f>
        <v>36204719778.619003</v>
      </c>
      <c r="X470" s="44">
        <f>+_xlfn.XLOOKUP(PROYECTOS2[[#This Row],[MUNICIPIO]],'4.CAP_ENDMNT'!B:B,'4.CAP_ENDMNT'!E:E,0,0,1)</f>
        <v>11082623753.610001</v>
      </c>
      <c r="Y470" s="44">
        <f>+_xlfn.XLOOKUP(PROYECTOS2[[#This Row],[MUNICIPIO]],'4.CAP_ENDMNT'!B:B,'4.CAP_ENDMNT'!F:F,0,0,1)</f>
        <v>25122096025.009003</v>
      </c>
      <c r="Z470" s="44">
        <f>+_xlfn.XLOOKUP(PROYECTOS2[[#This Row],[MUNICIPIO]],'4.CAP_ENDMNT'!B:B,'4.CAP_ENDMNT'!G:G,0,0,1)</f>
        <v>1291156679</v>
      </c>
      <c r="AA470" s="44">
        <f>+_xlfn.XLOOKUP(PROYECTOS2[[#This Row],[MUNICIPIO]],'4.CAP_ENDMNT'!B:B,'4.CAP_ENDMNT'!H:H,0,0,1)</f>
        <v>12320355879.07</v>
      </c>
      <c r="AB470" s="44">
        <f>+_xlfn.XLOOKUP(PROYECTOS2[[#This Row],[MUNICIPIO]],'4.CAP_ENDMNT'!B:B,'4.CAP_ENDMNT'!I:I,0,0,1)</f>
        <v>13611512558.07</v>
      </c>
      <c r="AC470" s="146">
        <f>+_xlfn.XLOOKUP(PROYECTOS2[[#This Row],[MUNICIPIO]],'4.CAP_ENDMNT'!B:B,'4.CAP_ENDMNT'!J:J,0,0,1)</f>
        <v>0.37595961635113639</v>
      </c>
      <c r="AD470" s="44">
        <f>+_xlfn.XLOOKUP(PROYECTOS2[[#This Row],[MUNICIPIO]],'4.CAP_ENDMNT'!B:B,'4.CAP_ENDMNT'!K:K,0,0,1)</f>
        <v>22593207220.549004</v>
      </c>
      <c r="AE470" s="44">
        <f>+_xlfn.XLOOKUP(PROYECTOS2[[#This Row],[MUNICIPIO]],'4.CAP_ENDMNT'!B:B,'4.CAP_ENDMNT'!L:L,0,0,1)</f>
        <v>18074565776.439205</v>
      </c>
      <c r="AF470" s="44">
        <f>+_xlfn.XLOOKUP(PROYECTOS2[[#This Row],[MUNICIPIO]],'4.CAP_ENDMNT'!B:B,'4.CAP_ENDMNT'!M:M,0,0,1)</f>
        <v>13555924332.329401</v>
      </c>
      <c r="AG470" s="146">
        <f>+_xlfn.XLOOKUP(PROYECTOS2[[#This Row],[MUNICIPIO]],'4.CAP_ENDMNT'!B:B,'4.CAP_ENDMNT'!N:N,0,0,1)</f>
        <v>9.4857692963336279E-2</v>
      </c>
      <c r="AH470" s="146">
        <f>+_xlfn.XLOOKUP(PROYECTOS2[[#This Row],[MUNICIPIO]],'4.CAP_ENDMNT'!B:B,'4.CAP_ENDMNT'!O:O,0,0,1)</f>
        <v>0.39053077044629697</v>
      </c>
      <c r="AI470" s="146">
        <f>+_xlfn.XLOOKUP(PROYECTOS2[[#This Row],[MUNICIPIO]],'4.CAP_ENDMNT'!B:B,'4.CAP_ENDMNT'!P:P,0,0,1)</f>
        <v>0.8</v>
      </c>
      <c r="AJ470" s="44" t="str">
        <f>+_xlfn.XLOOKUP(PROYECTOS2[[#This Row],[MUNICIPIO]],'4.CAP_ENDMNT'!B:B,'4.CAP_ENDMNT'!Q:Q,0,0,1)</f>
        <v>Cumple</v>
      </c>
    </row>
    <row r="471" spans="1:36" ht="15" customHeight="1">
      <c r="A471" s="44">
        <v>500</v>
      </c>
      <c r="B471" s="37" t="s">
        <v>1061</v>
      </c>
      <c r="C471" s="118">
        <v>45747</v>
      </c>
      <c r="D471" s="46" t="s">
        <v>120</v>
      </c>
      <c r="E471" s="47" t="str">
        <f>+_xlfn.XLOOKUP(PROYECTOS2[[#This Row],[MUNICIPIO]],MUNICIPIOS!A:A,MUNICIPIOS!E:E,0,0,1)</f>
        <v>Norte</v>
      </c>
      <c r="F471" s="44" t="e" cm="1">
        <f t="array" ref="F471">+_xlfn.XLOOKUP(PROYECTOS2[[#This Row],[MUNICIPIO]],Table1[Municipio],MUNICIPIOS!F:F,0,0,1)</f>
        <v>#VALUE!</v>
      </c>
      <c r="G471" s="47" t="str">
        <f>+LOOKUP(PROYECTOS2[[#This Row],[MUNICIPIO]],Table1[Municipio],Table1[Latitud])</f>
        <v>6,149903</v>
      </c>
      <c r="H471" s="47">
        <f>+LOOKUP(PROYECTOS2[[#This Row],[MUNICIPIO]],Table1[Municipio],Table1[PDET])</f>
        <v>0</v>
      </c>
      <c r="I471" s="45">
        <f>+LOOKUP(PROYECTOS2[[#This Row],[MUNICIPIO]],Table1[Municipio],Table1[ZOMAC])</f>
        <v>0</v>
      </c>
      <c r="J471" s="34" t="str" cm="1">
        <f t="array" ref="J471">_xlfn.TEXTJOIN(", ", TRUE, IF(radicados[ID PROYECTOS]=A471, radicados[RADICADO], ""))</f>
        <v/>
      </c>
      <c r="K471" s="9">
        <v>1</v>
      </c>
      <c r="L471" s="45"/>
      <c r="M471" s="144"/>
      <c r="N471" s="72"/>
      <c r="O471" s="147">
        <v>1500000000</v>
      </c>
      <c r="P471" s="147"/>
      <c r="Q471" s="148" t="s">
        <v>1068</v>
      </c>
      <c r="R471" s="42" t="s">
        <v>1072</v>
      </c>
      <c r="S471" s="40" t="s">
        <v>1079</v>
      </c>
      <c r="T471" s="40"/>
      <c r="U471" s="37" t="s">
        <v>1089</v>
      </c>
      <c r="V471" s="44">
        <f>+_xlfn.XLOOKUP(PROYECTOS2[[#This Row],[MUNICIPIO]],'4.CAP_ENDMNT'!B:B,'4.CAP_ENDMNT'!C:C,0,0,1)</f>
        <v>5</v>
      </c>
      <c r="W471" s="145">
        <f>+_xlfn.XLOOKUP(PROYECTOS2[[#This Row],[MUNICIPIO]],'4.CAP_ENDMNT'!B:B,'4.CAP_ENDMNT'!D:D,0,0,1)</f>
        <v>36204719778.619003</v>
      </c>
      <c r="X471" s="44">
        <f>+_xlfn.XLOOKUP(PROYECTOS2[[#This Row],[MUNICIPIO]],'4.CAP_ENDMNT'!B:B,'4.CAP_ENDMNT'!E:E,0,0,1)</f>
        <v>11082623753.610001</v>
      </c>
      <c r="Y471" s="44">
        <f>+_xlfn.XLOOKUP(PROYECTOS2[[#This Row],[MUNICIPIO]],'4.CAP_ENDMNT'!B:B,'4.CAP_ENDMNT'!F:F,0,0,1)</f>
        <v>25122096025.009003</v>
      </c>
      <c r="Z471" s="44">
        <f>+_xlfn.XLOOKUP(PROYECTOS2[[#This Row],[MUNICIPIO]],'4.CAP_ENDMNT'!B:B,'4.CAP_ENDMNT'!G:G,0,0,1)</f>
        <v>1291156679</v>
      </c>
      <c r="AA471" s="44">
        <f>+_xlfn.XLOOKUP(PROYECTOS2[[#This Row],[MUNICIPIO]],'4.CAP_ENDMNT'!B:B,'4.CAP_ENDMNT'!H:H,0,0,1)</f>
        <v>12320355879.07</v>
      </c>
      <c r="AB471" s="44">
        <f>+_xlfn.XLOOKUP(PROYECTOS2[[#This Row],[MUNICIPIO]],'4.CAP_ENDMNT'!B:B,'4.CAP_ENDMNT'!I:I,0,0,1)</f>
        <v>13611512558.07</v>
      </c>
      <c r="AC471" s="146">
        <f>+_xlfn.XLOOKUP(PROYECTOS2[[#This Row],[MUNICIPIO]],'4.CAP_ENDMNT'!B:B,'4.CAP_ENDMNT'!J:J,0,0,1)</f>
        <v>0.37595961635113639</v>
      </c>
      <c r="AD471" s="44">
        <f>+_xlfn.XLOOKUP(PROYECTOS2[[#This Row],[MUNICIPIO]],'4.CAP_ENDMNT'!B:B,'4.CAP_ENDMNT'!K:K,0,0,1)</f>
        <v>22593207220.549004</v>
      </c>
      <c r="AE471" s="44">
        <f>+_xlfn.XLOOKUP(PROYECTOS2[[#This Row],[MUNICIPIO]],'4.CAP_ENDMNT'!B:B,'4.CAP_ENDMNT'!L:L,0,0,1)</f>
        <v>18074565776.439205</v>
      </c>
      <c r="AF471" s="44">
        <f>+_xlfn.XLOOKUP(PROYECTOS2[[#This Row],[MUNICIPIO]],'4.CAP_ENDMNT'!B:B,'4.CAP_ENDMNT'!M:M,0,0,1)</f>
        <v>13555924332.329401</v>
      </c>
      <c r="AG471" s="146">
        <f>+_xlfn.XLOOKUP(PROYECTOS2[[#This Row],[MUNICIPIO]],'4.CAP_ENDMNT'!B:B,'4.CAP_ENDMNT'!N:N,0,0,1)</f>
        <v>9.4857692963336279E-2</v>
      </c>
      <c r="AH471" s="146">
        <f>+_xlfn.XLOOKUP(PROYECTOS2[[#This Row],[MUNICIPIO]],'4.CAP_ENDMNT'!B:B,'4.CAP_ENDMNT'!O:O,0,0,1)</f>
        <v>0.39053077044629697</v>
      </c>
      <c r="AI471" s="146">
        <f>+_xlfn.XLOOKUP(PROYECTOS2[[#This Row],[MUNICIPIO]],'4.CAP_ENDMNT'!B:B,'4.CAP_ENDMNT'!P:P,0,0,1)</f>
        <v>0.8</v>
      </c>
      <c r="AJ471" s="44" t="str">
        <f>+_xlfn.XLOOKUP(PROYECTOS2[[#This Row],[MUNICIPIO]],'4.CAP_ENDMNT'!B:B,'4.CAP_ENDMNT'!Q:Q,0,0,1)</f>
        <v>Cumple</v>
      </c>
    </row>
    <row r="472" spans="1:36" ht="15" customHeight="1">
      <c r="A472" s="44">
        <v>501</v>
      </c>
      <c r="B472" s="37" t="s">
        <v>1110</v>
      </c>
      <c r="C472" s="118">
        <f>+_xlfn.XLOOKUP(PROYECTOS2[[#This Row],[ID_NECESIDAD]],'1.RADICADOS'!G:G,'1.RADICADOS'!C:C,0,0,1)*1</f>
        <v>45742</v>
      </c>
      <c r="D472" s="46" t="s">
        <v>63</v>
      </c>
      <c r="E472" s="47" t="str">
        <f>+_xlfn.XLOOKUP(PROYECTOS2[[#This Row],[MUNICIPIO]],MUNICIPIOS!A:A,MUNICIPIOS!E:E,0,0,1)</f>
        <v>Urabá</v>
      </c>
      <c r="F472" s="44" t="e" cm="1">
        <f t="array" ref="F472">+_xlfn.XLOOKUP(PROYECTOS2[[#This Row],[MUNICIPIO]],Table1[Municipio],MUNICIPIOS!F:F,0,0,1)</f>
        <v>#VALUE!</v>
      </c>
      <c r="G472" s="47" t="str">
        <f>+LOOKUP(PROYECTOS2[[#This Row],[MUNICIPIO]],Table1[Municipio],Table1[Latitud])</f>
        <v>6,149903</v>
      </c>
      <c r="H472" s="47">
        <f>+LOOKUP(PROYECTOS2[[#This Row],[MUNICIPIO]],Table1[Municipio],Table1[PDET])</f>
        <v>0</v>
      </c>
      <c r="I472" s="45">
        <f>+LOOKUP(PROYECTOS2[[#This Row],[MUNICIPIO]],Table1[Municipio],Table1[ZOMAC])</f>
        <v>0</v>
      </c>
      <c r="J472" s="34" t="str" cm="1">
        <f t="array" ref="J472">_xlfn.TEXTJOIN(", ", TRUE, IF(radicados[ID PROYECTOS]=A472, radicados[RADICADO], ""))</f>
        <v>2025010138651</v>
      </c>
      <c r="K472" s="45">
        <v>3</v>
      </c>
      <c r="L472" s="45"/>
      <c r="M472" s="50"/>
      <c r="N472" s="147">
        <v>5076162496</v>
      </c>
      <c r="O472" s="147"/>
      <c r="P472" s="123"/>
      <c r="Q472" s="152" t="s">
        <v>1067</v>
      </c>
      <c r="R472" s="34" t="s">
        <v>288</v>
      </c>
      <c r="S472" s="40" t="s">
        <v>398</v>
      </c>
      <c r="T472" s="40" t="s">
        <v>25</v>
      </c>
      <c r="U472" s="37"/>
      <c r="V472" s="44">
        <f>+_xlfn.XLOOKUP(PROYECTOS2[[#This Row],[MUNICIPIO]],'4.CAP_ENDMNT'!B:B,'4.CAP_ENDMNT'!C:C,0,0,1)</f>
        <v>6</v>
      </c>
      <c r="W472" s="139">
        <f>+_xlfn.XLOOKUP(PROYECTOS2[[#This Row],[MUNICIPIO]],'4.CAP_ENDMNT'!B:B,'4.CAP_ENDMNT'!D:D,0,0,1)</f>
        <v>19508372714.52</v>
      </c>
      <c r="X472" s="44">
        <f>+_xlfn.XLOOKUP(PROYECTOS2[[#This Row],[MUNICIPIO]],'4.CAP_ENDMNT'!B:B,'4.CAP_ENDMNT'!E:E,0,0,1)</f>
        <v>5389834315.5</v>
      </c>
      <c r="Y472" s="44">
        <f>+_xlfn.XLOOKUP(PROYECTOS2[[#This Row],[MUNICIPIO]],'4.CAP_ENDMNT'!B:B,'4.CAP_ENDMNT'!F:F,0,0,1)</f>
        <v>14118538399.02</v>
      </c>
      <c r="Z472" s="44">
        <f>+_xlfn.XLOOKUP(PROYECTOS2[[#This Row],[MUNICIPIO]],'4.CAP_ENDMNT'!B:B,'4.CAP_ENDMNT'!G:G,0,0,1)</f>
        <v>2594281047</v>
      </c>
      <c r="AA472" s="44">
        <f>+_xlfn.XLOOKUP(PROYECTOS2[[#This Row],[MUNICIPIO]],'4.CAP_ENDMNT'!B:B,'4.CAP_ENDMNT'!H:H,0,0,1)</f>
        <v>1833333333</v>
      </c>
      <c r="AB472" s="44">
        <f>+_xlfn.XLOOKUP(PROYECTOS2[[#This Row],[MUNICIPIO]],'4.CAP_ENDMNT'!B:B,'4.CAP_ENDMNT'!I:I,0,0,1)</f>
        <v>4427614380</v>
      </c>
      <c r="AC472" s="134">
        <f>+_xlfn.XLOOKUP(PROYECTOS2[[#This Row],[MUNICIPIO]],'4.CAP_ENDMNT'!B:B,'4.CAP_ENDMNT'!J:J,0,0,1)</f>
        <v>0.22695969801235882</v>
      </c>
      <c r="AD472" s="44">
        <f>+_xlfn.XLOOKUP(PROYECTOS2[[#This Row],[MUNICIPIO]],'4.CAP_ENDMNT'!B:B,'4.CAP_ENDMNT'!K:K,0,0,1)</f>
        <v>15080758334.52</v>
      </c>
      <c r="AE472" s="44">
        <f>+_xlfn.XLOOKUP(PROYECTOS2[[#This Row],[MUNICIPIO]],'4.CAP_ENDMNT'!B:B,'4.CAP_ENDMNT'!L:L,0,0,1)</f>
        <v>12064606667.616001</v>
      </c>
      <c r="AF472" s="44">
        <f>+_xlfn.XLOOKUP(PROYECTOS2[[#This Row],[MUNICIPIO]],'4.CAP_ENDMNT'!B:B,'4.CAP_ENDMNT'!M:M,0,0,1)</f>
        <v>9048455000.7119999</v>
      </c>
      <c r="AG472" s="134">
        <f>+_xlfn.XLOOKUP(PROYECTOS2[[#This Row],[MUNICIPIO]],'4.CAP_ENDMNT'!B:B,'4.CAP_ENDMNT'!N:N,0,0,1)</f>
        <v>0.58593202215591322</v>
      </c>
      <c r="AH472" s="134">
        <f>+_xlfn.XLOOKUP(PROYECTOS2[[#This Row],[MUNICIPIO]],'4.CAP_ENDMNT'!B:B,'4.CAP_ENDMNT'!O:O,0,0,1)</f>
        <v>0.58851112900500024</v>
      </c>
      <c r="AI472" s="134">
        <f>+_xlfn.XLOOKUP(PROYECTOS2[[#This Row],[MUNICIPIO]],'4.CAP_ENDMNT'!B:B,'4.CAP_ENDMNT'!P:P,0,0,1)</f>
        <v>0.8</v>
      </c>
      <c r="AJ472" s="44" t="str">
        <f>+_xlfn.XLOOKUP(PROYECTOS2[[#This Row],[MUNICIPIO]],'4.CAP_ENDMNT'!B:B,'4.CAP_ENDMNT'!Q:Q,0,0,1)</f>
        <v>Cumple</v>
      </c>
    </row>
    <row r="473" spans="1:36" ht="15" customHeight="1">
      <c r="A473" s="44">
        <v>502</v>
      </c>
      <c r="B473" s="153" t="s">
        <v>1121</v>
      </c>
      <c r="C473" s="118">
        <v>45747</v>
      </c>
      <c r="D473" s="46" t="s">
        <v>191</v>
      </c>
      <c r="E473" s="47" t="str">
        <f>+_xlfn.XLOOKUP(PROYECTOS2[[#This Row],[MUNICIPIO]],MUNICIPIOS!A:A,MUNICIPIOS!E:E,0,0,1)</f>
        <v>Bajo Cauca</v>
      </c>
      <c r="F473" s="44" t="e" cm="1">
        <f t="array" ref="F473">+_xlfn.XLOOKUP(PROYECTOS2[[#This Row],[MUNICIPIO]],Table1[Municipio],MUNICIPIOS!F:F,0,0,1)</f>
        <v>#VALUE!</v>
      </c>
      <c r="G473" s="47" t="str">
        <f>+LOOKUP(PROYECTOS2[[#This Row],[MUNICIPIO]],Table1[Municipio],Table1[Latitud])</f>
        <v>7,074703</v>
      </c>
      <c r="H473" s="47">
        <f>+LOOKUP(PROYECTOS2[[#This Row],[MUNICIPIO]],Table1[Municipio],Table1[PDET])</f>
        <v>1</v>
      </c>
      <c r="I473" s="45">
        <f>+LOOKUP(PROYECTOS2[[#This Row],[MUNICIPIO]],Table1[Municipio],Table1[ZOMAC])</f>
        <v>1</v>
      </c>
      <c r="J473" s="34" t="str" cm="1">
        <f t="array" ref="J473">_xlfn.TEXTJOIN(", ", TRUE, IF(radicados[ID PROYECTOS]=A473, radicados[RADICADO], ""))</f>
        <v/>
      </c>
      <c r="K473" s="45">
        <v>1</v>
      </c>
      <c r="L473" s="45"/>
      <c r="M473" s="144"/>
      <c r="N473" s="72"/>
      <c r="O473" s="147">
        <v>997715387</v>
      </c>
      <c r="P473" s="155"/>
      <c r="Q473" s="148" t="s">
        <v>1068</v>
      </c>
      <c r="R473" s="42" t="s">
        <v>1072</v>
      </c>
      <c r="S473" s="40" t="s">
        <v>1079</v>
      </c>
      <c r="T473" s="40"/>
      <c r="U473" s="37" t="s">
        <v>1089</v>
      </c>
      <c r="V473" s="44">
        <f>+_xlfn.XLOOKUP(PROYECTOS2[[#This Row],[MUNICIPIO]],'4.CAP_ENDMNT'!B:B,'4.CAP_ENDMNT'!C:C,0,0,1)</f>
        <v>6</v>
      </c>
      <c r="W473" s="145">
        <f>+_xlfn.XLOOKUP(PROYECTOS2[[#This Row],[MUNICIPIO]],'4.CAP_ENDMNT'!B:B,'4.CAP_ENDMNT'!D:D,0,0,1)</f>
        <v>16341381522.362501</v>
      </c>
      <c r="X473" s="44">
        <f>+_xlfn.XLOOKUP(PROYECTOS2[[#This Row],[MUNICIPIO]],'4.CAP_ENDMNT'!B:B,'4.CAP_ENDMNT'!E:E,0,0,1)</f>
        <v>6183321664.5100002</v>
      </c>
      <c r="Y473" s="44">
        <f>+_xlfn.XLOOKUP(PROYECTOS2[[#This Row],[MUNICIPIO]],'4.CAP_ENDMNT'!B:B,'4.CAP_ENDMNT'!F:F,0,0,1)</f>
        <v>10158059857.852501</v>
      </c>
      <c r="Z473" s="44">
        <f>+_xlfn.XLOOKUP(PROYECTOS2[[#This Row],[MUNICIPIO]],'4.CAP_ENDMNT'!B:B,'4.CAP_ENDMNT'!G:G,0,0,1)</f>
        <v>3504148016</v>
      </c>
      <c r="AA473" s="44">
        <f>+_xlfn.XLOOKUP(PROYECTOS2[[#This Row],[MUNICIPIO]],'4.CAP_ENDMNT'!B:B,'4.CAP_ENDMNT'!H:H,0,0,1)</f>
        <v>5476192157</v>
      </c>
      <c r="AB473" s="44">
        <f>+_xlfn.XLOOKUP(PROYECTOS2[[#This Row],[MUNICIPIO]],'4.CAP_ENDMNT'!B:B,'4.CAP_ENDMNT'!I:I,0,0,1)</f>
        <v>8980340173</v>
      </c>
      <c r="AC473" s="146">
        <f>+_xlfn.XLOOKUP(PROYECTOS2[[#This Row],[MUNICIPIO]],'4.CAP_ENDMNT'!B:B,'4.CAP_ENDMNT'!J:J,0,0,1)</f>
        <v>0.54954595856603539</v>
      </c>
      <c r="AD473" s="44">
        <f>+_xlfn.XLOOKUP(PROYECTOS2[[#This Row],[MUNICIPIO]],'4.CAP_ENDMNT'!B:B,'4.CAP_ENDMNT'!K:K,0,0,1)</f>
        <v>7361041349.3625011</v>
      </c>
      <c r="AE473" s="44">
        <f>+_xlfn.XLOOKUP(PROYECTOS2[[#This Row],[MUNICIPIO]],'4.CAP_ENDMNT'!B:B,'4.CAP_ENDMNT'!L:L,0,0,1)</f>
        <v>5888833079.4900017</v>
      </c>
      <c r="AF473" s="44">
        <f>+_xlfn.XLOOKUP(PROYECTOS2[[#This Row],[MUNICIPIO]],'4.CAP_ENDMNT'!B:B,'4.CAP_ENDMNT'!M:M,0,0,1)</f>
        <v>4416624809.6175003</v>
      </c>
      <c r="AG473" s="146">
        <f>+_xlfn.XLOOKUP(PROYECTOS2[[#This Row],[MUNICIPIO]],'4.CAP_ENDMNT'!B:B,'4.CAP_ENDMNT'!N:N,0,0,1)</f>
        <v>0.39020214696715588</v>
      </c>
      <c r="AH473" s="146">
        <f>+_xlfn.XLOOKUP(PROYECTOS2[[#This Row],[MUNICIPIO]],'4.CAP_ENDMNT'!B:B,'4.CAP_ENDMNT'!O:O,0,0,1)</f>
        <v>0.6661172152696142</v>
      </c>
      <c r="AI473" s="146">
        <f>+_xlfn.XLOOKUP(PROYECTOS2[[#This Row],[MUNICIPIO]],'4.CAP_ENDMNT'!B:B,'4.CAP_ENDMNT'!P:P,0,0,1)</f>
        <v>0.8</v>
      </c>
      <c r="AJ473" s="44" t="str">
        <f>+_xlfn.XLOOKUP(PROYECTOS2[[#This Row],[MUNICIPIO]],'4.CAP_ENDMNT'!B:B,'4.CAP_ENDMNT'!Q:Q,0,0,1)</f>
        <v>Cumple</v>
      </c>
    </row>
    <row r="474" spans="1:36" ht="15" customHeight="1">
      <c r="A474" s="44">
        <v>503</v>
      </c>
      <c r="B474" s="153" t="s">
        <v>1122</v>
      </c>
      <c r="C474" s="118">
        <v>45747</v>
      </c>
      <c r="D474" s="46" t="s">
        <v>191</v>
      </c>
      <c r="E474" s="47" t="str">
        <f>+_xlfn.XLOOKUP(PROYECTOS2[[#This Row],[MUNICIPIO]],MUNICIPIOS!A:A,MUNICIPIOS!E:E,0,0,1)</f>
        <v>Bajo Cauca</v>
      </c>
      <c r="F474" s="44" t="e" cm="1">
        <f t="array" ref="F474">+_xlfn.XLOOKUP(PROYECTOS2[[#This Row],[MUNICIPIO]],Table1[Municipio],MUNICIPIOS!F:F,0,0,1)</f>
        <v>#VALUE!</v>
      </c>
      <c r="G474" s="47" t="str">
        <f>+LOOKUP(PROYECTOS2[[#This Row],[MUNICIPIO]],Table1[Municipio],Table1[Latitud])</f>
        <v>7,074703</v>
      </c>
      <c r="H474" s="47">
        <f>+LOOKUP(PROYECTOS2[[#This Row],[MUNICIPIO]],Table1[Municipio],Table1[PDET])</f>
        <v>1</v>
      </c>
      <c r="I474" s="45">
        <f>+LOOKUP(PROYECTOS2[[#This Row],[MUNICIPIO]],Table1[Municipio],Table1[ZOMAC])</f>
        <v>1</v>
      </c>
      <c r="J474" s="34" t="str" cm="1">
        <f t="array" ref="J474">_xlfn.TEXTJOIN(", ", TRUE, IF(radicados[ID PROYECTOS]=A474, radicados[RADICADO], ""))</f>
        <v/>
      </c>
      <c r="K474" s="45">
        <v>1</v>
      </c>
      <c r="L474" s="45"/>
      <c r="M474" s="144"/>
      <c r="N474" s="72"/>
      <c r="O474" s="147">
        <v>2980303337</v>
      </c>
      <c r="P474" s="155"/>
      <c r="Q474" s="148" t="s">
        <v>1068</v>
      </c>
      <c r="R474" s="42" t="s">
        <v>1072</v>
      </c>
      <c r="S474" s="40" t="s">
        <v>1079</v>
      </c>
      <c r="T474" s="40"/>
      <c r="U474" s="37" t="s">
        <v>1089</v>
      </c>
      <c r="V474" s="44">
        <f>+_xlfn.XLOOKUP(PROYECTOS2[[#This Row],[MUNICIPIO]],'4.CAP_ENDMNT'!B:B,'4.CAP_ENDMNT'!C:C,0,0,1)</f>
        <v>6</v>
      </c>
      <c r="W474" s="145">
        <f>+_xlfn.XLOOKUP(PROYECTOS2[[#This Row],[MUNICIPIO]],'4.CAP_ENDMNT'!B:B,'4.CAP_ENDMNT'!D:D,0,0,1)</f>
        <v>16341381522.362501</v>
      </c>
      <c r="X474" s="44">
        <f>+_xlfn.XLOOKUP(PROYECTOS2[[#This Row],[MUNICIPIO]],'4.CAP_ENDMNT'!B:B,'4.CAP_ENDMNT'!E:E,0,0,1)</f>
        <v>6183321664.5100002</v>
      </c>
      <c r="Y474" s="44">
        <f>+_xlfn.XLOOKUP(PROYECTOS2[[#This Row],[MUNICIPIO]],'4.CAP_ENDMNT'!B:B,'4.CAP_ENDMNT'!F:F,0,0,1)</f>
        <v>10158059857.852501</v>
      </c>
      <c r="Z474" s="44">
        <f>+_xlfn.XLOOKUP(PROYECTOS2[[#This Row],[MUNICIPIO]],'4.CAP_ENDMNT'!B:B,'4.CAP_ENDMNT'!G:G,0,0,1)</f>
        <v>3504148016</v>
      </c>
      <c r="AA474" s="44">
        <f>+_xlfn.XLOOKUP(PROYECTOS2[[#This Row],[MUNICIPIO]],'4.CAP_ENDMNT'!B:B,'4.CAP_ENDMNT'!H:H,0,0,1)</f>
        <v>5476192157</v>
      </c>
      <c r="AB474" s="44">
        <f>+_xlfn.XLOOKUP(PROYECTOS2[[#This Row],[MUNICIPIO]],'4.CAP_ENDMNT'!B:B,'4.CAP_ENDMNT'!I:I,0,0,1)</f>
        <v>8980340173</v>
      </c>
      <c r="AC474" s="146">
        <f>+_xlfn.XLOOKUP(PROYECTOS2[[#This Row],[MUNICIPIO]],'4.CAP_ENDMNT'!B:B,'4.CAP_ENDMNT'!J:J,0,0,1)</f>
        <v>0.54954595856603539</v>
      </c>
      <c r="AD474" s="44">
        <f>+_xlfn.XLOOKUP(PROYECTOS2[[#This Row],[MUNICIPIO]],'4.CAP_ENDMNT'!B:B,'4.CAP_ENDMNT'!K:K,0,0,1)</f>
        <v>7361041349.3625011</v>
      </c>
      <c r="AE474" s="44">
        <f>+_xlfn.XLOOKUP(PROYECTOS2[[#This Row],[MUNICIPIO]],'4.CAP_ENDMNT'!B:B,'4.CAP_ENDMNT'!L:L,0,0,1)</f>
        <v>5888833079.4900017</v>
      </c>
      <c r="AF474" s="44">
        <f>+_xlfn.XLOOKUP(PROYECTOS2[[#This Row],[MUNICIPIO]],'4.CAP_ENDMNT'!B:B,'4.CAP_ENDMNT'!M:M,0,0,1)</f>
        <v>4416624809.6175003</v>
      </c>
      <c r="AG474" s="146">
        <f>+_xlfn.XLOOKUP(PROYECTOS2[[#This Row],[MUNICIPIO]],'4.CAP_ENDMNT'!B:B,'4.CAP_ENDMNT'!N:N,0,0,1)</f>
        <v>0.39020214696715588</v>
      </c>
      <c r="AH474" s="146">
        <f>+_xlfn.XLOOKUP(PROYECTOS2[[#This Row],[MUNICIPIO]],'4.CAP_ENDMNT'!B:B,'4.CAP_ENDMNT'!O:O,0,0,1)</f>
        <v>0.6661172152696142</v>
      </c>
      <c r="AI474" s="146">
        <f>+_xlfn.XLOOKUP(PROYECTOS2[[#This Row],[MUNICIPIO]],'4.CAP_ENDMNT'!B:B,'4.CAP_ENDMNT'!P:P,0,0,1)</f>
        <v>0.8</v>
      </c>
      <c r="AJ474" s="44" t="str">
        <f>+_xlfn.XLOOKUP(PROYECTOS2[[#This Row],[MUNICIPIO]],'4.CAP_ENDMNT'!B:B,'4.CAP_ENDMNT'!Q:Q,0,0,1)</f>
        <v>Cumple</v>
      </c>
    </row>
    <row r="475" spans="1:36" ht="15" customHeight="1">
      <c r="A475" s="44">
        <v>504</v>
      </c>
      <c r="B475" s="153" t="s">
        <v>1123</v>
      </c>
      <c r="C475" s="118">
        <v>45747</v>
      </c>
      <c r="D475" s="46" t="s">
        <v>11</v>
      </c>
      <c r="E475" s="47" t="str">
        <f>+_xlfn.XLOOKUP(PROYECTOS2[[#This Row],[MUNICIPIO]],MUNICIPIOS!A:A,MUNICIPIOS!E:E,0,0,1)</f>
        <v>Magdalena Medio</v>
      </c>
      <c r="F475" s="44" t="e" cm="1">
        <f t="array" ref="F475">+_xlfn.XLOOKUP(PROYECTOS2[[#This Row],[MUNICIPIO]],Table1[Municipio],MUNICIPIOS!F:F,0,0,1)</f>
        <v>#VALUE!</v>
      </c>
      <c r="G475" s="47" t="str">
        <f>+LOOKUP(PROYECTOS2[[#This Row],[MUNICIPIO]],Table1[Municipio],Table1[Latitud])</f>
        <v>6,246631</v>
      </c>
      <c r="H475" s="47">
        <f>+LOOKUP(PROYECTOS2[[#This Row],[MUNICIPIO]],Table1[Municipio],Table1[PDET])</f>
        <v>0</v>
      </c>
      <c r="I475" s="45">
        <f>+LOOKUP(PROYECTOS2[[#This Row],[MUNICIPIO]],Table1[Municipio],Table1[ZOMAC])</f>
        <v>0</v>
      </c>
      <c r="J475" s="34" t="str" cm="1">
        <f t="array" ref="J475">_xlfn.TEXTJOIN(", ", TRUE, IF(radicados[ID PROYECTOS]=A475, radicados[RADICADO], ""))</f>
        <v/>
      </c>
      <c r="K475" s="45">
        <v>1</v>
      </c>
      <c r="L475" s="45"/>
      <c r="M475" s="144"/>
      <c r="N475" s="72"/>
      <c r="O475" s="147">
        <v>1830000000</v>
      </c>
      <c r="P475" s="155"/>
      <c r="Q475" s="148" t="s">
        <v>1068</v>
      </c>
      <c r="R475" s="42" t="s">
        <v>1077</v>
      </c>
      <c r="S475" s="40" t="s">
        <v>1079</v>
      </c>
      <c r="T475" s="40"/>
      <c r="U475" s="37" t="s">
        <v>1089</v>
      </c>
      <c r="V475" s="44">
        <f>+_xlfn.XLOOKUP(PROYECTOS2[[#This Row],[MUNICIPIO]],'4.CAP_ENDMNT'!B:B,'4.CAP_ENDMNT'!C:C,0,0,1)</f>
        <v>6</v>
      </c>
      <c r="W475" s="145">
        <f>+_xlfn.XLOOKUP(PROYECTOS2[[#This Row],[MUNICIPIO]],'4.CAP_ENDMNT'!B:B,'4.CAP_ENDMNT'!D:D,0,0,1)</f>
        <v>22896432570.9105</v>
      </c>
      <c r="X475" s="44">
        <f>+_xlfn.XLOOKUP(PROYECTOS2[[#This Row],[MUNICIPIO]],'4.CAP_ENDMNT'!B:B,'4.CAP_ENDMNT'!E:E,0,0,1)</f>
        <v>6514105665.9899998</v>
      </c>
      <c r="Y475" s="44">
        <f>+_xlfn.XLOOKUP(PROYECTOS2[[#This Row],[MUNICIPIO]],'4.CAP_ENDMNT'!B:B,'4.CAP_ENDMNT'!F:F,0,0,1)</f>
        <v>16382326904.9205</v>
      </c>
      <c r="Z475" s="44">
        <f>+_xlfn.XLOOKUP(PROYECTOS2[[#This Row],[MUNICIPIO]],'4.CAP_ENDMNT'!B:B,'4.CAP_ENDMNT'!G:G,0,0,1)</f>
        <v>15087488121</v>
      </c>
      <c r="AA475" s="44">
        <f>+_xlfn.XLOOKUP(PROYECTOS2[[#This Row],[MUNICIPIO]],'4.CAP_ENDMNT'!B:B,'4.CAP_ENDMNT'!H:H,0,0,1)</f>
        <v>152370595</v>
      </c>
      <c r="AB475" s="44">
        <f>+_xlfn.XLOOKUP(PROYECTOS2[[#This Row],[MUNICIPIO]],'4.CAP_ENDMNT'!B:B,'4.CAP_ENDMNT'!I:I,0,0,1)</f>
        <v>15239858716</v>
      </c>
      <c r="AC475" s="146">
        <f>+_xlfn.XLOOKUP(PROYECTOS2[[#This Row],[MUNICIPIO]],'4.CAP_ENDMNT'!B:B,'4.CAP_ENDMNT'!J:J,0,0,1)</f>
        <v>0.66559970287082904</v>
      </c>
      <c r="AD475" s="44">
        <f>+_xlfn.XLOOKUP(PROYECTOS2[[#This Row],[MUNICIPIO]],'4.CAP_ENDMNT'!B:B,'4.CAP_ENDMNT'!K:K,0,0,1)</f>
        <v>7656573854.9104996</v>
      </c>
      <c r="AE475" s="44">
        <f>+_xlfn.XLOOKUP(PROYECTOS2[[#This Row],[MUNICIPIO]],'4.CAP_ENDMNT'!B:B,'4.CAP_ENDMNT'!L:L,0,0,1)</f>
        <v>6125259083.9284</v>
      </c>
      <c r="AF475" s="44">
        <f>+_xlfn.XLOOKUP(PROYECTOS2[[#This Row],[MUNICIPIO]],'4.CAP_ENDMNT'!B:B,'4.CAP_ENDMNT'!M:M,0,0,1)</f>
        <v>4593944312.9462996</v>
      </c>
      <c r="AG475" s="146">
        <f>+_xlfn.XLOOKUP(PROYECTOS2[[#This Row],[MUNICIPIO]],'4.CAP_ENDMNT'!B:B,'4.CAP_ENDMNT'!N:N,0,0,1)</f>
        <v>0.99000183677293352</v>
      </c>
      <c r="AH475" s="146">
        <f>+_xlfn.XLOOKUP(PROYECTOS2[[#This Row],[MUNICIPIO]],'4.CAP_ENDMNT'!B:B,'4.CAP_ENDMNT'!O:O,0,0,1)</f>
        <v>0.53987925149269589</v>
      </c>
      <c r="AI475" s="146">
        <f>+_xlfn.XLOOKUP(PROYECTOS2[[#This Row],[MUNICIPIO]],'4.CAP_ENDMNT'!B:B,'4.CAP_ENDMNT'!P:P,0,0,1)</f>
        <v>0.8</v>
      </c>
      <c r="AJ475" s="44" t="str">
        <f>+_xlfn.XLOOKUP(PROYECTOS2[[#This Row],[MUNICIPIO]],'4.CAP_ENDMNT'!B:B,'4.CAP_ENDMNT'!Q:Q,0,0,1)</f>
        <v>Cumple</v>
      </c>
    </row>
    <row r="476" spans="1:36" ht="15" customHeight="1">
      <c r="A476" s="44">
        <v>505</v>
      </c>
      <c r="B476" s="153" t="s">
        <v>1124</v>
      </c>
      <c r="C476" s="118">
        <v>45747</v>
      </c>
      <c r="D476" s="46" t="s">
        <v>134</v>
      </c>
      <c r="E476" s="47" t="str">
        <f>+_xlfn.XLOOKUP(PROYECTOS2[[#This Row],[MUNICIPIO]],MUNICIPIOS!A:A,MUNICIPIOS!E:E,0,0,1)</f>
        <v>Magdalena Medio</v>
      </c>
      <c r="F476" s="44" t="e" cm="1">
        <f t="array" ref="F476">+_xlfn.XLOOKUP(PROYECTOS2[[#This Row],[MUNICIPIO]],Table1[Municipio],MUNICIPIOS!F:F,0,0,1)</f>
        <v>#VALUE!</v>
      </c>
      <c r="G476" s="47" t="str">
        <f>+LOOKUP(PROYECTOS2[[#This Row],[MUNICIPIO]],Table1[Municipio],Table1[Latitud])</f>
        <v>6,246631</v>
      </c>
      <c r="H476" s="47">
        <f>+LOOKUP(PROYECTOS2[[#This Row],[MUNICIPIO]],Table1[Municipio],Table1[PDET])</f>
        <v>0</v>
      </c>
      <c r="I476" s="45">
        <f>+LOOKUP(PROYECTOS2[[#This Row],[MUNICIPIO]],Table1[Municipio],Table1[ZOMAC])</f>
        <v>0</v>
      </c>
      <c r="J476" s="34" t="str" cm="1">
        <f t="array" ref="J476">_xlfn.TEXTJOIN(", ", TRUE, IF(radicados[ID PROYECTOS]=A476, radicados[RADICADO], ""))</f>
        <v/>
      </c>
      <c r="K476" s="45">
        <v>1</v>
      </c>
      <c r="L476" s="45"/>
      <c r="M476" s="144"/>
      <c r="N476" s="72"/>
      <c r="O476" s="147">
        <v>1750000000</v>
      </c>
      <c r="P476" s="155"/>
      <c r="Q476" s="148" t="s">
        <v>1068</v>
      </c>
      <c r="R476" s="42" t="s">
        <v>1077</v>
      </c>
      <c r="S476" s="40" t="s">
        <v>1079</v>
      </c>
      <c r="T476" s="40"/>
      <c r="U476" s="37" t="s">
        <v>1089</v>
      </c>
      <c r="V476" s="44">
        <f>+_xlfn.XLOOKUP(PROYECTOS2[[#This Row],[MUNICIPIO]],'4.CAP_ENDMNT'!B:B,'4.CAP_ENDMNT'!C:C,0,0,1)</f>
        <v>6</v>
      </c>
      <c r="W476" s="145">
        <f>+_xlfn.XLOOKUP(PROYECTOS2[[#This Row],[MUNICIPIO]],'4.CAP_ENDMNT'!B:B,'4.CAP_ENDMNT'!D:D,0,0,1)</f>
        <v>17406090503.82</v>
      </c>
      <c r="X476" s="44">
        <f>+_xlfn.XLOOKUP(PROYECTOS2[[#This Row],[MUNICIPIO]],'4.CAP_ENDMNT'!B:B,'4.CAP_ENDMNT'!E:E,0,0,1)</f>
        <v>8490973725.3299999</v>
      </c>
      <c r="Y476" s="44">
        <f>+_xlfn.XLOOKUP(PROYECTOS2[[#This Row],[MUNICIPIO]],'4.CAP_ENDMNT'!B:B,'4.CAP_ENDMNT'!F:F,0,0,1)</f>
        <v>8915116778.4899998</v>
      </c>
      <c r="Z476" s="44">
        <f>+_xlfn.XLOOKUP(PROYECTOS2[[#This Row],[MUNICIPIO]],'4.CAP_ENDMNT'!B:B,'4.CAP_ENDMNT'!G:G,0,0,1)</f>
        <v>6695063584</v>
      </c>
      <c r="AA476" s="44">
        <f>+_xlfn.XLOOKUP(PROYECTOS2[[#This Row],[MUNICIPIO]],'4.CAP_ENDMNT'!B:B,'4.CAP_ENDMNT'!H:H,0,0,1)</f>
        <v>0</v>
      </c>
      <c r="AB476" s="44">
        <f>+_xlfn.XLOOKUP(PROYECTOS2[[#This Row],[MUNICIPIO]],'4.CAP_ENDMNT'!B:B,'4.CAP_ENDMNT'!I:I,0,0,1)</f>
        <v>6695063584</v>
      </c>
      <c r="AC476" s="146">
        <f>+_xlfn.XLOOKUP(PROYECTOS2[[#This Row],[MUNICIPIO]],'4.CAP_ENDMNT'!B:B,'4.CAP_ENDMNT'!J:J,0,0,1)</f>
        <v>0.38463913436108349</v>
      </c>
      <c r="AD476" s="44">
        <f>+_xlfn.XLOOKUP(PROYECTOS2[[#This Row],[MUNICIPIO]],'4.CAP_ENDMNT'!B:B,'4.CAP_ENDMNT'!K:K,0,0,1)</f>
        <v>10711026919.82</v>
      </c>
      <c r="AE476" s="44">
        <f>+_xlfn.XLOOKUP(PROYECTOS2[[#This Row],[MUNICIPIO]],'4.CAP_ENDMNT'!B:B,'4.CAP_ENDMNT'!L:L,0,0,1)</f>
        <v>8568821535.8559999</v>
      </c>
      <c r="AF476" s="44">
        <f>+_xlfn.XLOOKUP(PROYECTOS2[[#This Row],[MUNICIPIO]],'4.CAP_ENDMNT'!B:B,'4.CAP_ENDMNT'!M:M,0,0,1)</f>
        <v>6426616151.8919992</v>
      </c>
      <c r="AG476" s="146">
        <f>+_xlfn.XLOOKUP(PROYECTOS2[[#This Row],[MUNICIPIO]],'4.CAP_ENDMNT'!B:B,'4.CAP_ENDMNT'!N:N,0,0,1)</f>
        <v>1</v>
      </c>
      <c r="AH476" s="146">
        <f>+_xlfn.XLOOKUP(PROYECTOS2[[#This Row],[MUNICIPIO]],'4.CAP_ENDMNT'!B:B,'4.CAP_ENDMNT'!O:O,0,0,1)</f>
        <v>0.75913384232200265</v>
      </c>
      <c r="AI476" s="146">
        <f>+_xlfn.XLOOKUP(PROYECTOS2[[#This Row],[MUNICIPIO]],'4.CAP_ENDMNT'!B:B,'4.CAP_ENDMNT'!P:P,0,0,1)</f>
        <v>0.8</v>
      </c>
      <c r="AJ476" s="44" t="str">
        <f>+_xlfn.XLOOKUP(PROYECTOS2[[#This Row],[MUNICIPIO]],'4.CAP_ENDMNT'!B:B,'4.CAP_ENDMNT'!Q:Q,0,0,1)</f>
        <v>Riesgo</v>
      </c>
    </row>
    <row r="477" spans="1:36" ht="15" customHeight="1">
      <c r="A477" s="44">
        <v>506</v>
      </c>
      <c r="B477" s="153" t="s">
        <v>1125</v>
      </c>
      <c r="C477" s="118">
        <v>45747</v>
      </c>
      <c r="D477" s="46" t="s">
        <v>70</v>
      </c>
      <c r="E477" s="47" t="str">
        <f>+_xlfn.XLOOKUP(PROYECTOS2[[#This Row],[MUNICIPIO]],MUNICIPIOS!A:A,MUNICIPIOS!E:E,0,0,1)</f>
        <v>Oriente</v>
      </c>
      <c r="F477" s="44" t="e" cm="1">
        <f t="array" ref="F477">+_xlfn.XLOOKUP(PROYECTOS2[[#This Row],[MUNICIPIO]],Table1[Municipio],MUNICIPIOS!F:F,0,0,1)</f>
        <v>#VALUE!</v>
      </c>
      <c r="G477" s="47" t="e">
        <f>+LOOKUP(PROYECTOS2[[#This Row],[MUNICIPIO]],Table1[Municipio],Table1[Latitud])</f>
        <v>#N/A</v>
      </c>
      <c r="H477" s="47" t="e">
        <f>+LOOKUP(PROYECTOS2[[#This Row],[MUNICIPIO]],Table1[Municipio],Table1[PDET])</f>
        <v>#N/A</v>
      </c>
      <c r="I477" s="45" t="e">
        <f>+LOOKUP(PROYECTOS2[[#This Row],[MUNICIPIO]],Table1[Municipio],Table1[ZOMAC])</f>
        <v>#N/A</v>
      </c>
      <c r="J477" s="34" t="str" cm="1">
        <f t="array" ref="J477">_xlfn.TEXTJOIN(", ", TRUE, IF(radicados[ID PROYECTOS]=A477, radicados[RADICADO], ""))</f>
        <v/>
      </c>
      <c r="K477" s="45">
        <v>1</v>
      </c>
      <c r="L477" s="45"/>
      <c r="M477" s="144"/>
      <c r="N477" s="72"/>
      <c r="O477" s="147">
        <v>900000000</v>
      </c>
      <c r="P477" s="155"/>
      <c r="Q477" s="148" t="s">
        <v>1068</v>
      </c>
      <c r="R477" s="42" t="s">
        <v>1072</v>
      </c>
      <c r="S477" s="40" t="s">
        <v>1079</v>
      </c>
      <c r="T477" s="40"/>
      <c r="U477" s="37" t="s">
        <v>1089</v>
      </c>
      <c r="V477" s="44">
        <f>+_xlfn.XLOOKUP(PROYECTOS2[[#This Row],[MUNICIPIO]],'4.CAP_ENDMNT'!B:B,'4.CAP_ENDMNT'!C:C,0,0,1)</f>
        <v>6</v>
      </c>
      <c r="W477" s="145">
        <f>+_xlfn.XLOOKUP(PROYECTOS2[[#This Row],[MUNICIPIO]],'4.CAP_ENDMNT'!B:B,'4.CAP_ENDMNT'!D:D,0,0,1)</f>
        <v>8362831920.7600002</v>
      </c>
      <c r="X477" s="44">
        <f>+_xlfn.XLOOKUP(PROYECTOS2[[#This Row],[MUNICIPIO]],'4.CAP_ENDMNT'!B:B,'4.CAP_ENDMNT'!E:E,0,0,1)</f>
        <v>2199279418.0799999</v>
      </c>
      <c r="Y477" s="44">
        <f>+_xlfn.XLOOKUP(PROYECTOS2[[#This Row],[MUNICIPIO]],'4.CAP_ENDMNT'!B:B,'4.CAP_ENDMNT'!F:F,0,0,1)</f>
        <v>6163552502.6800003</v>
      </c>
      <c r="Z477" s="44">
        <f>+_xlfn.XLOOKUP(PROYECTOS2[[#This Row],[MUNICIPIO]],'4.CAP_ENDMNT'!B:B,'4.CAP_ENDMNT'!G:G,0,0,1)</f>
        <v>284104325</v>
      </c>
      <c r="AA477" s="44">
        <f>+_xlfn.XLOOKUP(PROYECTOS2[[#This Row],[MUNICIPIO]],'4.CAP_ENDMNT'!B:B,'4.CAP_ENDMNT'!H:H,0,0,1)</f>
        <v>209000000</v>
      </c>
      <c r="AB477" s="44">
        <f>+_xlfn.XLOOKUP(PROYECTOS2[[#This Row],[MUNICIPIO]],'4.CAP_ENDMNT'!B:B,'4.CAP_ENDMNT'!I:I,0,0,1)</f>
        <v>493104325</v>
      </c>
      <c r="AC477" s="146">
        <f>+_xlfn.XLOOKUP(PROYECTOS2[[#This Row],[MUNICIPIO]],'4.CAP_ENDMNT'!B:B,'4.CAP_ENDMNT'!J:J,0,0,1)</f>
        <v>5.8963797152961017E-2</v>
      </c>
      <c r="AD477" s="44">
        <f>+_xlfn.XLOOKUP(PROYECTOS2[[#This Row],[MUNICIPIO]],'4.CAP_ENDMNT'!B:B,'4.CAP_ENDMNT'!K:K,0,0,1)</f>
        <v>7869727595.7600002</v>
      </c>
      <c r="AE477" s="44">
        <f>+_xlfn.XLOOKUP(PROYECTOS2[[#This Row],[MUNICIPIO]],'4.CAP_ENDMNT'!B:B,'4.CAP_ENDMNT'!L:L,0,0,1)</f>
        <v>6295782076.6080008</v>
      </c>
      <c r="AF477" s="44">
        <f>+_xlfn.XLOOKUP(PROYECTOS2[[#This Row],[MUNICIPIO]],'4.CAP_ENDMNT'!B:B,'4.CAP_ENDMNT'!M:M,0,0,1)</f>
        <v>4721836557.4560003</v>
      </c>
      <c r="AG477" s="146">
        <f>+_xlfn.XLOOKUP(PROYECTOS2[[#This Row],[MUNICIPIO]],'4.CAP_ENDMNT'!B:B,'4.CAP_ENDMNT'!N:N,0,0,1)</f>
        <v>0.57615459973911198</v>
      </c>
      <c r="AH477" s="146">
        <f>+_xlfn.XLOOKUP(PROYECTOS2[[#This Row],[MUNICIPIO]],'4.CAP_ENDMNT'!B:B,'4.CAP_ENDMNT'!O:O,0,0,1)</f>
        <v>0.61308928502962989</v>
      </c>
      <c r="AI477" s="146">
        <f>+_xlfn.XLOOKUP(PROYECTOS2[[#This Row],[MUNICIPIO]],'4.CAP_ENDMNT'!B:B,'4.CAP_ENDMNT'!P:P,0,0,1)</f>
        <v>0.8</v>
      </c>
      <c r="AJ477" s="44" t="str">
        <f>+_xlfn.XLOOKUP(PROYECTOS2[[#This Row],[MUNICIPIO]],'4.CAP_ENDMNT'!B:B,'4.CAP_ENDMNT'!Q:Q,0,0,1)</f>
        <v>Cumple</v>
      </c>
    </row>
    <row r="478" spans="1:36" ht="15" customHeight="1">
      <c r="A478" s="44">
        <v>507</v>
      </c>
      <c r="B478" s="154" t="s">
        <v>1126</v>
      </c>
      <c r="C478" s="118">
        <v>45747</v>
      </c>
      <c r="D478" s="46" t="s">
        <v>141</v>
      </c>
      <c r="E478" s="47" t="str">
        <f>+_xlfn.XLOOKUP(PROYECTOS2[[#This Row],[MUNICIPIO]],MUNICIPIOS!A:A,MUNICIPIOS!E:E,0,0,1)</f>
        <v>Oriente</v>
      </c>
      <c r="F478" s="44" t="e" cm="1">
        <f t="array" ref="F478">+_xlfn.XLOOKUP(PROYECTOS2[[#This Row],[MUNICIPIO]],Table1[Municipio],MUNICIPIOS!F:F,0,0,1)</f>
        <v>#VALUE!</v>
      </c>
      <c r="G478" s="47" t="str">
        <f>+LOOKUP(PROYECTOS2[[#This Row],[MUNICIPIO]],Table1[Municipio],Table1[Latitud])</f>
        <v>7,074703</v>
      </c>
      <c r="H478" s="47">
        <f>+LOOKUP(PROYECTOS2[[#This Row],[MUNICIPIO]],Table1[Municipio],Table1[PDET])</f>
        <v>1</v>
      </c>
      <c r="I478" s="45">
        <f>+LOOKUP(PROYECTOS2[[#This Row],[MUNICIPIO]],Table1[Municipio],Table1[ZOMAC])</f>
        <v>1</v>
      </c>
      <c r="J478" s="34" t="str" cm="1">
        <f t="array" ref="J478">_xlfn.TEXTJOIN(", ", TRUE, IF(radicados[ID PROYECTOS]=A478, radicados[RADICADO], ""))</f>
        <v/>
      </c>
      <c r="K478" s="45">
        <v>1</v>
      </c>
      <c r="L478" s="45"/>
      <c r="M478" s="144"/>
      <c r="N478" s="72"/>
      <c r="O478" s="147">
        <v>900000000</v>
      </c>
      <c r="P478" s="155"/>
      <c r="Q478" s="148" t="s">
        <v>1068</v>
      </c>
      <c r="R478" s="42" t="s">
        <v>1072</v>
      </c>
      <c r="S478" s="40" t="s">
        <v>1079</v>
      </c>
      <c r="T478" s="40"/>
      <c r="U478" s="37" t="s">
        <v>1089</v>
      </c>
      <c r="V478" s="44">
        <f>+_xlfn.XLOOKUP(PROYECTOS2[[#This Row],[MUNICIPIO]],'4.CAP_ENDMNT'!B:B,'4.CAP_ENDMNT'!C:C,0,0,1)</f>
        <v>6</v>
      </c>
      <c r="W478" s="145">
        <f>+_xlfn.XLOOKUP(PROYECTOS2[[#This Row],[MUNICIPIO]],'4.CAP_ENDMNT'!B:B,'4.CAP_ENDMNT'!D:D,0,0,1)</f>
        <v>7397887197.3409996</v>
      </c>
      <c r="X478" s="44">
        <f>+_xlfn.XLOOKUP(PROYECTOS2[[#This Row],[MUNICIPIO]],'4.CAP_ENDMNT'!B:B,'4.CAP_ENDMNT'!E:E,0,0,1)</f>
        <v>2145550795.75</v>
      </c>
      <c r="Y478" s="44">
        <f>+_xlfn.XLOOKUP(PROYECTOS2[[#This Row],[MUNICIPIO]],'4.CAP_ENDMNT'!B:B,'4.CAP_ENDMNT'!F:F,0,0,1)</f>
        <v>5252336401.5909996</v>
      </c>
      <c r="Z478" s="44">
        <f>+_xlfn.XLOOKUP(PROYECTOS2[[#This Row],[MUNICIPIO]],'4.CAP_ENDMNT'!B:B,'4.CAP_ENDMNT'!G:G,0,0,1)</f>
        <v>913988424</v>
      </c>
      <c r="AA478" s="44">
        <f>+_xlfn.XLOOKUP(PROYECTOS2[[#This Row],[MUNICIPIO]],'4.CAP_ENDMNT'!B:B,'4.CAP_ENDMNT'!H:H,0,0,1)</f>
        <v>0</v>
      </c>
      <c r="AB478" s="44">
        <f>+_xlfn.XLOOKUP(PROYECTOS2[[#This Row],[MUNICIPIO]],'4.CAP_ENDMNT'!B:B,'4.CAP_ENDMNT'!I:I,0,0,1)</f>
        <v>913988424</v>
      </c>
      <c r="AC478" s="146">
        <f>+_xlfn.XLOOKUP(PROYECTOS2[[#This Row],[MUNICIPIO]],'4.CAP_ENDMNT'!B:B,'4.CAP_ENDMNT'!J:J,0,0,1)</f>
        <v>0.12354722363548773</v>
      </c>
      <c r="AD478" s="44">
        <f>+_xlfn.XLOOKUP(PROYECTOS2[[#This Row],[MUNICIPIO]],'4.CAP_ENDMNT'!B:B,'4.CAP_ENDMNT'!K:K,0,0,1)</f>
        <v>6483898773.3409996</v>
      </c>
      <c r="AE478" s="44">
        <f>+_xlfn.XLOOKUP(PROYECTOS2[[#This Row],[MUNICIPIO]],'4.CAP_ENDMNT'!B:B,'4.CAP_ENDMNT'!L:L,0,0,1)</f>
        <v>5187119018.6728001</v>
      </c>
      <c r="AF478" s="44">
        <f>+_xlfn.XLOOKUP(PROYECTOS2[[#This Row],[MUNICIPIO]],'4.CAP_ENDMNT'!B:B,'4.CAP_ENDMNT'!M:M,0,0,1)</f>
        <v>3890339264.0045996</v>
      </c>
      <c r="AG478" s="146">
        <f>+_xlfn.XLOOKUP(PROYECTOS2[[#This Row],[MUNICIPIO]],'4.CAP_ENDMNT'!B:B,'4.CAP_ENDMNT'!N:N,0,0,1)</f>
        <v>1</v>
      </c>
      <c r="AH478" s="146">
        <f>+_xlfn.XLOOKUP(PROYECTOS2[[#This Row],[MUNICIPIO]],'4.CAP_ENDMNT'!B:B,'4.CAP_ENDMNT'!O:O,0,0,1)</f>
        <v>0.55936476249157852</v>
      </c>
      <c r="AI478" s="146">
        <f>+_xlfn.XLOOKUP(PROYECTOS2[[#This Row],[MUNICIPIO]],'4.CAP_ENDMNT'!B:B,'4.CAP_ENDMNT'!P:P,0,0,1)</f>
        <v>0.8</v>
      </c>
      <c r="AJ478" s="44" t="str">
        <f>+_xlfn.XLOOKUP(PROYECTOS2[[#This Row],[MUNICIPIO]],'4.CAP_ENDMNT'!B:B,'4.CAP_ENDMNT'!Q:Q,0,0,1)</f>
        <v>Cumple</v>
      </c>
    </row>
  </sheetData>
  <conditionalFormatting sqref="A1">
    <cfRule type="duplicateValues" dxfId="13" priority="1"/>
  </conditionalFormatting>
  <conditionalFormatting sqref="B2:B226">
    <cfRule type="duplicateValues" dxfId="12" priority="8"/>
  </conditionalFormatting>
  <conditionalFormatting sqref="B142:B165">
    <cfRule type="duplicateValues" dxfId="11" priority="5"/>
  </conditionalFormatting>
  <conditionalFormatting sqref="B209">
    <cfRule type="duplicateValues" dxfId="10" priority="2"/>
  </conditionalFormatting>
  <conditionalFormatting sqref="B213">
    <cfRule type="duplicateValues" dxfId="9" priority="3"/>
  </conditionalFormatting>
  <conditionalFormatting sqref="B214">
    <cfRule type="duplicateValues" dxfId="8" priority="4"/>
  </conditionalFormatting>
  <conditionalFormatting sqref="B479:C1048576 N1:Q1 M317:M388 B393 B331:B383 B1:C1 B230:B329 B388 M390:M1048576 B2:B226 N2:P384 C472 B395:B471 B473:B478">
    <cfRule type="duplicateValues" dxfId="7" priority="6"/>
  </conditionalFormatting>
  <conditionalFormatting sqref="M1 A1:H1">
    <cfRule type="duplicateValues" dxfId="6" priority="7"/>
  </conditionalFormatting>
  <pageMargins left="0.7" right="0.7" top="0.75" bottom="0.75" header="0.3" footer="0.3"/>
  <pageSetup paperSize="9" fitToHeight="0" orientation="portrait"/>
  <tableParts count="1">
    <tablePart r:id="rId1"/>
  </tableParts>
  <extLst>
    <ext xmlns:x14="http://schemas.microsoft.com/office/spreadsheetml/2009/9/main" uri="{CCE6A557-97BC-4b89-ADB6-D9C93CAAB3DF}">
      <x14:dataValidations xmlns:xm="http://schemas.microsoft.com/office/excel/2006/main" count="8">
        <x14:dataValidation type="list" allowBlank="1" showInputMessage="1" showErrorMessage="1" xr:uid="{CD4CDE44-0FE5-469A-90BC-AE499BBBC224}">
          <x14:formula1>
            <xm:f>Desplegables!$A$165:$A$166</xm:f>
          </x14:formula1>
          <xm:sqref>Q2:Q478</xm:sqref>
        </x14:dataValidation>
        <x14:dataValidation type="list" allowBlank="1" showInputMessage="1" showErrorMessage="1" xr:uid="{1F5BAF49-AE8B-4323-B0B1-CE37ABE9AB12}">
          <x14:formula1>
            <xm:f>Desplegables!$A$158:$A$162</xm:f>
          </x14:formula1>
          <xm:sqref>S2:S478</xm:sqref>
        </x14:dataValidation>
        <x14:dataValidation type="list" allowBlank="1" showInputMessage="1" showErrorMessage="1" xr:uid="{9FC89A4C-2B8F-490A-86A0-E6A5D79976B1}">
          <x14:formula1>
            <xm:f>Desplegables!$A$129:$A$155</xm:f>
          </x14:formula1>
          <xm:sqref>R2:R478</xm:sqref>
        </x14:dataValidation>
        <x14:dataValidation type="list" allowBlank="1" showInputMessage="1" showErrorMessage="1" xr:uid="{81FD0B3F-8CEA-4F28-9560-3937DDB4E89E}">
          <x14:formula1>
            <xm:f>Desplegables!$A$43:$A$60</xm:f>
          </x14:formula1>
          <xm:sqref>T2:T478</xm:sqref>
        </x14:dataValidation>
        <x14:dataValidation type="list" allowBlank="1" showInputMessage="1" showErrorMessage="1" xr:uid="{B33573E9-5D86-4E57-881C-ED2B6413AF8C}">
          <x14:formula1>
            <xm:f>Desplegables!$A$69:$A$75</xm:f>
          </x14:formula1>
          <xm:sqref>M2:M388</xm:sqref>
        </x14:dataValidation>
        <x14:dataValidation type="list" allowBlank="1" showInputMessage="1" showErrorMessage="1" error="Ingrese solo nombres de municipios contenidos en la lista desplegable" xr:uid="{0043A5C1-92B1-4D52-9F0A-88B32D17072E}">
          <x14:formula1>
            <xm:f>MUNICIPIOS!$A$2:$A$127</xm:f>
          </x14:formula1>
          <xm:sqref>D2:D226</xm:sqref>
        </x14:dataValidation>
        <x14:dataValidation type="list" allowBlank="1" showInputMessage="1" showErrorMessage="1" xr:uid="{E53FC96D-590D-42EB-94E2-B0B3ED7C1B7F}">
          <x14:formula1>
            <xm:f>Desplegables!#REF!</xm:f>
          </x14:formula1>
          <xm:sqref>D227:D230 D240:D243 D249:D275 D245:D247 D362 D234:D238</xm:sqref>
        </x14:dataValidation>
        <x14:dataValidation type="list" allowBlank="1" showInputMessage="1" showErrorMessage="1" xr:uid="{A7C99934-9678-4F05-B21C-DC9C8906F9F2}">
          <x14:formula1>
            <xm:f>MUNICIPIOS!$A$2:$A$127</xm:f>
          </x14:formula1>
          <xm:sqref>D244 D276:D326 D248 D363:D388 D330:D361 D390:D392 D419 D425 D428 D436 D451 D456 D459 D463 D467:D468 D472 D477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5050"/>
  </sheetPr>
  <dimension ref="A1:G127"/>
  <sheetViews>
    <sheetView tabSelected="1" zoomScale="85" zoomScaleNormal="85" workbookViewId="0">
      <selection activeCell="G1" activeCellId="2" sqref="A1:A1048576 F1:F1048576 G1:G1048576"/>
    </sheetView>
  </sheetViews>
  <sheetFormatPr baseColWidth="10" defaultColWidth="9.140625" defaultRowHeight="15" customHeight="1"/>
  <cols>
    <col min="1" max="1" width="22.140625" style="3" bestFit="1" customWidth="1"/>
    <col min="2" max="2" width="9.7109375" style="3" bestFit="1" customWidth="1"/>
    <col min="3" max="4" width="9.7109375" style="3" customWidth="1"/>
    <col min="5" max="5" width="11.28515625" style="3" customWidth="1"/>
    <col min="6" max="6" width="10.140625" bestFit="1" customWidth="1"/>
    <col min="7" max="7" width="8.5703125" customWidth="1"/>
  </cols>
  <sheetData>
    <row r="1" spans="1:7">
      <c r="A1" s="3" t="s">
        <v>763</v>
      </c>
      <c r="B1" s="3" t="s">
        <v>386</v>
      </c>
      <c r="C1" s="44" t="s">
        <v>387</v>
      </c>
      <c r="D1" s="44" t="s">
        <v>885</v>
      </c>
      <c r="E1" s="3" t="s">
        <v>764</v>
      </c>
      <c r="F1" t="s">
        <v>765</v>
      </c>
      <c r="G1" t="s">
        <v>766</v>
      </c>
    </row>
    <row r="2" spans="1:7">
      <c r="A2" s="3" t="s">
        <v>191</v>
      </c>
      <c r="B2" s="3">
        <v>1</v>
      </c>
      <c r="C2" s="3">
        <v>1</v>
      </c>
      <c r="D2" s="3">
        <v>6</v>
      </c>
      <c r="E2" s="16" t="s">
        <v>44</v>
      </c>
      <c r="F2">
        <v>-75.352050000000006</v>
      </c>
      <c r="G2" s="8" t="s">
        <v>788</v>
      </c>
    </row>
    <row r="3" spans="1:7">
      <c r="A3" s="3" t="s">
        <v>45</v>
      </c>
      <c r="B3" s="3">
        <v>1</v>
      </c>
      <c r="C3" s="3">
        <v>1</v>
      </c>
      <c r="D3" s="3">
        <v>5</v>
      </c>
      <c r="E3" s="16" t="s">
        <v>44</v>
      </c>
      <c r="F3">
        <v>-75.197996000000003</v>
      </c>
      <c r="G3" s="8" t="s">
        <v>798</v>
      </c>
    </row>
    <row r="4" spans="1:7">
      <c r="A4" s="3" t="s">
        <v>170</v>
      </c>
      <c r="B4" s="3">
        <v>1</v>
      </c>
      <c r="C4" s="3">
        <v>1</v>
      </c>
      <c r="D4" s="3">
        <v>6</v>
      </c>
      <c r="E4" s="16" t="s">
        <v>44</v>
      </c>
      <c r="F4">
        <v>-74.799097000000003</v>
      </c>
      <c r="G4" s="8" t="s">
        <v>809</v>
      </c>
    </row>
    <row r="5" spans="1:7">
      <c r="A5" s="3" t="s">
        <v>329</v>
      </c>
      <c r="B5" s="3">
        <v>1</v>
      </c>
      <c r="C5" s="3">
        <v>1</v>
      </c>
      <c r="D5" s="3">
        <v>6</v>
      </c>
      <c r="E5" s="16" t="s">
        <v>44</v>
      </c>
      <c r="F5">
        <v>-74.776470000000003</v>
      </c>
      <c r="G5" s="8" t="s">
        <v>849</v>
      </c>
    </row>
    <row r="6" spans="1:7">
      <c r="A6" s="3" t="s">
        <v>692</v>
      </c>
      <c r="B6" s="3">
        <v>1</v>
      </c>
      <c r="C6" s="3">
        <v>1</v>
      </c>
      <c r="D6" s="3">
        <v>6</v>
      </c>
      <c r="E6" s="16" t="s">
        <v>44</v>
      </c>
      <c r="F6">
        <v>-75.401407000000006</v>
      </c>
      <c r="G6">
        <v>7.5801270000000001</v>
      </c>
    </row>
    <row r="7" spans="1:7">
      <c r="A7" s="3" t="s">
        <v>200</v>
      </c>
      <c r="B7" s="3">
        <v>1</v>
      </c>
      <c r="C7" s="3">
        <v>1</v>
      </c>
      <c r="D7" s="3">
        <v>6</v>
      </c>
      <c r="E7" s="16" t="s">
        <v>44</v>
      </c>
      <c r="F7">
        <v>-74.867075</v>
      </c>
      <c r="G7">
        <v>7.4885830000000002</v>
      </c>
    </row>
    <row r="8" spans="1:7">
      <c r="A8" s="3" t="s">
        <v>399</v>
      </c>
      <c r="E8" s="3" t="s">
        <v>399</v>
      </c>
      <c r="F8">
        <v>-75.581774999999993</v>
      </c>
      <c r="G8" s="8" t="s">
        <v>818</v>
      </c>
    </row>
    <row r="9" spans="1:7" ht="25.5">
      <c r="A9" s="3" t="s">
        <v>473</v>
      </c>
      <c r="D9" s="3">
        <v>6</v>
      </c>
      <c r="E9" s="16" t="s">
        <v>10</v>
      </c>
      <c r="F9">
        <v>-74.757420999999994</v>
      </c>
      <c r="G9" s="8" t="s">
        <v>793</v>
      </c>
    </row>
    <row r="10" spans="1:7" ht="25.5">
      <c r="A10" s="3" t="s">
        <v>311</v>
      </c>
      <c r="D10" s="3">
        <v>6</v>
      </c>
      <c r="E10" s="16" t="s">
        <v>10</v>
      </c>
      <c r="F10">
        <v>-74.78716</v>
      </c>
      <c r="G10" s="8" t="s">
        <v>842</v>
      </c>
    </row>
    <row r="11" spans="1:7" ht="25.5">
      <c r="A11" s="3" t="s">
        <v>854</v>
      </c>
      <c r="C11" s="3">
        <v>1</v>
      </c>
      <c r="D11" s="3">
        <v>6</v>
      </c>
      <c r="E11" s="16" t="s">
        <v>10</v>
      </c>
      <c r="F11">
        <v>-74.410015999999999</v>
      </c>
      <c r="G11" s="8" t="s">
        <v>855</v>
      </c>
    </row>
    <row r="12" spans="1:7" ht="25.5">
      <c r="A12" s="3" t="s">
        <v>134</v>
      </c>
      <c r="D12" s="3">
        <v>6</v>
      </c>
      <c r="E12" s="16" t="s">
        <v>10</v>
      </c>
      <c r="F12">
        <v>-74.583011999999997</v>
      </c>
      <c r="G12" s="8" t="s">
        <v>856</v>
      </c>
    </row>
    <row r="13" spans="1:7" ht="25.5">
      <c r="A13" s="3" t="s">
        <v>11</v>
      </c>
      <c r="D13" s="3">
        <v>6</v>
      </c>
      <c r="E13" s="16" t="s">
        <v>10</v>
      </c>
      <c r="F13">
        <v>-74.641189999999995</v>
      </c>
      <c r="G13" s="8" t="s">
        <v>857</v>
      </c>
    </row>
    <row r="14" spans="1:7" ht="25.5">
      <c r="A14" s="3" t="s">
        <v>339</v>
      </c>
      <c r="B14" s="3">
        <v>1</v>
      </c>
      <c r="C14" s="3">
        <v>1</v>
      </c>
      <c r="D14" s="3">
        <v>6</v>
      </c>
      <c r="E14" s="16" t="s">
        <v>10</v>
      </c>
      <c r="F14">
        <v>-73.912445000000005</v>
      </c>
      <c r="G14">
        <v>7.0039600000000002</v>
      </c>
    </row>
    <row r="15" spans="1:7">
      <c r="A15" s="3" t="s">
        <v>546</v>
      </c>
      <c r="B15" s="3">
        <v>1</v>
      </c>
      <c r="C15" s="3">
        <v>1</v>
      </c>
      <c r="D15" s="3">
        <v>6</v>
      </c>
      <c r="E15" s="16" t="s">
        <v>3</v>
      </c>
      <c r="F15">
        <v>-75.077500999999998</v>
      </c>
      <c r="G15" s="8" t="s">
        <v>770</v>
      </c>
    </row>
    <row r="16" spans="1:7">
      <c r="A16" s="3" t="s">
        <v>468</v>
      </c>
      <c r="B16" s="3">
        <v>1</v>
      </c>
      <c r="C16" s="3">
        <v>1</v>
      </c>
      <c r="D16" s="3">
        <v>6</v>
      </c>
      <c r="E16" s="16" t="s">
        <v>3</v>
      </c>
      <c r="F16">
        <v>-75.148354999999995</v>
      </c>
      <c r="G16" s="8" t="s">
        <v>774</v>
      </c>
    </row>
    <row r="17" spans="1:7">
      <c r="A17" s="3" t="s">
        <v>244</v>
      </c>
      <c r="D17" s="3">
        <v>6</v>
      </c>
      <c r="E17" s="16" t="s">
        <v>3</v>
      </c>
      <c r="F17">
        <v>-75.087046999999998</v>
      </c>
      <c r="G17" s="8" t="s">
        <v>800</v>
      </c>
    </row>
    <row r="18" spans="1:7">
      <c r="A18" s="3" t="s">
        <v>858</v>
      </c>
      <c r="B18" s="3">
        <v>1</v>
      </c>
      <c r="C18" s="3">
        <v>1</v>
      </c>
      <c r="D18" s="3">
        <v>6</v>
      </c>
      <c r="E18" s="16" t="s">
        <v>3</v>
      </c>
      <c r="F18">
        <v>-74.698134999999994</v>
      </c>
      <c r="G18" s="8" t="s">
        <v>859</v>
      </c>
    </row>
    <row r="19" spans="1:7">
      <c r="A19" s="3" t="s">
        <v>327</v>
      </c>
      <c r="D19" s="3">
        <v>6</v>
      </c>
      <c r="E19" s="16" t="s">
        <v>3</v>
      </c>
      <c r="F19">
        <v>-75.019109</v>
      </c>
      <c r="G19" s="8" t="s">
        <v>876</v>
      </c>
    </row>
    <row r="20" spans="1:7">
      <c r="A20" s="3" t="s">
        <v>369</v>
      </c>
      <c r="C20" s="3">
        <v>1</v>
      </c>
      <c r="D20" s="3">
        <v>6</v>
      </c>
      <c r="E20" s="16" t="s">
        <v>3</v>
      </c>
      <c r="F20">
        <v>-75.164902999999995</v>
      </c>
      <c r="G20" s="8" t="s">
        <v>881</v>
      </c>
    </row>
    <row r="21" spans="1:7">
      <c r="A21" s="3" t="s">
        <v>151</v>
      </c>
      <c r="B21" s="3">
        <v>1</v>
      </c>
      <c r="C21" s="3">
        <v>1</v>
      </c>
      <c r="D21" s="3">
        <v>2</v>
      </c>
      <c r="E21" s="16" t="s">
        <v>3</v>
      </c>
      <c r="F21">
        <v>-74.701595999999995</v>
      </c>
      <c r="G21" s="8" t="s">
        <v>882</v>
      </c>
    </row>
    <row r="22" spans="1:7">
      <c r="A22" s="3" t="s">
        <v>4</v>
      </c>
      <c r="C22" s="3">
        <v>1</v>
      </c>
      <c r="D22" s="3">
        <v>6</v>
      </c>
      <c r="E22" s="16" t="s">
        <v>3</v>
      </c>
      <c r="F22">
        <v>-74.798714000000004</v>
      </c>
      <c r="G22">
        <v>6.7735250000000002</v>
      </c>
    </row>
    <row r="23" spans="1:7">
      <c r="A23" s="3" t="s">
        <v>645</v>
      </c>
      <c r="C23" s="3">
        <v>1</v>
      </c>
      <c r="D23" s="3">
        <v>6</v>
      </c>
      <c r="E23" s="16" t="s">
        <v>3</v>
      </c>
      <c r="F23">
        <v>-74.840058999999997</v>
      </c>
      <c r="G23">
        <v>6.6765540000000003</v>
      </c>
    </row>
    <row r="24" spans="1:7">
      <c r="A24" s="3" t="s">
        <v>67</v>
      </c>
      <c r="C24" s="3">
        <v>1</v>
      </c>
      <c r="D24" s="3">
        <v>6</v>
      </c>
      <c r="E24" s="16" t="s">
        <v>3</v>
      </c>
      <c r="F24">
        <v>-75.013385</v>
      </c>
      <c r="G24">
        <v>6.5945109999999998</v>
      </c>
    </row>
    <row r="25" spans="1:7">
      <c r="A25" s="3" t="s">
        <v>477</v>
      </c>
      <c r="C25" s="3">
        <v>1</v>
      </c>
      <c r="D25" s="3">
        <v>6</v>
      </c>
      <c r="E25" s="16" t="s">
        <v>34</v>
      </c>
      <c r="F25">
        <v>-75.335115999999999</v>
      </c>
      <c r="G25" s="8" t="s">
        <v>773</v>
      </c>
    </row>
    <row r="26" spans="1:7">
      <c r="A26" s="3" t="s">
        <v>341</v>
      </c>
      <c r="D26" s="3">
        <v>6</v>
      </c>
      <c r="E26" s="16" t="s">
        <v>34</v>
      </c>
      <c r="F26">
        <v>-75.667778999999996</v>
      </c>
      <c r="G26" s="8" t="s">
        <v>783</v>
      </c>
    </row>
    <row r="27" spans="1:7">
      <c r="A27" s="3" t="s">
        <v>136</v>
      </c>
      <c r="B27" s="3">
        <v>1</v>
      </c>
      <c r="C27" s="3">
        <v>1</v>
      </c>
      <c r="D27" s="3">
        <v>6</v>
      </c>
      <c r="E27" s="16" t="s">
        <v>34</v>
      </c>
      <c r="F27">
        <v>-75.550359999999998</v>
      </c>
      <c r="G27" s="8" t="s">
        <v>786</v>
      </c>
    </row>
    <row r="28" spans="1:7">
      <c r="A28" s="3" t="s">
        <v>286</v>
      </c>
      <c r="C28" s="3">
        <v>1</v>
      </c>
      <c r="D28" s="3">
        <v>6</v>
      </c>
      <c r="E28" s="16" t="s">
        <v>34</v>
      </c>
      <c r="F28" s="17">
        <v>-75.298090999999999</v>
      </c>
      <c r="G28" s="18" t="s">
        <v>791</v>
      </c>
    </row>
    <row r="29" spans="1:7">
      <c r="A29" s="3" t="s">
        <v>796</v>
      </c>
      <c r="D29" s="3">
        <v>6</v>
      </c>
      <c r="E29" s="16" t="s">
        <v>34</v>
      </c>
      <c r="F29" s="19">
        <v>-75.283192</v>
      </c>
      <c r="G29" s="20" t="s">
        <v>797</v>
      </c>
    </row>
    <row r="30" spans="1:7">
      <c r="A30" s="3" t="s">
        <v>35</v>
      </c>
      <c r="D30" s="3">
        <v>6</v>
      </c>
      <c r="E30" s="16" t="s">
        <v>34</v>
      </c>
      <c r="F30">
        <v>-75.392629999999997</v>
      </c>
      <c r="G30" s="8" t="s">
        <v>807</v>
      </c>
    </row>
    <row r="31" spans="1:7">
      <c r="A31" s="3" t="s">
        <v>326</v>
      </c>
      <c r="D31" s="3">
        <v>6</v>
      </c>
      <c r="E31" s="16" t="s">
        <v>34</v>
      </c>
      <c r="F31">
        <v>-75.517685</v>
      </c>
      <c r="G31" s="8" t="s">
        <v>814</v>
      </c>
    </row>
    <row r="32" spans="1:7">
      <c r="A32" s="3" t="s">
        <v>138</v>
      </c>
      <c r="D32" s="3">
        <v>6</v>
      </c>
      <c r="E32" s="16" t="s">
        <v>34</v>
      </c>
      <c r="F32">
        <v>-75.220017999999996</v>
      </c>
      <c r="G32" s="8" t="s">
        <v>821</v>
      </c>
    </row>
    <row r="33" spans="1:7">
      <c r="A33" s="3" t="s">
        <v>823</v>
      </c>
      <c r="C33" s="3">
        <v>1</v>
      </c>
      <c r="D33" s="3">
        <v>6</v>
      </c>
      <c r="E33" s="16" t="s">
        <v>34</v>
      </c>
      <c r="F33">
        <v>-75.239862000000002</v>
      </c>
      <c r="G33" s="8" t="s">
        <v>824</v>
      </c>
    </row>
    <row r="34" spans="1:7">
      <c r="A34" s="3" t="s">
        <v>832</v>
      </c>
      <c r="B34" s="3">
        <v>1</v>
      </c>
      <c r="C34" s="3">
        <v>1</v>
      </c>
      <c r="D34" s="3">
        <v>6</v>
      </c>
      <c r="E34" s="16" t="s">
        <v>34</v>
      </c>
      <c r="F34" s="17">
        <v>-75.764673000000002</v>
      </c>
      <c r="G34" s="18" t="s">
        <v>833</v>
      </c>
    </row>
    <row r="35" spans="1:7">
      <c r="A35" s="3" t="s">
        <v>865</v>
      </c>
      <c r="C35" s="3">
        <v>1</v>
      </c>
      <c r="D35" s="3">
        <v>6</v>
      </c>
      <c r="E35" s="16" t="s">
        <v>34</v>
      </c>
      <c r="F35" s="21">
        <v>-75.674564000000004</v>
      </c>
      <c r="G35" s="22" t="s">
        <v>866</v>
      </c>
    </row>
    <row r="36" spans="1:7">
      <c r="A36" s="3" t="s">
        <v>57</v>
      </c>
      <c r="D36" s="3">
        <v>6</v>
      </c>
      <c r="E36" s="16" t="s">
        <v>34</v>
      </c>
      <c r="F36">
        <v>-75.683351999999999</v>
      </c>
      <c r="G36" s="8" t="s">
        <v>870</v>
      </c>
    </row>
    <row r="37" spans="1:7">
      <c r="A37" s="3" t="s">
        <v>174</v>
      </c>
      <c r="D37" s="3">
        <v>6</v>
      </c>
      <c r="E37" s="16" t="s">
        <v>34</v>
      </c>
      <c r="F37">
        <v>-75.556742999999997</v>
      </c>
      <c r="G37" s="8" t="s">
        <v>873</v>
      </c>
    </row>
    <row r="38" spans="1:7">
      <c r="A38" s="3" t="s">
        <v>324</v>
      </c>
      <c r="D38" s="3">
        <v>5</v>
      </c>
      <c r="E38" s="16" t="s">
        <v>34</v>
      </c>
      <c r="F38">
        <v>-75.460723000000002</v>
      </c>
      <c r="G38" s="8" t="s">
        <v>880</v>
      </c>
    </row>
    <row r="39" spans="1:7">
      <c r="A39" s="3" t="s">
        <v>884</v>
      </c>
      <c r="C39" s="3">
        <v>1</v>
      </c>
      <c r="D39" s="3">
        <v>6</v>
      </c>
      <c r="E39" s="16" t="s">
        <v>34</v>
      </c>
      <c r="F39">
        <v>-75.692280999999994</v>
      </c>
      <c r="G39">
        <v>7.0103280000000003</v>
      </c>
    </row>
    <row r="40" spans="1:7">
      <c r="A40" s="3" t="s">
        <v>209</v>
      </c>
      <c r="B40" s="3">
        <v>1</v>
      </c>
      <c r="C40" s="3">
        <v>1</v>
      </c>
      <c r="D40" s="3">
        <v>6</v>
      </c>
      <c r="E40" s="16" t="s">
        <v>34</v>
      </c>
      <c r="F40">
        <v>-75.439273999999997</v>
      </c>
      <c r="G40">
        <v>7.1651999999999996</v>
      </c>
    </row>
    <row r="41" spans="1:7">
      <c r="A41" s="3" t="s">
        <v>120</v>
      </c>
      <c r="C41" s="3">
        <v>1</v>
      </c>
      <c r="D41" s="3">
        <v>5</v>
      </c>
      <c r="E41" s="16" t="s">
        <v>34</v>
      </c>
      <c r="F41">
        <v>-75.418828000000005</v>
      </c>
      <c r="G41">
        <v>6.963832</v>
      </c>
    </row>
    <row r="42" spans="1:7">
      <c r="A42" s="3" t="s">
        <v>530</v>
      </c>
      <c r="C42" s="3">
        <v>1</v>
      </c>
      <c r="D42" s="3">
        <v>6</v>
      </c>
      <c r="E42" s="16" t="s">
        <v>47</v>
      </c>
      <c r="F42" s="17">
        <v>-76.064304000000007</v>
      </c>
      <c r="G42" s="18" t="s">
        <v>767</v>
      </c>
    </row>
    <row r="43" spans="1:7">
      <c r="A43" s="3" t="s">
        <v>168</v>
      </c>
      <c r="D43" s="3">
        <v>6</v>
      </c>
      <c r="E43" s="16" t="s">
        <v>47</v>
      </c>
      <c r="F43">
        <v>-75.854442000000006</v>
      </c>
      <c r="G43" s="8" t="s">
        <v>775</v>
      </c>
    </row>
    <row r="44" spans="1:7">
      <c r="A44" s="3" t="s">
        <v>48</v>
      </c>
      <c r="D44" s="3">
        <v>6</v>
      </c>
      <c r="E44" s="16" t="s">
        <v>47</v>
      </c>
      <c r="F44">
        <v>-75.786647000000002</v>
      </c>
      <c r="G44" s="8" t="s">
        <v>779</v>
      </c>
    </row>
    <row r="45" spans="1:7">
      <c r="A45" s="3" t="s">
        <v>574</v>
      </c>
      <c r="D45" s="3">
        <v>6</v>
      </c>
      <c r="E45" s="16" t="s">
        <v>47</v>
      </c>
      <c r="F45">
        <v>-75.906999999999996</v>
      </c>
      <c r="G45" s="8" t="s">
        <v>787</v>
      </c>
    </row>
    <row r="46" spans="1:7">
      <c r="A46" s="3" t="s">
        <v>448</v>
      </c>
      <c r="C46" s="3">
        <v>1</v>
      </c>
      <c r="D46" s="3">
        <v>6</v>
      </c>
      <c r="E46" s="16" t="s">
        <v>47</v>
      </c>
      <c r="F46">
        <v>-75.982929999999996</v>
      </c>
      <c r="G46" s="8" t="s">
        <v>789</v>
      </c>
    </row>
    <row r="47" spans="1:7">
      <c r="A47" s="3" t="s">
        <v>182</v>
      </c>
      <c r="D47" s="3">
        <v>6</v>
      </c>
      <c r="E47" s="16" t="s">
        <v>47</v>
      </c>
      <c r="F47">
        <v>-76.028227999999999</v>
      </c>
      <c r="G47" s="8" t="s">
        <v>792</v>
      </c>
    </row>
    <row r="48" spans="1:7">
      <c r="A48" s="3" t="s">
        <v>362</v>
      </c>
      <c r="B48" s="3">
        <v>1</v>
      </c>
      <c r="C48" s="3">
        <v>1</v>
      </c>
      <c r="D48" s="3">
        <v>6</v>
      </c>
      <c r="E48" s="16" t="s">
        <v>47</v>
      </c>
      <c r="F48">
        <v>-76.261613999999994</v>
      </c>
      <c r="G48" s="8" t="s">
        <v>806</v>
      </c>
    </row>
    <row r="49" spans="1:7">
      <c r="A49" s="3" t="s">
        <v>578</v>
      </c>
      <c r="D49" s="3">
        <v>6</v>
      </c>
      <c r="E49" s="16" t="s">
        <v>47</v>
      </c>
      <c r="F49">
        <v>-75.766413</v>
      </c>
      <c r="G49" s="8" t="s">
        <v>808</v>
      </c>
    </row>
    <row r="50" spans="1:7">
      <c r="A50" s="3" t="s">
        <v>256</v>
      </c>
      <c r="C50" s="3">
        <v>1</v>
      </c>
      <c r="D50" s="3">
        <v>6</v>
      </c>
      <c r="E50" s="16" t="s">
        <v>47</v>
      </c>
      <c r="F50">
        <v>-76.130764999999997</v>
      </c>
      <c r="G50" s="8" t="s">
        <v>817</v>
      </c>
    </row>
    <row r="51" spans="1:7">
      <c r="A51" s="3" t="s">
        <v>160</v>
      </c>
      <c r="D51" s="3">
        <v>6</v>
      </c>
      <c r="E51" s="16" t="s">
        <v>47</v>
      </c>
      <c r="F51">
        <v>-75.952157999999997</v>
      </c>
      <c r="G51" s="8" t="s">
        <v>819</v>
      </c>
    </row>
    <row r="52" spans="1:7">
      <c r="A52" s="3" t="s">
        <v>827</v>
      </c>
      <c r="D52" s="3">
        <v>6</v>
      </c>
      <c r="E52" s="16" t="s">
        <v>47</v>
      </c>
      <c r="F52">
        <v>-75.734322000000006</v>
      </c>
      <c r="G52" s="8" t="s">
        <v>828</v>
      </c>
    </row>
    <row r="53" spans="1:7">
      <c r="A53" s="3" t="s">
        <v>214</v>
      </c>
      <c r="D53" s="3">
        <v>6</v>
      </c>
      <c r="E53" s="16" t="s">
        <v>47</v>
      </c>
      <c r="F53">
        <v>-75.812837999999999</v>
      </c>
      <c r="G53" s="8" t="s">
        <v>841</v>
      </c>
    </row>
    <row r="54" spans="1:7">
      <c r="A54" s="3" t="s">
        <v>273</v>
      </c>
      <c r="D54" s="3">
        <v>6</v>
      </c>
      <c r="E54" s="16" t="s">
        <v>47</v>
      </c>
      <c r="F54">
        <v>-75.811773000000002</v>
      </c>
      <c r="G54" s="8" t="s">
        <v>851</v>
      </c>
    </row>
    <row r="55" spans="1:7">
      <c r="A55" s="3" t="s">
        <v>452</v>
      </c>
      <c r="D55" s="3">
        <v>6</v>
      </c>
      <c r="E55" s="16" t="s">
        <v>47</v>
      </c>
      <c r="F55">
        <v>-75.910357000000005</v>
      </c>
      <c r="G55" s="8" t="s">
        <v>852</v>
      </c>
    </row>
    <row r="56" spans="1:7">
      <c r="A56" s="3" t="s">
        <v>861</v>
      </c>
      <c r="D56" s="3">
        <v>6</v>
      </c>
      <c r="E56" s="16" t="s">
        <v>47</v>
      </c>
      <c r="F56">
        <v>-75.816644999999994</v>
      </c>
      <c r="G56" s="8" t="s">
        <v>862</v>
      </c>
    </row>
    <row r="57" spans="1:7">
      <c r="A57" s="3" t="s">
        <v>334</v>
      </c>
      <c r="D57" s="3">
        <v>6</v>
      </c>
      <c r="E57" s="16" t="s">
        <v>47</v>
      </c>
      <c r="F57">
        <v>-75.726974999999996</v>
      </c>
      <c r="G57" s="8" t="s">
        <v>869</v>
      </c>
    </row>
    <row r="58" spans="1:7">
      <c r="A58" s="3" t="s">
        <v>166</v>
      </c>
      <c r="C58" s="3">
        <v>1</v>
      </c>
      <c r="D58" s="3">
        <v>5</v>
      </c>
      <c r="E58" s="16" t="s">
        <v>47</v>
      </c>
      <c r="F58" s="21">
        <v>-75.826648000000006</v>
      </c>
      <c r="G58" s="22" t="s">
        <v>879</v>
      </c>
    </row>
    <row r="59" spans="1:7">
      <c r="A59" s="3" t="s">
        <v>95</v>
      </c>
      <c r="D59" s="3">
        <v>6</v>
      </c>
      <c r="E59" s="16" t="s">
        <v>47</v>
      </c>
      <c r="F59">
        <v>-75.747377999999998</v>
      </c>
      <c r="G59">
        <v>6.5007450000000002</v>
      </c>
    </row>
    <row r="60" spans="1:7">
      <c r="A60" s="3" t="s">
        <v>260</v>
      </c>
      <c r="C60" s="3">
        <v>1</v>
      </c>
      <c r="D60" s="3">
        <v>6</v>
      </c>
      <c r="E60" s="16" t="s">
        <v>47</v>
      </c>
      <c r="F60">
        <v>-76.173283999999995</v>
      </c>
      <c r="G60">
        <v>6.8983930000000004</v>
      </c>
    </row>
    <row r="61" spans="1:7">
      <c r="A61" s="3" t="s">
        <v>32</v>
      </c>
      <c r="C61" s="3">
        <v>1</v>
      </c>
      <c r="D61" s="3">
        <v>6</v>
      </c>
      <c r="E61" s="16" t="s">
        <v>20</v>
      </c>
      <c r="F61">
        <v>-75.428738999999993</v>
      </c>
      <c r="G61">
        <v>5.7893150000000002</v>
      </c>
    </row>
    <row r="62" spans="1:7">
      <c r="A62" s="3" t="s">
        <v>70</v>
      </c>
      <c r="C62" s="3">
        <v>1</v>
      </c>
      <c r="D62" s="3">
        <v>6</v>
      </c>
      <c r="E62" s="16" t="s">
        <v>20</v>
      </c>
      <c r="F62">
        <v>-75.141345999999999</v>
      </c>
      <c r="G62" s="8" t="s">
        <v>768</v>
      </c>
    </row>
    <row r="63" spans="1:7">
      <c r="A63" s="3" t="s">
        <v>141</v>
      </c>
      <c r="C63" s="3">
        <v>1</v>
      </c>
      <c r="D63" s="3">
        <v>6</v>
      </c>
      <c r="E63" s="16" t="s">
        <v>20</v>
      </c>
      <c r="F63">
        <v>-75.141069999999999</v>
      </c>
      <c r="G63" s="8" t="s">
        <v>778</v>
      </c>
    </row>
    <row r="64" spans="1:7">
      <c r="A64" s="3" t="s">
        <v>125</v>
      </c>
      <c r="C64" s="3">
        <v>1</v>
      </c>
      <c r="D64" s="3">
        <v>6</v>
      </c>
      <c r="E64" s="16" t="s">
        <v>20</v>
      </c>
      <c r="F64">
        <v>-75.185483000000005</v>
      </c>
      <c r="G64" s="8" t="s">
        <v>802</v>
      </c>
    </row>
    <row r="65" spans="1:7">
      <c r="A65" s="3" t="s">
        <v>103</v>
      </c>
      <c r="C65" s="3">
        <v>1</v>
      </c>
      <c r="D65" s="3">
        <v>6</v>
      </c>
      <c r="E65" s="16" t="s">
        <v>20</v>
      </c>
      <c r="F65">
        <v>-75.257587000000001</v>
      </c>
      <c r="G65" s="8" t="s">
        <v>803</v>
      </c>
    </row>
    <row r="66" spans="1:7">
      <c r="A66" s="3" t="s">
        <v>211</v>
      </c>
      <c r="D66" s="3">
        <v>3</v>
      </c>
      <c r="E66" s="16" t="s">
        <v>20</v>
      </c>
      <c r="F66" s="17">
        <v>-75.333900999999997</v>
      </c>
      <c r="G66" s="18" t="s">
        <v>810</v>
      </c>
    </row>
    <row r="67" spans="1:7">
      <c r="A67" s="3" t="s">
        <v>332</v>
      </c>
      <c r="D67" s="3">
        <v>6</v>
      </c>
      <c r="E67" s="16" t="s">
        <v>20</v>
      </c>
      <c r="F67" s="124">
        <v>-75.242693000000003</v>
      </c>
      <c r="G67" s="125" t="s">
        <v>811</v>
      </c>
    </row>
    <row r="68" spans="1:7">
      <c r="A68" s="3" t="s">
        <v>323</v>
      </c>
      <c r="D68" s="3">
        <v>3</v>
      </c>
      <c r="E68" s="16" t="s">
        <v>20</v>
      </c>
      <c r="F68" s="19">
        <v>-75.501300999999998</v>
      </c>
      <c r="G68" s="20" t="s">
        <v>812</v>
      </c>
    </row>
    <row r="69" spans="1:7">
      <c r="A69" s="3" t="s">
        <v>208</v>
      </c>
      <c r="D69" s="3">
        <v>6</v>
      </c>
      <c r="E69" s="16" t="s">
        <v>20</v>
      </c>
      <c r="F69">
        <v>-75.265465000000006</v>
      </c>
      <c r="G69" s="8" t="s">
        <v>813</v>
      </c>
    </row>
    <row r="70" spans="1:7">
      <c r="A70" s="3" t="s">
        <v>227</v>
      </c>
      <c r="C70" s="3">
        <v>1</v>
      </c>
      <c r="D70" s="3">
        <v>6</v>
      </c>
      <c r="E70" s="16" t="s">
        <v>20</v>
      </c>
      <c r="F70">
        <v>-75.184445999999994</v>
      </c>
      <c r="G70" s="8" t="s">
        <v>822</v>
      </c>
    </row>
    <row r="71" spans="1:7">
      <c r="A71" s="3" t="s">
        <v>163</v>
      </c>
      <c r="D71" s="3">
        <v>2</v>
      </c>
      <c r="E71" s="16" t="s">
        <v>20</v>
      </c>
      <c r="F71">
        <v>-75.441612000000006</v>
      </c>
      <c r="G71" s="8" t="s">
        <v>825</v>
      </c>
    </row>
    <row r="72" spans="1:7">
      <c r="A72" s="3" t="s">
        <v>601</v>
      </c>
      <c r="D72" s="3">
        <v>6</v>
      </c>
      <c r="E72" s="16" t="s">
        <v>20</v>
      </c>
      <c r="F72">
        <v>-75.160041000000007</v>
      </c>
      <c r="G72" s="8" t="s">
        <v>826</v>
      </c>
    </row>
    <row r="73" spans="1:7">
      <c r="A73" s="3" t="s">
        <v>115</v>
      </c>
      <c r="D73" s="3">
        <v>2</v>
      </c>
      <c r="E73" s="16" t="s">
        <v>20</v>
      </c>
      <c r="F73">
        <v>-75.429433000000003</v>
      </c>
      <c r="G73" s="8" t="s">
        <v>836</v>
      </c>
    </row>
    <row r="74" spans="1:7">
      <c r="A74" s="3" t="s">
        <v>186</v>
      </c>
      <c r="D74" s="3">
        <v>6</v>
      </c>
      <c r="E74" s="16" t="s">
        <v>20</v>
      </c>
      <c r="F74">
        <v>-75.360873999999995</v>
      </c>
      <c r="G74" s="8" t="s">
        <v>840</v>
      </c>
    </row>
    <row r="75" spans="1:7">
      <c r="A75" s="3" t="s">
        <v>177</v>
      </c>
      <c r="D75" s="3">
        <v>4</v>
      </c>
      <c r="E75" s="16" t="s">
        <v>20</v>
      </c>
      <c r="F75">
        <v>-75.339344999999994</v>
      </c>
      <c r="G75" s="8" t="s">
        <v>843</v>
      </c>
    </row>
    <row r="76" spans="1:7">
      <c r="A76" s="3" t="s">
        <v>616</v>
      </c>
      <c r="C76" s="3">
        <v>1</v>
      </c>
      <c r="D76" s="3">
        <v>6</v>
      </c>
      <c r="E76" s="16" t="s">
        <v>20</v>
      </c>
      <c r="F76">
        <v>-75.176261999999994</v>
      </c>
      <c r="G76" s="8" t="s">
        <v>848</v>
      </c>
    </row>
    <row r="77" spans="1:7">
      <c r="A77" s="3" t="s">
        <v>27</v>
      </c>
      <c r="D77" s="3">
        <v>1</v>
      </c>
      <c r="E77" s="16" t="s">
        <v>20</v>
      </c>
      <c r="F77">
        <v>-75.377315999999993</v>
      </c>
      <c r="G77" s="8" t="s">
        <v>860</v>
      </c>
    </row>
    <row r="78" spans="1:7">
      <c r="A78" s="3" t="s">
        <v>97</v>
      </c>
      <c r="C78" s="3">
        <v>1</v>
      </c>
      <c r="D78" s="3">
        <v>6</v>
      </c>
      <c r="E78" s="16" t="s">
        <v>20</v>
      </c>
      <c r="F78">
        <v>-74.988096999999996</v>
      </c>
      <c r="G78" s="8" t="s">
        <v>867</v>
      </c>
    </row>
    <row r="79" spans="1:7">
      <c r="A79" s="3" t="s">
        <v>113</v>
      </c>
      <c r="C79" s="3">
        <v>1</v>
      </c>
      <c r="D79" s="3">
        <v>6</v>
      </c>
      <c r="E79" s="16" t="s">
        <v>20</v>
      </c>
      <c r="F79">
        <v>-75.101562000000001</v>
      </c>
      <c r="G79" s="8" t="s">
        <v>868</v>
      </c>
    </row>
    <row r="80" spans="1:7">
      <c r="A80" s="3" t="s">
        <v>270</v>
      </c>
      <c r="C80" s="3">
        <v>1</v>
      </c>
      <c r="D80" s="3">
        <v>6</v>
      </c>
      <c r="E80" s="16" t="s">
        <v>20</v>
      </c>
      <c r="F80">
        <v>-74.993618999999995</v>
      </c>
      <c r="G80" s="8" t="s">
        <v>872</v>
      </c>
    </row>
    <row r="81" spans="1:7">
      <c r="A81" s="3" t="s">
        <v>470</v>
      </c>
      <c r="C81" s="3">
        <v>1</v>
      </c>
      <c r="D81" s="3">
        <v>6</v>
      </c>
      <c r="E81" s="16" t="s">
        <v>20</v>
      </c>
      <c r="F81">
        <v>-75.028490000000005</v>
      </c>
      <c r="G81" s="8" t="s">
        <v>875</v>
      </c>
    </row>
    <row r="82" spans="1:7">
      <c r="A82" s="3" t="s">
        <v>596</v>
      </c>
      <c r="D82" s="3">
        <v>6</v>
      </c>
      <c r="E82" s="16" t="s">
        <v>20</v>
      </c>
      <c r="F82">
        <v>-75.332616000000002</v>
      </c>
      <c r="G82" s="8" t="s">
        <v>877</v>
      </c>
    </row>
    <row r="83" spans="1:7">
      <c r="A83" s="3" t="s">
        <v>84</v>
      </c>
      <c r="C83" s="3">
        <v>1</v>
      </c>
      <c r="D83" s="3">
        <v>5</v>
      </c>
      <c r="E83" s="16" t="s">
        <v>20</v>
      </c>
      <c r="F83">
        <v>-75.309595999999999</v>
      </c>
      <c r="G83" s="8" t="s">
        <v>883</v>
      </c>
    </row>
    <row r="84" spans="1:7">
      <c r="A84" s="3" t="s">
        <v>92</v>
      </c>
      <c r="D84" s="3">
        <v>6</v>
      </c>
      <c r="E84" s="16" t="s">
        <v>22</v>
      </c>
      <c r="F84">
        <v>-75.702188000000007</v>
      </c>
      <c r="G84" s="8" t="s">
        <v>769</v>
      </c>
    </row>
    <row r="85" spans="1:7">
      <c r="A85" s="3" t="s">
        <v>216</v>
      </c>
      <c r="D85" s="3">
        <v>6</v>
      </c>
      <c r="E85" s="16" t="s">
        <v>22</v>
      </c>
      <c r="F85">
        <v>-75.878827999999999</v>
      </c>
      <c r="G85" s="8" t="s">
        <v>771</v>
      </c>
    </row>
    <row r="86" spans="1:7">
      <c r="A86" s="3" t="s">
        <v>465</v>
      </c>
      <c r="D86" s="3">
        <v>5</v>
      </c>
      <c r="E86" s="16" t="s">
        <v>22</v>
      </c>
      <c r="F86">
        <v>-75.711388999999997</v>
      </c>
      <c r="G86" s="8" t="s">
        <v>772</v>
      </c>
    </row>
    <row r="87" spans="1:7">
      <c r="A87" s="3" t="s">
        <v>127</v>
      </c>
      <c r="D87" s="3">
        <v>6</v>
      </c>
      <c r="E87" s="16" t="s">
        <v>22</v>
      </c>
      <c r="F87">
        <v>-75.976789999999994</v>
      </c>
      <c r="G87" s="8" t="s">
        <v>784</v>
      </c>
    </row>
    <row r="88" spans="1:7">
      <c r="A88" s="3" t="s">
        <v>337</v>
      </c>
      <c r="D88" s="3">
        <v>6</v>
      </c>
      <c r="E88" s="16" t="s">
        <v>22</v>
      </c>
      <c r="F88">
        <v>-75.984452000000005</v>
      </c>
      <c r="G88" s="8" t="s">
        <v>785</v>
      </c>
    </row>
    <row r="89" spans="1:7">
      <c r="A89" s="3" t="s">
        <v>359</v>
      </c>
      <c r="D89" s="3">
        <v>6</v>
      </c>
      <c r="E89" s="16" t="s">
        <v>22</v>
      </c>
      <c r="F89">
        <v>-75.643867999999998</v>
      </c>
      <c r="G89" s="8" t="s">
        <v>794</v>
      </c>
    </row>
    <row r="90" spans="1:7">
      <c r="A90" s="3" t="s">
        <v>223</v>
      </c>
      <c r="D90" s="3">
        <v>6</v>
      </c>
      <c r="E90" s="16" t="s">
        <v>22</v>
      </c>
      <c r="F90">
        <v>-76.021508999999995</v>
      </c>
      <c r="G90" s="8" t="s">
        <v>801</v>
      </c>
    </row>
    <row r="91" spans="1:7">
      <c r="A91" s="3" t="s">
        <v>444</v>
      </c>
      <c r="D91" s="3">
        <v>6</v>
      </c>
      <c r="E91" s="16" t="s">
        <v>22</v>
      </c>
      <c r="F91">
        <v>-75.908448000000007</v>
      </c>
      <c r="G91" s="8" t="s">
        <v>804</v>
      </c>
    </row>
    <row r="92" spans="1:7">
      <c r="A92" s="3" t="s">
        <v>61</v>
      </c>
      <c r="D92" s="3">
        <v>6</v>
      </c>
      <c r="E92" s="16" t="s">
        <v>22</v>
      </c>
      <c r="F92">
        <v>-75.675072</v>
      </c>
      <c r="G92" s="8" t="s">
        <v>816</v>
      </c>
    </row>
    <row r="93" spans="1:7">
      <c r="A93" s="3" t="s">
        <v>230</v>
      </c>
      <c r="D93" s="3">
        <v>6</v>
      </c>
      <c r="E93" s="16" t="s">
        <v>22</v>
      </c>
      <c r="F93">
        <v>-75.906587000000002</v>
      </c>
      <c r="G93" s="8" t="s">
        <v>829</v>
      </c>
    </row>
    <row r="94" spans="1:7">
      <c r="A94" s="3" t="s">
        <v>156</v>
      </c>
      <c r="D94" s="3">
        <v>6</v>
      </c>
      <c r="E94" s="16" t="s">
        <v>22</v>
      </c>
      <c r="F94">
        <v>-75.818982000000005</v>
      </c>
      <c r="G94" s="8" t="s">
        <v>834</v>
      </c>
    </row>
    <row r="95" spans="1:7">
      <c r="A95" s="3" t="s">
        <v>144</v>
      </c>
      <c r="D95" s="3">
        <v>6</v>
      </c>
      <c r="E95" s="16" t="s">
        <v>22</v>
      </c>
      <c r="F95">
        <v>-75.785499000000002</v>
      </c>
      <c r="G95" s="8" t="s">
        <v>835</v>
      </c>
    </row>
    <row r="96" spans="1:7">
      <c r="A96" s="3" t="s">
        <v>101</v>
      </c>
      <c r="D96" s="3">
        <v>6</v>
      </c>
      <c r="E96" s="16" t="s">
        <v>22</v>
      </c>
      <c r="F96">
        <v>-75.607810000000001</v>
      </c>
      <c r="G96" s="8" t="s">
        <v>839</v>
      </c>
    </row>
    <row r="97" spans="1:7">
      <c r="A97" s="3" t="s">
        <v>232</v>
      </c>
      <c r="C97" s="3">
        <v>1</v>
      </c>
      <c r="D97" s="3">
        <v>6</v>
      </c>
      <c r="E97" s="16" t="s">
        <v>22</v>
      </c>
      <c r="F97">
        <v>-75.523454999999998</v>
      </c>
      <c r="G97" s="8" t="s">
        <v>844</v>
      </c>
    </row>
    <row r="98" spans="1:7">
      <c r="A98" s="3" t="s">
        <v>88</v>
      </c>
      <c r="D98" s="3">
        <v>6</v>
      </c>
      <c r="E98" s="16" t="s">
        <v>22</v>
      </c>
      <c r="F98">
        <v>-75.839903000000007</v>
      </c>
      <c r="G98" s="8" t="s">
        <v>853</v>
      </c>
    </row>
    <row r="99" spans="1:7">
      <c r="A99" s="3" t="s">
        <v>492</v>
      </c>
      <c r="C99" s="3">
        <v>1</v>
      </c>
      <c r="D99" s="3">
        <v>6</v>
      </c>
      <c r="E99" s="16" t="s">
        <v>22</v>
      </c>
      <c r="F99">
        <v>-75.976806999999994</v>
      </c>
      <c r="G99" s="8" t="s">
        <v>864</v>
      </c>
    </row>
    <row r="100" spans="1:7">
      <c r="A100" s="3" t="s">
        <v>30</v>
      </c>
      <c r="D100" s="3">
        <v>6</v>
      </c>
      <c r="E100" s="16" t="s">
        <v>22</v>
      </c>
      <c r="F100">
        <v>-75.567351000000002</v>
      </c>
      <c r="G100" s="8" t="s">
        <v>878</v>
      </c>
    </row>
    <row r="101" spans="1:7">
      <c r="A101" s="3" t="s">
        <v>52</v>
      </c>
      <c r="D101" s="3">
        <v>6</v>
      </c>
      <c r="E101" s="16" t="s">
        <v>22</v>
      </c>
      <c r="F101">
        <v>-75.714428999999996</v>
      </c>
      <c r="G101">
        <v>5.6646450000000002</v>
      </c>
    </row>
    <row r="102" spans="1:7">
      <c r="A102" s="3" t="s">
        <v>54</v>
      </c>
      <c r="D102" s="3">
        <v>6</v>
      </c>
      <c r="E102" s="16" t="s">
        <v>22</v>
      </c>
      <c r="F102">
        <v>-75.822956000000005</v>
      </c>
      <c r="G102">
        <v>5.8645420000000001</v>
      </c>
    </row>
    <row r="103" spans="1:7">
      <c r="A103" s="3" t="s">
        <v>146</v>
      </c>
      <c r="D103" s="3">
        <v>6</v>
      </c>
      <c r="E103" s="16" t="s">
        <v>22</v>
      </c>
      <c r="F103">
        <v>-75.791887000000003</v>
      </c>
      <c r="G103">
        <v>6.0623909999999999</v>
      </c>
    </row>
    <row r="104" spans="1:7">
      <c r="A104" s="3" t="s">
        <v>23</v>
      </c>
      <c r="C104" s="3">
        <v>1</v>
      </c>
      <c r="D104" s="3">
        <v>6</v>
      </c>
      <c r="E104" s="16" t="s">
        <v>22</v>
      </c>
      <c r="F104">
        <v>-76.133950999999996</v>
      </c>
      <c r="G104">
        <v>6.3173430000000002</v>
      </c>
    </row>
    <row r="105" spans="1:7">
      <c r="A105" s="3" t="s">
        <v>90</v>
      </c>
      <c r="D105" s="3">
        <v>6</v>
      </c>
      <c r="E105" s="16" t="s">
        <v>22</v>
      </c>
      <c r="F105">
        <v>-75.624452000000005</v>
      </c>
      <c r="G105">
        <v>5.6145550000000002</v>
      </c>
    </row>
    <row r="106" spans="1:7">
      <c r="A106" s="3" t="s">
        <v>281</v>
      </c>
      <c r="D106" s="3">
        <v>6</v>
      </c>
      <c r="E106" s="16" t="s">
        <v>22</v>
      </c>
      <c r="F106">
        <v>-75.735544000000004</v>
      </c>
      <c r="G106">
        <v>5.9646929999999996</v>
      </c>
    </row>
    <row r="107" spans="1:7">
      <c r="A107" s="3" t="s">
        <v>111</v>
      </c>
      <c r="B107" s="3">
        <v>1</v>
      </c>
      <c r="C107" s="3">
        <v>1</v>
      </c>
      <c r="D107" s="3">
        <v>3</v>
      </c>
      <c r="E107" s="16" t="s">
        <v>37</v>
      </c>
      <c r="F107">
        <v>-76.625279000000006</v>
      </c>
      <c r="G107" s="8" t="s">
        <v>776</v>
      </c>
    </row>
    <row r="108" spans="1:7">
      <c r="A108" s="3" t="s">
        <v>193</v>
      </c>
      <c r="D108" s="3">
        <v>6</v>
      </c>
      <c r="E108" s="16" t="s">
        <v>37</v>
      </c>
      <c r="F108">
        <v>-76.426708000000005</v>
      </c>
      <c r="G108" s="8" t="s">
        <v>777</v>
      </c>
    </row>
    <row r="109" spans="1:7">
      <c r="A109" s="3" t="s">
        <v>38</v>
      </c>
      <c r="B109" s="3">
        <v>1</v>
      </c>
      <c r="C109" s="3">
        <v>1</v>
      </c>
      <c r="D109" s="3">
        <v>6</v>
      </c>
      <c r="E109" s="16" t="s">
        <v>37</v>
      </c>
      <c r="F109">
        <v>-76.652652000000003</v>
      </c>
      <c r="G109" s="8" t="s">
        <v>795</v>
      </c>
    </row>
    <row r="110" spans="1:7">
      <c r="A110" s="3" t="s">
        <v>118</v>
      </c>
      <c r="B110" s="3">
        <v>1</v>
      </c>
      <c r="C110" s="3">
        <v>1</v>
      </c>
      <c r="D110" s="3">
        <v>6</v>
      </c>
      <c r="E110" s="16" t="s">
        <v>37</v>
      </c>
      <c r="F110">
        <v>-76.681531000000007</v>
      </c>
      <c r="G110" s="8" t="s">
        <v>799</v>
      </c>
    </row>
    <row r="111" spans="1:7">
      <c r="A111" s="3" t="s">
        <v>258</v>
      </c>
      <c r="B111" s="3">
        <v>1</v>
      </c>
      <c r="C111" s="3">
        <v>1</v>
      </c>
      <c r="D111" s="3">
        <v>6</v>
      </c>
      <c r="E111" s="16" t="s">
        <v>37</v>
      </c>
      <c r="F111">
        <v>-76.817485000000005</v>
      </c>
      <c r="G111" s="8" t="s">
        <v>845</v>
      </c>
    </row>
    <row r="112" spans="1:7">
      <c r="A112" s="3" t="s">
        <v>846</v>
      </c>
      <c r="B112" s="3">
        <v>1</v>
      </c>
      <c r="C112" s="3">
        <v>1</v>
      </c>
      <c r="D112" s="3">
        <v>6</v>
      </c>
      <c r="E112" s="16" t="s">
        <v>37</v>
      </c>
      <c r="F112">
        <v>-76.435874999999996</v>
      </c>
      <c r="G112" s="8" t="s">
        <v>847</v>
      </c>
    </row>
    <row r="113" spans="1:7">
      <c r="A113" s="3" t="s">
        <v>153</v>
      </c>
      <c r="B113" s="3">
        <v>1</v>
      </c>
      <c r="C113" s="3">
        <v>1</v>
      </c>
      <c r="D113" s="3">
        <v>6</v>
      </c>
      <c r="E113" s="16" t="s">
        <v>37</v>
      </c>
      <c r="F113">
        <v>-76.787271000000004</v>
      </c>
      <c r="G113" s="8" t="s">
        <v>850</v>
      </c>
    </row>
    <row r="114" spans="1:7">
      <c r="A114" s="3" t="s">
        <v>65</v>
      </c>
      <c r="D114" s="3">
        <v>6</v>
      </c>
      <c r="E114" s="16" t="s">
        <v>37</v>
      </c>
      <c r="F114">
        <v>-76.528570000000002</v>
      </c>
      <c r="G114" s="8" t="s">
        <v>871</v>
      </c>
    </row>
    <row r="115" spans="1:7">
      <c r="A115" s="3" t="s">
        <v>63</v>
      </c>
      <c r="B115" s="3">
        <v>1</v>
      </c>
      <c r="C115" s="3">
        <v>1</v>
      </c>
      <c r="D115" s="3">
        <v>6</v>
      </c>
      <c r="E115" s="16" t="s">
        <v>37</v>
      </c>
      <c r="F115">
        <v>-76.380566999999999</v>
      </c>
      <c r="G115" s="8" t="s">
        <v>874</v>
      </c>
    </row>
    <row r="116" spans="1:7">
      <c r="A116" s="3" t="s">
        <v>74</v>
      </c>
      <c r="B116" s="3">
        <v>1</v>
      </c>
      <c r="C116" s="3">
        <v>1</v>
      </c>
      <c r="D116" s="3">
        <v>5</v>
      </c>
      <c r="E116" s="16" t="s">
        <v>37</v>
      </c>
      <c r="F116">
        <v>-76.728858000000002</v>
      </c>
      <c r="G116">
        <v>8.0899289999999997</v>
      </c>
    </row>
    <row r="117" spans="1:7">
      <c r="A117" s="3" t="s">
        <v>148</v>
      </c>
      <c r="B117" s="3">
        <v>1</v>
      </c>
      <c r="C117" s="3">
        <v>1</v>
      </c>
      <c r="D117" s="3">
        <v>6</v>
      </c>
      <c r="E117" s="16" t="s">
        <v>37</v>
      </c>
      <c r="F117">
        <v>-76.896004000000005</v>
      </c>
      <c r="G117">
        <v>6.5881639999999999</v>
      </c>
    </row>
    <row r="118" spans="1:7" ht="25.5">
      <c r="A118" s="3" t="s">
        <v>15</v>
      </c>
      <c r="D118" s="3">
        <v>4</v>
      </c>
      <c r="E118" s="16" t="s">
        <v>14</v>
      </c>
      <c r="F118">
        <v>-75.331626999999997</v>
      </c>
      <c r="G118" s="8" t="s">
        <v>780</v>
      </c>
    </row>
    <row r="119" spans="1:7" ht="25.5">
      <c r="A119" s="3" t="s">
        <v>781</v>
      </c>
      <c r="D119" s="3">
        <v>1</v>
      </c>
      <c r="E119" s="16" t="s">
        <v>14</v>
      </c>
      <c r="F119">
        <v>-75.555244999999999</v>
      </c>
      <c r="G119" s="8" t="s">
        <v>782</v>
      </c>
    </row>
    <row r="120" spans="1:7" ht="25.5">
      <c r="A120" s="3" t="s">
        <v>343</v>
      </c>
      <c r="D120" s="3">
        <v>3</v>
      </c>
      <c r="E120" s="16" t="s">
        <v>14</v>
      </c>
      <c r="F120">
        <v>-75.633673000000002</v>
      </c>
      <c r="G120" s="8" t="s">
        <v>790</v>
      </c>
    </row>
    <row r="121" spans="1:7" ht="25.5">
      <c r="A121" s="3" t="s">
        <v>131</v>
      </c>
      <c r="D121" s="3">
        <v>3</v>
      </c>
      <c r="E121" s="16" t="s">
        <v>14</v>
      </c>
      <c r="F121">
        <v>-75.509383999999997</v>
      </c>
      <c r="G121" s="8" t="s">
        <v>805</v>
      </c>
    </row>
    <row r="122" spans="1:7" ht="25.5">
      <c r="A122" s="3" t="s">
        <v>76</v>
      </c>
      <c r="D122" s="3">
        <v>1</v>
      </c>
      <c r="E122" s="16" t="s">
        <v>14</v>
      </c>
      <c r="F122">
        <v>-75.582192000000006</v>
      </c>
      <c r="G122" s="8" t="s">
        <v>815</v>
      </c>
    </row>
    <row r="123" spans="1:7" ht="25.5">
      <c r="A123" s="3" t="s">
        <v>196</v>
      </c>
      <c r="D123" s="3">
        <v>2</v>
      </c>
      <c r="E123" s="16" t="s">
        <v>14</v>
      </c>
      <c r="F123">
        <v>-75.444237999999999</v>
      </c>
      <c r="G123" s="8" t="s">
        <v>820</v>
      </c>
    </row>
    <row r="124" spans="1:7" ht="25.5">
      <c r="A124" s="3" t="s">
        <v>830</v>
      </c>
      <c r="D124" s="3">
        <v>1</v>
      </c>
      <c r="E124" s="16" t="s">
        <v>14</v>
      </c>
      <c r="F124">
        <v>-75.612055999999995</v>
      </c>
      <c r="G124" s="8" t="s">
        <v>831</v>
      </c>
    </row>
    <row r="125" spans="1:7" ht="25.5">
      <c r="A125" s="3" t="s">
        <v>837</v>
      </c>
      <c r="D125" s="3">
        <v>2</v>
      </c>
      <c r="E125" s="16" t="s">
        <v>14</v>
      </c>
      <c r="F125">
        <v>-75.637708000000003</v>
      </c>
      <c r="G125" s="8" t="s">
        <v>838</v>
      </c>
    </row>
    <row r="126" spans="1:7" ht="25.5">
      <c r="A126" s="3" t="s">
        <v>580</v>
      </c>
      <c r="E126" s="16" t="s">
        <v>14</v>
      </c>
      <c r="F126">
        <v>-75.581774999999993</v>
      </c>
      <c r="G126" s="8" t="s">
        <v>818</v>
      </c>
    </row>
    <row r="127" spans="1:7" ht="25.5">
      <c r="A127" s="3" t="s">
        <v>250</v>
      </c>
      <c r="D127" s="3">
        <v>1</v>
      </c>
      <c r="E127" s="16" t="s">
        <v>14</v>
      </c>
      <c r="F127">
        <v>-75.615478999999993</v>
      </c>
      <c r="G127" s="8" t="s">
        <v>863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B0FFD-0895-4DC8-A938-F132C99323D8}">
  <sheetPr>
    <tabColor rgb="FF92D050"/>
  </sheetPr>
  <dimension ref="A1:AB126"/>
  <sheetViews>
    <sheetView showGridLines="0" topLeftCell="K1" zoomScale="85" zoomScaleNormal="85" workbookViewId="0">
      <selection activeCell="Y3" sqref="Y3"/>
    </sheetView>
  </sheetViews>
  <sheetFormatPr baseColWidth="10" defaultColWidth="11.5703125" defaultRowHeight="15"/>
  <cols>
    <col min="1" max="1" width="13.7109375" bestFit="1" customWidth="1"/>
    <col min="2" max="2" width="45.5703125" bestFit="1" customWidth="1"/>
    <col min="3" max="3" width="14.5703125" customWidth="1"/>
    <col min="4" max="5" width="18.5703125" customWidth="1"/>
    <col min="6" max="6" width="20.85546875" customWidth="1"/>
    <col min="7" max="7" width="17.28515625" customWidth="1"/>
    <col min="8" max="8" width="18.5703125" customWidth="1"/>
    <col min="9" max="9" width="29.5703125" customWidth="1"/>
    <col min="10" max="10" width="14.5703125" customWidth="1"/>
    <col min="11" max="11" width="40.85546875" customWidth="1"/>
    <col min="12" max="13" width="40" customWidth="1"/>
    <col min="14" max="14" width="24.28515625" customWidth="1"/>
    <col min="15" max="15" width="17.85546875" customWidth="1"/>
    <col min="17" max="17" width="11.5703125" style="3"/>
    <col min="18" max="18" width="19.42578125" style="3" customWidth="1"/>
    <col min="19" max="19" width="19.28515625" bestFit="1" customWidth="1"/>
    <col min="20" max="25" width="19.28515625" customWidth="1"/>
  </cols>
  <sheetData>
    <row r="1" spans="1:28" ht="51">
      <c r="A1" s="96" t="s">
        <v>886</v>
      </c>
      <c r="B1" s="74" t="s">
        <v>2</v>
      </c>
      <c r="C1" s="74" t="s">
        <v>887</v>
      </c>
      <c r="D1" s="74" t="s">
        <v>893</v>
      </c>
      <c r="E1" s="74" t="s">
        <v>894</v>
      </c>
      <c r="F1" s="74" t="s">
        <v>895</v>
      </c>
      <c r="G1" s="85" t="s">
        <v>896</v>
      </c>
      <c r="H1" s="85" t="s">
        <v>897</v>
      </c>
      <c r="I1" s="85" t="s">
        <v>898</v>
      </c>
      <c r="J1" s="86" t="s">
        <v>899</v>
      </c>
      <c r="K1" s="74" t="s">
        <v>900</v>
      </c>
      <c r="L1" s="74" t="s">
        <v>901</v>
      </c>
      <c r="M1" s="74" t="s">
        <v>902</v>
      </c>
      <c r="N1" s="87" t="s">
        <v>903</v>
      </c>
      <c r="O1" s="90" t="s">
        <v>888</v>
      </c>
      <c r="P1" s="91" t="s">
        <v>889</v>
      </c>
      <c r="Q1" s="99" t="s">
        <v>890</v>
      </c>
      <c r="R1" s="163" t="s">
        <v>1135</v>
      </c>
      <c r="S1" s="163" t="s">
        <v>1136</v>
      </c>
      <c r="T1" s="164" t="s">
        <v>1137</v>
      </c>
      <c r="U1" s="164" t="s">
        <v>1138</v>
      </c>
      <c r="V1" s="164" t="s">
        <v>1139</v>
      </c>
      <c r="W1" s="164" t="s">
        <v>1140</v>
      </c>
      <c r="X1" s="164" t="s">
        <v>1143</v>
      </c>
      <c r="Y1" s="164" t="s">
        <v>1141</v>
      </c>
      <c r="Z1" s="75" t="s">
        <v>891</v>
      </c>
      <c r="AA1" s="76">
        <v>0.5</v>
      </c>
    </row>
    <row r="2" spans="1:28">
      <c r="A2" s="97" t="s">
        <v>14</v>
      </c>
      <c r="B2" s="73" t="s">
        <v>580</v>
      </c>
      <c r="C2" s="73" t="s">
        <v>891</v>
      </c>
      <c r="D2" s="108">
        <v>3643253573623.1133</v>
      </c>
      <c r="E2" s="108">
        <v>1227432033091.78</v>
      </c>
      <c r="F2" s="109">
        <f t="shared" ref="F2:F65" si="0">D2-E2</f>
        <v>2415821540531.333</v>
      </c>
      <c r="G2" s="110">
        <v>180986901342</v>
      </c>
      <c r="H2" s="108">
        <v>2084001890354</v>
      </c>
      <c r="I2" s="109">
        <f t="shared" ref="I2:I65" si="1">G2+H2</f>
        <v>2264988791696</v>
      </c>
      <c r="J2" s="88">
        <f t="shared" ref="J2:J65" si="2">I2/D2</f>
        <v>0.62169397378605529</v>
      </c>
      <c r="K2" s="116">
        <f t="shared" ref="K2:K65" si="3">D2-I2</f>
        <v>1378264781927.1133</v>
      </c>
      <c r="L2" s="116">
        <f t="shared" ref="L2:L65" si="4">K2*80%</f>
        <v>1102611825541.6907</v>
      </c>
      <c r="M2" s="116">
        <f t="shared" ref="M2:M65" si="5">K2*60%</f>
        <v>826958869156.26794</v>
      </c>
      <c r="N2" s="89">
        <f t="shared" ref="N2:N65" si="6">IFERROR(G2/I2,0%)</f>
        <v>7.9906312121959283E-2</v>
      </c>
      <c r="O2" s="77">
        <v>0.31949631926682159</v>
      </c>
      <c r="P2" s="78">
        <f t="shared" ref="P2:P65" si="7">_xlfn.XLOOKUP(C2,Z:Z,AA:AA)</f>
        <v>0.5</v>
      </c>
      <c r="Q2" s="100" t="str">
        <f t="shared" ref="Q2:Q65" si="8">IF(AND(OR(C2=4,C2=5,C2=6),O2&gt;=75%,O2&lt;80%),"Riesgo",IF(O2&gt;P2,"Incumple","Cumple"))</f>
        <v>Cumple</v>
      </c>
      <c r="R2" s="162">
        <f>+SUMIF('2.BDN'!D:D,Table8[[#This Row],[MUNICIPIO]],'2.BDN'!L:L)</f>
        <v>0</v>
      </c>
      <c r="S2" s="162">
        <f>+SUMIF('2.BDN'!D:D,Table8[[#This Row],[MUNICIPIO]],'2.BDN'!O:O)</f>
        <v>0</v>
      </c>
      <c r="T2" s="162">
        <f>+Table8[[#This Row],[SUMATORIA DE PROYECTOS SIF]]+Table8[[#This Row],[SUMATORIA DE PROYECTOS SED]]</f>
        <v>0</v>
      </c>
      <c r="U2" s="165">
        <v>3115536915</v>
      </c>
      <c r="V2" s="165">
        <f>+Table8[[#This Row],[CAPACIDAD MAXIMA DE ENDEUDAMIENTO AL 60%]]*0.2</f>
        <v>165391773831.2536</v>
      </c>
      <c r="W2" s="165">
        <f>+Table8[[#This Row],[SUMA TOTAL 2]]*0.2</f>
        <v>623107383</v>
      </c>
      <c r="X2" s="165">
        <f>+Table8[[#This Row],[APORTE GOB2]]+Table8[[#This Row],[CAPACIDAD MAXIMA DE ENDEUDAMIENTO AL 60%]]</f>
        <v>827581976539.26794</v>
      </c>
      <c r="Y2" s="165">
        <f>+Table8[[#This Row],[CAPACIDAD MAXIMA DE ENDEUDAMIENTO AL 60%]]+Table8[[#This Row],[APORTE GOB]]-Table8[[#This Row],[SUMA TOTAL]]</f>
        <v>992350642987.52148</v>
      </c>
    </row>
    <row r="3" spans="1:28">
      <c r="A3" s="97" t="s">
        <v>20</v>
      </c>
      <c r="B3" s="73" t="s">
        <v>32</v>
      </c>
      <c r="C3" s="73">
        <v>6</v>
      </c>
      <c r="D3" s="108">
        <v>15030770872.282</v>
      </c>
      <c r="E3" s="108">
        <v>4409672661.8199997</v>
      </c>
      <c r="F3" s="109">
        <f t="shared" si="0"/>
        <v>10621098210.462</v>
      </c>
      <c r="G3" s="110">
        <v>1969764886</v>
      </c>
      <c r="H3" s="108">
        <v>0</v>
      </c>
      <c r="I3" s="109">
        <f t="shared" si="1"/>
        <v>1969764886</v>
      </c>
      <c r="J3" s="88">
        <f t="shared" si="2"/>
        <v>0.13104882661955891</v>
      </c>
      <c r="K3" s="116">
        <f t="shared" si="3"/>
        <v>13061005986.282</v>
      </c>
      <c r="L3" s="116">
        <f t="shared" si="4"/>
        <v>10448804789.0256</v>
      </c>
      <c r="M3" s="116">
        <f t="shared" si="5"/>
        <v>7836603591.7691994</v>
      </c>
      <c r="N3" s="89">
        <f t="shared" si="6"/>
        <v>1</v>
      </c>
      <c r="O3" s="77">
        <v>0.39507659260977307</v>
      </c>
      <c r="P3" s="78">
        <f t="shared" si="7"/>
        <v>0.8</v>
      </c>
      <c r="Q3" s="100" t="str">
        <f t="shared" si="8"/>
        <v>Cumple</v>
      </c>
      <c r="R3" s="162">
        <f>+SUMIF('2.BDN'!D:D,Table8[[#This Row],[MUNICIPIO]],'2.BDN'!L:L)</f>
        <v>5202752628</v>
      </c>
      <c r="S3" s="162">
        <f>+SUMIF('2.BDN'!D:D,Table8[[#This Row],[MUNICIPIO]],'2.BDN'!O:O)</f>
        <v>0</v>
      </c>
      <c r="T3" s="162">
        <f>+Table8[[#This Row],[SUMATORIA DE PROYECTOS SIF]]+Table8[[#This Row],[SUMATORIA DE PROYECTOS SED]]</f>
        <v>5202752628</v>
      </c>
      <c r="U3" s="165">
        <v>15692752628</v>
      </c>
      <c r="V3" s="165">
        <f>+Table8[[#This Row],[CAPACIDAD MAXIMA DE ENDEUDAMIENTO AL 60%]]*0.2</f>
        <v>1567320718.3538399</v>
      </c>
      <c r="W3" s="165">
        <v>1567320718.3538399</v>
      </c>
      <c r="X3" s="165">
        <f>+Table8[[#This Row],[APORTE GOB2]]+Table8[[#This Row],[CAPACIDAD MAXIMA DE ENDEUDAMIENTO AL 60%]]</f>
        <v>9403924310.1230392</v>
      </c>
      <c r="Y3" s="165">
        <f>+Table8[[#This Row],[CAPACIDAD MAXIMA DE ENDEUDAMIENTO AL 60%]]+Table8[[#This Row],[APORTE GOB]]-Table8[[#This Row],[SUMA TOTAL]]</f>
        <v>4201171682.1230392</v>
      </c>
    </row>
    <row r="4" spans="1:28">
      <c r="A4" s="97" t="s">
        <v>47</v>
      </c>
      <c r="B4" s="73" t="s">
        <v>530</v>
      </c>
      <c r="C4" s="73">
        <v>6</v>
      </c>
      <c r="D4" s="108">
        <v>4751801726.2775002</v>
      </c>
      <c r="E4" s="108">
        <v>1263292997.6800001</v>
      </c>
      <c r="F4" s="109">
        <f t="shared" si="0"/>
        <v>3488508728.5974998</v>
      </c>
      <c r="G4" s="110">
        <v>691012966</v>
      </c>
      <c r="H4" s="108">
        <v>0</v>
      </c>
      <c r="I4" s="109">
        <f t="shared" si="1"/>
        <v>691012966</v>
      </c>
      <c r="J4" s="88">
        <f t="shared" si="2"/>
        <v>0.14542125404321754</v>
      </c>
      <c r="K4" s="116">
        <f t="shared" si="3"/>
        <v>4060788760.2775002</v>
      </c>
      <c r="L4" s="116">
        <f t="shared" si="4"/>
        <v>3248631008.2220001</v>
      </c>
      <c r="M4" s="116">
        <f t="shared" si="5"/>
        <v>2436473256.1665001</v>
      </c>
      <c r="N4" s="89">
        <f t="shared" si="6"/>
        <v>1</v>
      </c>
      <c r="O4" s="77">
        <v>0.49444669710295669</v>
      </c>
      <c r="P4" s="78">
        <f t="shared" si="7"/>
        <v>0.8</v>
      </c>
      <c r="Q4" s="100" t="str">
        <f t="shared" si="8"/>
        <v>Cumple</v>
      </c>
      <c r="R4" s="162">
        <f>+SUMIF('2.BDN'!D:D,Table8[[#This Row],[MUNICIPIO]],'2.BDN'!L:L)</f>
        <v>0</v>
      </c>
      <c r="S4" s="162">
        <f>+SUMIF('2.BDN'!D:D,Table8[[#This Row],[MUNICIPIO]],'2.BDN'!O:O)</f>
        <v>0</v>
      </c>
      <c r="T4" s="162">
        <f>+Table8[[#This Row],[SUMATORIA DE PROYECTOS SIF]]+Table8[[#This Row],[SUMATORIA DE PROYECTOS SED]]</f>
        <v>0</v>
      </c>
      <c r="U4" s="165">
        <v>3775907233</v>
      </c>
      <c r="V4" s="165">
        <f>+Table8[[#This Row],[CAPACIDAD MAXIMA DE ENDEUDAMIENTO AL 60%]]*0.2</f>
        <v>487294651.23330003</v>
      </c>
      <c r="W4" s="165">
        <v>487294651.23330003</v>
      </c>
      <c r="X4" s="165">
        <f>+Table8[[#This Row],[APORTE GOB2]]+Table8[[#This Row],[CAPACIDAD MAXIMA DE ENDEUDAMIENTO AL 60%]]</f>
        <v>2923767907.3998003</v>
      </c>
      <c r="Y4" s="165">
        <f>+Table8[[#This Row],[CAPACIDAD MAXIMA DE ENDEUDAMIENTO AL 60%]]+Table8[[#This Row],[APORTE GOB]]-Table8[[#This Row],[SUMA TOTAL]]</f>
        <v>2923767907.3998003</v>
      </c>
    </row>
    <row r="5" spans="1:28">
      <c r="A5" s="97" t="s">
        <v>20</v>
      </c>
      <c r="B5" s="73" t="s">
        <v>70</v>
      </c>
      <c r="C5" s="73">
        <v>6</v>
      </c>
      <c r="D5" s="108">
        <v>8362831920.7600002</v>
      </c>
      <c r="E5" s="108">
        <v>2199279418.0799999</v>
      </c>
      <c r="F5" s="109">
        <f t="shared" si="0"/>
        <v>6163552502.6800003</v>
      </c>
      <c r="G5" s="110">
        <v>284104325</v>
      </c>
      <c r="H5" s="108">
        <v>209000000</v>
      </c>
      <c r="I5" s="109">
        <f t="shared" si="1"/>
        <v>493104325</v>
      </c>
      <c r="J5" s="88">
        <f t="shared" si="2"/>
        <v>5.8963797152961017E-2</v>
      </c>
      <c r="K5" s="116">
        <f t="shared" si="3"/>
        <v>7869727595.7600002</v>
      </c>
      <c r="L5" s="116">
        <f t="shared" si="4"/>
        <v>6295782076.6080008</v>
      </c>
      <c r="M5" s="116">
        <f t="shared" si="5"/>
        <v>4721836557.4560003</v>
      </c>
      <c r="N5" s="89">
        <f t="shared" si="6"/>
        <v>0.57615459973911198</v>
      </c>
      <c r="O5" s="77">
        <v>0.61308928502962989</v>
      </c>
      <c r="P5" s="78">
        <f t="shared" si="7"/>
        <v>0.8</v>
      </c>
      <c r="Q5" s="100" t="str">
        <f t="shared" si="8"/>
        <v>Cumple</v>
      </c>
      <c r="R5" s="162">
        <f>+SUMIF('2.BDN'!D:D,Table8[[#This Row],[MUNICIPIO]],'2.BDN'!L:L)</f>
        <v>13522526574</v>
      </c>
      <c r="S5" s="162">
        <f>+SUMIF('2.BDN'!D:D,Table8[[#This Row],[MUNICIPIO]],'2.BDN'!O:O)</f>
        <v>0</v>
      </c>
      <c r="T5" s="162">
        <f>+Table8[[#This Row],[SUMATORIA DE PROYECTOS SIF]]+Table8[[#This Row],[SUMATORIA DE PROYECTOS SED]]</f>
        <v>13522526574</v>
      </c>
      <c r="U5" s="165">
        <v>10357301258</v>
      </c>
      <c r="V5" s="165">
        <f>+Table8[[#This Row],[CAPACIDAD MAXIMA DE ENDEUDAMIENTO AL 60%]]*0.2</f>
        <v>944367311.49120009</v>
      </c>
      <c r="W5" s="165">
        <v>944367311.49120009</v>
      </c>
      <c r="X5" s="165">
        <f>+Table8[[#This Row],[APORTE GOB2]]+Table8[[#This Row],[CAPACIDAD MAXIMA DE ENDEUDAMIENTO AL 60%]]</f>
        <v>5666203868.9472008</v>
      </c>
      <c r="Y5" s="165">
        <f>+Table8[[#This Row],[CAPACIDAD MAXIMA DE ENDEUDAMIENTO AL 60%]]+Table8[[#This Row],[APORTE GOB]]-Table8[[#This Row],[SUMA TOTAL]]</f>
        <v>-7856322705.0527992</v>
      </c>
      <c r="Z5" s="83"/>
      <c r="AA5" s="83"/>
    </row>
    <row r="6" spans="1:28">
      <c r="A6" s="97" t="s">
        <v>22</v>
      </c>
      <c r="B6" s="73" t="s">
        <v>92</v>
      </c>
      <c r="C6" s="73">
        <v>6</v>
      </c>
      <c r="D6" s="108">
        <v>25390387392.328503</v>
      </c>
      <c r="E6" s="108">
        <v>8357833556.3299999</v>
      </c>
      <c r="F6" s="109">
        <f t="shared" si="0"/>
        <v>17032553835.998503</v>
      </c>
      <c r="G6" s="110">
        <v>4689987006</v>
      </c>
      <c r="H6" s="111">
        <v>6272045606</v>
      </c>
      <c r="I6" s="109">
        <f t="shared" si="1"/>
        <v>10962032612</v>
      </c>
      <c r="J6" s="88">
        <f t="shared" si="2"/>
        <v>0.43173947851272598</v>
      </c>
      <c r="K6" s="116">
        <f t="shared" si="3"/>
        <v>14428354780.328503</v>
      </c>
      <c r="L6" s="116">
        <f t="shared" si="4"/>
        <v>11542683824.262802</v>
      </c>
      <c r="M6" s="116">
        <f t="shared" si="5"/>
        <v>8657012868.1971016</v>
      </c>
      <c r="N6" s="89">
        <f t="shared" si="6"/>
        <v>0.42783917654705111</v>
      </c>
      <c r="O6" s="77">
        <v>0.46347626739589709</v>
      </c>
      <c r="P6" s="78">
        <f t="shared" si="7"/>
        <v>0.8</v>
      </c>
      <c r="Q6" s="100" t="str">
        <f t="shared" si="8"/>
        <v>Cumple</v>
      </c>
      <c r="R6" s="162">
        <f>+SUMIF('2.BDN'!D:D,Table8[[#This Row],[MUNICIPIO]],'2.BDN'!L:L)</f>
        <v>5581655075</v>
      </c>
      <c r="S6" s="162">
        <f>+SUMIF('2.BDN'!D:D,Table8[[#This Row],[MUNICIPIO]],'2.BDN'!O:O)</f>
        <v>0</v>
      </c>
      <c r="T6" s="162">
        <f>+Table8[[#This Row],[SUMATORIA DE PROYECTOS SIF]]+Table8[[#This Row],[SUMATORIA DE PROYECTOS SED]]</f>
        <v>5581655075</v>
      </c>
      <c r="U6" s="165">
        <v>1856672323</v>
      </c>
      <c r="V6" s="165">
        <f>+Table8[[#This Row],[CAPACIDAD MAXIMA DE ENDEUDAMIENTO AL 60%]]*0.2</f>
        <v>1731402573.6394205</v>
      </c>
      <c r="W6" s="165">
        <v>1731402573.6394205</v>
      </c>
      <c r="X6" s="165">
        <f>+Table8[[#This Row],[APORTE GOB2]]+Table8[[#This Row],[CAPACIDAD MAXIMA DE ENDEUDAMIENTO AL 60%]]</f>
        <v>10388415441.836521</v>
      </c>
      <c r="Y6" s="165">
        <f>+Table8[[#This Row],[CAPACIDAD MAXIMA DE ENDEUDAMIENTO AL 60%]]+Table8[[#This Row],[APORTE GOB]]-Table8[[#This Row],[SUMA TOTAL]]</f>
        <v>4806760366.8365211</v>
      </c>
    </row>
    <row r="7" spans="1:28" s="82" customFormat="1">
      <c r="A7" s="97" t="s">
        <v>3</v>
      </c>
      <c r="B7" s="73" t="s">
        <v>546</v>
      </c>
      <c r="C7" s="73">
        <v>6</v>
      </c>
      <c r="D7" s="108">
        <v>15844230778.251999</v>
      </c>
      <c r="E7" s="108">
        <v>8497967637.5100002</v>
      </c>
      <c r="F7" s="109">
        <f t="shared" si="0"/>
        <v>7346263140.7419987</v>
      </c>
      <c r="G7" s="110">
        <v>0</v>
      </c>
      <c r="H7" s="108">
        <v>7918633450</v>
      </c>
      <c r="I7" s="109">
        <f t="shared" si="1"/>
        <v>7918633450</v>
      </c>
      <c r="J7" s="88">
        <f t="shared" si="2"/>
        <v>0.49978023930762366</v>
      </c>
      <c r="K7" s="116">
        <f t="shared" si="3"/>
        <v>7925597328.2519989</v>
      </c>
      <c r="L7" s="116">
        <f t="shared" si="4"/>
        <v>6340477862.6015997</v>
      </c>
      <c r="M7" s="116">
        <f t="shared" si="5"/>
        <v>4755358396.9511995</v>
      </c>
      <c r="N7" s="89">
        <f t="shared" si="6"/>
        <v>0</v>
      </c>
      <c r="O7" s="77">
        <v>0.78459127310588017</v>
      </c>
      <c r="P7" s="78">
        <f t="shared" si="7"/>
        <v>0.8</v>
      </c>
      <c r="Q7" s="100" t="str">
        <f t="shared" si="8"/>
        <v>Riesgo</v>
      </c>
      <c r="R7" s="162">
        <f>+SUMIF('2.BDN'!D:D,Table8[[#This Row],[MUNICIPIO]],'2.BDN'!L:L)</f>
        <v>0</v>
      </c>
      <c r="S7" s="162">
        <f>+SUMIF('2.BDN'!D:D,Table8[[#This Row],[MUNICIPIO]],'2.BDN'!O:O)</f>
        <v>0</v>
      </c>
      <c r="T7" s="162">
        <f>+Table8[[#This Row],[SUMATORIA DE PROYECTOS SIF]]+Table8[[#This Row],[SUMATORIA DE PROYECTOS SED]]</f>
        <v>0</v>
      </c>
      <c r="U7" s="165">
        <v>690000000</v>
      </c>
      <c r="V7" s="165">
        <f>+Table8[[#This Row],[CAPACIDAD MAXIMA DE ENDEUDAMIENTO AL 60%]]*0.2</f>
        <v>951071679.39023995</v>
      </c>
      <c r="W7" s="165">
        <v>951071679.39023995</v>
      </c>
      <c r="X7" s="165">
        <f>+Table8[[#This Row],[APORTE GOB2]]+Table8[[#This Row],[CAPACIDAD MAXIMA DE ENDEUDAMIENTO AL 60%]]</f>
        <v>5706430076.3414392</v>
      </c>
      <c r="Y7" s="165">
        <f>+Table8[[#This Row],[CAPACIDAD MAXIMA DE ENDEUDAMIENTO AL 60%]]+Table8[[#This Row],[APORTE GOB]]-Table8[[#This Row],[SUMA TOTAL]]</f>
        <v>5706430076.3414392</v>
      </c>
      <c r="Z7"/>
      <c r="AA7"/>
    </row>
    <row r="8" spans="1:28" s="83" customFormat="1">
      <c r="A8" s="97" t="s">
        <v>22</v>
      </c>
      <c r="B8" s="73" t="s">
        <v>216</v>
      </c>
      <c r="C8" s="73">
        <v>6</v>
      </c>
      <c r="D8" s="108">
        <v>27843076411.630001</v>
      </c>
      <c r="E8" s="108">
        <v>11739999040.630001</v>
      </c>
      <c r="F8" s="109">
        <f t="shared" si="0"/>
        <v>16103077371</v>
      </c>
      <c r="G8" s="110">
        <v>13999483044</v>
      </c>
      <c r="H8" s="108">
        <v>1243354438.6800001</v>
      </c>
      <c r="I8" s="109">
        <f t="shared" si="1"/>
        <v>15242837482.68</v>
      </c>
      <c r="J8" s="88">
        <f t="shared" si="2"/>
        <v>0.54745521857322832</v>
      </c>
      <c r="K8" s="116">
        <f t="shared" si="3"/>
        <v>12600238928.950001</v>
      </c>
      <c r="L8" s="116">
        <f t="shared" si="4"/>
        <v>10080191143.160002</v>
      </c>
      <c r="M8" s="116">
        <f t="shared" si="5"/>
        <v>7560143357.3699999</v>
      </c>
      <c r="N8" s="89">
        <f t="shared" si="6"/>
        <v>0.91843025026719671</v>
      </c>
      <c r="O8" s="77">
        <v>0.46026317160648733</v>
      </c>
      <c r="P8" s="78">
        <f t="shared" si="7"/>
        <v>0.8</v>
      </c>
      <c r="Q8" s="100" t="str">
        <f t="shared" si="8"/>
        <v>Cumple</v>
      </c>
      <c r="R8" s="162">
        <f>+SUMIF('2.BDN'!D:D,Table8[[#This Row],[MUNICIPIO]],'2.BDN'!L:L)</f>
        <v>38982049507</v>
      </c>
      <c r="S8" s="162">
        <f>+SUMIF('2.BDN'!D:D,Table8[[#This Row],[MUNICIPIO]],'2.BDN'!O:O)</f>
        <v>0</v>
      </c>
      <c r="T8" s="162">
        <f>+Table8[[#This Row],[SUMATORIA DE PROYECTOS SIF]]+Table8[[#This Row],[SUMATORIA DE PROYECTOS SED]]</f>
        <v>38982049507</v>
      </c>
      <c r="U8" s="165">
        <v>29228989249</v>
      </c>
      <c r="V8" s="165">
        <f>+Table8[[#This Row],[CAPACIDAD MAXIMA DE ENDEUDAMIENTO AL 60%]]*0.2</f>
        <v>1512028671.474</v>
      </c>
      <c r="W8" s="165">
        <v>1512028671.474</v>
      </c>
      <c r="X8" s="165">
        <f>+Table8[[#This Row],[APORTE GOB2]]+Table8[[#This Row],[CAPACIDAD MAXIMA DE ENDEUDAMIENTO AL 60%]]</f>
        <v>9072172028.8439999</v>
      </c>
      <c r="Y8" s="165">
        <f>+Table8[[#This Row],[CAPACIDAD MAXIMA DE ENDEUDAMIENTO AL 60%]]+Table8[[#This Row],[APORTE GOB]]-Table8[[#This Row],[SUMA TOTAL]]</f>
        <v>-29909877478.155998</v>
      </c>
      <c r="Z8"/>
      <c r="AA8"/>
    </row>
    <row r="9" spans="1:28" s="83" customFormat="1">
      <c r="A9" s="97" t="s">
        <v>22</v>
      </c>
      <c r="B9" s="73" t="s">
        <v>465</v>
      </c>
      <c r="C9" s="73">
        <v>5</v>
      </c>
      <c r="D9" s="108">
        <v>7630980393.4579992</v>
      </c>
      <c r="E9" s="108">
        <v>2836641555.8400002</v>
      </c>
      <c r="F9" s="109">
        <f t="shared" si="0"/>
        <v>4794338837.6179991</v>
      </c>
      <c r="G9" s="110">
        <v>46770446.019999996</v>
      </c>
      <c r="H9" s="108">
        <v>1700000000</v>
      </c>
      <c r="I9" s="109">
        <f t="shared" si="1"/>
        <v>1746770446.02</v>
      </c>
      <c r="J9" s="88">
        <f t="shared" si="2"/>
        <v>0.22890511519561726</v>
      </c>
      <c r="K9" s="116">
        <f t="shared" si="3"/>
        <v>5884209947.4379997</v>
      </c>
      <c r="L9" s="116">
        <f t="shared" si="4"/>
        <v>4707367957.9504004</v>
      </c>
      <c r="M9" s="116">
        <f t="shared" si="5"/>
        <v>3530525968.4627995</v>
      </c>
      <c r="N9" s="89">
        <f t="shared" si="6"/>
        <v>2.6775382035210189E-2</v>
      </c>
      <c r="O9" s="77">
        <v>0.7580768893854527</v>
      </c>
      <c r="P9" s="78">
        <f t="shared" si="7"/>
        <v>0.8</v>
      </c>
      <c r="Q9" s="100" t="str">
        <f t="shared" si="8"/>
        <v>Riesgo</v>
      </c>
      <c r="R9" s="162">
        <f>+SUMIF('2.BDN'!D:D,Table8[[#This Row],[MUNICIPIO]],'2.BDN'!L:L)</f>
        <v>12311013166</v>
      </c>
      <c r="S9" s="162">
        <f>+SUMIF('2.BDN'!D:D,Table8[[#This Row],[MUNICIPIO]],'2.BDN'!O:O)</f>
        <v>0</v>
      </c>
      <c r="T9" s="162">
        <f>+Table8[[#This Row],[SUMATORIA DE PROYECTOS SIF]]+Table8[[#This Row],[SUMATORIA DE PROYECTOS SED]]</f>
        <v>12311013166</v>
      </c>
      <c r="U9" s="165">
        <v>9858281136</v>
      </c>
      <c r="V9" s="165">
        <f>+Table8[[#This Row],[CAPACIDAD MAXIMA DE ENDEUDAMIENTO AL 60%]]*0.2</f>
        <v>706105193.69255996</v>
      </c>
      <c r="W9" s="165">
        <v>706105193.69255996</v>
      </c>
      <c r="X9" s="165">
        <f>+Table8[[#This Row],[APORTE GOB2]]+Table8[[#This Row],[CAPACIDAD MAXIMA DE ENDEUDAMIENTO AL 60%]]</f>
        <v>4236631162.1553593</v>
      </c>
      <c r="Y9" s="165">
        <f>+Table8[[#This Row],[CAPACIDAD MAXIMA DE ENDEUDAMIENTO AL 60%]]+Table8[[#This Row],[APORTE GOB]]-Table8[[#This Row],[SUMA TOTAL]]</f>
        <v>-8074382003.8446407</v>
      </c>
      <c r="Z9"/>
      <c r="AA9"/>
    </row>
    <row r="10" spans="1:28" s="83" customFormat="1">
      <c r="A10" s="98" t="s">
        <v>34</v>
      </c>
      <c r="B10" s="79" t="s">
        <v>477</v>
      </c>
      <c r="C10" s="73">
        <v>6</v>
      </c>
      <c r="D10" s="108">
        <v>12764062914.553999</v>
      </c>
      <c r="E10" s="108">
        <v>4266060462.2200003</v>
      </c>
      <c r="F10" s="109">
        <f t="shared" si="0"/>
        <v>8498002452.3339987</v>
      </c>
      <c r="G10" s="110">
        <v>4258957687</v>
      </c>
      <c r="H10" s="108">
        <v>500000000</v>
      </c>
      <c r="I10" s="109">
        <f t="shared" si="1"/>
        <v>4758957687</v>
      </c>
      <c r="J10" s="88">
        <f t="shared" si="2"/>
        <v>0.37284035019708983</v>
      </c>
      <c r="K10" s="116">
        <f t="shared" si="3"/>
        <v>8005105227.5539989</v>
      </c>
      <c r="L10" s="116">
        <f t="shared" si="4"/>
        <v>6404084182.0431995</v>
      </c>
      <c r="M10" s="116">
        <f t="shared" si="5"/>
        <v>4803063136.5323992</v>
      </c>
      <c r="N10" s="89">
        <f t="shared" si="6"/>
        <v>0.89493497675639244</v>
      </c>
      <c r="O10" s="77">
        <v>0.64132957807138946</v>
      </c>
      <c r="P10" s="78">
        <f t="shared" si="7"/>
        <v>0.8</v>
      </c>
      <c r="Q10" s="100" t="str">
        <f t="shared" si="8"/>
        <v>Cumple</v>
      </c>
      <c r="R10" s="162">
        <f>+SUMIF('2.BDN'!D:D,Table8[[#This Row],[MUNICIPIO]],'2.BDN'!L:L)</f>
        <v>14762715060</v>
      </c>
      <c r="S10" s="162">
        <f>+SUMIF('2.BDN'!D:D,Table8[[#This Row],[MUNICIPIO]],'2.BDN'!O:O)</f>
        <v>0</v>
      </c>
      <c r="T10" s="162">
        <f>+Table8[[#This Row],[SUMATORIA DE PROYECTOS SIF]]+Table8[[#This Row],[SUMATORIA DE PROYECTOS SED]]</f>
        <v>14762715060</v>
      </c>
      <c r="U10" s="165">
        <v>17833615127</v>
      </c>
      <c r="V10" s="165">
        <f>+Table8[[#This Row],[CAPACIDAD MAXIMA DE ENDEUDAMIENTO AL 60%]]*0.2</f>
        <v>960612627.30647993</v>
      </c>
      <c r="W10" s="165">
        <v>960612627.30647993</v>
      </c>
      <c r="X10" s="165">
        <f>+Table8[[#This Row],[APORTE GOB2]]+Table8[[#This Row],[CAPACIDAD MAXIMA DE ENDEUDAMIENTO AL 60%]]</f>
        <v>5763675763.8388786</v>
      </c>
      <c r="Y10" s="165">
        <f>+Table8[[#This Row],[CAPACIDAD MAXIMA DE ENDEUDAMIENTO AL 60%]]+Table8[[#This Row],[APORTE GOB]]-Table8[[#This Row],[SUMA TOTAL]]</f>
        <v>-8999039296.1611214</v>
      </c>
      <c r="Z10"/>
      <c r="AA10"/>
    </row>
    <row r="11" spans="1:28" s="83" customFormat="1">
      <c r="A11" s="97" t="s">
        <v>3</v>
      </c>
      <c r="B11" s="73" t="s">
        <v>468</v>
      </c>
      <c r="C11" s="73">
        <v>6</v>
      </c>
      <c r="D11" s="108">
        <v>16148449667.859503</v>
      </c>
      <c r="E11" s="108">
        <v>5168319228.7700005</v>
      </c>
      <c r="F11" s="109">
        <f t="shared" si="0"/>
        <v>10980130439.089502</v>
      </c>
      <c r="G11" s="110">
        <v>943947740</v>
      </c>
      <c r="H11" s="108">
        <v>680000000</v>
      </c>
      <c r="I11" s="109">
        <f t="shared" si="1"/>
        <v>1623947740</v>
      </c>
      <c r="J11" s="88">
        <f t="shared" si="2"/>
        <v>0.10056369332049052</v>
      </c>
      <c r="K11" s="116">
        <f t="shared" si="3"/>
        <v>14524501927.859503</v>
      </c>
      <c r="L11" s="116">
        <f t="shared" si="4"/>
        <v>11619601542.287603</v>
      </c>
      <c r="M11" s="116">
        <f t="shared" si="5"/>
        <v>8714701156.7157021</v>
      </c>
      <c r="N11" s="89">
        <f t="shared" si="6"/>
        <v>0.58126731344199534</v>
      </c>
      <c r="O11" s="77">
        <v>0.64090582782582184</v>
      </c>
      <c r="P11" s="78">
        <f t="shared" si="7"/>
        <v>0.8</v>
      </c>
      <c r="Q11" s="100" t="str">
        <f t="shared" si="8"/>
        <v>Cumple</v>
      </c>
      <c r="R11" s="162">
        <f>+SUMIF('2.BDN'!D:D,Table8[[#This Row],[MUNICIPIO]],'2.BDN'!L:L)</f>
        <v>4225553380</v>
      </c>
      <c r="S11" s="162">
        <f>+SUMIF('2.BDN'!D:D,Table8[[#This Row],[MUNICIPIO]],'2.BDN'!O:O)</f>
        <v>0</v>
      </c>
      <c r="T11" s="162">
        <f>+Table8[[#This Row],[SUMATORIA DE PROYECTOS SIF]]+Table8[[#This Row],[SUMATORIA DE PROYECTOS SED]]</f>
        <v>4225553380</v>
      </c>
      <c r="U11" s="165">
        <v>1185000000</v>
      </c>
      <c r="V11" s="165">
        <f>+Table8[[#This Row],[CAPACIDAD MAXIMA DE ENDEUDAMIENTO AL 60%]]*0.2</f>
        <v>1742940231.3431406</v>
      </c>
      <c r="W11" s="165">
        <v>1742940231.3431406</v>
      </c>
      <c r="X11" s="165">
        <f>+Table8[[#This Row],[APORTE GOB2]]+Table8[[#This Row],[CAPACIDAD MAXIMA DE ENDEUDAMIENTO AL 60%]]</f>
        <v>10457641388.058842</v>
      </c>
      <c r="Y11" s="165">
        <f>+Table8[[#This Row],[CAPACIDAD MAXIMA DE ENDEUDAMIENTO AL 60%]]+Table8[[#This Row],[APORTE GOB]]-Table8[[#This Row],[SUMA TOTAL]]</f>
        <v>6232088008.0588417</v>
      </c>
      <c r="Z11"/>
      <c r="AA11"/>
    </row>
    <row r="12" spans="1:28" s="83" customFormat="1">
      <c r="A12" s="97" t="s">
        <v>47</v>
      </c>
      <c r="B12" s="73" t="s">
        <v>168</v>
      </c>
      <c r="C12" s="73">
        <v>6</v>
      </c>
      <c r="D12" s="108">
        <v>7049911897.9460001</v>
      </c>
      <c r="E12" s="108">
        <v>2502449802.4500003</v>
      </c>
      <c r="F12" s="109">
        <f t="shared" si="0"/>
        <v>4547462095.4960003</v>
      </c>
      <c r="G12" s="110">
        <v>1083993787</v>
      </c>
      <c r="H12" s="108">
        <v>0</v>
      </c>
      <c r="I12" s="109">
        <f t="shared" si="1"/>
        <v>1083993787</v>
      </c>
      <c r="J12" s="88">
        <f t="shared" si="2"/>
        <v>0.15375990546999926</v>
      </c>
      <c r="K12" s="116">
        <f t="shared" si="3"/>
        <v>5965918110.9460001</v>
      </c>
      <c r="L12" s="116">
        <f t="shared" si="4"/>
        <v>4772734488.7568007</v>
      </c>
      <c r="M12" s="116">
        <f t="shared" si="5"/>
        <v>3579550866.5675998</v>
      </c>
      <c r="N12" s="89">
        <f t="shared" si="6"/>
        <v>1</v>
      </c>
      <c r="O12" s="77">
        <v>0.68972189795110483</v>
      </c>
      <c r="P12" s="78">
        <f t="shared" si="7"/>
        <v>0.8</v>
      </c>
      <c r="Q12" s="100" t="str">
        <f t="shared" si="8"/>
        <v>Cumple</v>
      </c>
      <c r="R12" s="162">
        <f>+SUMIF('2.BDN'!D:D,Table8[[#This Row],[MUNICIPIO]],'2.BDN'!L:L)</f>
        <v>7164927563</v>
      </c>
      <c r="S12" s="162">
        <f>+SUMIF('2.BDN'!D:D,Table8[[#This Row],[MUNICIPIO]],'2.BDN'!O:O)</f>
        <v>0</v>
      </c>
      <c r="T12" s="162">
        <f>+Table8[[#This Row],[SUMATORIA DE PROYECTOS SIF]]+Table8[[#This Row],[SUMATORIA DE PROYECTOS SED]]</f>
        <v>7164927563</v>
      </c>
      <c r="U12" s="165">
        <v>14285863057</v>
      </c>
      <c r="V12" s="165">
        <f>+Table8[[#This Row],[CAPACIDAD MAXIMA DE ENDEUDAMIENTO AL 60%]]*0.2</f>
        <v>715910173.31351995</v>
      </c>
      <c r="W12" s="165">
        <v>715910173.31351995</v>
      </c>
      <c r="X12" s="165">
        <f>+Table8[[#This Row],[APORTE GOB2]]+Table8[[#This Row],[CAPACIDAD MAXIMA DE ENDEUDAMIENTO AL 60%]]</f>
        <v>4295461039.8811197</v>
      </c>
      <c r="Y12" s="165">
        <f>+Table8[[#This Row],[CAPACIDAD MAXIMA DE ENDEUDAMIENTO AL 60%]]+Table8[[#This Row],[APORTE GOB]]-Table8[[#This Row],[SUMA TOTAL]]</f>
        <v>-2869466523.1188803</v>
      </c>
      <c r="Z12"/>
      <c r="AA12"/>
    </row>
    <row r="13" spans="1:28" s="83" customFormat="1">
      <c r="A13" s="97" t="s">
        <v>37</v>
      </c>
      <c r="B13" s="73" t="s">
        <v>111</v>
      </c>
      <c r="C13" s="73">
        <v>3</v>
      </c>
      <c r="D13" s="111">
        <v>77784648137.448013</v>
      </c>
      <c r="E13" s="111">
        <v>31716114442.57</v>
      </c>
      <c r="F13" s="109">
        <f t="shared" si="0"/>
        <v>46068533694.878014</v>
      </c>
      <c r="G13" s="110">
        <v>43139212620</v>
      </c>
      <c r="H13" s="111">
        <v>17341932907.400002</v>
      </c>
      <c r="I13" s="109">
        <f t="shared" si="1"/>
        <v>60481145527.400002</v>
      </c>
      <c r="J13" s="88">
        <f t="shared" si="2"/>
        <v>0.77754604508241576</v>
      </c>
      <c r="K13" s="116">
        <f t="shared" si="3"/>
        <v>17303502610.048012</v>
      </c>
      <c r="L13" s="116">
        <f t="shared" si="4"/>
        <v>13842802088.03841</v>
      </c>
      <c r="M13" s="116">
        <f t="shared" si="5"/>
        <v>10382101566.028807</v>
      </c>
      <c r="N13" s="89">
        <f t="shared" si="6"/>
        <v>0.71326712223822675</v>
      </c>
      <c r="O13" s="77">
        <v>0.57328291579513591</v>
      </c>
      <c r="P13" s="78">
        <f t="shared" si="7"/>
        <v>0.7</v>
      </c>
      <c r="Q13" s="100" t="str">
        <f t="shared" si="8"/>
        <v>Cumple</v>
      </c>
      <c r="R13" s="162">
        <f>+SUMIF('2.BDN'!D:D,Table8[[#This Row],[MUNICIPIO]],'2.BDN'!L:L)</f>
        <v>25925363137</v>
      </c>
      <c r="S13" s="162">
        <f>+SUMIF('2.BDN'!D:D,Table8[[#This Row],[MUNICIPIO]],'2.BDN'!O:O)</f>
        <v>0</v>
      </c>
      <c r="T13" s="162">
        <f>+Table8[[#This Row],[SUMATORIA DE PROYECTOS SIF]]+Table8[[#This Row],[SUMATORIA DE PROYECTOS SED]]</f>
        <v>25925363137</v>
      </c>
      <c r="U13" s="165">
        <v>15499391717</v>
      </c>
      <c r="V13" s="165">
        <f>+Table8[[#This Row],[CAPACIDAD MAXIMA DE ENDEUDAMIENTO AL 60%]]*0.2</f>
        <v>2076420313.2057614</v>
      </c>
      <c r="W13" s="165">
        <v>2076420313.2057614</v>
      </c>
      <c r="X13" s="165">
        <f>+Table8[[#This Row],[APORTE GOB2]]+Table8[[#This Row],[CAPACIDAD MAXIMA DE ENDEUDAMIENTO AL 60%]]</f>
        <v>12458521879.234568</v>
      </c>
      <c r="Y13" s="165">
        <f>+Table8[[#This Row],[CAPACIDAD MAXIMA DE ENDEUDAMIENTO AL 60%]]+Table8[[#This Row],[APORTE GOB]]-Table8[[#This Row],[SUMA TOTAL]]</f>
        <v>-13466841257.765432</v>
      </c>
      <c r="Z13"/>
      <c r="AA13"/>
    </row>
    <row r="14" spans="1:28" s="83" customFormat="1">
      <c r="A14" s="97" t="s">
        <v>37</v>
      </c>
      <c r="B14" s="73" t="s">
        <v>193</v>
      </c>
      <c r="C14" s="73">
        <v>6</v>
      </c>
      <c r="D14" s="111">
        <v>19782037469.424</v>
      </c>
      <c r="E14" s="111">
        <v>6224691780.3400002</v>
      </c>
      <c r="F14" s="109">
        <f t="shared" si="0"/>
        <v>13557345689.084</v>
      </c>
      <c r="G14" s="110">
        <v>5530076291</v>
      </c>
      <c r="H14" s="111">
        <v>135075758</v>
      </c>
      <c r="I14" s="109">
        <f t="shared" si="1"/>
        <v>5665152049</v>
      </c>
      <c r="J14" s="88">
        <f t="shared" si="2"/>
        <v>0.28637859258715448</v>
      </c>
      <c r="K14" s="116">
        <f t="shared" si="3"/>
        <v>14116885420.424</v>
      </c>
      <c r="L14" s="116">
        <f t="shared" si="4"/>
        <v>11293508336.339201</v>
      </c>
      <c r="M14" s="116">
        <f t="shared" si="5"/>
        <v>8470131252.2543993</v>
      </c>
      <c r="N14" s="89">
        <f t="shared" si="6"/>
        <v>0.97615672856938707</v>
      </c>
      <c r="O14" s="77">
        <v>0.63121490876418529</v>
      </c>
      <c r="P14" s="78">
        <f t="shared" si="7"/>
        <v>0.8</v>
      </c>
      <c r="Q14" s="100" t="str">
        <f t="shared" si="8"/>
        <v>Cumple</v>
      </c>
      <c r="R14" s="162">
        <f>+SUMIF('2.BDN'!D:D,Table8[[#This Row],[MUNICIPIO]],'2.BDN'!L:L)</f>
        <v>38704534727</v>
      </c>
      <c r="S14" s="162">
        <f>+SUMIF('2.BDN'!D:D,Table8[[#This Row],[MUNICIPIO]],'2.BDN'!O:O)</f>
        <v>0</v>
      </c>
      <c r="T14" s="162">
        <f>+Table8[[#This Row],[SUMATORIA DE PROYECTOS SIF]]+Table8[[#This Row],[SUMATORIA DE PROYECTOS SED]]</f>
        <v>38704534727</v>
      </c>
      <c r="U14" s="165">
        <v>35918600732</v>
      </c>
      <c r="V14" s="165">
        <f>+Table8[[#This Row],[CAPACIDAD MAXIMA DE ENDEUDAMIENTO AL 60%]]*0.2</f>
        <v>1694026250.4508801</v>
      </c>
      <c r="W14" s="165">
        <v>1694026250.4508801</v>
      </c>
      <c r="X14" s="165">
        <f>+Table8[[#This Row],[APORTE GOB2]]+Table8[[#This Row],[CAPACIDAD MAXIMA DE ENDEUDAMIENTO AL 60%]]</f>
        <v>10164157502.70528</v>
      </c>
      <c r="Y14" s="165">
        <f>+Table8[[#This Row],[CAPACIDAD MAXIMA DE ENDEUDAMIENTO AL 60%]]+Table8[[#This Row],[APORTE GOB]]-Table8[[#This Row],[SUMA TOTAL]]</f>
        <v>-28540377224.29472</v>
      </c>
      <c r="Z14"/>
      <c r="AA14"/>
      <c r="AB14"/>
    </row>
    <row r="15" spans="1:28">
      <c r="A15" s="97" t="s">
        <v>20</v>
      </c>
      <c r="B15" s="73" t="s">
        <v>141</v>
      </c>
      <c r="C15" s="73">
        <v>6</v>
      </c>
      <c r="D15" s="108">
        <v>7397887197.3409996</v>
      </c>
      <c r="E15" s="108">
        <v>2145550795.75</v>
      </c>
      <c r="F15" s="109">
        <f t="shared" si="0"/>
        <v>5252336401.5909996</v>
      </c>
      <c r="G15" s="110">
        <v>913988424</v>
      </c>
      <c r="H15" s="108">
        <v>0</v>
      </c>
      <c r="I15" s="109">
        <f t="shared" si="1"/>
        <v>913988424</v>
      </c>
      <c r="J15" s="88">
        <f t="shared" si="2"/>
        <v>0.12354722363548773</v>
      </c>
      <c r="K15" s="116">
        <f t="shared" si="3"/>
        <v>6483898773.3409996</v>
      </c>
      <c r="L15" s="116">
        <f t="shared" si="4"/>
        <v>5187119018.6728001</v>
      </c>
      <c r="M15" s="116">
        <f t="shared" si="5"/>
        <v>3890339264.0045996</v>
      </c>
      <c r="N15" s="89">
        <f t="shared" si="6"/>
        <v>1</v>
      </c>
      <c r="O15" s="77">
        <v>0.55936476249157852</v>
      </c>
      <c r="P15" s="78">
        <f t="shared" si="7"/>
        <v>0.8</v>
      </c>
      <c r="Q15" s="100" t="str">
        <f t="shared" si="8"/>
        <v>Cumple</v>
      </c>
      <c r="R15" s="162">
        <f>+SUMIF('2.BDN'!D:D,Table8[[#This Row],[MUNICIPIO]],'2.BDN'!L:L)</f>
        <v>62280961705</v>
      </c>
      <c r="S15" s="162">
        <f>+SUMIF('2.BDN'!D:D,Table8[[#This Row],[MUNICIPIO]],'2.BDN'!O:O)</f>
        <v>0</v>
      </c>
      <c r="T15" s="162">
        <f>+Table8[[#This Row],[SUMATORIA DE PROYECTOS SIF]]+Table8[[#This Row],[SUMATORIA DE PROYECTOS SED]]</f>
        <v>62280961705</v>
      </c>
      <c r="U15" s="165">
        <v>19500591871</v>
      </c>
      <c r="V15" s="165">
        <f>+Table8[[#This Row],[CAPACIDAD MAXIMA DE ENDEUDAMIENTO AL 60%]]*0.2</f>
        <v>778067852.80092001</v>
      </c>
      <c r="W15" s="165">
        <v>778067852.80092001</v>
      </c>
      <c r="X15" s="165">
        <f>+Table8[[#This Row],[APORTE GOB2]]+Table8[[#This Row],[CAPACIDAD MAXIMA DE ENDEUDAMIENTO AL 60%]]</f>
        <v>4668407116.8055191</v>
      </c>
      <c r="Y15" s="165">
        <f>+Table8[[#This Row],[CAPACIDAD MAXIMA DE ENDEUDAMIENTO AL 60%]]+Table8[[#This Row],[APORTE GOB]]-Table8[[#This Row],[SUMA TOTAL]]</f>
        <v>-57612554588.194481</v>
      </c>
    </row>
    <row r="16" spans="1:28">
      <c r="A16" s="97" t="s">
        <v>47</v>
      </c>
      <c r="B16" s="73" t="s">
        <v>48</v>
      </c>
      <c r="C16" s="73">
        <v>6</v>
      </c>
      <c r="D16" s="108">
        <v>4667939777.7010002</v>
      </c>
      <c r="E16" s="108">
        <v>2029602941.79</v>
      </c>
      <c r="F16" s="109">
        <f t="shared" si="0"/>
        <v>2638336835.9110003</v>
      </c>
      <c r="G16" s="110">
        <v>355713183</v>
      </c>
      <c r="H16" s="108">
        <v>0</v>
      </c>
      <c r="I16" s="109">
        <f t="shared" si="1"/>
        <v>355713183</v>
      </c>
      <c r="J16" s="88">
        <f t="shared" si="2"/>
        <v>7.6203464470398913E-2</v>
      </c>
      <c r="K16" s="116">
        <f t="shared" si="3"/>
        <v>4312226594.7010002</v>
      </c>
      <c r="L16" s="116">
        <f t="shared" si="4"/>
        <v>3449781275.7608004</v>
      </c>
      <c r="M16" s="116">
        <f t="shared" si="5"/>
        <v>2587335956.8206</v>
      </c>
      <c r="N16" s="89">
        <f t="shared" si="6"/>
        <v>1</v>
      </c>
      <c r="O16" s="77">
        <v>0.65637281757364385</v>
      </c>
      <c r="P16" s="78">
        <f t="shared" si="7"/>
        <v>0.8</v>
      </c>
      <c r="Q16" s="100" t="str">
        <f t="shared" si="8"/>
        <v>Cumple</v>
      </c>
      <c r="R16" s="162">
        <f>+SUMIF('2.BDN'!D:D,Table8[[#This Row],[MUNICIPIO]],'2.BDN'!L:L)</f>
        <v>0</v>
      </c>
      <c r="S16" s="162">
        <f>+SUMIF('2.BDN'!D:D,Table8[[#This Row],[MUNICIPIO]],'2.BDN'!O:O)</f>
        <v>0</v>
      </c>
      <c r="T16" s="162">
        <f>+Table8[[#This Row],[SUMATORIA DE PROYECTOS SIF]]+Table8[[#This Row],[SUMATORIA DE PROYECTOS SED]]</f>
        <v>0</v>
      </c>
      <c r="U16" s="165">
        <v>0</v>
      </c>
      <c r="V16" s="165">
        <f>+Table8[[#This Row],[CAPACIDAD MAXIMA DE ENDEUDAMIENTO AL 60%]]*0.2</f>
        <v>517467191.36412001</v>
      </c>
      <c r="W16" s="165">
        <v>517467191.36412001</v>
      </c>
      <c r="X16" s="165">
        <f>+Table8[[#This Row],[APORTE GOB2]]+Table8[[#This Row],[CAPACIDAD MAXIMA DE ENDEUDAMIENTO AL 60%]]</f>
        <v>3104803148.18472</v>
      </c>
      <c r="Y16" s="165">
        <f>+Table8[[#This Row],[CAPACIDAD MAXIMA DE ENDEUDAMIENTO AL 60%]]+Table8[[#This Row],[APORTE GOB]]-Table8[[#This Row],[SUMA TOTAL]]</f>
        <v>3104803148.18472</v>
      </c>
    </row>
    <row r="17" spans="1:25">
      <c r="A17" s="97" t="s">
        <v>14</v>
      </c>
      <c r="B17" s="73" t="s">
        <v>15</v>
      </c>
      <c r="C17" s="73">
        <v>4</v>
      </c>
      <c r="D17" s="108">
        <v>56592203197.536499</v>
      </c>
      <c r="E17" s="108">
        <v>24375972647.860001</v>
      </c>
      <c r="F17" s="109">
        <f t="shared" si="0"/>
        <v>32216230549.676498</v>
      </c>
      <c r="G17" s="110">
        <v>0</v>
      </c>
      <c r="H17" s="108">
        <v>15044963334.42</v>
      </c>
      <c r="I17" s="109">
        <f t="shared" si="1"/>
        <v>15044963334.42</v>
      </c>
      <c r="J17" s="88">
        <f t="shared" si="2"/>
        <v>0.26584869442006315</v>
      </c>
      <c r="K17" s="116">
        <f t="shared" si="3"/>
        <v>41547239863.116501</v>
      </c>
      <c r="L17" s="116">
        <f t="shared" si="4"/>
        <v>33237791890.493202</v>
      </c>
      <c r="M17" s="116">
        <f t="shared" si="5"/>
        <v>24928343917.8699</v>
      </c>
      <c r="N17" s="89">
        <f t="shared" si="6"/>
        <v>0</v>
      </c>
      <c r="O17" s="77">
        <v>0.60385208261970102</v>
      </c>
      <c r="P17" s="78">
        <f t="shared" si="7"/>
        <v>0.8</v>
      </c>
      <c r="Q17" s="100" t="str">
        <f t="shared" si="8"/>
        <v>Cumple</v>
      </c>
      <c r="R17" s="162">
        <f>+SUMIF('2.BDN'!D:D,Table8[[#This Row],[MUNICIPIO]],'2.BDN'!L:L)</f>
        <v>61271443896</v>
      </c>
      <c r="S17" s="162">
        <f>+SUMIF('2.BDN'!D:D,Table8[[#This Row],[MUNICIPIO]],'2.BDN'!O:O)</f>
        <v>0</v>
      </c>
      <c r="T17" s="162">
        <f>+Table8[[#This Row],[SUMATORIA DE PROYECTOS SIF]]+Table8[[#This Row],[SUMATORIA DE PROYECTOS SED]]</f>
        <v>61271443896</v>
      </c>
      <c r="U17" s="165">
        <v>59747098443</v>
      </c>
      <c r="V17" s="165">
        <f>+Table8[[#This Row],[CAPACIDAD MAXIMA DE ENDEUDAMIENTO AL 60%]]*0.2</f>
        <v>4985668783.5739803</v>
      </c>
      <c r="W17" s="165">
        <v>4985668783.5739803</v>
      </c>
      <c r="X17" s="165">
        <f>+Table8[[#This Row],[APORTE GOB2]]+Table8[[#This Row],[CAPACIDAD MAXIMA DE ENDEUDAMIENTO AL 60%]]</f>
        <v>29914012701.443878</v>
      </c>
      <c r="Y17" s="165">
        <f>+Table8[[#This Row],[CAPACIDAD MAXIMA DE ENDEUDAMIENTO AL 60%]]+Table8[[#This Row],[APORTE GOB]]-Table8[[#This Row],[SUMA TOTAL]]</f>
        <v>-31357431194.556122</v>
      </c>
    </row>
    <row r="18" spans="1:25">
      <c r="A18" s="97" t="s">
        <v>14</v>
      </c>
      <c r="B18" s="73" t="s">
        <v>781</v>
      </c>
      <c r="C18" s="73">
        <v>1</v>
      </c>
      <c r="D18" s="108">
        <v>350208571302.33252</v>
      </c>
      <c r="E18" s="108">
        <v>156892691916.83002</v>
      </c>
      <c r="F18" s="109">
        <f t="shared" si="0"/>
        <v>193315879385.5025</v>
      </c>
      <c r="G18" s="110">
        <v>0</v>
      </c>
      <c r="H18" s="108">
        <v>193961595760</v>
      </c>
      <c r="I18" s="109">
        <f t="shared" si="1"/>
        <v>193961595760</v>
      </c>
      <c r="J18" s="88">
        <f t="shared" si="2"/>
        <v>0.553845941116485</v>
      </c>
      <c r="K18" s="116">
        <f t="shared" si="3"/>
        <v>156246975542.33252</v>
      </c>
      <c r="L18" s="116">
        <f t="shared" si="4"/>
        <v>124997580433.86603</v>
      </c>
      <c r="M18" s="116">
        <f t="shared" si="5"/>
        <v>93748185325.399506</v>
      </c>
      <c r="N18" s="89">
        <f t="shared" si="6"/>
        <v>0</v>
      </c>
      <c r="O18" s="77">
        <v>0.48074932217286026</v>
      </c>
      <c r="P18" s="78">
        <f t="shared" si="7"/>
        <v>0.65</v>
      </c>
      <c r="Q18" s="100" t="str">
        <f t="shared" si="8"/>
        <v>Cumple</v>
      </c>
      <c r="R18" s="162">
        <f>+SUMIF('2.BDN'!D:D,Table8[[#This Row],[MUNICIPIO]],'2.BDN'!L:L)</f>
        <v>0</v>
      </c>
      <c r="S18" s="162">
        <f>+SUMIF('2.BDN'!D:D,Table8[[#This Row],[MUNICIPIO]],'2.BDN'!O:O)</f>
        <v>0</v>
      </c>
      <c r="T18" s="162">
        <f>+Table8[[#This Row],[SUMATORIA DE PROYECTOS SIF]]+Table8[[#This Row],[SUMATORIA DE PROYECTOS SED]]</f>
        <v>0</v>
      </c>
      <c r="U18" s="165">
        <v>0</v>
      </c>
      <c r="V18" s="165">
        <f>+Table8[[#This Row],[CAPACIDAD MAXIMA DE ENDEUDAMIENTO AL 60%]]*0.2</f>
        <v>18749637065.079903</v>
      </c>
      <c r="W18" s="165">
        <v>18749637065.079903</v>
      </c>
      <c r="X18" s="165">
        <f>+Table8[[#This Row],[APORTE GOB2]]+Table8[[#This Row],[CAPACIDAD MAXIMA DE ENDEUDAMIENTO AL 60%]]</f>
        <v>112497822390.4794</v>
      </c>
      <c r="Y18" s="165">
        <f>+Table8[[#This Row],[CAPACIDAD MAXIMA DE ENDEUDAMIENTO AL 60%]]+Table8[[#This Row],[APORTE GOB]]-Table8[[#This Row],[SUMA TOTAL]]</f>
        <v>112497822390.4794</v>
      </c>
    </row>
    <row r="19" spans="1:25">
      <c r="A19" s="98" t="s">
        <v>34</v>
      </c>
      <c r="B19" s="79" t="s">
        <v>341</v>
      </c>
      <c r="C19" s="73">
        <v>6</v>
      </c>
      <c r="D19" s="108">
        <v>10160021082.964001</v>
      </c>
      <c r="E19" s="108">
        <v>3265249234.6399999</v>
      </c>
      <c r="F19" s="109">
        <f t="shared" si="0"/>
        <v>6894771848.3240013</v>
      </c>
      <c r="G19" s="110">
        <v>3316718973.96</v>
      </c>
      <c r="H19" s="112">
        <v>0</v>
      </c>
      <c r="I19" s="109">
        <f t="shared" si="1"/>
        <v>3316718973.96</v>
      </c>
      <c r="J19" s="88">
        <f t="shared" si="2"/>
        <v>0.32644804049879078</v>
      </c>
      <c r="K19" s="116">
        <f t="shared" si="3"/>
        <v>6843302109.0040007</v>
      </c>
      <c r="L19" s="116">
        <f t="shared" si="4"/>
        <v>5474641687.2032013</v>
      </c>
      <c r="M19" s="116">
        <f t="shared" si="5"/>
        <v>4105981265.4024</v>
      </c>
      <c r="N19" s="89">
        <f t="shared" si="6"/>
        <v>1</v>
      </c>
      <c r="O19" s="77">
        <v>0.59534208417675272</v>
      </c>
      <c r="P19" s="78">
        <f t="shared" si="7"/>
        <v>0.8</v>
      </c>
      <c r="Q19" s="100" t="str">
        <f t="shared" si="8"/>
        <v>Cumple</v>
      </c>
      <c r="R19" s="162">
        <f>+SUMIF('2.BDN'!D:D,Table8[[#This Row],[MUNICIPIO]],'2.BDN'!L:L)</f>
        <v>6843253569</v>
      </c>
      <c r="S19" s="162">
        <f>+SUMIF('2.BDN'!D:D,Table8[[#This Row],[MUNICIPIO]],'2.BDN'!O:O)</f>
        <v>0</v>
      </c>
      <c r="T19" s="162">
        <f>+Table8[[#This Row],[SUMATORIA DE PROYECTOS SIF]]+Table8[[#This Row],[SUMATORIA DE PROYECTOS SED]]</f>
        <v>6843253569</v>
      </c>
      <c r="U19" s="165">
        <v>4926828729</v>
      </c>
      <c r="V19" s="165">
        <f>+Table8[[#This Row],[CAPACIDAD MAXIMA DE ENDEUDAMIENTO AL 60%]]*0.2</f>
        <v>821196253.0804801</v>
      </c>
      <c r="W19" s="165">
        <v>821196253.0804801</v>
      </c>
      <c r="X19" s="165">
        <f>+Table8[[#This Row],[APORTE GOB2]]+Table8[[#This Row],[CAPACIDAD MAXIMA DE ENDEUDAMIENTO AL 60%]]</f>
        <v>4927177518.4828796</v>
      </c>
      <c r="Y19" s="165">
        <f>+Table8[[#This Row],[CAPACIDAD MAXIMA DE ENDEUDAMIENTO AL 60%]]+Table8[[#This Row],[APORTE GOB]]-Table8[[#This Row],[SUMA TOTAL]]</f>
        <v>-1916076050.5171204</v>
      </c>
    </row>
    <row r="20" spans="1:25">
      <c r="A20" s="97" t="s">
        <v>22</v>
      </c>
      <c r="B20" s="73" t="s">
        <v>127</v>
      </c>
      <c r="C20" s="73">
        <v>6</v>
      </c>
      <c r="D20" s="108">
        <v>9197355968.8835011</v>
      </c>
      <c r="E20" s="108">
        <v>3350398615.7000003</v>
      </c>
      <c r="F20" s="109">
        <f t="shared" si="0"/>
        <v>5846957353.1835003</v>
      </c>
      <c r="G20" s="110">
        <v>958841544</v>
      </c>
      <c r="H20" s="108">
        <v>680000000</v>
      </c>
      <c r="I20" s="109">
        <f t="shared" si="1"/>
        <v>1638841544</v>
      </c>
      <c r="J20" s="88">
        <f t="shared" si="2"/>
        <v>0.17818616019044273</v>
      </c>
      <c r="K20" s="116">
        <f t="shared" si="3"/>
        <v>7558514424.8835011</v>
      </c>
      <c r="L20" s="116">
        <f t="shared" si="4"/>
        <v>6046811539.9068012</v>
      </c>
      <c r="M20" s="116">
        <f t="shared" si="5"/>
        <v>4535108654.9301004</v>
      </c>
      <c r="N20" s="89">
        <f t="shared" si="6"/>
        <v>0.58507275917579493</v>
      </c>
      <c r="O20" s="77">
        <v>0.53687312631507866</v>
      </c>
      <c r="P20" s="78">
        <f t="shared" si="7"/>
        <v>0.8</v>
      </c>
      <c r="Q20" s="100" t="str">
        <f t="shared" si="8"/>
        <v>Cumple</v>
      </c>
      <c r="R20" s="162">
        <f>+SUMIF('2.BDN'!D:D,Table8[[#This Row],[MUNICIPIO]],'2.BDN'!L:L)</f>
        <v>8406704380</v>
      </c>
      <c r="S20" s="162">
        <f>+SUMIF('2.BDN'!D:D,Table8[[#This Row],[MUNICIPIO]],'2.BDN'!O:O)</f>
        <v>0</v>
      </c>
      <c r="T20" s="162">
        <f>+Table8[[#This Row],[SUMATORIA DE PROYECTOS SIF]]+Table8[[#This Row],[SUMATORIA DE PROYECTOS SED]]</f>
        <v>8406704380</v>
      </c>
      <c r="U20" s="165">
        <v>13464707674</v>
      </c>
      <c r="V20" s="165">
        <f>+Table8[[#This Row],[CAPACIDAD MAXIMA DE ENDEUDAMIENTO AL 60%]]*0.2</f>
        <v>907021730.98602009</v>
      </c>
      <c r="W20" s="165">
        <v>907021730.98602009</v>
      </c>
      <c r="X20" s="165">
        <f>+Table8[[#This Row],[APORTE GOB2]]+Table8[[#This Row],[CAPACIDAD MAXIMA DE ENDEUDAMIENTO AL 60%]]</f>
        <v>5442130385.9161205</v>
      </c>
      <c r="Y20" s="165">
        <f>+Table8[[#This Row],[CAPACIDAD MAXIMA DE ENDEUDAMIENTO AL 60%]]+Table8[[#This Row],[APORTE GOB]]-Table8[[#This Row],[SUMA TOTAL]]</f>
        <v>-2964573994.0838795</v>
      </c>
    </row>
    <row r="21" spans="1:25">
      <c r="A21" s="97" t="s">
        <v>22</v>
      </c>
      <c r="B21" s="73" t="s">
        <v>337</v>
      </c>
      <c r="C21" s="73">
        <v>6</v>
      </c>
      <c r="D21" s="108">
        <v>12058979368.9545</v>
      </c>
      <c r="E21" s="108">
        <v>3567680920.52</v>
      </c>
      <c r="F21" s="109">
        <f t="shared" si="0"/>
        <v>8491298448.4344997</v>
      </c>
      <c r="G21" s="110">
        <v>914830553</v>
      </c>
      <c r="H21" s="108">
        <v>0</v>
      </c>
      <c r="I21" s="109">
        <f t="shared" si="1"/>
        <v>914830553</v>
      </c>
      <c r="J21" s="88">
        <f t="shared" si="2"/>
        <v>7.586301667910679E-2</v>
      </c>
      <c r="K21" s="116">
        <f t="shared" si="3"/>
        <v>11144148815.9545</v>
      </c>
      <c r="L21" s="116">
        <f t="shared" si="4"/>
        <v>8915319052.7636013</v>
      </c>
      <c r="M21" s="116">
        <f t="shared" si="5"/>
        <v>6686489289.5726995</v>
      </c>
      <c r="N21" s="89">
        <f t="shared" si="6"/>
        <v>1</v>
      </c>
      <c r="O21" s="77">
        <v>0.60206976758564179</v>
      </c>
      <c r="P21" s="78">
        <f t="shared" si="7"/>
        <v>0.8</v>
      </c>
      <c r="Q21" s="100" t="str">
        <f t="shared" si="8"/>
        <v>Cumple</v>
      </c>
      <c r="R21" s="162">
        <f>+SUMIF('2.BDN'!D:D,Table8[[#This Row],[MUNICIPIO]],'2.BDN'!L:L)</f>
        <v>126398173</v>
      </c>
      <c r="S21" s="162">
        <f>+SUMIF('2.BDN'!D:D,Table8[[#This Row],[MUNICIPIO]],'2.BDN'!O:O)</f>
        <v>0</v>
      </c>
      <c r="T21" s="162">
        <f>+Table8[[#This Row],[SUMATORIA DE PROYECTOS SIF]]+Table8[[#This Row],[SUMATORIA DE PROYECTOS SED]]</f>
        <v>126398173</v>
      </c>
      <c r="U21" s="165">
        <v>5308118820</v>
      </c>
      <c r="V21" s="165">
        <f>+Table8[[#This Row],[CAPACIDAD MAXIMA DE ENDEUDAMIENTO AL 60%]]*0.2</f>
        <v>1337297857.9145401</v>
      </c>
      <c r="W21" s="165">
        <v>1337297857.9145401</v>
      </c>
      <c r="X21" s="165">
        <f>+Table8[[#This Row],[APORTE GOB2]]+Table8[[#This Row],[CAPACIDAD MAXIMA DE ENDEUDAMIENTO AL 60%]]</f>
        <v>8023787147.4872398</v>
      </c>
      <c r="Y21" s="165">
        <f>+Table8[[#This Row],[CAPACIDAD MAXIMA DE ENDEUDAMIENTO AL 60%]]+Table8[[#This Row],[APORTE GOB]]-Table8[[#This Row],[SUMA TOTAL]]</f>
        <v>7897388974.4872398</v>
      </c>
    </row>
    <row r="22" spans="1:25">
      <c r="A22" s="98" t="s">
        <v>34</v>
      </c>
      <c r="B22" s="79" t="s">
        <v>136</v>
      </c>
      <c r="C22" s="73">
        <v>6</v>
      </c>
      <c r="D22" s="108">
        <v>15936675551.976999</v>
      </c>
      <c r="E22" s="108">
        <v>6355203503.6700001</v>
      </c>
      <c r="F22" s="109">
        <f t="shared" si="0"/>
        <v>9581472048.3069992</v>
      </c>
      <c r="G22" s="110">
        <v>166905356.59</v>
      </c>
      <c r="H22" s="108">
        <v>5064590198</v>
      </c>
      <c r="I22" s="109">
        <f t="shared" si="1"/>
        <v>5231495554.5900002</v>
      </c>
      <c r="J22" s="88">
        <f t="shared" si="2"/>
        <v>0.32826768277534613</v>
      </c>
      <c r="K22" s="116">
        <f t="shared" si="3"/>
        <v>10705179997.386999</v>
      </c>
      <c r="L22" s="116">
        <f t="shared" si="4"/>
        <v>8564143997.9095993</v>
      </c>
      <c r="M22" s="116">
        <f t="shared" si="5"/>
        <v>6423107998.4321995</v>
      </c>
      <c r="N22" s="89">
        <f t="shared" si="6"/>
        <v>3.1903946939907245E-2</v>
      </c>
      <c r="O22" s="77">
        <v>0.65192157878949775</v>
      </c>
      <c r="P22" s="78">
        <f t="shared" si="7"/>
        <v>0.8</v>
      </c>
      <c r="Q22" s="100" t="str">
        <f t="shared" si="8"/>
        <v>Cumple</v>
      </c>
      <c r="R22" s="162">
        <f>+SUMIF('2.BDN'!D:D,Table8[[#This Row],[MUNICIPIO]],'2.BDN'!L:L)</f>
        <v>8906384242</v>
      </c>
      <c r="S22" s="162">
        <f>+SUMIF('2.BDN'!D:D,Table8[[#This Row],[MUNICIPIO]],'2.BDN'!O:O)</f>
        <v>0</v>
      </c>
      <c r="T22" s="162">
        <f>+Table8[[#This Row],[SUMATORIA DE PROYECTOS SIF]]+Table8[[#This Row],[SUMATORIA DE PROYECTOS SED]]</f>
        <v>8906384242</v>
      </c>
      <c r="U22" s="165">
        <v>10827048287</v>
      </c>
      <c r="V22" s="165">
        <f>+Table8[[#This Row],[CAPACIDAD MAXIMA DE ENDEUDAMIENTO AL 60%]]*0.2</f>
        <v>1284621599.68644</v>
      </c>
      <c r="W22" s="165">
        <v>1284621599.68644</v>
      </c>
      <c r="X22" s="165">
        <f>+Table8[[#This Row],[APORTE GOB2]]+Table8[[#This Row],[CAPACIDAD MAXIMA DE ENDEUDAMIENTO AL 60%]]</f>
        <v>7707729598.118639</v>
      </c>
      <c r="Y22" s="165">
        <f>+Table8[[#This Row],[CAPACIDAD MAXIMA DE ENDEUDAMIENTO AL 60%]]+Table8[[#This Row],[APORTE GOB]]-Table8[[#This Row],[SUMA TOTAL]]</f>
        <v>-1198654643.881361</v>
      </c>
    </row>
    <row r="23" spans="1:25">
      <c r="A23" s="97" t="s">
        <v>47</v>
      </c>
      <c r="B23" s="73" t="s">
        <v>574</v>
      </c>
      <c r="C23" s="73">
        <v>6</v>
      </c>
      <c r="D23" s="108">
        <v>22970429632.738503</v>
      </c>
      <c r="E23" s="108">
        <v>4753029850.6400003</v>
      </c>
      <c r="F23" s="109">
        <f t="shared" si="0"/>
        <v>18217399782.098503</v>
      </c>
      <c r="G23" s="110">
        <v>1226974981</v>
      </c>
      <c r="H23" s="108">
        <v>868957450</v>
      </c>
      <c r="I23" s="109">
        <f t="shared" si="1"/>
        <v>2095932431</v>
      </c>
      <c r="J23" s="88">
        <f t="shared" si="2"/>
        <v>9.1244807542162021E-2</v>
      </c>
      <c r="K23" s="116">
        <f t="shared" si="3"/>
        <v>20874497201.738503</v>
      </c>
      <c r="L23" s="116">
        <f t="shared" si="4"/>
        <v>16699597761.390802</v>
      </c>
      <c r="M23" s="116">
        <f t="shared" si="5"/>
        <v>12524698321.0431</v>
      </c>
      <c r="N23" s="89">
        <f t="shared" si="6"/>
        <v>0.58540769867022491</v>
      </c>
      <c r="O23" s="77">
        <v>0.40516346801716352</v>
      </c>
      <c r="P23" s="78">
        <f t="shared" si="7"/>
        <v>0.8</v>
      </c>
      <c r="Q23" s="100" t="str">
        <f t="shared" si="8"/>
        <v>Cumple</v>
      </c>
      <c r="R23" s="162">
        <f>+SUMIF('2.BDN'!D:D,Table8[[#This Row],[MUNICIPIO]],'2.BDN'!L:L)</f>
        <v>1653035345</v>
      </c>
      <c r="S23" s="162">
        <f>+SUMIF('2.BDN'!D:D,Table8[[#This Row],[MUNICIPIO]],'2.BDN'!O:O)</f>
        <v>0</v>
      </c>
      <c r="T23" s="162">
        <f>+Table8[[#This Row],[SUMATORIA DE PROYECTOS SIF]]+Table8[[#This Row],[SUMATORIA DE PROYECTOS SED]]</f>
        <v>1653035345</v>
      </c>
      <c r="U23" s="165">
        <v>641109696</v>
      </c>
      <c r="V23" s="165">
        <f>+Table8[[#This Row],[CAPACIDAD MAXIMA DE ENDEUDAMIENTO AL 60%]]*0.2</f>
        <v>2504939664.2086201</v>
      </c>
      <c r="W23" s="165">
        <v>2504939664.2086201</v>
      </c>
      <c r="X23" s="165">
        <f>+Table8[[#This Row],[APORTE GOB2]]+Table8[[#This Row],[CAPACIDAD MAXIMA DE ENDEUDAMIENTO AL 60%]]</f>
        <v>15029637985.25172</v>
      </c>
      <c r="Y23" s="165">
        <f>+Table8[[#This Row],[CAPACIDAD MAXIMA DE ENDEUDAMIENTO AL 60%]]+Table8[[#This Row],[APORTE GOB]]-Table8[[#This Row],[SUMA TOTAL]]</f>
        <v>13376602640.25172</v>
      </c>
    </row>
    <row r="24" spans="1:25">
      <c r="A24" s="97" t="s">
        <v>44</v>
      </c>
      <c r="B24" s="73" t="s">
        <v>191</v>
      </c>
      <c r="C24" s="73">
        <v>6</v>
      </c>
      <c r="D24" s="111">
        <v>16341381522.362501</v>
      </c>
      <c r="E24" s="111">
        <v>6183321664.5100002</v>
      </c>
      <c r="F24" s="109">
        <f t="shared" si="0"/>
        <v>10158059857.852501</v>
      </c>
      <c r="G24" s="110">
        <v>3504148016</v>
      </c>
      <c r="H24" s="111">
        <v>5476192157</v>
      </c>
      <c r="I24" s="109">
        <f t="shared" si="1"/>
        <v>8980340173</v>
      </c>
      <c r="J24" s="88">
        <f t="shared" si="2"/>
        <v>0.54954595856603539</v>
      </c>
      <c r="K24" s="116">
        <f t="shared" si="3"/>
        <v>7361041349.3625011</v>
      </c>
      <c r="L24" s="116">
        <f t="shared" si="4"/>
        <v>5888833079.4900017</v>
      </c>
      <c r="M24" s="116">
        <f t="shared" si="5"/>
        <v>4416624809.6175003</v>
      </c>
      <c r="N24" s="89">
        <f t="shared" si="6"/>
        <v>0.39020214696715588</v>
      </c>
      <c r="O24" s="77">
        <v>0.6661172152696142</v>
      </c>
      <c r="P24" s="78">
        <f t="shared" si="7"/>
        <v>0.8</v>
      </c>
      <c r="Q24" s="100" t="str">
        <f t="shared" si="8"/>
        <v>Cumple</v>
      </c>
      <c r="R24" s="162">
        <f>+SUMIF('2.BDN'!D:D,Table8[[#This Row],[MUNICIPIO]],'2.BDN'!L:L)</f>
        <v>326608232183</v>
      </c>
      <c r="S24" s="162">
        <f>+SUMIF('2.BDN'!D:D,Table8[[#This Row],[MUNICIPIO]],'2.BDN'!O:O)</f>
        <v>0</v>
      </c>
      <c r="T24" s="162">
        <f>+Table8[[#This Row],[SUMATORIA DE PROYECTOS SIF]]+Table8[[#This Row],[SUMATORIA DE PROYECTOS SED]]</f>
        <v>326608232183</v>
      </c>
      <c r="U24" s="165">
        <v>16732984687.040001</v>
      </c>
      <c r="V24" s="165">
        <f>+Table8[[#This Row],[CAPACIDAD MAXIMA DE ENDEUDAMIENTO AL 60%]]*0.2</f>
        <v>883324961.92350006</v>
      </c>
      <c r="W24" s="165">
        <v>883324961.92350006</v>
      </c>
      <c r="X24" s="165">
        <f>+Table8[[#This Row],[APORTE GOB2]]+Table8[[#This Row],[CAPACIDAD MAXIMA DE ENDEUDAMIENTO AL 60%]]</f>
        <v>5299949771.5410004</v>
      </c>
      <c r="Y24" s="165">
        <f>+Table8[[#This Row],[CAPACIDAD MAXIMA DE ENDEUDAMIENTO AL 60%]]+Table8[[#This Row],[APORTE GOB]]-Table8[[#This Row],[SUMA TOTAL]]</f>
        <v>-321308282411.45898</v>
      </c>
    </row>
    <row r="25" spans="1:25">
      <c r="A25" s="97" t="s">
        <v>47</v>
      </c>
      <c r="B25" s="73" t="s">
        <v>448</v>
      </c>
      <c r="C25" s="73">
        <v>6</v>
      </c>
      <c r="D25" s="108">
        <v>8536446221.1044998</v>
      </c>
      <c r="E25" s="108">
        <v>2840287960.8099999</v>
      </c>
      <c r="F25" s="109">
        <f t="shared" si="0"/>
        <v>5696158260.2945004</v>
      </c>
      <c r="G25" s="110">
        <v>1059912604</v>
      </c>
      <c r="H25" s="108">
        <v>559890374</v>
      </c>
      <c r="I25" s="109">
        <f t="shared" si="1"/>
        <v>1619802978</v>
      </c>
      <c r="J25" s="88">
        <f t="shared" si="2"/>
        <v>0.18975144176453554</v>
      </c>
      <c r="K25" s="116">
        <f t="shared" si="3"/>
        <v>6916643243.1044998</v>
      </c>
      <c r="L25" s="116">
        <f t="shared" si="4"/>
        <v>5533314594.4836006</v>
      </c>
      <c r="M25" s="116">
        <f t="shared" si="5"/>
        <v>4149985945.8626995</v>
      </c>
      <c r="N25" s="89">
        <f t="shared" si="6"/>
        <v>0.65434662017271583</v>
      </c>
      <c r="O25" s="77">
        <v>0.62730744736284794</v>
      </c>
      <c r="P25" s="78">
        <f t="shared" si="7"/>
        <v>0.8</v>
      </c>
      <c r="Q25" s="100" t="str">
        <f t="shared" si="8"/>
        <v>Cumple</v>
      </c>
      <c r="R25" s="162">
        <f>+SUMIF('2.BDN'!D:D,Table8[[#This Row],[MUNICIPIO]],'2.BDN'!L:L)</f>
        <v>12936503231</v>
      </c>
      <c r="S25" s="162">
        <f>+SUMIF('2.BDN'!D:D,Table8[[#This Row],[MUNICIPIO]],'2.BDN'!O:O)</f>
        <v>0</v>
      </c>
      <c r="T25" s="162">
        <f>+Table8[[#This Row],[SUMATORIA DE PROYECTOS SIF]]+Table8[[#This Row],[SUMATORIA DE PROYECTOS SED]]</f>
        <v>12936503231</v>
      </c>
      <c r="U25" s="165">
        <v>9495599061</v>
      </c>
      <c r="V25" s="165">
        <f>+Table8[[#This Row],[CAPACIDAD MAXIMA DE ENDEUDAMIENTO AL 60%]]*0.2</f>
        <v>829997189.17253995</v>
      </c>
      <c r="W25" s="165">
        <v>829997189.17253995</v>
      </c>
      <c r="X25" s="165">
        <f>+Table8[[#This Row],[APORTE GOB2]]+Table8[[#This Row],[CAPACIDAD MAXIMA DE ENDEUDAMIENTO AL 60%]]</f>
        <v>4979983135.0352392</v>
      </c>
      <c r="Y25" s="165">
        <f>+Table8[[#This Row],[CAPACIDAD MAXIMA DE ENDEUDAMIENTO AL 60%]]+Table8[[#This Row],[APORTE GOB]]-Table8[[#This Row],[SUMA TOTAL]]</f>
        <v>-7956520095.9647608</v>
      </c>
    </row>
    <row r="26" spans="1:25">
      <c r="A26" s="97" t="s">
        <v>14</v>
      </c>
      <c r="B26" s="73" t="s">
        <v>343</v>
      </c>
      <c r="C26" s="73">
        <v>3</v>
      </c>
      <c r="D26" s="108">
        <v>60283861588.903008</v>
      </c>
      <c r="E26" s="108">
        <v>20841388380.529999</v>
      </c>
      <c r="F26" s="109">
        <f t="shared" si="0"/>
        <v>39442473208.373009</v>
      </c>
      <c r="G26" s="110">
        <v>0</v>
      </c>
      <c r="H26" s="108">
        <v>16534829375</v>
      </c>
      <c r="I26" s="109">
        <f t="shared" si="1"/>
        <v>16534829375</v>
      </c>
      <c r="J26" s="88">
        <f t="shared" si="2"/>
        <v>0.27428285015576565</v>
      </c>
      <c r="K26" s="116">
        <f t="shared" si="3"/>
        <v>43749032213.903008</v>
      </c>
      <c r="L26" s="116">
        <f t="shared" si="4"/>
        <v>34999225771.122406</v>
      </c>
      <c r="M26" s="116">
        <f t="shared" si="5"/>
        <v>26249419328.341805</v>
      </c>
      <c r="N26" s="89">
        <f t="shared" si="6"/>
        <v>0</v>
      </c>
      <c r="O26" s="77">
        <v>0.44205372732348919</v>
      </c>
      <c r="P26" s="78">
        <f t="shared" si="7"/>
        <v>0.7</v>
      </c>
      <c r="Q26" s="100" t="str">
        <f t="shared" si="8"/>
        <v>Cumple</v>
      </c>
      <c r="R26" s="162">
        <f>+SUMIF('2.BDN'!D:D,Table8[[#This Row],[MUNICIPIO]],'2.BDN'!L:L)</f>
        <v>0</v>
      </c>
      <c r="S26" s="162">
        <f>+SUMIF('2.BDN'!D:D,Table8[[#This Row],[MUNICIPIO]],'2.BDN'!O:O)</f>
        <v>0</v>
      </c>
      <c r="T26" s="162">
        <f>+Table8[[#This Row],[SUMATORIA DE PROYECTOS SIF]]+Table8[[#This Row],[SUMATORIA DE PROYECTOS SED]]</f>
        <v>0</v>
      </c>
      <c r="U26" s="165">
        <v>18111001552.001999</v>
      </c>
      <c r="V26" s="165">
        <f>+Table8[[#This Row],[CAPACIDAD MAXIMA DE ENDEUDAMIENTO AL 60%]]*0.2</f>
        <v>5249883865.6683617</v>
      </c>
      <c r="W26" s="165">
        <v>5249883865.6683617</v>
      </c>
      <c r="X26" s="165">
        <f>+Table8[[#This Row],[APORTE GOB2]]+Table8[[#This Row],[CAPACIDAD MAXIMA DE ENDEUDAMIENTO AL 60%]]</f>
        <v>31499303194.010166</v>
      </c>
      <c r="Y26" s="165">
        <f>+Table8[[#This Row],[CAPACIDAD MAXIMA DE ENDEUDAMIENTO AL 60%]]+Table8[[#This Row],[APORTE GOB]]-Table8[[#This Row],[SUMA TOTAL]]</f>
        <v>31499303194.010166</v>
      </c>
    </row>
    <row r="27" spans="1:25">
      <c r="A27" s="98" t="s">
        <v>34</v>
      </c>
      <c r="B27" s="79" t="s">
        <v>286</v>
      </c>
      <c r="C27" s="73">
        <v>6</v>
      </c>
      <c r="D27" s="108">
        <v>8809287720.75</v>
      </c>
      <c r="E27" s="108">
        <v>2669441983.3800001</v>
      </c>
      <c r="F27" s="109">
        <f t="shared" si="0"/>
        <v>6139845737.3699999</v>
      </c>
      <c r="G27" s="110">
        <v>3083047525</v>
      </c>
      <c r="H27" s="108">
        <v>0</v>
      </c>
      <c r="I27" s="109">
        <f t="shared" si="1"/>
        <v>3083047525</v>
      </c>
      <c r="J27" s="88">
        <f t="shared" si="2"/>
        <v>0.34997693601696972</v>
      </c>
      <c r="K27" s="116">
        <f t="shared" si="3"/>
        <v>5726240195.75</v>
      </c>
      <c r="L27" s="116">
        <f t="shared" si="4"/>
        <v>4580992156.6000004</v>
      </c>
      <c r="M27" s="116">
        <f t="shared" si="5"/>
        <v>3435744117.4499998</v>
      </c>
      <c r="N27" s="89">
        <f t="shared" si="6"/>
        <v>1</v>
      </c>
      <c r="O27" s="77">
        <v>0.72230003829506451</v>
      </c>
      <c r="P27" s="78">
        <f t="shared" si="7"/>
        <v>0.8</v>
      </c>
      <c r="Q27" s="100" t="str">
        <f t="shared" si="8"/>
        <v>Cumple</v>
      </c>
      <c r="R27" s="162">
        <f>+SUMIF('2.BDN'!D:D,Table8[[#This Row],[MUNICIPIO]],'2.BDN'!L:L)</f>
        <v>6202802054</v>
      </c>
      <c r="S27" s="162">
        <f>+SUMIF('2.BDN'!D:D,Table8[[#This Row],[MUNICIPIO]],'2.BDN'!O:O)</f>
        <v>0</v>
      </c>
      <c r="T27" s="162">
        <f>+Table8[[#This Row],[SUMATORIA DE PROYECTOS SIF]]+Table8[[#This Row],[SUMATORIA DE PROYECTOS SED]]</f>
        <v>6202802054</v>
      </c>
      <c r="U27" s="165">
        <v>6912802054</v>
      </c>
      <c r="V27" s="165">
        <f>+Table8[[#This Row],[CAPACIDAD MAXIMA DE ENDEUDAMIENTO AL 60%]]*0.2</f>
        <v>687148823.49000001</v>
      </c>
      <c r="W27" s="165">
        <v>687148823.49000001</v>
      </c>
      <c r="X27" s="165">
        <f>+Table8[[#This Row],[APORTE GOB2]]+Table8[[#This Row],[CAPACIDAD MAXIMA DE ENDEUDAMIENTO AL 60%]]</f>
        <v>4122892940.9399996</v>
      </c>
      <c r="Y27" s="165">
        <f>+Table8[[#This Row],[CAPACIDAD MAXIMA DE ENDEUDAMIENTO AL 60%]]+Table8[[#This Row],[APORTE GOB]]-Table8[[#This Row],[SUMA TOTAL]]</f>
        <v>-2079909113.0600004</v>
      </c>
    </row>
    <row r="28" spans="1:25">
      <c r="A28" s="97" t="s">
        <v>47</v>
      </c>
      <c r="B28" s="73" t="s">
        <v>182</v>
      </c>
      <c r="C28" s="73">
        <v>6</v>
      </c>
      <c r="D28" s="108">
        <v>17304408242.457001</v>
      </c>
      <c r="E28" s="108">
        <v>4260885029.46</v>
      </c>
      <c r="F28" s="109">
        <f t="shared" si="0"/>
        <v>13043523212.997002</v>
      </c>
      <c r="G28" s="110">
        <v>3210633884</v>
      </c>
      <c r="H28" s="108">
        <v>0</v>
      </c>
      <c r="I28" s="109">
        <f t="shared" si="1"/>
        <v>3210633884</v>
      </c>
      <c r="J28" s="88">
        <f t="shared" si="2"/>
        <v>0.1855384962614666</v>
      </c>
      <c r="K28" s="116">
        <f t="shared" si="3"/>
        <v>14093774358.457001</v>
      </c>
      <c r="L28" s="116">
        <f t="shared" si="4"/>
        <v>11275019486.765602</v>
      </c>
      <c r="M28" s="116">
        <f t="shared" si="5"/>
        <v>8456264615.0741997</v>
      </c>
      <c r="N28" s="89">
        <f t="shared" si="6"/>
        <v>1</v>
      </c>
      <c r="O28" s="77">
        <v>0.3794626866525494</v>
      </c>
      <c r="P28" s="78">
        <f t="shared" si="7"/>
        <v>0.8</v>
      </c>
      <c r="Q28" s="100" t="str">
        <f t="shared" si="8"/>
        <v>Cumple</v>
      </c>
      <c r="R28" s="162">
        <f>+SUMIF('2.BDN'!D:D,Table8[[#This Row],[MUNICIPIO]],'2.BDN'!L:L)</f>
        <v>155525665337</v>
      </c>
      <c r="S28" s="162">
        <f>+SUMIF('2.BDN'!D:D,Table8[[#This Row],[MUNICIPIO]],'2.BDN'!O:O)</f>
        <v>0</v>
      </c>
      <c r="T28" s="162">
        <f>+Table8[[#This Row],[SUMATORIA DE PROYECTOS SIF]]+Table8[[#This Row],[SUMATORIA DE PROYECTOS SED]]</f>
        <v>155525665337</v>
      </c>
      <c r="U28" s="165">
        <v>11129386585.369999</v>
      </c>
      <c r="V28" s="165">
        <f>+Table8[[#This Row],[CAPACIDAD MAXIMA DE ENDEUDAMIENTO AL 60%]]*0.2</f>
        <v>1691252923.0148401</v>
      </c>
      <c r="W28" s="165">
        <v>1691252923.0148401</v>
      </c>
      <c r="X28" s="165">
        <f>+Table8[[#This Row],[APORTE GOB2]]+Table8[[#This Row],[CAPACIDAD MAXIMA DE ENDEUDAMIENTO AL 60%]]</f>
        <v>10147517538.089039</v>
      </c>
      <c r="Y28" s="165">
        <f>+Table8[[#This Row],[CAPACIDAD MAXIMA DE ENDEUDAMIENTO AL 60%]]+Table8[[#This Row],[APORTE GOB]]-Table8[[#This Row],[SUMA TOTAL]]</f>
        <v>-145378147798.91095</v>
      </c>
    </row>
    <row r="29" spans="1:25">
      <c r="A29" s="97" t="s">
        <v>892</v>
      </c>
      <c r="B29" s="73" t="s">
        <v>473</v>
      </c>
      <c r="C29" s="73">
        <v>6</v>
      </c>
      <c r="D29" s="108">
        <v>6287173903.2990007</v>
      </c>
      <c r="E29" s="108">
        <v>2101889048.3700001</v>
      </c>
      <c r="F29" s="109">
        <f t="shared" si="0"/>
        <v>4185284854.9290009</v>
      </c>
      <c r="G29" s="110">
        <v>1389004859</v>
      </c>
      <c r="H29" s="108">
        <v>1150000000</v>
      </c>
      <c r="I29" s="109">
        <f t="shared" si="1"/>
        <v>2539004859</v>
      </c>
      <c r="J29" s="88">
        <f t="shared" si="2"/>
        <v>0.40383881503066671</v>
      </c>
      <c r="K29" s="116">
        <f t="shared" si="3"/>
        <v>3748169044.2990007</v>
      </c>
      <c r="L29" s="116">
        <f t="shared" si="4"/>
        <v>2998535235.4392009</v>
      </c>
      <c r="M29" s="116">
        <f t="shared" si="5"/>
        <v>2248901426.5794005</v>
      </c>
      <c r="N29" s="89">
        <f t="shared" si="6"/>
        <v>0.54706664072595224</v>
      </c>
      <c r="O29" s="77">
        <v>0.5833393396108878</v>
      </c>
      <c r="P29" s="78">
        <f t="shared" si="7"/>
        <v>0.8</v>
      </c>
      <c r="Q29" s="100" t="str">
        <f t="shared" si="8"/>
        <v>Cumple</v>
      </c>
      <c r="R29" s="162">
        <f>+SUMIF('2.BDN'!D:D,Table8[[#This Row],[MUNICIPIO]],'2.BDN'!L:L)</f>
        <v>3919830466</v>
      </c>
      <c r="S29" s="162">
        <f>+SUMIF('2.BDN'!D:D,Table8[[#This Row],[MUNICIPIO]],'2.BDN'!O:O)</f>
        <v>0</v>
      </c>
      <c r="T29" s="162">
        <f>+Table8[[#This Row],[SUMATORIA DE PROYECTOS SIF]]+Table8[[#This Row],[SUMATORIA DE PROYECTOS SED]]</f>
        <v>3919830466</v>
      </c>
      <c r="U29" s="165">
        <v>33534848283</v>
      </c>
      <c r="V29" s="165">
        <f>+Table8[[#This Row],[CAPACIDAD MAXIMA DE ENDEUDAMIENTO AL 60%]]*0.2</f>
        <v>449780285.31588012</v>
      </c>
      <c r="W29" s="165">
        <v>449780285.31588012</v>
      </c>
      <c r="X29" s="165">
        <f>+Table8[[#This Row],[APORTE GOB2]]+Table8[[#This Row],[CAPACIDAD MAXIMA DE ENDEUDAMIENTO AL 60%]]</f>
        <v>2698681711.8952808</v>
      </c>
      <c r="Y29" s="165">
        <f>+Table8[[#This Row],[CAPACIDAD MAXIMA DE ENDEUDAMIENTO AL 60%]]+Table8[[#This Row],[APORTE GOB]]-Table8[[#This Row],[SUMA TOTAL]]</f>
        <v>-1221148754.1047192</v>
      </c>
    </row>
    <row r="30" spans="1:25">
      <c r="A30" s="97" t="s">
        <v>22</v>
      </c>
      <c r="B30" s="73" t="s">
        <v>359</v>
      </c>
      <c r="C30" s="73">
        <v>6</v>
      </c>
      <c r="D30" s="108">
        <v>4632250570.3755007</v>
      </c>
      <c r="E30" s="108">
        <v>2678094476.75</v>
      </c>
      <c r="F30" s="109">
        <f t="shared" si="0"/>
        <v>1954156093.6255007</v>
      </c>
      <c r="G30" s="110">
        <v>1940610936.6700001</v>
      </c>
      <c r="H30" s="108">
        <v>0</v>
      </c>
      <c r="I30" s="109">
        <f t="shared" si="1"/>
        <v>1940610936.6700001</v>
      </c>
      <c r="J30" s="88">
        <f t="shared" si="2"/>
        <v>0.41893479361430352</v>
      </c>
      <c r="K30" s="116">
        <f t="shared" si="3"/>
        <v>2691639633.7055006</v>
      </c>
      <c r="L30" s="116">
        <f t="shared" si="4"/>
        <v>2153311706.9644008</v>
      </c>
      <c r="M30" s="116">
        <f t="shared" si="5"/>
        <v>1614983780.2233002</v>
      </c>
      <c r="N30" s="89">
        <f t="shared" si="6"/>
        <v>1</v>
      </c>
      <c r="O30" s="77">
        <v>0.76459744811231467</v>
      </c>
      <c r="P30" s="78">
        <f t="shared" si="7"/>
        <v>0.8</v>
      </c>
      <c r="Q30" s="100" t="str">
        <f t="shared" si="8"/>
        <v>Riesgo</v>
      </c>
      <c r="R30" s="162">
        <f>+SUMIF('2.BDN'!D:D,Table8[[#This Row],[MUNICIPIO]],'2.BDN'!L:L)</f>
        <v>13760850614</v>
      </c>
      <c r="S30" s="162">
        <f>+SUMIF('2.BDN'!D:D,Table8[[#This Row],[MUNICIPIO]],'2.BDN'!O:O)</f>
        <v>0</v>
      </c>
      <c r="T30" s="162">
        <f>+Table8[[#This Row],[SUMATORIA DE PROYECTOS SIF]]+Table8[[#This Row],[SUMATORIA DE PROYECTOS SED]]</f>
        <v>13760850614</v>
      </c>
      <c r="U30" s="165">
        <v>4178212674</v>
      </c>
      <c r="V30" s="165">
        <f>+Table8[[#This Row],[CAPACIDAD MAXIMA DE ENDEUDAMIENTO AL 60%]]*0.2</f>
        <v>322996756.04466009</v>
      </c>
      <c r="W30" s="165">
        <v>322996756.04466009</v>
      </c>
      <c r="X30" s="165">
        <f>+Table8[[#This Row],[APORTE GOB2]]+Table8[[#This Row],[CAPACIDAD MAXIMA DE ENDEUDAMIENTO AL 60%]]</f>
        <v>1937980536.2679603</v>
      </c>
      <c r="Y30" s="165">
        <f>+Table8[[#This Row],[CAPACIDAD MAXIMA DE ENDEUDAMIENTO AL 60%]]+Table8[[#This Row],[APORTE GOB]]-Table8[[#This Row],[SUMA TOTAL]]</f>
        <v>-11822870077.73204</v>
      </c>
    </row>
    <row r="31" spans="1:25">
      <c r="A31" s="97" t="s">
        <v>37</v>
      </c>
      <c r="B31" s="73" t="s">
        <v>38</v>
      </c>
      <c r="C31" s="73">
        <v>6</v>
      </c>
      <c r="D31" s="111">
        <v>31551501799.776001</v>
      </c>
      <c r="E31" s="111">
        <v>12896901947.809999</v>
      </c>
      <c r="F31" s="109">
        <f t="shared" si="0"/>
        <v>18654599851.966003</v>
      </c>
      <c r="G31" s="110">
        <v>4320802475</v>
      </c>
      <c r="H31" s="111">
        <v>2118562934.45</v>
      </c>
      <c r="I31" s="109">
        <f t="shared" si="1"/>
        <v>6439365409.4499998</v>
      </c>
      <c r="J31" s="88">
        <f t="shared" si="2"/>
        <v>0.20409061509381832</v>
      </c>
      <c r="K31" s="116">
        <f t="shared" si="3"/>
        <v>25112136390.326</v>
      </c>
      <c r="L31" s="116">
        <f t="shared" si="4"/>
        <v>20089709112.260799</v>
      </c>
      <c r="M31" s="116">
        <f t="shared" si="5"/>
        <v>15067281834.195601</v>
      </c>
      <c r="N31" s="89">
        <f t="shared" si="6"/>
        <v>0.67099818076158058</v>
      </c>
      <c r="O31" s="77">
        <v>0.60103296352987046</v>
      </c>
      <c r="P31" s="78">
        <f t="shared" si="7"/>
        <v>0.8</v>
      </c>
      <c r="Q31" s="100" t="str">
        <f t="shared" si="8"/>
        <v>Cumple</v>
      </c>
      <c r="R31" s="162">
        <f>+SUMIF('2.BDN'!D:D,Table8[[#This Row],[MUNICIPIO]],'2.BDN'!L:L)</f>
        <v>7789949678</v>
      </c>
      <c r="S31" s="162">
        <f>+SUMIF('2.BDN'!D:D,Table8[[#This Row],[MUNICIPIO]],'2.BDN'!O:O)</f>
        <v>0</v>
      </c>
      <c r="T31" s="162">
        <f>+Table8[[#This Row],[SUMATORIA DE PROYECTOS SIF]]+Table8[[#This Row],[SUMATORIA DE PROYECTOS SED]]</f>
        <v>7789949678</v>
      </c>
      <c r="U31" s="165">
        <v>25397588527</v>
      </c>
      <c r="V31" s="165">
        <f>+Table8[[#This Row],[CAPACIDAD MAXIMA DE ENDEUDAMIENTO AL 60%]]*0.2</f>
        <v>3013456366.8391204</v>
      </c>
      <c r="W31" s="165">
        <v>3013456366.8391204</v>
      </c>
      <c r="X31" s="165">
        <f>+Table8[[#This Row],[APORTE GOB2]]+Table8[[#This Row],[CAPACIDAD MAXIMA DE ENDEUDAMIENTO AL 60%]]</f>
        <v>18080738201.034721</v>
      </c>
      <c r="Y31" s="165">
        <f>+Table8[[#This Row],[CAPACIDAD MAXIMA DE ENDEUDAMIENTO AL 60%]]+Table8[[#This Row],[APORTE GOB]]-Table8[[#This Row],[SUMA TOTAL]]</f>
        <v>10290788523.034721</v>
      </c>
    </row>
    <row r="32" spans="1:25">
      <c r="A32" s="98" t="s">
        <v>34</v>
      </c>
      <c r="B32" s="79" t="s">
        <v>796</v>
      </c>
      <c r="C32" s="73">
        <v>6</v>
      </c>
      <c r="D32" s="108">
        <v>12753516160.956001</v>
      </c>
      <c r="E32" s="108">
        <v>2768667331.0500002</v>
      </c>
      <c r="F32" s="109">
        <f t="shared" si="0"/>
        <v>9984848829.906002</v>
      </c>
      <c r="G32" s="110">
        <v>1244778755</v>
      </c>
      <c r="H32" s="108">
        <v>0</v>
      </c>
      <c r="I32" s="109">
        <f t="shared" si="1"/>
        <v>1244778755</v>
      </c>
      <c r="J32" s="88">
        <f t="shared" si="2"/>
        <v>9.760278963779441E-2</v>
      </c>
      <c r="K32" s="116">
        <f t="shared" si="3"/>
        <v>11508737405.956001</v>
      </c>
      <c r="L32" s="116">
        <f t="shared" si="4"/>
        <v>9206989924.764801</v>
      </c>
      <c r="M32" s="116">
        <f t="shared" si="5"/>
        <v>6905242443.5736008</v>
      </c>
      <c r="N32" s="89">
        <f t="shared" si="6"/>
        <v>1</v>
      </c>
      <c r="O32" s="77">
        <v>0.7839967136976107</v>
      </c>
      <c r="P32" s="78">
        <f t="shared" si="7"/>
        <v>0.8</v>
      </c>
      <c r="Q32" s="100" t="str">
        <f t="shared" si="8"/>
        <v>Riesgo</v>
      </c>
      <c r="R32" s="162">
        <f>+SUMIF('2.BDN'!D:D,Table8[[#This Row],[MUNICIPIO]],'2.BDN'!L:L)</f>
        <v>1807500000</v>
      </c>
      <c r="S32" s="162">
        <f>+SUMIF('2.BDN'!D:D,Table8[[#This Row],[MUNICIPIO]],'2.BDN'!O:O)</f>
        <v>0</v>
      </c>
      <c r="T32" s="162">
        <f>+Table8[[#This Row],[SUMATORIA DE PROYECTOS SIF]]+Table8[[#This Row],[SUMATORIA DE PROYECTOS SED]]</f>
        <v>1807500000</v>
      </c>
      <c r="U32" s="165">
        <v>1159350792</v>
      </c>
      <c r="V32" s="165">
        <f>+Table8[[#This Row],[CAPACIDAD MAXIMA DE ENDEUDAMIENTO AL 60%]]*0.2</f>
        <v>1381048488.7147202</v>
      </c>
      <c r="W32" s="165">
        <v>1381048488.7147202</v>
      </c>
      <c r="X32" s="165">
        <f>+Table8[[#This Row],[APORTE GOB2]]+Table8[[#This Row],[CAPACIDAD MAXIMA DE ENDEUDAMIENTO AL 60%]]</f>
        <v>8286290932.2883205</v>
      </c>
      <c r="Y32" s="165">
        <f>+Table8[[#This Row],[CAPACIDAD MAXIMA DE ENDEUDAMIENTO AL 60%]]+Table8[[#This Row],[APORTE GOB]]-Table8[[#This Row],[SUMA TOTAL]]</f>
        <v>6478790932.2883205</v>
      </c>
    </row>
    <row r="33" spans="1:27">
      <c r="A33" s="97" t="s">
        <v>44</v>
      </c>
      <c r="B33" s="73" t="s">
        <v>45</v>
      </c>
      <c r="C33" s="73">
        <v>5</v>
      </c>
      <c r="D33" s="111">
        <v>55415011363.643501</v>
      </c>
      <c r="E33" s="111">
        <v>24252117123.400002</v>
      </c>
      <c r="F33" s="109">
        <f t="shared" si="0"/>
        <v>31162894240.2435</v>
      </c>
      <c r="G33" s="110">
        <v>8970758412</v>
      </c>
      <c r="H33" s="111">
        <v>3572173854.98</v>
      </c>
      <c r="I33" s="109">
        <f t="shared" si="1"/>
        <v>12542932266.98</v>
      </c>
      <c r="J33" s="88">
        <f t="shared" si="2"/>
        <v>0.22634538834019124</v>
      </c>
      <c r="K33" s="116">
        <f t="shared" si="3"/>
        <v>42872079096.663498</v>
      </c>
      <c r="L33" s="116">
        <f t="shared" si="4"/>
        <v>34297663277.330799</v>
      </c>
      <c r="M33" s="116">
        <f t="shared" si="5"/>
        <v>25723247457.998096</v>
      </c>
      <c r="N33" s="89">
        <f t="shared" si="6"/>
        <v>0.71520424578996133</v>
      </c>
      <c r="O33" s="77">
        <v>0.67052010826145281</v>
      </c>
      <c r="P33" s="78">
        <f t="shared" si="7"/>
        <v>0.8</v>
      </c>
      <c r="Q33" s="100" t="str">
        <f t="shared" si="8"/>
        <v>Cumple</v>
      </c>
      <c r="R33" s="162">
        <f>+SUMIF('2.BDN'!D:D,Table8[[#This Row],[MUNICIPIO]],'2.BDN'!L:L)</f>
        <v>27318769996</v>
      </c>
      <c r="S33" s="162">
        <f>+SUMIF('2.BDN'!D:D,Table8[[#This Row],[MUNICIPIO]],'2.BDN'!O:O)</f>
        <v>0</v>
      </c>
      <c r="T33" s="162">
        <f>+Table8[[#This Row],[SUMATORIA DE PROYECTOS SIF]]+Table8[[#This Row],[SUMATORIA DE PROYECTOS SED]]</f>
        <v>27318769996</v>
      </c>
      <c r="U33" s="165">
        <v>45714250889</v>
      </c>
      <c r="V33" s="165">
        <f>+Table8[[#This Row],[CAPACIDAD MAXIMA DE ENDEUDAMIENTO AL 60%]]*0.2</f>
        <v>5144649491.5996199</v>
      </c>
      <c r="W33" s="165">
        <v>5144649491.5996199</v>
      </c>
      <c r="X33" s="165">
        <f>+Table8[[#This Row],[APORTE GOB2]]+Table8[[#This Row],[CAPACIDAD MAXIMA DE ENDEUDAMIENTO AL 60%]]</f>
        <v>30867896949.597717</v>
      </c>
      <c r="Y33" s="165">
        <f>+Table8[[#This Row],[CAPACIDAD MAXIMA DE ENDEUDAMIENTO AL 60%]]+Table8[[#This Row],[APORTE GOB]]-Table8[[#This Row],[SUMA TOTAL]]</f>
        <v>3549126953.5977173</v>
      </c>
    </row>
    <row r="34" spans="1:27">
      <c r="A34" s="97" t="s">
        <v>37</v>
      </c>
      <c r="B34" s="73" t="s">
        <v>118</v>
      </c>
      <c r="C34" s="73">
        <v>6</v>
      </c>
      <c r="D34" s="108">
        <v>31480625713.601501</v>
      </c>
      <c r="E34" s="108">
        <v>12012746210.970001</v>
      </c>
      <c r="F34" s="109">
        <f t="shared" si="0"/>
        <v>19467879502.6315</v>
      </c>
      <c r="G34" s="110">
        <v>990257688</v>
      </c>
      <c r="H34" s="108">
        <v>4241046406.5999999</v>
      </c>
      <c r="I34" s="109">
        <f t="shared" si="1"/>
        <v>5231304094.6000004</v>
      </c>
      <c r="J34" s="88">
        <f t="shared" si="2"/>
        <v>0.16617535312647125</v>
      </c>
      <c r="K34" s="116">
        <f t="shared" si="3"/>
        <v>26249321619.001503</v>
      </c>
      <c r="L34" s="116">
        <f t="shared" si="4"/>
        <v>20999457295.201202</v>
      </c>
      <c r="M34" s="116">
        <f t="shared" si="5"/>
        <v>15749592971.400902</v>
      </c>
      <c r="N34" s="89">
        <f t="shared" si="6"/>
        <v>0.18929461375074541</v>
      </c>
      <c r="O34" s="77">
        <v>0.57128723877428544</v>
      </c>
      <c r="P34" s="78">
        <f t="shared" si="7"/>
        <v>0.8</v>
      </c>
      <c r="Q34" s="100" t="str">
        <f t="shared" si="8"/>
        <v>Cumple</v>
      </c>
      <c r="R34" s="162">
        <f>+SUMIF('2.BDN'!D:D,Table8[[#This Row],[MUNICIPIO]],'2.BDN'!L:L)</f>
        <v>178476615139.92999</v>
      </c>
      <c r="S34" s="162">
        <f>+SUMIF('2.BDN'!D:D,Table8[[#This Row],[MUNICIPIO]],'2.BDN'!O:O)</f>
        <v>0</v>
      </c>
      <c r="T34" s="162">
        <f>+Table8[[#This Row],[SUMATORIA DE PROYECTOS SIF]]+Table8[[#This Row],[SUMATORIA DE PROYECTOS SED]]</f>
        <v>178476615139.92999</v>
      </c>
      <c r="U34" s="165">
        <v>9457153474</v>
      </c>
      <c r="V34" s="165">
        <f>+Table8[[#This Row],[CAPACIDAD MAXIMA DE ENDEUDAMIENTO AL 60%]]*0.2</f>
        <v>3149918594.2801805</v>
      </c>
      <c r="W34" s="165">
        <v>3149918594.2801805</v>
      </c>
      <c r="X34" s="165">
        <f>+Table8[[#This Row],[APORTE GOB2]]+Table8[[#This Row],[CAPACIDAD MAXIMA DE ENDEUDAMIENTO AL 60%]]</f>
        <v>18899511565.681084</v>
      </c>
      <c r="Y34" s="165">
        <f>+Table8[[#This Row],[CAPACIDAD MAXIMA DE ENDEUDAMIENTO AL 60%]]+Table8[[#This Row],[APORTE GOB]]-Table8[[#This Row],[SUMA TOTAL]]</f>
        <v>-159577103574.2489</v>
      </c>
    </row>
    <row r="35" spans="1:27">
      <c r="A35" s="97" t="s">
        <v>3</v>
      </c>
      <c r="B35" s="73" t="s">
        <v>244</v>
      </c>
      <c r="C35" s="73">
        <v>6</v>
      </c>
      <c r="D35" s="108">
        <v>11769915072.3085</v>
      </c>
      <c r="E35" s="108">
        <v>4043512144.3800001</v>
      </c>
      <c r="F35" s="109">
        <f t="shared" si="0"/>
        <v>7726402927.9285002</v>
      </c>
      <c r="G35" s="110">
        <v>3010151420</v>
      </c>
      <c r="H35" s="108"/>
      <c r="I35" s="109">
        <f t="shared" si="1"/>
        <v>3010151420</v>
      </c>
      <c r="J35" s="88">
        <f t="shared" si="2"/>
        <v>0.255749629585866</v>
      </c>
      <c r="K35" s="116">
        <f t="shared" si="3"/>
        <v>8759763652.3085003</v>
      </c>
      <c r="L35" s="116">
        <f t="shared" si="4"/>
        <v>7007810921.8468008</v>
      </c>
      <c r="M35" s="116">
        <f t="shared" si="5"/>
        <v>5255858191.3851004</v>
      </c>
      <c r="N35" s="89">
        <f t="shared" si="6"/>
        <v>1</v>
      </c>
      <c r="O35" s="77">
        <v>0.52320001604697897</v>
      </c>
      <c r="P35" s="78">
        <f t="shared" si="7"/>
        <v>0.8</v>
      </c>
      <c r="Q35" s="100" t="str">
        <f t="shared" si="8"/>
        <v>Cumple</v>
      </c>
      <c r="R35" s="162">
        <f>+SUMIF('2.BDN'!D:D,Table8[[#This Row],[MUNICIPIO]],'2.BDN'!L:L)</f>
        <v>17825415932</v>
      </c>
      <c r="S35" s="162">
        <f>+SUMIF('2.BDN'!D:D,Table8[[#This Row],[MUNICIPIO]],'2.BDN'!O:O)</f>
        <v>0</v>
      </c>
      <c r="T35" s="162">
        <f>+Table8[[#This Row],[SUMATORIA DE PROYECTOS SIF]]+Table8[[#This Row],[SUMATORIA DE PROYECTOS SED]]</f>
        <v>17825415932</v>
      </c>
      <c r="U35" s="165">
        <v>28529658513</v>
      </c>
      <c r="V35" s="165">
        <f>+Table8[[#This Row],[CAPACIDAD MAXIMA DE ENDEUDAMIENTO AL 60%]]*0.2</f>
        <v>1051171638.2770201</v>
      </c>
      <c r="W35" s="165">
        <v>1051171638.2770201</v>
      </c>
      <c r="X35" s="165">
        <f>+Table8[[#This Row],[APORTE GOB2]]+Table8[[#This Row],[CAPACIDAD MAXIMA DE ENDEUDAMIENTO AL 60%]]</f>
        <v>6307029829.6621208</v>
      </c>
      <c r="Y35" s="165">
        <f>+Table8[[#This Row],[CAPACIDAD MAXIMA DE ENDEUDAMIENTO AL 60%]]+Table8[[#This Row],[APORTE GOB]]-Table8[[#This Row],[SUMA TOTAL]]</f>
        <v>-11518386102.337879</v>
      </c>
    </row>
    <row r="36" spans="1:27">
      <c r="A36" s="97" t="s">
        <v>22</v>
      </c>
      <c r="B36" s="73" t="s">
        <v>223</v>
      </c>
      <c r="C36" s="73">
        <v>6</v>
      </c>
      <c r="D36" s="108">
        <v>18608617574.017002</v>
      </c>
      <c r="E36" s="108">
        <v>7376218347.0799999</v>
      </c>
      <c r="F36" s="109">
        <f t="shared" si="0"/>
        <v>11232399226.937002</v>
      </c>
      <c r="G36" s="110">
        <v>2665498102.3000002</v>
      </c>
      <c r="H36" s="108">
        <v>2057047588</v>
      </c>
      <c r="I36" s="109">
        <f t="shared" si="1"/>
        <v>4722545690.3000002</v>
      </c>
      <c r="J36" s="88">
        <f t="shared" si="2"/>
        <v>0.25378272574605631</v>
      </c>
      <c r="K36" s="116">
        <f t="shared" si="3"/>
        <v>13886071883.717003</v>
      </c>
      <c r="L36" s="116">
        <f t="shared" si="4"/>
        <v>11108857506.973602</v>
      </c>
      <c r="M36" s="116">
        <f t="shared" si="5"/>
        <v>8331643130.2302017</v>
      </c>
      <c r="N36" s="89">
        <f t="shared" si="6"/>
        <v>0.56441975940537148</v>
      </c>
      <c r="O36" s="77">
        <v>0.57306836090110702</v>
      </c>
      <c r="P36" s="78">
        <f t="shared" si="7"/>
        <v>0.8</v>
      </c>
      <c r="Q36" s="100" t="str">
        <f t="shared" si="8"/>
        <v>Cumple</v>
      </c>
      <c r="R36" s="162">
        <f>+SUMIF('2.BDN'!D:D,Table8[[#This Row],[MUNICIPIO]],'2.BDN'!L:L)</f>
        <v>41542157580</v>
      </c>
      <c r="S36" s="162">
        <f>+SUMIF('2.BDN'!D:D,Table8[[#This Row],[MUNICIPIO]],'2.BDN'!O:O)</f>
        <v>0</v>
      </c>
      <c r="T36" s="162">
        <f>+Table8[[#This Row],[SUMATORIA DE PROYECTOS SIF]]+Table8[[#This Row],[SUMATORIA DE PROYECTOS SED]]</f>
        <v>41542157580</v>
      </c>
      <c r="U36" s="165">
        <v>41502157579.5</v>
      </c>
      <c r="V36" s="165">
        <f>+Table8[[#This Row],[CAPACIDAD MAXIMA DE ENDEUDAMIENTO AL 60%]]*0.2</f>
        <v>1666328626.0460405</v>
      </c>
      <c r="W36" s="165">
        <v>1666328626.0460405</v>
      </c>
      <c r="X36" s="165">
        <f>+Table8[[#This Row],[APORTE GOB2]]+Table8[[#This Row],[CAPACIDAD MAXIMA DE ENDEUDAMIENTO AL 60%]]</f>
        <v>9997971756.2762413</v>
      </c>
      <c r="Y36" s="165">
        <f>+Table8[[#This Row],[CAPACIDAD MAXIMA DE ENDEUDAMIENTO AL 60%]]+Table8[[#This Row],[APORTE GOB]]-Table8[[#This Row],[SUMA TOTAL]]</f>
        <v>-31544185823.723759</v>
      </c>
    </row>
    <row r="37" spans="1:27">
      <c r="A37" s="97" t="s">
        <v>20</v>
      </c>
      <c r="B37" s="73" t="s">
        <v>125</v>
      </c>
      <c r="C37" s="73">
        <v>6</v>
      </c>
      <c r="D37" s="108">
        <v>12327690626.8465</v>
      </c>
      <c r="E37" s="108">
        <v>4723680091.2799997</v>
      </c>
      <c r="F37" s="109">
        <f t="shared" si="0"/>
        <v>7604010535.5665007</v>
      </c>
      <c r="G37" s="110">
        <v>445297438</v>
      </c>
      <c r="H37" s="108">
        <v>33508702</v>
      </c>
      <c r="I37" s="109">
        <f t="shared" si="1"/>
        <v>478806140</v>
      </c>
      <c r="J37" s="88">
        <f t="shared" si="2"/>
        <v>3.8839889359105498E-2</v>
      </c>
      <c r="K37" s="116">
        <f t="shared" si="3"/>
        <v>11848884486.8465</v>
      </c>
      <c r="L37" s="116">
        <f t="shared" si="4"/>
        <v>9479107589.4772015</v>
      </c>
      <c r="M37" s="116">
        <f t="shared" si="5"/>
        <v>7109330692.1078997</v>
      </c>
      <c r="N37" s="89">
        <f t="shared" si="6"/>
        <v>0.93001613972619479</v>
      </c>
      <c r="O37" s="77">
        <v>0.63996045822337311</v>
      </c>
      <c r="P37" s="78">
        <f t="shared" si="7"/>
        <v>0.8</v>
      </c>
      <c r="Q37" s="100" t="str">
        <f t="shared" si="8"/>
        <v>Cumple</v>
      </c>
      <c r="R37" s="162">
        <f>+SUMIF('2.BDN'!D:D,Table8[[#This Row],[MUNICIPIO]],'2.BDN'!L:L)</f>
        <v>3721767433</v>
      </c>
      <c r="S37" s="162">
        <f>+SUMIF('2.BDN'!D:D,Table8[[#This Row],[MUNICIPIO]],'2.BDN'!O:O)</f>
        <v>0</v>
      </c>
      <c r="T37" s="162">
        <f>+Table8[[#This Row],[SUMATORIA DE PROYECTOS SIF]]+Table8[[#This Row],[SUMATORIA DE PROYECTOS SED]]</f>
        <v>3721767433</v>
      </c>
      <c r="U37" s="165">
        <v>7854253010</v>
      </c>
      <c r="V37" s="165">
        <f>+Table8[[#This Row],[CAPACIDAD MAXIMA DE ENDEUDAMIENTO AL 60%]]*0.2</f>
        <v>1421866138.4215801</v>
      </c>
      <c r="W37" s="165">
        <v>1421866138.4215801</v>
      </c>
      <c r="X37" s="165">
        <f>+Table8[[#This Row],[APORTE GOB2]]+Table8[[#This Row],[CAPACIDAD MAXIMA DE ENDEUDAMIENTO AL 60%]]</f>
        <v>8531196830.52948</v>
      </c>
      <c r="Y37" s="165">
        <f>+Table8[[#This Row],[CAPACIDAD MAXIMA DE ENDEUDAMIENTO AL 60%]]+Table8[[#This Row],[APORTE GOB]]-Table8[[#This Row],[SUMA TOTAL]]</f>
        <v>4809429397.52948</v>
      </c>
      <c r="Z37" s="83"/>
      <c r="AA37" s="83"/>
    </row>
    <row r="38" spans="1:27">
      <c r="A38" s="97" t="s">
        <v>20</v>
      </c>
      <c r="B38" s="73" t="s">
        <v>103</v>
      </c>
      <c r="C38" s="73">
        <v>6</v>
      </c>
      <c r="D38" s="108">
        <v>8725724060.9459991</v>
      </c>
      <c r="E38" s="108">
        <v>1935290211.05</v>
      </c>
      <c r="F38" s="109">
        <f t="shared" si="0"/>
        <v>6790433849.895999</v>
      </c>
      <c r="G38" s="110">
        <v>661232494</v>
      </c>
      <c r="H38" s="108"/>
      <c r="I38" s="109">
        <f t="shared" si="1"/>
        <v>661232494</v>
      </c>
      <c r="J38" s="88">
        <f t="shared" si="2"/>
        <v>7.5779670475657063E-2</v>
      </c>
      <c r="K38" s="116">
        <f t="shared" si="3"/>
        <v>8064491566.9459991</v>
      </c>
      <c r="L38" s="116">
        <f t="shared" si="4"/>
        <v>6451593253.5567999</v>
      </c>
      <c r="M38" s="116">
        <f t="shared" si="5"/>
        <v>4838694940.1675997</v>
      </c>
      <c r="N38" s="89">
        <f t="shared" si="6"/>
        <v>1</v>
      </c>
      <c r="O38" s="77">
        <v>0.53402239411083863</v>
      </c>
      <c r="P38" s="78">
        <f t="shared" si="7"/>
        <v>0.8</v>
      </c>
      <c r="Q38" s="100" t="str">
        <f t="shared" si="8"/>
        <v>Cumple</v>
      </c>
      <c r="R38" s="162">
        <f>+SUMIF('2.BDN'!D:D,Table8[[#This Row],[MUNICIPIO]],'2.BDN'!L:L)</f>
        <v>0</v>
      </c>
      <c r="S38" s="162">
        <f>+SUMIF('2.BDN'!D:D,Table8[[#This Row],[MUNICIPIO]],'2.BDN'!O:O)</f>
        <v>0</v>
      </c>
      <c r="T38" s="162">
        <f>+Table8[[#This Row],[SUMATORIA DE PROYECTOS SIF]]+Table8[[#This Row],[SUMATORIA DE PROYECTOS SED]]</f>
        <v>0</v>
      </c>
      <c r="U38" s="165">
        <v>3532000000</v>
      </c>
      <c r="V38" s="165">
        <f>+Table8[[#This Row],[CAPACIDAD MAXIMA DE ENDEUDAMIENTO AL 60%]]*0.2</f>
        <v>967738988.03351998</v>
      </c>
      <c r="W38" s="165">
        <v>967738988.03351998</v>
      </c>
      <c r="X38" s="165">
        <f>+Table8[[#This Row],[APORTE GOB2]]+Table8[[#This Row],[CAPACIDAD MAXIMA DE ENDEUDAMIENTO AL 60%]]</f>
        <v>5806433928.2011194</v>
      </c>
      <c r="Y38" s="165">
        <f>+Table8[[#This Row],[CAPACIDAD MAXIMA DE ENDEUDAMIENTO AL 60%]]+Table8[[#This Row],[APORTE GOB]]-Table8[[#This Row],[SUMA TOTAL]]</f>
        <v>5806433928.2011194</v>
      </c>
      <c r="Z38" s="83"/>
      <c r="AA38" s="83"/>
    </row>
    <row r="39" spans="1:27">
      <c r="A39" s="97" t="s">
        <v>22</v>
      </c>
      <c r="B39" s="73" t="s">
        <v>444</v>
      </c>
      <c r="C39" s="73">
        <v>6</v>
      </c>
      <c r="D39" s="108">
        <v>15768761995.465</v>
      </c>
      <c r="E39" s="108">
        <v>6120714378.3199997</v>
      </c>
      <c r="F39" s="109">
        <f t="shared" si="0"/>
        <v>9648047617.1450005</v>
      </c>
      <c r="G39" s="110">
        <v>0</v>
      </c>
      <c r="H39" s="108">
        <v>1826140917</v>
      </c>
      <c r="I39" s="109">
        <f t="shared" si="1"/>
        <v>1826140917</v>
      </c>
      <c r="J39" s="88">
        <f t="shared" si="2"/>
        <v>0.11580750077432755</v>
      </c>
      <c r="K39" s="116">
        <f t="shared" si="3"/>
        <v>13942621078.465</v>
      </c>
      <c r="L39" s="116">
        <f t="shared" si="4"/>
        <v>11154096862.772001</v>
      </c>
      <c r="M39" s="116">
        <f t="shared" si="5"/>
        <v>8365572647.0789995</v>
      </c>
      <c r="N39" s="89">
        <f t="shared" si="6"/>
        <v>0</v>
      </c>
      <c r="O39" s="77">
        <v>0.59742617293949363</v>
      </c>
      <c r="P39" s="78">
        <f t="shared" si="7"/>
        <v>0.8</v>
      </c>
      <c r="Q39" s="100" t="str">
        <f t="shared" si="8"/>
        <v>Cumple</v>
      </c>
      <c r="R39" s="162">
        <f>+SUMIF('2.BDN'!D:D,Table8[[#This Row],[MUNICIPIO]],'2.BDN'!L:L)</f>
        <v>2381561537</v>
      </c>
      <c r="S39" s="162">
        <f>+SUMIF('2.BDN'!D:D,Table8[[#This Row],[MUNICIPIO]],'2.BDN'!O:O)</f>
        <v>0</v>
      </c>
      <c r="T39" s="162">
        <f>+Table8[[#This Row],[SUMATORIA DE PROYECTOS SIF]]+Table8[[#This Row],[SUMATORIA DE PROYECTOS SED]]</f>
        <v>2381561537</v>
      </c>
      <c r="U39" s="165">
        <v>3539527465</v>
      </c>
      <c r="V39" s="165">
        <f>+Table8[[#This Row],[CAPACIDAD MAXIMA DE ENDEUDAMIENTO AL 60%]]*0.2</f>
        <v>1673114529.4158001</v>
      </c>
      <c r="W39" s="165">
        <v>1673114529.4158001</v>
      </c>
      <c r="X39" s="165">
        <f>+Table8[[#This Row],[APORTE GOB2]]+Table8[[#This Row],[CAPACIDAD MAXIMA DE ENDEUDAMIENTO AL 60%]]</f>
        <v>10038687176.494801</v>
      </c>
      <c r="Y39" s="165">
        <f>+Table8[[#This Row],[CAPACIDAD MAXIMA DE ENDEUDAMIENTO AL 60%]]+Table8[[#This Row],[APORTE GOB]]-Table8[[#This Row],[SUMA TOTAL]]</f>
        <v>7657125639.4948006</v>
      </c>
    </row>
    <row r="40" spans="1:27">
      <c r="A40" s="97" t="s">
        <v>14</v>
      </c>
      <c r="B40" s="73" t="s">
        <v>131</v>
      </c>
      <c r="C40" s="73">
        <v>3</v>
      </c>
      <c r="D40" s="108">
        <v>71418896570.32901</v>
      </c>
      <c r="E40" s="108">
        <v>21915816653.91</v>
      </c>
      <c r="F40" s="109">
        <f t="shared" si="0"/>
        <v>49503079916.419006</v>
      </c>
      <c r="G40" s="110">
        <v>5163365590</v>
      </c>
      <c r="H40" s="108">
        <v>10000000000</v>
      </c>
      <c r="I40" s="109">
        <f t="shared" si="1"/>
        <v>15163365590</v>
      </c>
      <c r="J40" s="88">
        <f t="shared" si="2"/>
        <v>0.21231587602404406</v>
      </c>
      <c r="K40" s="116">
        <f t="shared" si="3"/>
        <v>56255530980.32901</v>
      </c>
      <c r="L40" s="116">
        <f t="shared" si="4"/>
        <v>45004424784.263214</v>
      </c>
      <c r="M40" s="116">
        <f t="shared" si="5"/>
        <v>33753318588.197403</v>
      </c>
      <c r="N40" s="89">
        <f t="shared" si="6"/>
        <v>0.34051580167698114</v>
      </c>
      <c r="O40" s="77">
        <v>0.39338076792135007</v>
      </c>
      <c r="P40" s="78">
        <f t="shared" si="7"/>
        <v>0.7</v>
      </c>
      <c r="Q40" s="100" t="str">
        <f t="shared" si="8"/>
        <v>Cumple</v>
      </c>
      <c r="R40" s="162">
        <f>+SUMIF('2.BDN'!D:D,Table8[[#This Row],[MUNICIPIO]],'2.BDN'!L:L)</f>
        <v>1957555874</v>
      </c>
      <c r="S40" s="162">
        <f>+SUMIF('2.BDN'!D:D,Table8[[#This Row],[MUNICIPIO]],'2.BDN'!O:O)</f>
        <v>0</v>
      </c>
      <c r="T40" s="162">
        <f>+Table8[[#This Row],[SUMATORIA DE PROYECTOS SIF]]+Table8[[#This Row],[SUMATORIA DE PROYECTOS SED]]</f>
        <v>1957555874</v>
      </c>
      <c r="U40" s="165">
        <v>5661013100</v>
      </c>
      <c r="V40" s="165">
        <f>+Table8[[#This Row],[CAPACIDAD MAXIMA DE ENDEUDAMIENTO AL 60%]]*0.2</f>
        <v>6750663717.6394806</v>
      </c>
      <c r="W40" s="165">
        <v>6750663717.6394806</v>
      </c>
      <c r="X40" s="165">
        <f>+Table8[[#This Row],[APORTE GOB2]]+Table8[[#This Row],[CAPACIDAD MAXIMA DE ENDEUDAMIENTO AL 60%]]</f>
        <v>40503982305.836884</v>
      </c>
      <c r="Y40" s="165">
        <f>+Table8[[#This Row],[CAPACIDAD MAXIMA DE ENDEUDAMIENTO AL 60%]]+Table8[[#This Row],[APORTE GOB]]-Table8[[#This Row],[SUMA TOTAL]]</f>
        <v>38546426431.836884</v>
      </c>
    </row>
    <row r="41" spans="1:27">
      <c r="A41" s="97" t="s">
        <v>47</v>
      </c>
      <c r="B41" s="73" t="s">
        <v>362</v>
      </c>
      <c r="C41" s="73">
        <v>6</v>
      </c>
      <c r="D41" s="108">
        <v>24612921465.534</v>
      </c>
      <c r="E41" s="108">
        <v>6692367651.6599998</v>
      </c>
      <c r="F41" s="109">
        <f t="shared" si="0"/>
        <v>17920553813.874001</v>
      </c>
      <c r="G41" s="110">
        <v>830923107</v>
      </c>
      <c r="H41" s="108">
        <v>8409573820</v>
      </c>
      <c r="I41" s="109">
        <f t="shared" si="1"/>
        <v>9240496927</v>
      </c>
      <c r="J41" s="88">
        <f t="shared" si="2"/>
        <v>0.37543275551176097</v>
      </c>
      <c r="K41" s="116">
        <f t="shared" si="3"/>
        <v>15372424538.534</v>
      </c>
      <c r="L41" s="116">
        <f t="shared" si="4"/>
        <v>12297939630.827202</v>
      </c>
      <c r="M41" s="116">
        <f t="shared" si="5"/>
        <v>9223454723.1203995</v>
      </c>
      <c r="N41" s="89">
        <f t="shared" si="6"/>
        <v>8.9921907183596203E-2</v>
      </c>
      <c r="O41" s="77">
        <v>0.49254696748300181</v>
      </c>
      <c r="P41" s="78">
        <f t="shared" si="7"/>
        <v>0.8</v>
      </c>
      <c r="Q41" s="100" t="str">
        <f t="shared" si="8"/>
        <v>Cumple</v>
      </c>
      <c r="R41" s="162">
        <f>+SUMIF('2.BDN'!D:D,Table8[[#This Row],[MUNICIPIO]],'2.BDN'!L:L)</f>
        <v>998600000</v>
      </c>
      <c r="S41" s="162">
        <f>+SUMIF('2.BDN'!D:D,Table8[[#This Row],[MUNICIPIO]],'2.BDN'!O:O)</f>
        <v>0</v>
      </c>
      <c r="T41" s="162">
        <f>+Table8[[#This Row],[SUMATORIA DE PROYECTOS SIF]]+Table8[[#This Row],[SUMATORIA DE PROYECTOS SED]]</f>
        <v>998600000</v>
      </c>
      <c r="U41" s="165">
        <v>2956948227</v>
      </c>
      <c r="V41" s="165">
        <f>+Table8[[#This Row],[CAPACIDAD MAXIMA DE ENDEUDAMIENTO AL 60%]]*0.2</f>
        <v>1844690944.6240799</v>
      </c>
      <c r="W41" s="165">
        <v>1844690944.6240799</v>
      </c>
      <c r="X41" s="165">
        <f>+Table8[[#This Row],[APORTE GOB2]]+Table8[[#This Row],[CAPACIDAD MAXIMA DE ENDEUDAMIENTO AL 60%]]</f>
        <v>11068145667.74448</v>
      </c>
      <c r="Y41" s="165">
        <f>+Table8[[#This Row],[CAPACIDAD MAXIMA DE ENDEUDAMIENTO AL 60%]]+Table8[[#This Row],[APORTE GOB]]-Table8[[#This Row],[SUMA TOTAL]]</f>
        <v>10069545667.74448</v>
      </c>
    </row>
    <row r="42" spans="1:27">
      <c r="A42" s="98" t="s">
        <v>34</v>
      </c>
      <c r="B42" s="79" t="s">
        <v>35</v>
      </c>
      <c r="C42" s="73">
        <v>6</v>
      </c>
      <c r="D42" s="108">
        <v>24529039369.539501</v>
      </c>
      <c r="E42" s="108">
        <v>8973012363.6700001</v>
      </c>
      <c r="F42" s="109">
        <f t="shared" si="0"/>
        <v>15556027005.869501</v>
      </c>
      <c r="G42" s="110">
        <v>7973050390</v>
      </c>
      <c r="H42" s="108">
        <v>1625381984</v>
      </c>
      <c r="I42" s="109">
        <f t="shared" si="1"/>
        <v>9598432374</v>
      </c>
      <c r="J42" s="88">
        <f t="shared" si="2"/>
        <v>0.39130893914742809</v>
      </c>
      <c r="K42" s="116">
        <f t="shared" si="3"/>
        <v>14930606995.539501</v>
      </c>
      <c r="L42" s="116">
        <f t="shared" si="4"/>
        <v>11944485596.431602</v>
      </c>
      <c r="M42" s="116">
        <f t="shared" si="5"/>
        <v>8958364197.3237</v>
      </c>
      <c r="N42" s="89">
        <f t="shared" si="6"/>
        <v>0.83066172467883448</v>
      </c>
      <c r="O42" s="77">
        <v>0.53024343717246458</v>
      </c>
      <c r="P42" s="78">
        <f t="shared" si="7"/>
        <v>0.8</v>
      </c>
      <c r="Q42" s="100" t="str">
        <f t="shared" si="8"/>
        <v>Cumple</v>
      </c>
      <c r="R42" s="162">
        <f>+SUMIF('2.BDN'!D:D,Table8[[#This Row],[MUNICIPIO]],'2.BDN'!L:L)</f>
        <v>18914172612</v>
      </c>
      <c r="S42" s="162">
        <f>+SUMIF('2.BDN'!D:D,Table8[[#This Row],[MUNICIPIO]],'2.BDN'!O:O)</f>
        <v>0</v>
      </c>
      <c r="T42" s="162">
        <f>+Table8[[#This Row],[SUMATORIA DE PROYECTOS SIF]]+Table8[[#This Row],[SUMATORIA DE PROYECTOS SED]]</f>
        <v>18914172612</v>
      </c>
      <c r="U42" s="165">
        <v>26195466118</v>
      </c>
      <c r="V42" s="165">
        <f>+Table8[[#This Row],[CAPACIDAD MAXIMA DE ENDEUDAMIENTO AL 60%]]*0.2</f>
        <v>1791672839.46474</v>
      </c>
      <c r="W42" s="165">
        <v>1791672839.46474</v>
      </c>
      <c r="X42" s="165">
        <f>+Table8[[#This Row],[APORTE GOB2]]+Table8[[#This Row],[CAPACIDAD MAXIMA DE ENDEUDAMIENTO AL 60%]]</f>
        <v>10750037036.788441</v>
      </c>
      <c r="Y42" s="165">
        <f>+Table8[[#This Row],[CAPACIDAD MAXIMA DE ENDEUDAMIENTO AL 60%]]+Table8[[#This Row],[APORTE GOB]]-Table8[[#This Row],[SUMA TOTAL]]</f>
        <v>-8164135575.2115593</v>
      </c>
    </row>
    <row r="43" spans="1:27">
      <c r="A43" s="97" t="s">
        <v>47</v>
      </c>
      <c r="B43" s="73" t="s">
        <v>578</v>
      </c>
      <c r="C43" s="73">
        <v>6</v>
      </c>
      <c r="D43" s="108">
        <v>9001864307.6529999</v>
      </c>
      <c r="E43" s="108">
        <v>3627307640.0900002</v>
      </c>
      <c r="F43" s="109">
        <f t="shared" si="0"/>
        <v>5374556667.5629997</v>
      </c>
      <c r="G43" s="110">
        <v>556835774</v>
      </c>
      <c r="H43" s="108"/>
      <c r="I43" s="109">
        <f t="shared" si="1"/>
        <v>556835774</v>
      </c>
      <c r="J43" s="88">
        <f t="shared" si="2"/>
        <v>6.1857827997540693E-2</v>
      </c>
      <c r="K43" s="116">
        <f t="shared" si="3"/>
        <v>8445028533.6529999</v>
      </c>
      <c r="L43" s="116">
        <f t="shared" si="4"/>
        <v>6756022826.9224005</v>
      </c>
      <c r="M43" s="116">
        <f t="shared" si="5"/>
        <v>5067017120.1918001</v>
      </c>
      <c r="N43" s="89">
        <f t="shared" si="6"/>
        <v>1</v>
      </c>
      <c r="O43" s="77">
        <v>0.55157730220974377</v>
      </c>
      <c r="P43" s="78">
        <f t="shared" si="7"/>
        <v>0.8</v>
      </c>
      <c r="Q43" s="100" t="str">
        <f t="shared" si="8"/>
        <v>Cumple</v>
      </c>
      <c r="R43" s="162">
        <f>+SUMIF('2.BDN'!D:D,Table8[[#This Row],[MUNICIPIO]],'2.BDN'!L:L)</f>
        <v>2341347501</v>
      </c>
      <c r="S43" s="162">
        <f>+SUMIF('2.BDN'!D:D,Table8[[#This Row],[MUNICIPIO]],'2.BDN'!O:O)</f>
        <v>0</v>
      </c>
      <c r="T43" s="162">
        <f>+Table8[[#This Row],[SUMATORIA DE PROYECTOS SIF]]+Table8[[#This Row],[SUMATORIA DE PROYECTOS SED]]</f>
        <v>2341347501</v>
      </c>
      <c r="U43" s="165">
        <v>10106720109</v>
      </c>
      <c r="V43" s="165">
        <f>+Table8[[#This Row],[CAPACIDAD MAXIMA DE ENDEUDAMIENTO AL 60%]]*0.2</f>
        <v>1013403424.0383601</v>
      </c>
      <c r="W43" s="165">
        <v>1013403424.0383601</v>
      </c>
      <c r="X43" s="165">
        <f>+Table8[[#This Row],[APORTE GOB2]]+Table8[[#This Row],[CAPACIDAD MAXIMA DE ENDEUDAMIENTO AL 60%]]</f>
        <v>6080420544.2301598</v>
      </c>
      <c r="Y43" s="165">
        <f>+Table8[[#This Row],[CAPACIDAD MAXIMA DE ENDEUDAMIENTO AL 60%]]+Table8[[#This Row],[APORTE GOB]]-Table8[[#This Row],[SUMA TOTAL]]</f>
        <v>3739073043.2301598</v>
      </c>
      <c r="Z43" s="83"/>
      <c r="AA43" s="83"/>
    </row>
    <row r="44" spans="1:27">
      <c r="A44" s="97" t="s">
        <v>44</v>
      </c>
      <c r="B44" s="73" t="s">
        <v>170</v>
      </c>
      <c r="C44" s="73">
        <v>6</v>
      </c>
      <c r="D44" s="108">
        <v>50634494381.026505</v>
      </c>
      <c r="E44" s="108">
        <v>15839182742.690001</v>
      </c>
      <c r="F44" s="109">
        <f t="shared" si="0"/>
        <v>34795311638.336502</v>
      </c>
      <c r="G44" s="110">
        <v>67652077</v>
      </c>
      <c r="H44" s="108">
        <v>17477834894.650002</v>
      </c>
      <c r="I44" s="109">
        <f t="shared" si="1"/>
        <v>17545486971.650002</v>
      </c>
      <c r="J44" s="88">
        <f t="shared" si="2"/>
        <v>0.34651253431345719</v>
      </c>
      <c r="K44" s="116">
        <f t="shared" si="3"/>
        <v>33089007409.376503</v>
      </c>
      <c r="L44" s="116">
        <f t="shared" si="4"/>
        <v>26471205927.501205</v>
      </c>
      <c r="M44" s="116">
        <f t="shared" si="5"/>
        <v>19853404445.6259</v>
      </c>
      <c r="N44" s="89">
        <f t="shared" si="6"/>
        <v>3.8558107340829141E-3</v>
      </c>
      <c r="O44" s="77">
        <v>0.40594992695874271</v>
      </c>
      <c r="P44" s="78">
        <f t="shared" si="7"/>
        <v>0.8</v>
      </c>
      <c r="Q44" s="100" t="str">
        <f t="shared" si="8"/>
        <v>Cumple</v>
      </c>
      <c r="R44" s="162">
        <f>+SUMIF('2.BDN'!D:D,Table8[[#This Row],[MUNICIPIO]],'2.BDN'!L:L)</f>
        <v>33716358643</v>
      </c>
      <c r="S44" s="162">
        <f>+SUMIF('2.BDN'!D:D,Table8[[#This Row],[MUNICIPIO]],'2.BDN'!O:O)</f>
        <v>0</v>
      </c>
      <c r="T44" s="162">
        <f>+Table8[[#This Row],[SUMATORIA DE PROYECTOS SIF]]+Table8[[#This Row],[SUMATORIA DE PROYECTOS SED]]</f>
        <v>33716358643</v>
      </c>
      <c r="U44" s="165">
        <v>50596358643</v>
      </c>
      <c r="V44" s="165">
        <f>+Table8[[#This Row],[CAPACIDAD MAXIMA DE ENDEUDAMIENTO AL 60%]]*0.2</f>
        <v>3970680889.1251802</v>
      </c>
      <c r="W44" s="165">
        <v>3970680889.1251802</v>
      </c>
      <c r="X44" s="165">
        <f>+Table8[[#This Row],[APORTE GOB2]]+Table8[[#This Row],[CAPACIDAD MAXIMA DE ENDEUDAMIENTO AL 60%]]</f>
        <v>23824085334.75108</v>
      </c>
      <c r="Y44" s="165">
        <f>+Table8[[#This Row],[CAPACIDAD MAXIMA DE ENDEUDAMIENTO AL 60%]]+Table8[[#This Row],[APORTE GOB]]-Table8[[#This Row],[SUMA TOTAL]]</f>
        <v>-9892273308.2489204</v>
      </c>
    </row>
    <row r="45" spans="1:27">
      <c r="A45" s="97" t="s">
        <v>20</v>
      </c>
      <c r="B45" s="73" t="s">
        <v>211</v>
      </c>
      <c r="C45" s="73">
        <v>3</v>
      </c>
      <c r="D45" s="108">
        <v>70430942311.208496</v>
      </c>
      <c r="E45" s="108">
        <v>29041990033.869999</v>
      </c>
      <c r="F45" s="109">
        <f t="shared" si="0"/>
        <v>41388952277.338501</v>
      </c>
      <c r="G45" s="110">
        <v>14609948257</v>
      </c>
      <c r="H45" s="108">
        <v>2802411494.09375</v>
      </c>
      <c r="I45" s="109">
        <f t="shared" si="1"/>
        <v>17412359751.09375</v>
      </c>
      <c r="J45" s="88">
        <f t="shared" si="2"/>
        <v>0.24722599442379914</v>
      </c>
      <c r="K45" s="116">
        <f t="shared" si="3"/>
        <v>53018582560.114746</v>
      </c>
      <c r="L45" s="116">
        <f t="shared" si="4"/>
        <v>42414866048.091797</v>
      </c>
      <c r="M45" s="116">
        <f t="shared" si="5"/>
        <v>31811149536.068848</v>
      </c>
      <c r="N45" s="89">
        <f t="shared" si="6"/>
        <v>0.83905619145516919</v>
      </c>
      <c r="O45" s="77">
        <v>0.45782837875910809</v>
      </c>
      <c r="P45" s="78">
        <f t="shared" si="7"/>
        <v>0.7</v>
      </c>
      <c r="Q45" s="100" t="str">
        <f t="shared" si="8"/>
        <v>Cumple</v>
      </c>
      <c r="R45" s="162">
        <f>+SUMIF('2.BDN'!D:D,Table8[[#This Row],[MUNICIPIO]],'2.BDN'!L:L)</f>
        <v>9179538218</v>
      </c>
      <c r="S45" s="162">
        <f>+SUMIF('2.BDN'!D:D,Table8[[#This Row],[MUNICIPIO]],'2.BDN'!O:O)</f>
        <v>0</v>
      </c>
      <c r="T45" s="162">
        <f>+Table8[[#This Row],[SUMATORIA DE PROYECTOS SIF]]+Table8[[#This Row],[SUMATORIA DE PROYECTOS SED]]</f>
        <v>9179538218</v>
      </c>
      <c r="U45" s="165">
        <v>2747763151</v>
      </c>
      <c r="V45" s="165">
        <f>+Table8[[#This Row],[CAPACIDAD MAXIMA DE ENDEUDAMIENTO AL 60%]]*0.2</f>
        <v>6362229907.2137699</v>
      </c>
      <c r="W45" s="165">
        <v>6362229907.2137699</v>
      </c>
      <c r="X45" s="165">
        <f>+Table8[[#This Row],[APORTE GOB2]]+Table8[[#This Row],[CAPACIDAD MAXIMA DE ENDEUDAMIENTO AL 60%]]</f>
        <v>38173379443.282616</v>
      </c>
      <c r="Y45" s="165">
        <f>+Table8[[#This Row],[CAPACIDAD MAXIMA DE ENDEUDAMIENTO AL 60%]]+Table8[[#This Row],[APORTE GOB]]-Table8[[#This Row],[SUMA TOTAL]]</f>
        <v>28993841225.282616</v>
      </c>
    </row>
    <row r="46" spans="1:27">
      <c r="A46" s="97" t="s">
        <v>20</v>
      </c>
      <c r="B46" s="73" t="s">
        <v>332</v>
      </c>
      <c r="C46" s="73">
        <v>6</v>
      </c>
      <c r="D46" s="108">
        <v>28258567441.100002</v>
      </c>
      <c r="E46" s="108">
        <v>6469994311.25</v>
      </c>
      <c r="F46" s="109">
        <f t="shared" si="0"/>
        <v>21788573129.850002</v>
      </c>
      <c r="G46" s="110">
        <v>1548230438</v>
      </c>
      <c r="H46" s="108">
        <v>3356151670</v>
      </c>
      <c r="I46" s="109">
        <f t="shared" si="1"/>
        <v>4904382108</v>
      </c>
      <c r="J46" s="88">
        <f t="shared" si="2"/>
        <v>0.17355381224551877</v>
      </c>
      <c r="K46" s="116">
        <f t="shared" si="3"/>
        <v>23354185333.100002</v>
      </c>
      <c r="L46" s="116">
        <f t="shared" si="4"/>
        <v>18683348266.480003</v>
      </c>
      <c r="M46" s="116">
        <f t="shared" si="5"/>
        <v>14012511199.860001</v>
      </c>
      <c r="N46" s="89">
        <f t="shared" si="6"/>
        <v>0.31568307768567533</v>
      </c>
      <c r="O46" s="77">
        <v>0.29902452385532635</v>
      </c>
      <c r="P46" s="78">
        <f t="shared" si="7"/>
        <v>0.8</v>
      </c>
      <c r="Q46" s="100" t="str">
        <f t="shared" si="8"/>
        <v>Cumple</v>
      </c>
      <c r="R46" s="162">
        <f>+SUMIF('2.BDN'!D:D,Table8[[#This Row],[MUNICIPIO]],'2.BDN'!L:L)</f>
        <v>10630653156</v>
      </c>
      <c r="S46" s="162">
        <f>+SUMIF('2.BDN'!D:D,Table8[[#This Row],[MUNICIPIO]],'2.BDN'!O:O)</f>
        <v>0</v>
      </c>
      <c r="T46" s="162">
        <f>+Table8[[#This Row],[SUMATORIA DE PROYECTOS SIF]]+Table8[[#This Row],[SUMATORIA DE PROYECTOS SED]]</f>
        <v>10630653156</v>
      </c>
      <c r="U46" s="165">
        <v>6368687169</v>
      </c>
      <c r="V46" s="165">
        <f>+Table8[[#This Row],[CAPACIDAD MAXIMA DE ENDEUDAMIENTO AL 60%]]*0.2</f>
        <v>2802502239.9720001</v>
      </c>
      <c r="W46" s="165">
        <v>2802502239.9720001</v>
      </c>
      <c r="X46" s="165">
        <f>+Table8[[#This Row],[APORTE GOB2]]+Table8[[#This Row],[CAPACIDAD MAXIMA DE ENDEUDAMIENTO AL 60%]]</f>
        <v>16815013439.832001</v>
      </c>
      <c r="Y46" s="165">
        <f>+Table8[[#This Row],[CAPACIDAD MAXIMA DE ENDEUDAMIENTO AL 60%]]+Table8[[#This Row],[APORTE GOB]]-Table8[[#This Row],[SUMA TOTAL]]</f>
        <v>6184360283.8320007</v>
      </c>
    </row>
    <row r="47" spans="1:27">
      <c r="A47" s="97" t="s">
        <v>20</v>
      </c>
      <c r="B47" s="73" t="s">
        <v>323</v>
      </c>
      <c r="C47" s="73">
        <v>3</v>
      </c>
      <c r="D47" s="108">
        <v>69187005609.695007</v>
      </c>
      <c r="E47" s="108">
        <v>24929217109.209999</v>
      </c>
      <c r="F47" s="109">
        <f t="shared" si="0"/>
        <v>44257788500.485008</v>
      </c>
      <c r="G47" s="110">
        <v>0</v>
      </c>
      <c r="H47" s="108">
        <v>0</v>
      </c>
      <c r="I47" s="109">
        <f t="shared" si="1"/>
        <v>0</v>
      </c>
      <c r="J47" s="88">
        <f t="shared" si="2"/>
        <v>0</v>
      </c>
      <c r="K47" s="116">
        <f t="shared" si="3"/>
        <v>69187005609.695007</v>
      </c>
      <c r="L47" s="116">
        <f t="shared" si="4"/>
        <v>55349604487.756012</v>
      </c>
      <c r="M47" s="116">
        <f t="shared" si="5"/>
        <v>41512203365.817001</v>
      </c>
      <c r="N47" s="89">
        <f t="shared" si="6"/>
        <v>0</v>
      </c>
      <c r="O47" s="77">
        <v>0.36680132048521774</v>
      </c>
      <c r="P47" s="78">
        <f t="shared" si="7"/>
        <v>0.7</v>
      </c>
      <c r="Q47" s="100" t="str">
        <f t="shared" si="8"/>
        <v>Cumple</v>
      </c>
      <c r="R47" s="162">
        <f>+SUMIF('2.BDN'!D:D,Table8[[#This Row],[MUNICIPIO]],'2.BDN'!L:L)</f>
        <v>40747836018</v>
      </c>
      <c r="S47" s="162">
        <f>+SUMIF('2.BDN'!D:D,Table8[[#This Row],[MUNICIPIO]],'2.BDN'!O:O)</f>
        <v>0</v>
      </c>
      <c r="T47" s="162">
        <f>+Table8[[#This Row],[SUMATORIA DE PROYECTOS SIF]]+Table8[[#This Row],[SUMATORIA DE PROYECTOS SED]]</f>
        <v>40747836018</v>
      </c>
      <c r="U47" s="165">
        <v>33235199986</v>
      </c>
      <c r="V47" s="165">
        <f>+Table8[[#This Row],[CAPACIDAD MAXIMA DE ENDEUDAMIENTO AL 60%]]*0.2</f>
        <v>8302440673.1634007</v>
      </c>
      <c r="W47" s="165">
        <v>8302440673.1634007</v>
      </c>
      <c r="X47" s="165">
        <f>+Table8[[#This Row],[APORTE GOB2]]+Table8[[#This Row],[CAPACIDAD MAXIMA DE ENDEUDAMIENTO AL 60%]]</f>
        <v>49814644038.9804</v>
      </c>
      <c r="Y47" s="165">
        <f>+Table8[[#This Row],[CAPACIDAD MAXIMA DE ENDEUDAMIENTO AL 60%]]+Table8[[#This Row],[APORTE GOB]]-Table8[[#This Row],[SUMA TOTAL]]</f>
        <v>9066808020.9804001</v>
      </c>
      <c r="Z47" s="9">
        <v>1</v>
      </c>
      <c r="AA47" s="76">
        <v>0.65</v>
      </c>
    </row>
    <row r="48" spans="1:27">
      <c r="A48" s="97" t="s">
        <v>20</v>
      </c>
      <c r="B48" s="73" t="s">
        <v>208</v>
      </c>
      <c r="C48" s="73">
        <v>6</v>
      </c>
      <c r="D48" s="108">
        <v>28148489568.315498</v>
      </c>
      <c r="E48" s="108">
        <v>9574117926.6900005</v>
      </c>
      <c r="F48" s="109">
        <f t="shared" si="0"/>
        <v>18574371641.625496</v>
      </c>
      <c r="G48" s="110">
        <v>7165025466</v>
      </c>
      <c r="H48" s="108">
        <v>0</v>
      </c>
      <c r="I48" s="109">
        <f t="shared" si="1"/>
        <v>7165025466</v>
      </c>
      <c r="J48" s="88">
        <f t="shared" si="2"/>
        <v>0.25454386988014788</v>
      </c>
      <c r="K48" s="116">
        <f t="shared" si="3"/>
        <v>20983464102.315498</v>
      </c>
      <c r="L48" s="116">
        <f t="shared" si="4"/>
        <v>16786771281.8524</v>
      </c>
      <c r="M48" s="116">
        <f t="shared" si="5"/>
        <v>12590078461.389299</v>
      </c>
      <c r="N48" s="89">
        <f t="shared" si="6"/>
        <v>1</v>
      </c>
      <c r="O48" s="77">
        <v>0.38693852418292884</v>
      </c>
      <c r="P48" s="78">
        <f t="shared" si="7"/>
        <v>0.8</v>
      </c>
      <c r="Q48" s="100" t="str">
        <f t="shared" si="8"/>
        <v>Cumple</v>
      </c>
      <c r="R48" s="162">
        <f>+SUMIF('2.BDN'!D:D,Table8[[#This Row],[MUNICIPIO]],'2.BDN'!L:L)</f>
        <v>19224747481</v>
      </c>
      <c r="S48" s="162">
        <f>+SUMIF('2.BDN'!D:D,Table8[[#This Row],[MUNICIPIO]],'2.BDN'!O:O)</f>
        <v>0</v>
      </c>
      <c r="T48" s="162">
        <f>+Table8[[#This Row],[SUMATORIA DE PROYECTOS SIF]]+Table8[[#This Row],[SUMATORIA DE PROYECTOS SED]]</f>
        <v>19224747481</v>
      </c>
      <c r="U48" s="165">
        <v>14112540970</v>
      </c>
      <c r="V48" s="165">
        <f>+Table8[[#This Row],[CAPACIDAD MAXIMA DE ENDEUDAMIENTO AL 60%]]*0.2</f>
        <v>2518015692.2778602</v>
      </c>
      <c r="W48" s="165">
        <v>2518015692.2778602</v>
      </c>
      <c r="X48" s="165">
        <f>+Table8[[#This Row],[APORTE GOB2]]+Table8[[#This Row],[CAPACIDAD MAXIMA DE ENDEUDAMIENTO AL 60%]]</f>
        <v>15108094153.66716</v>
      </c>
      <c r="Y48" s="165">
        <f>+Table8[[#This Row],[CAPACIDAD MAXIMA DE ENDEUDAMIENTO AL 60%]]+Table8[[#This Row],[APORTE GOB]]-Table8[[#This Row],[SUMA TOTAL]]</f>
        <v>-4116653327.33284</v>
      </c>
    </row>
    <row r="49" spans="1:27">
      <c r="A49" s="98" t="s">
        <v>34</v>
      </c>
      <c r="B49" s="84" t="s">
        <v>326</v>
      </c>
      <c r="C49" s="73">
        <v>6</v>
      </c>
      <c r="D49" s="108">
        <v>18940820544.593998</v>
      </c>
      <c r="E49" s="108">
        <v>5983055403.6199999</v>
      </c>
      <c r="F49" s="109">
        <f t="shared" si="0"/>
        <v>12957765140.973999</v>
      </c>
      <c r="G49" s="110">
        <v>528703455</v>
      </c>
      <c r="H49" s="108">
        <v>4617666038</v>
      </c>
      <c r="I49" s="109">
        <f t="shared" si="1"/>
        <v>5146369493</v>
      </c>
      <c r="J49" s="88">
        <f t="shared" si="2"/>
        <v>0.27170784290382038</v>
      </c>
      <c r="K49" s="116">
        <f t="shared" si="3"/>
        <v>13794451051.593998</v>
      </c>
      <c r="L49" s="116">
        <f t="shared" si="4"/>
        <v>11035560841.2752</v>
      </c>
      <c r="M49" s="116">
        <f t="shared" si="5"/>
        <v>8276670630.956398</v>
      </c>
      <c r="N49" s="89">
        <f t="shared" si="6"/>
        <v>0.10273328716858224</v>
      </c>
      <c r="O49" s="77">
        <v>0.44981176046067123</v>
      </c>
      <c r="P49" s="78">
        <f t="shared" si="7"/>
        <v>0.8</v>
      </c>
      <c r="Q49" s="100" t="str">
        <f t="shared" si="8"/>
        <v>Cumple</v>
      </c>
      <c r="R49" s="162">
        <f>+SUMIF('2.BDN'!D:D,Table8[[#This Row],[MUNICIPIO]],'2.BDN'!L:L)</f>
        <v>47338443569</v>
      </c>
      <c r="S49" s="162">
        <f>+SUMIF('2.BDN'!D:D,Table8[[#This Row],[MUNICIPIO]],'2.BDN'!O:O)</f>
        <v>0</v>
      </c>
      <c r="T49" s="162">
        <f>+Table8[[#This Row],[SUMATORIA DE PROYECTOS SIF]]+Table8[[#This Row],[SUMATORIA DE PROYECTOS SED]]</f>
        <v>47338443569</v>
      </c>
      <c r="U49" s="165">
        <v>43061071859</v>
      </c>
      <c r="V49" s="165">
        <f>+Table8[[#This Row],[CAPACIDAD MAXIMA DE ENDEUDAMIENTO AL 60%]]*0.2</f>
        <v>1655334126.1912796</v>
      </c>
      <c r="W49" s="165">
        <v>1655334126.1912796</v>
      </c>
      <c r="X49" s="165">
        <f>+Table8[[#This Row],[APORTE GOB2]]+Table8[[#This Row],[CAPACIDAD MAXIMA DE ENDEUDAMIENTO AL 60%]]</f>
        <v>9932004757.1476784</v>
      </c>
      <c r="Y49" s="165">
        <f>+Table8[[#This Row],[CAPACIDAD MAXIMA DE ENDEUDAMIENTO AL 60%]]+Table8[[#This Row],[APORTE GOB]]-Table8[[#This Row],[SUMA TOTAL]]</f>
        <v>-37406438811.852325</v>
      </c>
    </row>
    <row r="50" spans="1:27">
      <c r="A50" s="97" t="s">
        <v>14</v>
      </c>
      <c r="B50" s="79" t="s">
        <v>76</v>
      </c>
      <c r="C50" s="73">
        <v>1</v>
      </c>
      <c r="D50" s="108">
        <v>529100951775.10547</v>
      </c>
      <c r="E50" s="108">
        <v>139843828606.55002</v>
      </c>
      <c r="F50" s="109">
        <f t="shared" si="0"/>
        <v>389257123168.55542</v>
      </c>
      <c r="G50" s="110">
        <v>36309816121</v>
      </c>
      <c r="H50" s="108">
        <v>162755467295</v>
      </c>
      <c r="I50" s="109">
        <f t="shared" si="1"/>
        <v>199065283416</v>
      </c>
      <c r="J50" s="88">
        <f t="shared" si="2"/>
        <v>0.37623308510057785</v>
      </c>
      <c r="K50" s="116">
        <f t="shared" si="3"/>
        <v>330035668359.10547</v>
      </c>
      <c r="L50" s="116">
        <f t="shared" si="4"/>
        <v>264028534687.28439</v>
      </c>
      <c r="M50" s="116">
        <f t="shared" si="5"/>
        <v>198021401015.46329</v>
      </c>
      <c r="N50" s="89">
        <f t="shared" si="6"/>
        <v>0.18240154937072053</v>
      </c>
      <c r="O50" s="77">
        <v>0.24492606689818583</v>
      </c>
      <c r="P50" s="78">
        <f t="shared" si="7"/>
        <v>0.65</v>
      </c>
      <c r="Q50" s="100" t="str">
        <f t="shared" si="8"/>
        <v>Cumple</v>
      </c>
      <c r="R50" s="162">
        <f>+SUMIF('2.BDN'!D:D,Table8[[#This Row],[MUNICIPIO]],'2.BDN'!L:L)</f>
        <v>18376102798</v>
      </c>
      <c r="S50" s="162">
        <f>+SUMIF('2.BDN'!D:D,Table8[[#This Row],[MUNICIPIO]],'2.BDN'!O:O)</f>
        <v>0</v>
      </c>
      <c r="T50" s="162">
        <f>+Table8[[#This Row],[SUMATORIA DE PROYECTOS SIF]]+Table8[[#This Row],[SUMATORIA DE PROYECTOS SED]]</f>
        <v>18376102798</v>
      </c>
      <c r="U50" s="165">
        <v>18376102798</v>
      </c>
      <c r="V50" s="165">
        <f>+Table8[[#This Row],[CAPACIDAD MAXIMA DE ENDEUDAMIENTO AL 60%]]*0.2</f>
        <v>39604280203.092659</v>
      </c>
      <c r="W50" s="165">
        <v>39604280203.092659</v>
      </c>
      <c r="X50" s="165">
        <f>+Table8[[#This Row],[APORTE GOB2]]+Table8[[#This Row],[CAPACIDAD MAXIMA DE ENDEUDAMIENTO AL 60%]]</f>
        <v>237625681218.55594</v>
      </c>
      <c r="Y50" s="165">
        <f>+Table8[[#This Row],[CAPACIDAD MAXIMA DE ENDEUDAMIENTO AL 60%]]+Table8[[#This Row],[APORTE GOB]]-Table8[[#This Row],[SUMA TOTAL]]</f>
        <v>219249578420.55594</v>
      </c>
    </row>
    <row r="51" spans="1:27">
      <c r="A51" s="97" t="s">
        <v>22</v>
      </c>
      <c r="B51" s="73" t="s">
        <v>61</v>
      </c>
      <c r="C51" s="73">
        <v>6</v>
      </c>
      <c r="D51" s="108">
        <v>17515986067.273998</v>
      </c>
      <c r="E51" s="108">
        <v>8346764868.3600006</v>
      </c>
      <c r="F51" s="109">
        <f t="shared" si="0"/>
        <v>9169221198.9139977</v>
      </c>
      <c r="G51" s="110">
        <v>0</v>
      </c>
      <c r="H51" s="108">
        <v>6328650461</v>
      </c>
      <c r="I51" s="109">
        <f t="shared" si="1"/>
        <v>6328650461</v>
      </c>
      <c r="J51" s="88">
        <f t="shared" si="2"/>
        <v>0.36130711891945022</v>
      </c>
      <c r="K51" s="116">
        <f t="shared" si="3"/>
        <v>11187335606.273998</v>
      </c>
      <c r="L51" s="116">
        <f t="shared" si="4"/>
        <v>8949868485.0191994</v>
      </c>
      <c r="M51" s="116">
        <f t="shared" si="5"/>
        <v>6712401363.7643986</v>
      </c>
      <c r="N51" s="89">
        <f t="shared" si="6"/>
        <v>0</v>
      </c>
      <c r="O51" s="77">
        <v>0.67376313277740918</v>
      </c>
      <c r="P51" s="78">
        <f t="shared" si="7"/>
        <v>0.8</v>
      </c>
      <c r="Q51" s="100" t="str">
        <f t="shared" si="8"/>
        <v>Cumple</v>
      </c>
      <c r="R51" s="162">
        <f>+SUMIF('2.BDN'!D:D,Table8[[#This Row],[MUNICIPIO]],'2.BDN'!L:L)</f>
        <v>4773919420</v>
      </c>
      <c r="S51" s="162">
        <f>+SUMIF('2.BDN'!D:D,Table8[[#This Row],[MUNICIPIO]],'2.BDN'!O:O)</f>
        <v>0</v>
      </c>
      <c r="T51" s="162">
        <f>+Table8[[#This Row],[SUMATORIA DE PROYECTOS SIF]]+Table8[[#This Row],[SUMATORIA DE PROYECTOS SED]]</f>
        <v>4773919420</v>
      </c>
      <c r="U51" s="165">
        <v>3839624374</v>
      </c>
      <c r="V51" s="165">
        <f>+Table8[[#This Row],[CAPACIDAD MAXIMA DE ENDEUDAMIENTO AL 60%]]*0.2</f>
        <v>1342480272.7528799</v>
      </c>
      <c r="W51" s="165">
        <v>1342480272.7528799</v>
      </c>
      <c r="X51" s="165">
        <f>+Table8[[#This Row],[APORTE GOB2]]+Table8[[#This Row],[CAPACIDAD MAXIMA DE ENDEUDAMIENTO AL 60%]]</f>
        <v>8054881636.5172787</v>
      </c>
      <c r="Y51" s="165">
        <f>+Table8[[#This Row],[CAPACIDAD MAXIMA DE ENDEUDAMIENTO AL 60%]]+Table8[[#This Row],[APORTE GOB]]-Table8[[#This Row],[SUMA TOTAL]]</f>
        <v>3280962216.5172787</v>
      </c>
    </row>
    <row r="52" spans="1:27">
      <c r="A52" s="97" t="s">
        <v>47</v>
      </c>
      <c r="B52" s="73" t="s">
        <v>256</v>
      </c>
      <c r="C52" s="73">
        <v>6</v>
      </c>
      <c r="D52" s="108">
        <v>15502017167.017002</v>
      </c>
      <c r="E52" s="108">
        <v>4560047682.8000002</v>
      </c>
      <c r="F52" s="109">
        <f t="shared" si="0"/>
        <v>10941969484.217003</v>
      </c>
      <c r="G52" s="110">
        <v>1591148139</v>
      </c>
      <c r="H52" s="108">
        <v>1671853559</v>
      </c>
      <c r="I52" s="109">
        <f t="shared" si="1"/>
        <v>3263001698</v>
      </c>
      <c r="J52" s="88">
        <f t="shared" si="2"/>
        <v>0.2104888456027873</v>
      </c>
      <c r="K52" s="116">
        <f t="shared" si="3"/>
        <v>12239015469.017002</v>
      </c>
      <c r="L52" s="116">
        <f t="shared" si="4"/>
        <v>9791212375.2136021</v>
      </c>
      <c r="M52" s="116">
        <f t="shared" si="5"/>
        <v>7343409281.4102011</v>
      </c>
      <c r="N52" s="89">
        <f t="shared" si="6"/>
        <v>0.4876332549796914</v>
      </c>
      <c r="O52" s="77">
        <v>0.42560105953702715</v>
      </c>
      <c r="P52" s="78">
        <f t="shared" si="7"/>
        <v>0.8</v>
      </c>
      <c r="Q52" s="100" t="str">
        <f t="shared" si="8"/>
        <v>Cumple</v>
      </c>
      <c r="R52" s="162">
        <f>+SUMIF('2.BDN'!D:D,Table8[[#This Row],[MUNICIPIO]],'2.BDN'!L:L)</f>
        <v>18933645714</v>
      </c>
      <c r="S52" s="162">
        <f>+SUMIF('2.BDN'!D:D,Table8[[#This Row],[MUNICIPIO]],'2.BDN'!O:O)</f>
        <v>0</v>
      </c>
      <c r="T52" s="162">
        <f>+Table8[[#This Row],[SUMATORIA DE PROYECTOS SIF]]+Table8[[#This Row],[SUMATORIA DE PROYECTOS SED]]</f>
        <v>18933645714</v>
      </c>
      <c r="U52" s="165">
        <v>30462924638</v>
      </c>
      <c r="V52" s="165">
        <f>+Table8[[#This Row],[CAPACIDAD MAXIMA DE ENDEUDAMIENTO AL 60%]]*0.2</f>
        <v>1468681856.2820404</v>
      </c>
      <c r="W52" s="165">
        <v>1468681856.2820404</v>
      </c>
      <c r="X52" s="165">
        <f>+Table8[[#This Row],[APORTE GOB2]]+Table8[[#This Row],[CAPACIDAD MAXIMA DE ENDEUDAMIENTO AL 60%]]</f>
        <v>8812091137.6922417</v>
      </c>
      <c r="Y52" s="165">
        <f>+Table8[[#This Row],[CAPACIDAD MAXIMA DE ENDEUDAMIENTO AL 60%]]+Table8[[#This Row],[APORTE GOB]]-Table8[[#This Row],[SUMA TOTAL]]</f>
        <v>-10121554576.307758</v>
      </c>
    </row>
    <row r="53" spans="1:27">
      <c r="A53" s="97" t="s">
        <v>47</v>
      </c>
      <c r="B53" s="73" t="s">
        <v>160</v>
      </c>
      <c r="C53" s="73">
        <v>6</v>
      </c>
      <c r="D53" s="108">
        <v>10996307821.845001</v>
      </c>
      <c r="E53" s="108">
        <v>3830082733.7800002</v>
      </c>
      <c r="F53" s="109">
        <f t="shared" si="0"/>
        <v>7166225088.0650005</v>
      </c>
      <c r="G53" s="110">
        <v>1182597765.4299998</v>
      </c>
      <c r="H53" s="108"/>
      <c r="I53" s="109">
        <f t="shared" si="1"/>
        <v>1182597765.4299998</v>
      </c>
      <c r="J53" s="88">
        <f t="shared" si="2"/>
        <v>0.10754498551601833</v>
      </c>
      <c r="K53" s="116">
        <f t="shared" si="3"/>
        <v>9813710056.4150009</v>
      </c>
      <c r="L53" s="116">
        <f t="shared" si="4"/>
        <v>7850968045.1320009</v>
      </c>
      <c r="M53" s="116">
        <f t="shared" si="5"/>
        <v>5888226033.849</v>
      </c>
      <c r="N53" s="89">
        <f t="shared" si="6"/>
        <v>1</v>
      </c>
      <c r="O53" s="77">
        <v>0.53885751046750907</v>
      </c>
      <c r="P53" s="78">
        <f t="shared" si="7"/>
        <v>0.8</v>
      </c>
      <c r="Q53" s="100" t="str">
        <f t="shared" si="8"/>
        <v>Cumple</v>
      </c>
      <c r="R53" s="162">
        <f>+SUMIF('2.BDN'!D:D,Table8[[#This Row],[MUNICIPIO]],'2.BDN'!L:L)</f>
        <v>1321492788936</v>
      </c>
      <c r="S53" s="162">
        <f>+SUMIF('2.BDN'!D:D,Table8[[#This Row],[MUNICIPIO]],'2.BDN'!O:O)</f>
        <v>0</v>
      </c>
      <c r="T53" s="162">
        <f>+Table8[[#This Row],[SUMATORIA DE PROYECTOS SIF]]+Table8[[#This Row],[SUMATORIA DE PROYECTOS SED]]</f>
        <v>1321492788936</v>
      </c>
      <c r="U53" s="165">
        <v>1299729169.5320001</v>
      </c>
      <c r="V53" s="165">
        <f>+Table8[[#This Row],[CAPACIDAD MAXIMA DE ENDEUDAMIENTO AL 60%]]*0.2</f>
        <v>1177645206.7697999</v>
      </c>
      <c r="W53" s="165">
        <v>1177645206.7697999</v>
      </c>
      <c r="X53" s="165">
        <f>+Table8[[#This Row],[APORTE GOB2]]+Table8[[#This Row],[CAPACIDAD MAXIMA DE ENDEUDAMIENTO AL 60%]]</f>
        <v>7065871240.6188002</v>
      </c>
      <c r="Y53" s="165">
        <f>+Table8[[#This Row],[CAPACIDAD MAXIMA DE ENDEUDAMIENTO AL 60%]]+Table8[[#This Row],[APORTE GOB]]-Table8[[#This Row],[SUMA TOTAL]]</f>
        <v>-1314426917695.3811</v>
      </c>
    </row>
    <row r="54" spans="1:27">
      <c r="A54" s="97" t="s">
        <v>14</v>
      </c>
      <c r="B54" s="73" t="s">
        <v>196</v>
      </c>
      <c r="C54" s="73">
        <v>2</v>
      </c>
      <c r="D54" s="108">
        <v>101079829717.10699</v>
      </c>
      <c r="E54" s="108">
        <v>35923834396.690002</v>
      </c>
      <c r="F54" s="109">
        <f t="shared" si="0"/>
        <v>65155995320.416992</v>
      </c>
      <c r="G54" s="110">
        <v>0</v>
      </c>
      <c r="H54" s="108">
        <v>33364035579</v>
      </c>
      <c r="I54" s="109">
        <f t="shared" si="1"/>
        <v>33364035579</v>
      </c>
      <c r="J54" s="88">
        <f t="shared" si="2"/>
        <v>0.33007609601615101</v>
      </c>
      <c r="K54" s="116">
        <f t="shared" si="3"/>
        <v>67715794138.106995</v>
      </c>
      <c r="L54" s="116">
        <f t="shared" si="4"/>
        <v>54172635310.485596</v>
      </c>
      <c r="M54" s="116">
        <f t="shared" si="5"/>
        <v>40629476482.864197</v>
      </c>
      <c r="N54" s="89">
        <f t="shared" si="6"/>
        <v>0</v>
      </c>
      <c r="O54" s="77">
        <v>0.39321465077323631</v>
      </c>
      <c r="P54" s="78">
        <f t="shared" si="7"/>
        <v>0.7</v>
      </c>
      <c r="Q54" s="100" t="str">
        <f t="shared" si="8"/>
        <v>Cumple</v>
      </c>
      <c r="R54" s="162">
        <f>+SUMIF('2.BDN'!D:D,Table8[[#This Row],[MUNICIPIO]],'2.BDN'!L:L)</f>
        <v>86960315826</v>
      </c>
      <c r="S54" s="162">
        <f>+SUMIF('2.BDN'!D:D,Table8[[#This Row],[MUNICIPIO]],'2.BDN'!O:O)</f>
        <v>0</v>
      </c>
      <c r="T54" s="162">
        <f>+Table8[[#This Row],[SUMATORIA DE PROYECTOS SIF]]+Table8[[#This Row],[SUMATORIA DE PROYECTOS SED]]</f>
        <v>86960315826</v>
      </c>
      <c r="U54" s="165">
        <v>38976961410.599998</v>
      </c>
      <c r="V54" s="165">
        <f>+Table8[[#This Row],[CAPACIDAD MAXIMA DE ENDEUDAMIENTO AL 60%]]*0.2</f>
        <v>8125895296.5728397</v>
      </c>
      <c r="W54" s="165">
        <v>8125895296.5728397</v>
      </c>
      <c r="X54" s="165">
        <f>+Table8[[#This Row],[APORTE GOB2]]+Table8[[#This Row],[CAPACIDAD MAXIMA DE ENDEUDAMIENTO AL 60%]]</f>
        <v>48755371779.437035</v>
      </c>
      <c r="Y54" s="165">
        <f>+Table8[[#This Row],[CAPACIDAD MAXIMA DE ENDEUDAMIENTO AL 60%]]+Table8[[#This Row],[APORTE GOB]]-Table8[[#This Row],[SUMA TOTAL]]</f>
        <v>-38204944046.562965</v>
      </c>
    </row>
    <row r="55" spans="1:27">
      <c r="A55" s="98" t="s">
        <v>34</v>
      </c>
      <c r="B55" s="73" t="s">
        <v>138</v>
      </c>
      <c r="C55" s="73">
        <v>6</v>
      </c>
      <c r="D55" s="108">
        <v>12229746381.692001</v>
      </c>
      <c r="E55" s="108">
        <v>3376878617.9000001</v>
      </c>
      <c r="F55" s="109">
        <f t="shared" si="0"/>
        <v>8852867763.7920017</v>
      </c>
      <c r="G55" s="110">
        <v>1494526177.51</v>
      </c>
      <c r="H55" s="108">
        <v>880381975</v>
      </c>
      <c r="I55" s="109">
        <f t="shared" si="1"/>
        <v>2374908152.5100002</v>
      </c>
      <c r="J55" s="88">
        <f t="shared" si="2"/>
        <v>0.19419112043609105</v>
      </c>
      <c r="K55" s="116">
        <f t="shared" si="3"/>
        <v>9854838229.1820011</v>
      </c>
      <c r="L55" s="116">
        <f t="shared" si="4"/>
        <v>7883870583.3456011</v>
      </c>
      <c r="M55" s="116">
        <f t="shared" si="5"/>
        <v>5912902937.5092001</v>
      </c>
      <c r="N55" s="89">
        <f t="shared" si="6"/>
        <v>0.6292985166312477</v>
      </c>
      <c r="O55" s="77">
        <v>0.5600857997738885</v>
      </c>
      <c r="P55" s="78">
        <f t="shared" si="7"/>
        <v>0.8</v>
      </c>
      <c r="Q55" s="100" t="str">
        <f t="shared" si="8"/>
        <v>Cumple</v>
      </c>
      <c r="R55" s="162">
        <f>+SUMIF('2.BDN'!D:D,Table8[[#This Row],[MUNICIPIO]],'2.BDN'!L:L)</f>
        <v>21986394919</v>
      </c>
      <c r="S55" s="162">
        <f>+SUMIF('2.BDN'!D:D,Table8[[#This Row],[MUNICIPIO]],'2.BDN'!O:O)</f>
        <v>0</v>
      </c>
      <c r="T55" s="162">
        <f>+Table8[[#This Row],[SUMATORIA DE PROYECTOS SIF]]+Table8[[#This Row],[SUMATORIA DE PROYECTOS SED]]</f>
        <v>21986394919</v>
      </c>
      <c r="U55" s="165">
        <v>22106365371</v>
      </c>
      <c r="V55" s="165">
        <f>+Table8[[#This Row],[CAPACIDAD MAXIMA DE ENDEUDAMIENTO AL 60%]]*0.2</f>
        <v>1182580587.5018401</v>
      </c>
      <c r="W55" s="165">
        <v>1182580587.5018401</v>
      </c>
      <c r="X55" s="165">
        <f>+Table8[[#This Row],[APORTE GOB2]]+Table8[[#This Row],[CAPACIDAD MAXIMA DE ENDEUDAMIENTO AL 60%]]</f>
        <v>7095483525.0110397</v>
      </c>
      <c r="Y55" s="165">
        <f>+Table8[[#This Row],[CAPACIDAD MAXIMA DE ENDEUDAMIENTO AL 60%]]+Table8[[#This Row],[APORTE GOB]]-Table8[[#This Row],[SUMA TOTAL]]</f>
        <v>-14890911393.98896</v>
      </c>
    </row>
    <row r="56" spans="1:27">
      <c r="A56" s="97" t="s">
        <v>20</v>
      </c>
      <c r="B56" s="79" t="s">
        <v>227</v>
      </c>
      <c r="C56" s="73">
        <v>6</v>
      </c>
      <c r="D56" s="108">
        <v>9100976268.0305004</v>
      </c>
      <c r="E56" s="108">
        <v>3221460794.1700001</v>
      </c>
      <c r="F56" s="109">
        <f t="shared" si="0"/>
        <v>5879515473.8605003</v>
      </c>
      <c r="G56" s="110">
        <v>1026722956</v>
      </c>
      <c r="H56" s="108">
        <v>190000000</v>
      </c>
      <c r="I56" s="109">
        <f t="shared" si="1"/>
        <v>1216722956</v>
      </c>
      <c r="J56" s="88">
        <f t="shared" si="2"/>
        <v>0.13369147662477152</v>
      </c>
      <c r="K56" s="116">
        <f t="shared" si="3"/>
        <v>7884253312.0305004</v>
      </c>
      <c r="L56" s="116">
        <f t="shared" si="4"/>
        <v>6307402649.6244011</v>
      </c>
      <c r="M56" s="116">
        <f t="shared" si="5"/>
        <v>4730551987.2182999</v>
      </c>
      <c r="N56" s="89">
        <f t="shared" si="6"/>
        <v>0.84384284108140062</v>
      </c>
      <c r="O56" s="77">
        <v>0.65864601932480682</v>
      </c>
      <c r="P56" s="78">
        <f t="shared" si="7"/>
        <v>0.8</v>
      </c>
      <c r="Q56" s="100" t="str">
        <f t="shared" si="8"/>
        <v>Cumple</v>
      </c>
      <c r="R56" s="162">
        <f>+SUMIF('2.BDN'!D:D,Table8[[#This Row],[MUNICIPIO]],'2.BDN'!L:L)</f>
        <v>42731627602</v>
      </c>
      <c r="S56" s="162">
        <f>+SUMIF('2.BDN'!D:D,Table8[[#This Row],[MUNICIPIO]],'2.BDN'!O:O)</f>
        <v>0</v>
      </c>
      <c r="T56" s="162">
        <f>+Table8[[#This Row],[SUMATORIA DE PROYECTOS SIF]]+Table8[[#This Row],[SUMATORIA DE PROYECTOS SED]]</f>
        <v>42731627602</v>
      </c>
      <c r="U56" s="165">
        <v>36177523123</v>
      </c>
      <c r="V56" s="165">
        <f>+Table8[[#This Row],[CAPACIDAD MAXIMA DE ENDEUDAMIENTO AL 60%]]*0.2</f>
        <v>946110397.44366002</v>
      </c>
      <c r="W56" s="165">
        <v>946110397.44366002</v>
      </c>
      <c r="X56" s="165">
        <f>+Table8[[#This Row],[APORTE GOB2]]+Table8[[#This Row],[CAPACIDAD MAXIMA DE ENDEUDAMIENTO AL 60%]]</f>
        <v>5676662384.6619596</v>
      </c>
      <c r="Y56" s="165">
        <f>+Table8[[#This Row],[CAPACIDAD MAXIMA DE ENDEUDAMIENTO AL 60%]]+Table8[[#This Row],[APORTE GOB]]-Table8[[#This Row],[SUMA TOTAL]]</f>
        <v>-37054965217.338043</v>
      </c>
    </row>
    <row r="57" spans="1:27">
      <c r="A57" s="98" t="s">
        <v>34</v>
      </c>
      <c r="B57" s="73" t="s">
        <v>823</v>
      </c>
      <c r="C57" s="73">
        <v>6</v>
      </c>
      <c r="D57" s="108">
        <v>11862742976.215</v>
      </c>
      <c r="E57" s="108">
        <v>2605805535.6100001</v>
      </c>
      <c r="F57" s="109">
        <f t="shared" si="0"/>
        <v>9256937440.6049995</v>
      </c>
      <c r="G57" s="110">
        <v>0</v>
      </c>
      <c r="H57" s="108">
        <v>1067141839</v>
      </c>
      <c r="I57" s="109">
        <f t="shared" si="1"/>
        <v>1067141839</v>
      </c>
      <c r="J57" s="88">
        <f t="shared" si="2"/>
        <v>8.9957427311679716E-2</v>
      </c>
      <c r="K57" s="116">
        <f t="shared" si="3"/>
        <v>10795601137.215</v>
      </c>
      <c r="L57" s="116">
        <f t="shared" si="4"/>
        <v>8636480909.7720013</v>
      </c>
      <c r="M57" s="116">
        <f t="shared" si="5"/>
        <v>6477360682.3289995</v>
      </c>
      <c r="N57" s="89">
        <f t="shared" si="6"/>
        <v>0</v>
      </c>
      <c r="O57" s="77">
        <v>0.61919854879551783</v>
      </c>
      <c r="P57" s="78">
        <f t="shared" si="7"/>
        <v>0.8</v>
      </c>
      <c r="Q57" s="100" t="str">
        <f t="shared" si="8"/>
        <v>Cumple</v>
      </c>
      <c r="R57" s="162">
        <f>+SUMIF('2.BDN'!D:D,Table8[[#This Row],[MUNICIPIO]],'2.BDN'!L:L)</f>
        <v>7140645529</v>
      </c>
      <c r="S57" s="162">
        <f>+SUMIF('2.BDN'!D:D,Table8[[#This Row],[MUNICIPIO]],'2.BDN'!O:O)</f>
        <v>0</v>
      </c>
      <c r="T57" s="162">
        <f>+Table8[[#This Row],[SUMATORIA DE PROYECTOS SIF]]+Table8[[#This Row],[SUMATORIA DE PROYECTOS SED]]</f>
        <v>7140645529</v>
      </c>
      <c r="U57" s="165">
        <v>0</v>
      </c>
      <c r="V57" s="165">
        <f>+Table8[[#This Row],[CAPACIDAD MAXIMA DE ENDEUDAMIENTO AL 60%]]*0.2</f>
        <v>1295472136.4658</v>
      </c>
      <c r="W57" s="165">
        <v>1295472136.4658</v>
      </c>
      <c r="X57" s="165">
        <f>+Table8[[#This Row],[APORTE GOB2]]+Table8[[#This Row],[CAPACIDAD MAXIMA DE ENDEUDAMIENTO AL 60%]]</f>
        <v>7772832818.7947998</v>
      </c>
      <c r="Y57" s="165">
        <f>+Table8[[#This Row],[CAPACIDAD MAXIMA DE ENDEUDAMIENTO AL 60%]]+Table8[[#This Row],[APORTE GOB]]-Table8[[#This Row],[SUMA TOTAL]]</f>
        <v>632187289.7947998</v>
      </c>
    </row>
    <row r="58" spans="1:27">
      <c r="A58" s="97" t="s">
        <v>20</v>
      </c>
      <c r="B58" s="79" t="s">
        <v>163</v>
      </c>
      <c r="C58" s="73">
        <v>2</v>
      </c>
      <c r="D58" s="108">
        <v>94297942873.182495</v>
      </c>
      <c r="E58" s="108">
        <v>31502477356.16</v>
      </c>
      <c r="F58" s="109">
        <f t="shared" si="0"/>
        <v>62795465517.022491</v>
      </c>
      <c r="G58" s="110">
        <v>12269275368</v>
      </c>
      <c r="H58" s="108">
        <v>1587282296.6800001</v>
      </c>
      <c r="I58" s="109">
        <f t="shared" si="1"/>
        <v>13856557664.68</v>
      </c>
      <c r="J58" s="88">
        <f t="shared" si="2"/>
        <v>0.14694443211041333</v>
      </c>
      <c r="K58" s="116">
        <f t="shared" si="3"/>
        <v>80441385208.502502</v>
      </c>
      <c r="L58" s="116">
        <f t="shared" si="4"/>
        <v>64353108166.802002</v>
      </c>
      <c r="M58" s="116">
        <f t="shared" si="5"/>
        <v>48264831125.101501</v>
      </c>
      <c r="N58" s="89">
        <f t="shared" si="6"/>
        <v>0.88544901734678727</v>
      </c>
      <c r="O58" s="77">
        <v>0.32613717500698253</v>
      </c>
      <c r="P58" s="78">
        <f t="shared" si="7"/>
        <v>0.7</v>
      </c>
      <c r="Q58" s="100" t="str">
        <f t="shared" si="8"/>
        <v>Cumple</v>
      </c>
      <c r="R58" s="162">
        <f>+SUMIF('2.BDN'!D:D,Table8[[#This Row],[MUNICIPIO]],'2.BDN'!L:L)</f>
        <v>75556018392</v>
      </c>
      <c r="S58" s="162">
        <f>+SUMIF('2.BDN'!D:D,Table8[[#This Row],[MUNICIPIO]],'2.BDN'!O:O)</f>
        <v>0</v>
      </c>
      <c r="T58" s="162">
        <f>+Table8[[#This Row],[SUMATORIA DE PROYECTOS SIF]]+Table8[[#This Row],[SUMATORIA DE PROYECTOS SED]]</f>
        <v>75556018392</v>
      </c>
      <c r="U58" s="165">
        <v>35185479908</v>
      </c>
      <c r="V58" s="165">
        <f>+Table8[[#This Row],[CAPACIDAD MAXIMA DE ENDEUDAMIENTO AL 60%]]*0.2</f>
        <v>9652966225.0202999</v>
      </c>
      <c r="W58" s="165">
        <v>9652966225.0202999</v>
      </c>
      <c r="X58" s="165">
        <f>+Table8[[#This Row],[APORTE GOB2]]+Table8[[#This Row],[CAPACIDAD MAXIMA DE ENDEUDAMIENTO AL 60%]]</f>
        <v>57917797350.121803</v>
      </c>
      <c r="Y58" s="165">
        <f>+Table8[[#This Row],[CAPACIDAD MAXIMA DE ENDEUDAMIENTO AL 60%]]+Table8[[#This Row],[APORTE GOB]]-Table8[[#This Row],[SUMA TOTAL]]</f>
        <v>-17638221041.878197</v>
      </c>
    </row>
    <row r="59" spans="1:27">
      <c r="A59" s="97" t="s">
        <v>20</v>
      </c>
      <c r="B59" s="73" t="s">
        <v>601</v>
      </c>
      <c r="C59" s="73">
        <v>6</v>
      </c>
      <c r="D59" s="108">
        <v>21077944175.9025</v>
      </c>
      <c r="E59" s="108">
        <v>7240492267.29</v>
      </c>
      <c r="F59" s="109">
        <f t="shared" si="0"/>
        <v>13837451908.612499</v>
      </c>
      <c r="G59" s="110">
        <v>6499961675</v>
      </c>
      <c r="H59" s="108">
        <v>4615945782.0699997</v>
      </c>
      <c r="I59" s="109">
        <f t="shared" si="1"/>
        <v>11115907457.07</v>
      </c>
      <c r="J59" s="88">
        <f t="shared" si="2"/>
        <v>0.52737151993116738</v>
      </c>
      <c r="K59" s="116">
        <f t="shared" si="3"/>
        <v>9962036718.8325005</v>
      </c>
      <c r="L59" s="116">
        <f t="shared" si="4"/>
        <v>7969629375.0660009</v>
      </c>
      <c r="M59" s="116">
        <f t="shared" si="5"/>
        <v>5977222031.2995005</v>
      </c>
      <c r="N59" s="89">
        <f t="shared" si="6"/>
        <v>0.58474413358541044</v>
      </c>
      <c r="O59" s="77">
        <v>0.56956931049455672</v>
      </c>
      <c r="P59" s="78">
        <f t="shared" si="7"/>
        <v>0.8</v>
      </c>
      <c r="Q59" s="100" t="str">
        <f t="shared" si="8"/>
        <v>Cumple</v>
      </c>
      <c r="R59" s="162">
        <f>+SUMIF('2.BDN'!D:D,Table8[[#This Row],[MUNICIPIO]],'2.BDN'!L:L)</f>
        <v>0</v>
      </c>
      <c r="S59" s="162">
        <f>+SUMIF('2.BDN'!D:D,Table8[[#This Row],[MUNICIPIO]],'2.BDN'!O:O)</f>
        <v>0</v>
      </c>
      <c r="T59" s="162">
        <f>+Table8[[#This Row],[SUMATORIA DE PROYECTOS SIF]]+Table8[[#This Row],[SUMATORIA DE PROYECTOS SED]]</f>
        <v>0</v>
      </c>
      <c r="U59" s="165">
        <v>872000000</v>
      </c>
      <c r="V59" s="165">
        <f>+Table8[[#This Row],[CAPACIDAD MAXIMA DE ENDEUDAMIENTO AL 60%]]*0.2</f>
        <v>1195444406.2599001</v>
      </c>
      <c r="W59" s="165">
        <v>1195444406.2599001</v>
      </c>
      <c r="X59" s="165">
        <f>+Table8[[#This Row],[APORTE GOB2]]+Table8[[#This Row],[CAPACIDAD MAXIMA DE ENDEUDAMIENTO AL 60%]]</f>
        <v>7172666437.5594006</v>
      </c>
      <c r="Y59" s="165">
        <f>+Table8[[#This Row],[CAPACIDAD MAXIMA DE ENDEUDAMIENTO AL 60%]]+Table8[[#This Row],[APORTE GOB]]-Table8[[#This Row],[SUMA TOTAL]]</f>
        <v>7172666437.5594006</v>
      </c>
    </row>
    <row r="60" spans="1:27">
      <c r="A60" s="97" t="s">
        <v>47</v>
      </c>
      <c r="B60" s="73" t="s">
        <v>827</v>
      </c>
      <c r="C60" s="73">
        <v>6</v>
      </c>
      <c r="D60" s="108">
        <v>5355567645.8094997</v>
      </c>
      <c r="E60" s="108">
        <v>2449508849.96</v>
      </c>
      <c r="F60" s="109">
        <f t="shared" si="0"/>
        <v>2906058795.8494997</v>
      </c>
      <c r="G60" s="110">
        <v>2066524240.5699999</v>
      </c>
      <c r="H60" s="108"/>
      <c r="I60" s="109">
        <f t="shared" si="1"/>
        <v>2066524240.5699999</v>
      </c>
      <c r="J60" s="88">
        <f t="shared" si="2"/>
        <v>0.38586465100239481</v>
      </c>
      <c r="K60" s="116">
        <f t="shared" si="3"/>
        <v>3289043405.2395</v>
      </c>
      <c r="L60" s="116">
        <f t="shared" si="4"/>
        <v>2631234724.1916003</v>
      </c>
      <c r="M60" s="116">
        <f t="shared" si="5"/>
        <v>1973426043.1436999</v>
      </c>
      <c r="N60" s="89">
        <f t="shared" si="6"/>
        <v>1</v>
      </c>
      <c r="O60" s="77">
        <v>0.75647396108034337</v>
      </c>
      <c r="P60" s="78">
        <f t="shared" si="7"/>
        <v>0.8</v>
      </c>
      <c r="Q60" s="100" t="str">
        <f t="shared" si="8"/>
        <v>Riesgo</v>
      </c>
      <c r="R60" s="162">
        <f>+SUMIF('2.BDN'!D:D,Table8[[#This Row],[MUNICIPIO]],'2.BDN'!L:L)</f>
        <v>9800000000</v>
      </c>
      <c r="S60" s="162">
        <f>+SUMIF('2.BDN'!D:D,Table8[[#This Row],[MUNICIPIO]],'2.BDN'!O:O)</f>
        <v>0</v>
      </c>
      <c r="T60" s="162">
        <f>+Table8[[#This Row],[SUMATORIA DE PROYECTOS SIF]]+Table8[[#This Row],[SUMATORIA DE PROYECTOS SED]]</f>
        <v>9800000000</v>
      </c>
      <c r="U60" s="165">
        <v>1700000000</v>
      </c>
      <c r="V60" s="165">
        <f>+Table8[[#This Row],[CAPACIDAD MAXIMA DE ENDEUDAMIENTO AL 60%]]*0.2</f>
        <v>394685208.62874001</v>
      </c>
      <c r="W60" s="165">
        <v>394685208.62874001</v>
      </c>
      <c r="X60" s="165">
        <f>+Table8[[#This Row],[APORTE GOB2]]+Table8[[#This Row],[CAPACIDAD MAXIMA DE ENDEUDAMIENTO AL 60%]]</f>
        <v>2368111251.77244</v>
      </c>
      <c r="Y60" s="165">
        <f>+Table8[[#This Row],[CAPACIDAD MAXIMA DE ENDEUDAMIENTO AL 60%]]+Table8[[#This Row],[APORTE GOB]]-Table8[[#This Row],[SUMA TOTAL]]</f>
        <v>-7431888748.22756</v>
      </c>
    </row>
    <row r="61" spans="1:27">
      <c r="A61" s="97" t="s">
        <v>22</v>
      </c>
      <c r="B61" s="73" t="s">
        <v>230</v>
      </c>
      <c r="C61" s="73">
        <v>6</v>
      </c>
      <c r="D61" s="108">
        <v>6274381972.2840004</v>
      </c>
      <c r="E61" s="108">
        <v>2404546434.0300002</v>
      </c>
      <c r="F61" s="109">
        <f t="shared" si="0"/>
        <v>3869835538.2540002</v>
      </c>
      <c r="G61" s="110">
        <v>1292225834</v>
      </c>
      <c r="H61" s="108">
        <v>0</v>
      </c>
      <c r="I61" s="109">
        <f t="shared" si="1"/>
        <v>1292225834</v>
      </c>
      <c r="J61" s="88">
        <f t="shared" si="2"/>
        <v>0.20595268820230975</v>
      </c>
      <c r="K61" s="116">
        <f t="shared" si="3"/>
        <v>4982156138.2840004</v>
      </c>
      <c r="L61" s="116">
        <f t="shared" si="4"/>
        <v>3985724910.6272006</v>
      </c>
      <c r="M61" s="116">
        <f t="shared" si="5"/>
        <v>2989293682.9704003</v>
      </c>
      <c r="N61" s="89">
        <f t="shared" si="6"/>
        <v>1</v>
      </c>
      <c r="O61" s="77">
        <v>0.75496548270760855</v>
      </c>
      <c r="P61" s="78">
        <f t="shared" si="7"/>
        <v>0.8</v>
      </c>
      <c r="Q61" s="100" t="str">
        <f t="shared" si="8"/>
        <v>Riesgo</v>
      </c>
      <c r="R61" s="162">
        <f>+SUMIF('2.BDN'!D:D,Table8[[#This Row],[MUNICIPIO]],'2.BDN'!L:L)</f>
        <v>6525380287</v>
      </c>
      <c r="S61" s="162">
        <f>+SUMIF('2.BDN'!D:D,Table8[[#This Row],[MUNICIPIO]],'2.BDN'!O:O)</f>
        <v>0</v>
      </c>
      <c r="T61" s="162">
        <f>+Table8[[#This Row],[SUMATORIA DE PROYECTOS SIF]]+Table8[[#This Row],[SUMATORIA DE PROYECTOS SED]]</f>
        <v>6525380287</v>
      </c>
      <c r="U61" s="165">
        <v>7209392511</v>
      </c>
      <c r="V61" s="165">
        <f>+Table8[[#This Row],[CAPACIDAD MAXIMA DE ENDEUDAMIENTO AL 60%]]*0.2</f>
        <v>597858736.59408009</v>
      </c>
      <c r="W61" s="165">
        <v>597858736.59408009</v>
      </c>
      <c r="X61" s="165">
        <f>+Table8[[#This Row],[APORTE GOB2]]+Table8[[#This Row],[CAPACIDAD MAXIMA DE ENDEUDAMIENTO AL 60%]]</f>
        <v>3587152419.5644803</v>
      </c>
      <c r="Y61" s="165">
        <f>+Table8[[#This Row],[CAPACIDAD MAXIMA DE ENDEUDAMIENTO AL 60%]]+Table8[[#This Row],[APORTE GOB]]-Table8[[#This Row],[SUMA TOTAL]]</f>
        <v>-2938227867.4355197</v>
      </c>
    </row>
    <row r="62" spans="1:27">
      <c r="A62" s="97" t="s">
        <v>14</v>
      </c>
      <c r="B62" s="73" t="s">
        <v>830</v>
      </c>
      <c r="C62" s="73">
        <v>1</v>
      </c>
      <c r="D62" s="108">
        <v>496324008336.15204</v>
      </c>
      <c r="E62" s="108">
        <v>127705776357.14</v>
      </c>
      <c r="F62" s="109">
        <f t="shared" si="0"/>
        <v>368618231979.01202</v>
      </c>
      <c r="G62" s="110">
        <v>0</v>
      </c>
      <c r="H62" s="108">
        <v>236675802584</v>
      </c>
      <c r="I62" s="109">
        <f t="shared" si="1"/>
        <v>236675802584</v>
      </c>
      <c r="J62" s="88">
        <f t="shared" si="2"/>
        <v>0.47685745321371475</v>
      </c>
      <c r="K62" s="116">
        <f t="shared" si="3"/>
        <v>259648205752.15204</v>
      </c>
      <c r="L62" s="116">
        <f t="shared" si="4"/>
        <v>207718564601.72165</v>
      </c>
      <c r="M62" s="116">
        <f t="shared" si="5"/>
        <v>155788923451.29123</v>
      </c>
      <c r="N62" s="89">
        <f t="shared" si="6"/>
        <v>0</v>
      </c>
      <c r="O62" s="77">
        <v>0.28197093170184273</v>
      </c>
      <c r="P62" s="78">
        <f t="shared" si="7"/>
        <v>0.65</v>
      </c>
      <c r="Q62" s="100" t="str">
        <f t="shared" si="8"/>
        <v>Cumple</v>
      </c>
      <c r="R62" s="162">
        <f>+SUMIF('2.BDN'!D:D,Table8[[#This Row],[MUNICIPIO]],'2.BDN'!L:L)</f>
        <v>0</v>
      </c>
      <c r="S62" s="162">
        <f>+SUMIF('2.BDN'!D:D,Table8[[#This Row],[MUNICIPIO]],'2.BDN'!O:O)</f>
        <v>0</v>
      </c>
      <c r="T62" s="162">
        <f>+Table8[[#This Row],[SUMATORIA DE PROYECTOS SIF]]+Table8[[#This Row],[SUMATORIA DE PROYECTOS SED]]</f>
        <v>0</v>
      </c>
      <c r="U62" s="165">
        <v>0</v>
      </c>
      <c r="V62" s="165">
        <f>+Table8[[#This Row],[CAPACIDAD MAXIMA DE ENDEUDAMIENTO AL 60%]]*0.2</f>
        <v>31157784690.258247</v>
      </c>
      <c r="W62" s="165">
        <v>31157784690.258247</v>
      </c>
      <c r="X62" s="165">
        <f>+Table8[[#This Row],[APORTE GOB2]]+Table8[[#This Row],[CAPACIDAD MAXIMA DE ENDEUDAMIENTO AL 60%]]</f>
        <v>186946708141.54947</v>
      </c>
      <c r="Y62" s="165">
        <f>+Table8[[#This Row],[CAPACIDAD MAXIMA DE ENDEUDAMIENTO AL 60%]]+Table8[[#This Row],[APORTE GOB]]-Table8[[#This Row],[SUMA TOTAL]]</f>
        <v>186946708141.54947</v>
      </c>
    </row>
    <row r="63" spans="1:27">
      <c r="A63" s="98" t="s">
        <v>34</v>
      </c>
      <c r="B63" s="73" t="s">
        <v>832</v>
      </c>
      <c r="C63" s="73">
        <v>6</v>
      </c>
      <c r="D63" s="108">
        <v>18426107981.286503</v>
      </c>
      <c r="E63" s="108">
        <v>4869802105.2700005</v>
      </c>
      <c r="F63" s="109">
        <f t="shared" si="0"/>
        <v>13556305876.016502</v>
      </c>
      <c r="G63" s="110">
        <v>951343820.02999997</v>
      </c>
      <c r="H63" s="108">
        <v>9684082914</v>
      </c>
      <c r="I63" s="109">
        <f t="shared" si="1"/>
        <v>10635426734.030001</v>
      </c>
      <c r="J63" s="88">
        <f t="shared" si="2"/>
        <v>0.57719333593569011</v>
      </c>
      <c r="K63" s="116">
        <f t="shared" si="3"/>
        <v>7790681247.2565022</v>
      </c>
      <c r="L63" s="116">
        <f t="shared" si="4"/>
        <v>6232544997.8052025</v>
      </c>
      <c r="M63" s="116">
        <f t="shared" si="5"/>
        <v>4674408748.3539009</v>
      </c>
      <c r="N63" s="89">
        <f t="shared" si="6"/>
        <v>8.9450460599385329E-2</v>
      </c>
      <c r="O63" s="77">
        <v>0.56172885881394896</v>
      </c>
      <c r="P63" s="78">
        <f t="shared" si="7"/>
        <v>0.8</v>
      </c>
      <c r="Q63" s="100" t="str">
        <f t="shared" si="8"/>
        <v>Cumple</v>
      </c>
      <c r="R63" s="162">
        <f>+SUMIF('2.BDN'!D:D,Table8[[#This Row],[MUNICIPIO]],'2.BDN'!L:L)</f>
        <v>23242283024</v>
      </c>
      <c r="S63" s="162">
        <f>+SUMIF('2.BDN'!D:D,Table8[[#This Row],[MUNICIPIO]],'2.BDN'!O:O)</f>
        <v>0</v>
      </c>
      <c r="T63" s="162">
        <f>+Table8[[#This Row],[SUMATORIA DE PROYECTOS SIF]]+Table8[[#This Row],[SUMATORIA DE PROYECTOS SED]]</f>
        <v>23242283024</v>
      </c>
      <c r="U63" s="165">
        <v>4897965285</v>
      </c>
      <c r="V63" s="165">
        <f>+Table8[[#This Row],[CAPACIDAD MAXIMA DE ENDEUDAMIENTO AL 60%]]*0.2</f>
        <v>934881749.67078018</v>
      </c>
      <c r="W63" s="165">
        <v>934881749.67078018</v>
      </c>
      <c r="X63" s="165">
        <f>+Table8[[#This Row],[APORTE GOB2]]+Table8[[#This Row],[CAPACIDAD MAXIMA DE ENDEUDAMIENTO AL 60%]]</f>
        <v>5609290498.0246811</v>
      </c>
      <c r="Y63" s="165">
        <f>+Table8[[#This Row],[CAPACIDAD MAXIMA DE ENDEUDAMIENTO AL 60%]]+Table8[[#This Row],[APORTE GOB]]-Table8[[#This Row],[SUMA TOTAL]]</f>
        <v>-17632992525.975319</v>
      </c>
    </row>
    <row r="64" spans="1:27">
      <c r="A64" s="97" t="s">
        <v>22</v>
      </c>
      <c r="B64" s="79" t="s">
        <v>156</v>
      </c>
      <c r="C64" s="73">
        <v>6</v>
      </c>
      <c r="D64" s="108">
        <v>14419744847.987999</v>
      </c>
      <c r="E64" s="108">
        <v>4888479181.79</v>
      </c>
      <c r="F64" s="109">
        <f t="shared" si="0"/>
        <v>9531265666.197998</v>
      </c>
      <c r="G64" s="110">
        <v>0</v>
      </c>
      <c r="H64" s="108">
        <v>0</v>
      </c>
      <c r="I64" s="109">
        <f t="shared" si="1"/>
        <v>0</v>
      </c>
      <c r="J64" s="88">
        <f t="shared" si="2"/>
        <v>0</v>
      </c>
      <c r="K64" s="116">
        <f t="shared" si="3"/>
        <v>14419744847.987999</v>
      </c>
      <c r="L64" s="116">
        <f t="shared" si="4"/>
        <v>11535795878.3904</v>
      </c>
      <c r="M64" s="116">
        <f t="shared" si="5"/>
        <v>8651846908.792799</v>
      </c>
      <c r="N64" s="89">
        <f t="shared" si="6"/>
        <v>0</v>
      </c>
      <c r="O64" s="77">
        <v>0.45738888558733654</v>
      </c>
      <c r="P64" s="78">
        <f t="shared" si="7"/>
        <v>0.8</v>
      </c>
      <c r="Q64" s="100" t="str">
        <f t="shared" si="8"/>
        <v>Cumple</v>
      </c>
      <c r="R64" s="162">
        <f>+SUMIF('2.BDN'!D:D,Table8[[#This Row],[MUNICIPIO]],'2.BDN'!L:L)</f>
        <v>2590043038</v>
      </c>
      <c r="S64" s="162">
        <f>+SUMIF('2.BDN'!D:D,Table8[[#This Row],[MUNICIPIO]],'2.BDN'!O:O)</f>
        <v>0</v>
      </c>
      <c r="T64" s="162">
        <f>+Table8[[#This Row],[SUMATORIA DE PROYECTOS SIF]]+Table8[[#This Row],[SUMATORIA DE PROYECTOS SED]]</f>
        <v>2590043038</v>
      </c>
      <c r="U64" s="165">
        <v>1876659659</v>
      </c>
      <c r="V64" s="165">
        <f>+Table8[[#This Row],[CAPACIDAD MAXIMA DE ENDEUDAMIENTO AL 60%]]*0.2</f>
        <v>1730369381.7585599</v>
      </c>
      <c r="W64" s="165">
        <v>1730369381.7585599</v>
      </c>
      <c r="X64" s="165">
        <f>+Table8[[#This Row],[APORTE GOB2]]+Table8[[#This Row],[CAPACIDAD MAXIMA DE ENDEUDAMIENTO AL 60%]]</f>
        <v>10382216290.551359</v>
      </c>
      <c r="Y64" s="165">
        <f>+Table8[[#This Row],[CAPACIDAD MAXIMA DE ENDEUDAMIENTO AL 60%]]+Table8[[#This Row],[APORTE GOB]]-Table8[[#This Row],[SUMA TOTAL]]</f>
        <v>7792173252.5513592</v>
      </c>
      <c r="Z64" s="9">
        <v>2</v>
      </c>
      <c r="AA64" s="76">
        <v>0.7</v>
      </c>
    </row>
    <row r="65" spans="1:27">
      <c r="A65" s="97" t="s">
        <v>22</v>
      </c>
      <c r="B65" s="73" t="s">
        <v>144</v>
      </c>
      <c r="C65" s="73">
        <v>6</v>
      </c>
      <c r="D65" s="108">
        <v>15694425323.1185</v>
      </c>
      <c r="E65" s="108">
        <v>6655963089.6100006</v>
      </c>
      <c r="F65" s="109">
        <f t="shared" si="0"/>
        <v>9038462233.5084991</v>
      </c>
      <c r="G65" s="110">
        <v>1446596000</v>
      </c>
      <c r="H65" s="108">
        <v>1500000000</v>
      </c>
      <c r="I65" s="109">
        <f t="shared" si="1"/>
        <v>2946596000</v>
      </c>
      <c r="J65" s="88">
        <f t="shared" si="2"/>
        <v>0.1877479384772088</v>
      </c>
      <c r="K65" s="116">
        <f t="shared" si="3"/>
        <v>12747829323.1185</v>
      </c>
      <c r="L65" s="116">
        <f t="shared" si="4"/>
        <v>10198263458.494801</v>
      </c>
      <c r="M65" s="116">
        <f t="shared" si="5"/>
        <v>7648697593.8710995</v>
      </c>
      <c r="N65" s="89">
        <f t="shared" si="6"/>
        <v>0.49093801797056674</v>
      </c>
      <c r="O65" s="77">
        <v>0.65417145296340995</v>
      </c>
      <c r="P65" s="78">
        <f t="shared" si="7"/>
        <v>0.8</v>
      </c>
      <c r="Q65" s="100" t="str">
        <f t="shared" si="8"/>
        <v>Cumple</v>
      </c>
      <c r="R65" s="162">
        <f>+SUMIF('2.BDN'!D:D,Table8[[#This Row],[MUNICIPIO]],'2.BDN'!L:L)</f>
        <v>427803841</v>
      </c>
      <c r="S65" s="162">
        <f>+SUMIF('2.BDN'!D:D,Table8[[#This Row],[MUNICIPIO]],'2.BDN'!O:O)</f>
        <v>0</v>
      </c>
      <c r="T65" s="162">
        <f>+Table8[[#This Row],[SUMATORIA DE PROYECTOS SIF]]+Table8[[#This Row],[SUMATORIA DE PROYECTOS SED]]</f>
        <v>427803841</v>
      </c>
      <c r="U65" s="165">
        <v>200000000</v>
      </c>
      <c r="V65" s="165">
        <f>+Table8[[#This Row],[CAPACIDAD MAXIMA DE ENDEUDAMIENTO AL 60%]]*0.2</f>
        <v>1529739518.77422</v>
      </c>
      <c r="W65" s="165">
        <v>1529739518.77422</v>
      </c>
      <c r="X65" s="165">
        <f>+Table8[[#This Row],[APORTE GOB2]]+Table8[[#This Row],[CAPACIDAD MAXIMA DE ENDEUDAMIENTO AL 60%]]</f>
        <v>9178437112.645319</v>
      </c>
      <c r="Y65" s="165">
        <f>+Table8[[#This Row],[CAPACIDAD MAXIMA DE ENDEUDAMIENTO AL 60%]]+Table8[[#This Row],[APORTE GOB]]-Table8[[#This Row],[SUMA TOTAL]]</f>
        <v>8750633271.645319</v>
      </c>
    </row>
    <row r="66" spans="1:27">
      <c r="A66" s="97" t="s">
        <v>20</v>
      </c>
      <c r="B66" s="73" t="s">
        <v>115</v>
      </c>
      <c r="C66" s="73">
        <v>2</v>
      </c>
      <c r="D66" s="108">
        <v>102691614388.099</v>
      </c>
      <c r="E66" s="108">
        <v>29123622287.32</v>
      </c>
      <c r="F66" s="109">
        <f t="shared" ref="F66:F126" si="9">D66-E66</f>
        <v>73567992100.778992</v>
      </c>
      <c r="G66" s="110">
        <v>5166195556</v>
      </c>
      <c r="H66" s="108">
        <v>27283390599</v>
      </c>
      <c r="I66" s="109">
        <f t="shared" ref="I66:I126" si="10">G66+H66</f>
        <v>32449586155</v>
      </c>
      <c r="J66" s="88">
        <f t="shared" ref="J66:J126" si="11">I66/D66</f>
        <v>0.3159906127521217</v>
      </c>
      <c r="K66" s="116">
        <f t="shared" ref="K66:K126" si="12">D66-I66</f>
        <v>70242028233.098999</v>
      </c>
      <c r="L66" s="116">
        <f t="shared" ref="L66:L126" si="13">K66*80%</f>
        <v>56193622586.479202</v>
      </c>
      <c r="M66" s="116">
        <f t="shared" ref="M66:M126" si="14">K66*60%</f>
        <v>42145216939.859398</v>
      </c>
      <c r="N66" s="89">
        <f t="shared" ref="N66:N126" si="15">IFERROR(G66/I66,0%)</f>
        <v>0.15920682412783146</v>
      </c>
      <c r="O66" s="77">
        <v>0.28977187660096981</v>
      </c>
      <c r="P66" s="78">
        <f t="shared" ref="P66:P126" si="16">_xlfn.XLOOKUP(C66,Z:Z,AA:AA)</f>
        <v>0.7</v>
      </c>
      <c r="Q66" s="100" t="str">
        <f t="shared" ref="Q66:Q126" si="17">IF(AND(OR(C66=4,C66=5,C66=6),O66&gt;=75%,O66&lt;80%),"Riesgo",IF(O66&gt;P66,"Incumple","Cumple"))</f>
        <v>Cumple</v>
      </c>
      <c r="R66" s="162">
        <f>+SUMIF('2.BDN'!D:D,Table8[[#This Row],[MUNICIPIO]],'2.BDN'!L:L)</f>
        <v>4964511075</v>
      </c>
      <c r="S66" s="162">
        <f>+SUMIF('2.BDN'!D:D,Table8[[#This Row],[MUNICIPIO]],'2.BDN'!O:O)</f>
        <v>0</v>
      </c>
      <c r="T66" s="162">
        <f>+Table8[[#This Row],[SUMATORIA DE PROYECTOS SIF]]+Table8[[#This Row],[SUMATORIA DE PROYECTOS SED]]</f>
        <v>4964511075</v>
      </c>
      <c r="U66" s="165">
        <v>16962843267</v>
      </c>
      <c r="V66" s="165">
        <f>+Table8[[#This Row],[CAPACIDAD MAXIMA DE ENDEUDAMIENTO AL 60%]]*0.2</f>
        <v>8429043387.97188</v>
      </c>
      <c r="W66" s="165">
        <v>8429043387.97188</v>
      </c>
      <c r="X66" s="165">
        <f>+Table8[[#This Row],[APORTE GOB2]]+Table8[[#This Row],[CAPACIDAD MAXIMA DE ENDEUDAMIENTO AL 60%]]</f>
        <v>50574260327.831276</v>
      </c>
      <c r="Y66" s="165">
        <f>+Table8[[#This Row],[CAPACIDAD MAXIMA DE ENDEUDAMIENTO AL 60%]]+Table8[[#This Row],[APORTE GOB]]-Table8[[#This Row],[SUMA TOTAL]]</f>
        <v>45609749252.831276</v>
      </c>
    </row>
    <row r="67" spans="1:27">
      <c r="A67" s="97" t="s">
        <v>14</v>
      </c>
      <c r="B67" s="73" t="s">
        <v>837</v>
      </c>
      <c r="C67" s="73">
        <v>2</v>
      </c>
      <c r="D67" s="108">
        <v>135715406802.28</v>
      </c>
      <c r="E67" s="108">
        <v>53533842887.349998</v>
      </c>
      <c r="F67" s="109">
        <f t="shared" si="9"/>
        <v>82181563914.929993</v>
      </c>
      <c r="G67" s="110">
        <v>47892509000</v>
      </c>
      <c r="H67" s="108">
        <v>560209933</v>
      </c>
      <c r="I67" s="109">
        <f t="shared" si="10"/>
        <v>48452718933</v>
      </c>
      <c r="J67" s="88">
        <f t="shared" si="11"/>
        <v>0.35701708505055302</v>
      </c>
      <c r="K67" s="116">
        <f t="shared" si="12"/>
        <v>87262687869.279999</v>
      </c>
      <c r="L67" s="116">
        <f t="shared" si="13"/>
        <v>69810150295.423996</v>
      </c>
      <c r="M67" s="116">
        <f t="shared" si="14"/>
        <v>52357612721.568001</v>
      </c>
      <c r="N67" s="89">
        <f t="shared" si="15"/>
        <v>0.98843800832364737</v>
      </c>
      <c r="O67" s="77">
        <v>0.43677543312268075</v>
      </c>
      <c r="P67" s="78">
        <f t="shared" si="16"/>
        <v>0.7</v>
      </c>
      <c r="Q67" s="100" t="str">
        <f t="shared" si="17"/>
        <v>Cumple</v>
      </c>
      <c r="R67" s="162">
        <f>+SUMIF('2.BDN'!D:D,Table8[[#This Row],[MUNICIPIO]],'2.BDN'!L:L)</f>
        <v>0</v>
      </c>
      <c r="S67" s="162">
        <f>+SUMIF('2.BDN'!D:D,Table8[[#This Row],[MUNICIPIO]],'2.BDN'!O:O)</f>
        <v>0</v>
      </c>
      <c r="T67" s="162">
        <f>+Table8[[#This Row],[SUMATORIA DE PROYECTOS SIF]]+Table8[[#This Row],[SUMATORIA DE PROYECTOS SED]]</f>
        <v>0</v>
      </c>
      <c r="U67" s="165">
        <v>0</v>
      </c>
      <c r="V67" s="165">
        <f>+Table8[[#This Row],[CAPACIDAD MAXIMA DE ENDEUDAMIENTO AL 60%]]*0.2</f>
        <v>10471522544.313601</v>
      </c>
      <c r="W67" s="165">
        <v>10471522544.313601</v>
      </c>
      <c r="X67" s="165">
        <f>+Table8[[#This Row],[APORTE GOB2]]+Table8[[#This Row],[CAPACIDAD MAXIMA DE ENDEUDAMIENTO AL 60%]]</f>
        <v>62829135265.881599</v>
      </c>
      <c r="Y67" s="165">
        <f>+Table8[[#This Row],[CAPACIDAD MAXIMA DE ENDEUDAMIENTO AL 60%]]+Table8[[#This Row],[APORTE GOB]]-Table8[[#This Row],[SUMA TOTAL]]</f>
        <v>62829135265.881599</v>
      </c>
    </row>
    <row r="68" spans="1:27">
      <c r="A68" s="97" t="s">
        <v>22</v>
      </c>
      <c r="B68" s="73" t="s">
        <v>101</v>
      </c>
      <c r="C68" s="73">
        <v>6</v>
      </c>
      <c r="D68" s="108">
        <v>10783113038.2925</v>
      </c>
      <c r="E68" s="108">
        <v>5750561650.9200001</v>
      </c>
      <c r="F68" s="109">
        <f t="shared" si="9"/>
        <v>5032551387.3724995</v>
      </c>
      <c r="G68" s="110">
        <v>4104930290</v>
      </c>
      <c r="H68" s="108">
        <v>0</v>
      </c>
      <c r="I68" s="109">
        <f t="shared" si="10"/>
        <v>4104930290</v>
      </c>
      <c r="J68" s="88">
        <f t="shared" si="11"/>
        <v>0.38068137423977277</v>
      </c>
      <c r="K68" s="116">
        <f t="shared" si="12"/>
        <v>6678182748.2924995</v>
      </c>
      <c r="L68" s="116">
        <f t="shared" si="13"/>
        <v>5342546198.6339998</v>
      </c>
      <c r="M68" s="116">
        <f t="shared" si="14"/>
        <v>4006909648.9754996</v>
      </c>
      <c r="N68" s="89">
        <f t="shared" si="15"/>
        <v>1</v>
      </c>
      <c r="O68" s="77">
        <v>0.6829525248720959</v>
      </c>
      <c r="P68" s="78">
        <f t="shared" si="16"/>
        <v>0.8</v>
      </c>
      <c r="Q68" s="100" t="str">
        <f t="shared" si="17"/>
        <v>Cumple</v>
      </c>
      <c r="R68" s="162">
        <f>+SUMIF('2.BDN'!D:D,Table8[[#This Row],[MUNICIPIO]],'2.BDN'!L:L)</f>
        <v>1263024676</v>
      </c>
      <c r="S68" s="162">
        <f>+SUMIF('2.BDN'!D:D,Table8[[#This Row],[MUNICIPIO]],'2.BDN'!O:O)</f>
        <v>0</v>
      </c>
      <c r="T68" s="162">
        <f>+Table8[[#This Row],[SUMATORIA DE PROYECTOS SIF]]+Table8[[#This Row],[SUMATORIA DE PROYECTOS SED]]</f>
        <v>1263024676</v>
      </c>
      <c r="U68" s="165">
        <v>2663872885</v>
      </c>
      <c r="V68" s="165">
        <f>+Table8[[#This Row],[CAPACIDAD MAXIMA DE ENDEUDAMIENTO AL 60%]]*0.2</f>
        <v>801381929.79509997</v>
      </c>
      <c r="W68" s="165">
        <v>801381929.79509997</v>
      </c>
      <c r="X68" s="165">
        <f>+Table8[[#This Row],[APORTE GOB2]]+Table8[[#This Row],[CAPACIDAD MAXIMA DE ENDEUDAMIENTO AL 60%]]</f>
        <v>4808291578.7705994</v>
      </c>
      <c r="Y68" s="165">
        <f>+Table8[[#This Row],[CAPACIDAD MAXIMA DE ENDEUDAMIENTO AL 60%]]+Table8[[#This Row],[APORTE GOB]]-Table8[[#This Row],[SUMA TOTAL]]</f>
        <v>3545266902.7705994</v>
      </c>
    </row>
    <row r="69" spans="1:27">
      <c r="A69" s="97" t="s">
        <v>20</v>
      </c>
      <c r="B69" s="73" t="s">
        <v>186</v>
      </c>
      <c r="C69" s="73">
        <v>6</v>
      </c>
      <c r="D69" s="108">
        <v>22781121123.307999</v>
      </c>
      <c r="E69" s="108">
        <v>7460247261.1800003</v>
      </c>
      <c r="F69" s="109">
        <f t="shared" si="9"/>
        <v>15320873862.127998</v>
      </c>
      <c r="G69" s="110">
        <v>8372353142.5600004</v>
      </c>
      <c r="H69" s="108">
        <v>142113074</v>
      </c>
      <c r="I69" s="109">
        <f t="shared" si="10"/>
        <v>8514466216.5600004</v>
      </c>
      <c r="J69" s="88">
        <f t="shared" si="11"/>
        <v>0.37375097434729027</v>
      </c>
      <c r="K69" s="116">
        <f t="shared" si="12"/>
        <v>14266654906.747997</v>
      </c>
      <c r="L69" s="116">
        <f t="shared" si="13"/>
        <v>11413323925.398399</v>
      </c>
      <c r="M69" s="116">
        <f t="shared" si="14"/>
        <v>8559992944.0487976</v>
      </c>
      <c r="N69" s="89">
        <f t="shared" si="15"/>
        <v>0.98330922099102336</v>
      </c>
      <c r="O69" s="77">
        <v>0.47573857187041646</v>
      </c>
      <c r="P69" s="78">
        <f t="shared" si="16"/>
        <v>0.8</v>
      </c>
      <c r="Q69" s="100" t="str">
        <f t="shared" si="17"/>
        <v>Cumple</v>
      </c>
      <c r="R69" s="162">
        <f>+SUMIF('2.BDN'!D:D,Table8[[#This Row],[MUNICIPIO]],'2.BDN'!L:L)</f>
        <v>20237405685</v>
      </c>
      <c r="S69" s="162">
        <f>+SUMIF('2.BDN'!D:D,Table8[[#This Row],[MUNICIPIO]],'2.BDN'!O:O)</f>
        <v>0</v>
      </c>
      <c r="T69" s="162">
        <f>+Table8[[#This Row],[SUMATORIA DE PROYECTOS SIF]]+Table8[[#This Row],[SUMATORIA DE PROYECTOS SED]]</f>
        <v>20237405685</v>
      </c>
      <c r="U69" s="165">
        <v>16742938966.900002</v>
      </c>
      <c r="V69" s="165">
        <f>+Table8[[#This Row],[CAPACIDAD MAXIMA DE ENDEUDAMIENTO AL 60%]]*0.2</f>
        <v>1711998588.8097596</v>
      </c>
      <c r="W69" s="165">
        <v>1711998588.8097596</v>
      </c>
      <c r="X69" s="165">
        <f>+Table8[[#This Row],[APORTE GOB2]]+Table8[[#This Row],[CAPACIDAD MAXIMA DE ENDEUDAMIENTO AL 60%]]</f>
        <v>10271991532.858557</v>
      </c>
      <c r="Y69" s="165">
        <f>+Table8[[#This Row],[CAPACIDAD MAXIMA DE ENDEUDAMIENTO AL 60%]]+Table8[[#This Row],[APORTE GOB]]-Table8[[#This Row],[SUMA TOTAL]]</f>
        <v>-9965414152.1414433</v>
      </c>
    </row>
    <row r="70" spans="1:27">
      <c r="A70" s="97" t="s">
        <v>47</v>
      </c>
      <c r="B70" s="73" t="s">
        <v>214</v>
      </c>
      <c r="C70" s="73">
        <v>6</v>
      </c>
      <c r="D70" s="108">
        <v>8030428413.9210014</v>
      </c>
      <c r="E70" s="108">
        <v>3080588699.4500003</v>
      </c>
      <c r="F70" s="109">
        <f t="shared" si="9"/>
        <v>4949839714.4710007</v>
      </c>
      <c r="G70" s="110">
        <v>1577607418.01</v>
      </c>
      <c r="H70" s="108">
        <v>1800000000</v>
      </c>
      <c r="I70" s="109">
        <f t="shared" si="10"/>
        <v>3377607418.0100002</v>
      </c>
      <c r="J70" s="88">
        <f t="shared" si="11"/>
        <v>0.42060114901900014</v>
      </c>
      <c r="K70" s="116">
        <f t="shared" si="12"/>
        <v>4652820995.9110012</v>
      </c>
      <c r="L70" s="116">
        <f t="shared" si="13"/>
        <v>3722256796.7288013</v>
      </c>
      <c r="M70" s="116">
        <f t="shared" si="14"/>
        <v>2791692597.5466008</v>
      </c>
      <c r="N70" s="89">
        <f t="shared" si="15"/>
        <v>0.46707838501239612</v>
      </c>
      <c r="O70" s="77">
        <v>0.73590701114566914</v>
      </c>
      <c r="P70" s="78">
        <f t="shared" si="16"/>
        <v>0.8</v>
      </c>
      <c r="Q70" s="100" t="str">
        <f t="shared" si="17"/>
        <v>Cumple</v>
      </c>
      <c r="R70" s="162">
        <f>+SUMIF('2.BDN'!D:D,Table8[[#This Row],[MUNICIPIO]],'2.BDN'!L:L)</f>
        <v>7930464369</v>
      </c>
      <c r="S70" s="162">
        <f>+SUMIF('2.BDN'!D:D,Table8[[#This Row],[MUNICIPIO]],'2.BDN'!O:O)</f>
        <v>0</v>
      </c>
      <c r="T70" s="162">
        <f>+Table8[[#This Row],[SUMATORIA DE PROYECTOS SIF]]+Table8[[#This Row],[SUMATORIA DE PROYECTOS SED]]</f>
        <v>7930464369</v>
      </c>
      <c r="U70" s="165">
        <v>3480700238</v>
      </c>
      <c r="V70" s="165">
        <f>+Table8[[#This Row],[CAPACIDAD MAXIMA DE ENDEUDAMIENTO AL 60%]]*0.2</f>
        <v>558338519.50932014</v>
      </c>
      <c r="W70" s="165">
        <v>558338519.50932014</v>
      </c>
      <c r="X70" s="165">
        <f>+Table8[[#This Row],[APORTE GOB2]]+Table8[[#This Row],[CAPACIDAD MAXIMA DE ENDEUDAMIENTO AL 60%]]</f>
        <v>3350031117.0559211</v>
      </c>
      <c r="Y70" s="165">
        <f>+Table8[[#This Row],[CAPACIDAD MAXIMA DE ENDEUDAMIENTO AL 60%]]+Table8[[#This Row],[APORTE GOB]]-Table8[[#This Row],[SUMA TOTAL]]</f>
        <v>-4580433251.9440784</v>
      </c>
    </row>
    <row r="71" spans="1:27">
      <c r="A71" s="97" t="s">
        <v>892</v>
      </c>
      <c r="B71" s="73" t="s">
        <v>311</v>
      </c>
      <c r="C71" s="73">
        <v>6</v>
      </c>
      <c r="D71" s="108">
        <v>12443958135.744499</v>
      </c>
      <c r="E71" s="108">
        <v>4756407219.6099997</v>
      </c>
      <c r="F71" s="109">
        <f t="shared" si="9"/>
        <v>7687550916.1344995</v>
      </c>
      <c r="G71" s="110">
        <v>8000000000</v>
      </c>
      <c r="H71" s="108">
        <v>0</v>
      </c>
      <c r="I71" s="109">
        <f t="shared" si="10"/>
        <v>8000000000</v>
      </c>
      <c r="J71" s="88">
        <f t="shared" si="11"/>
        <v>0.64288226565312012</v>
      </c>
      <c r="K71" s="116">
        <f t="shared" si="12"/>
        <v>4443958135.7444992</v>
      </c>
      <c r="L71" s="116">
        <f t="shared" si="13"/>
        <v>3555166508.5955997</v>
      </c>
      <c r="M71" s="116">
        <f t="shared" si="14"/>
        <v>2666374881.4466996</v>
      </c>
      <c r="N71" s="89">
        <f t="shared" si="15"/>
        <v>1</v>
      </c>
      <c r="O71" s="77">
        <v>0.49448054880206244</v>
      </c>
      <c r="P71" s="78">
        <f t="shared" si="16"/>
        <v>0.8</v>
      </c>
      <c r="Q71" s="100" t="str">
        <f t="shared" si="17"/>
        <v>Cumple</v>
      </c>
      <c r="R71" s="162">
        <f>+SUMIF('2.BDN'!D:D,Table8[[#This Row],[MUNICIPIO]],'2.BDN'!L:L)</f>
        <v>13427488873</v>
      </c>
      <c r="S71" s="162">
        <f>+SUMIF('2.BDN'!D:D,Table8[[#This Row],[MUNICIPIO]],'2.BDN'!O:O)</f>
        <v>0</v>
      </c>
      <c r="T71" s="162">
        <f>+Table8[[#This Row],[SUMATORIA DE PROYECTOS SIF]]+Table8[[#This Row],[SUMATORIA DE PROYECTOS SED]]</f>
        <v>13427488873</v>
      </c>
      <c r="U71" s="165">
        <v>13697488873</v>
      </c>
      <c r="V71" s="165">
        <f>+Table8[[#This Row],[CAPACIDAD MAXIMA DE ENDEUDAMIENTO AL 60%]]*0.2</f>
        <v>533274976.28933996</v>
      </c>
      <c r="W71" s="165">
        <v>533274976.28933996</v>
      </c>
      <c r="X71" s="165">
        <f>+Table8[[#This Row],[APORTE GOB2]]+Table8[[#This Row],[CAPACIDAD MAXIMA DE ENDEUDAMIENTO AL 60%]]</f>
        <v>3199649857.7360396</v>
      </c>
      <c r="Y71" s="165">
        <f>+Table8[[#This Row],[CAPACIDAD MAXIMA DE ENDEUDAMIENTO AL 60%]]+Table8[[#This Row],[APORTE GOB]]-Table8[[#This Row],[SUMA TOTAL]]</f>
        <v>-10227839015.26396</v>
      </c>
    </row>
    <row r="72" spans="1:27">
      <c r="A72" s="97" t="s">
        <v>20</v>
      </c>
      <c r="B72" s="73" t="s">
        <v>177</v>
      </c>
      <c r="C72" s="73">
        <v>4</v>
      </c>
      <c r="D72" s="108">
        <v>62016835956.019493</v>
      </c>
      <c r="E72" s="108">
        <v>25368005936.310001</v>
      </c>
      <c r="F72" s="109">
        <f t="shared" si="9"/>
        <v>36648830019.709488</v>
      </c>
      <c r="G72" s="110">
        <v>25635932166</v>
      </c>
      <c r="H72" s="108">
        <v>7522176280</v>
      </c>
      <c r="I72" s="109">
        <f t="shared" si="10"/>
        <v>33158108446</v>
      </c>
      <c r="J72" s="88">
        <f t="shared" si="11"/>
        <v>0.53466301424204787</v>
      </c>
      <c r="K72" s="116">
        <f t="shared" si="12"/>
        <v>28858727510.019493</v>
      </c>
      <c r="L72" s="116">
        <f t="shared" si="13"/>
        <v>23086982008.015594</v>
      </c>
      <c r="M72" s="116">
        <f t="shared" si="14"/>
        <v>17315236506.011696</v>
      </c>
      <c r="N72" s="89">
        <f t="shared" si="15"/>
        <v>0.77314217750839676</v>
      </c>
      <c r="O72" s="77">
        <v>0.52777286703387605</v>
      </c>
      <c r="P72" s="78">
        <f t="shared" si="16"/>
        <v>0.8</v>
      </c>
      <c r="Q72" s="100" t="str">
        <f t="shared" si="17"/>
        <v>Cumple</v>
      </c>
      <c r="R72" s="162">
        <f>+SUMIF('2.BDN'!D:D,Table8[[#This Row],[MUNICIPIO]],'2.BDN'!L:L)</f>
        <v>1535038858562</v>
      </c>
      <c r="S72" s="162">
        <f>+SUMIF('2.BDN'!D:D,Table8[[#This Row],[MUNICIPIO]],'2.BDN'!O:O)</f>
        <v>0</v>
      </c>
      <c r="T72" s="162">
        <f>+Table8[[#This Row],[SUMATORIA DE PROYECTOS SIF]]+Table8[[#This Row],[SUMATORIA DE PROYECTOS SED]]</f>
        <v>1535038858562</v>
      </c>
      <c r="U72" s="165">
        <v>25220802131.830002</v>
      </c>
      <c r="V72" s="165">
        <f>+Table8[[#This Row],[CAPACIDAD MAXIMA DE ENDEUDAMIENTO AL 60%]]*0.2</f>
        <v>3463047301.2023392</v>
      </c>
      <c r="W72" s="165">
        <v>3463047301.2023392</v>
      </c>
      <c r="X72" s="165">
        <f>+Table8[[#This Row],[APORTE GOB2]]+Table8[[#This Row],[CAPACIDAD MAXIMA DE ENDEUDAMIENTO AL 60%]]</f>
        <v>20778283807.214035</v>
      </c>
      <c r="Y72" s="165">
        <f>+Table8[[#This Row],[CAPACIDAD MAXIMA DE ENDEUDAMIENTO AL 60%]]+Table8[[#This Row],[APORTE GOB]]-Table8[[#This Row],[SUMA TOTAL]]</f>
        <v>-1514260574754.7859</v>
      </c>
    </row>
    <row r="73" spans="1:27">
      <c r="A73" s="97" t="s">
        <v>22</v>
      </c>
      <c r="B73" s="73" t="s">
        <v>232</v>
      </c>
      <c r="C73" s="73">
        <v>6</v>
      </c>
      <c r="D73" s="108">
        <v>6527267076.0299997</v>
      </c>
      <c r="E73" s="108">
        <v>2852468155.77</v>
      </c>
      <c r="F73" s="109">
        <f t="shared" si="9"/>
        <v>3674798920.2599998</v>
      </c>
      <c r="G73" s="110">
        <v>1320825426</v>
      </c>
      <c r="H73" s="108">
        <v>0</v>
      </c>
      <c r="I73" s="109">
        <f t="shared" si="10"/>
        <v>1320825426</v>
      </c>
      <c r="J73" s="88">
        <f t="shared" si="11"/>
        <v>0.2023550454753798</v>
      </c>
      <c r="K73" s="116">
        <f t="shared" si="12"/>
        <v>5206441650.0299997</v>
      </c>
      <c r="L73" s="116">
        <f t="shared" si="13"/>
        <v>4165153320.0240002</v>
      </c>
      <c r="M73" s="116">
        <f t="shared" si="14"/>
        <v>3123864990.0179996</v>
      </c>
      <c r="N73" s="89">
        <f t="shared" si="15"/>
        <v>1</v>
      </c>
      <c r="O73" s="77">
        <v>0.63926485007667311</v>
      </c>
      <c r="P73" s="78">
        <f t="shared" si="16"/>
        <v>0.8</v>
      </c>
      <c r="Q73" s="100" t="str">
        <f t="shared" si="17"/>
        <v>Cumple</v>
      </c>
      <c r="R73" s="162">
        <f>+SUMIF('2.BDN'!D:D,Table8[[#This Row],[MUNICIPIO]],'2.BDN'!L:L)</f>
        <v>0</v>
      </c>
      <c r="S73" s="162">
        <f>+SUMIF('2.BDN'!D:D,Table8[[#This Row],[MUNICIPIO]],'2.BDN'!O:O)</f>
        <v>0</v>
      </c>
      <c r="T73" s="162">
        <f>+Table8[[#This Row],[SUMATORIA DE PROYECTOS SIF]]+Table8[[#This Row],[SUMATORIA DE PROYECTOS SED]]</f>
        <v>0</v>
      </c>
      <c r="U73" s="165">
        <v>3792057314</v>
      </c>
      <c r="V73" s="165">
        <f>+Table8[[#This Row],[CAPACIDAD MAXIMA DE ENDEUDAMIENTO AL 60%]]*0.2</f>
        <v>624772998.0036</v>
      </c>
      <c r="W73" s="165">
        <v>624772998.0036</v>
      </c>
      <c r="X73" s="165">
        <f>+Table8[[#This Row],[APORTE GOB2]]+Table8[[#This Row],[CAPACIDAD MAXIMA DE ENDEUDAMIENTO AL 60%]]</f>
        <v>3748637988.0215998</v>
      </c>
      <c r="Y73" s="165">
        <f>+Table8[[#This Row],[CAPACIDAD MAXIMA DE ENDEUDAMIENTO AL 60%]]+Table8[[#This Row],[APORTE GOB]]-Table8[[#This Row],[SUMA TOTAL]]</f>
        <v>3748637988.0215998</v>
      </c>
    </row>
    <row r="74" spans="1:27">
      <c r="A74" s="97" t="s">
        <v>37</v>
      </c>
      <c r="B74" s="73" t="s">
        <v>258</v>
      </c>
      <c r="C74" s="73">
        <v>6</v>
      </c>
      <c r="D74" s="108">
        <v>17114409570.042</v>
      </c>
      <c r="E74" s="108">
        <v>5233556503.5699997</v>
      </c>
      <c r="F74" s="109">
        <f t="shared" si="9"/>
        <v>11880853066.472</v>
      </c>
      <c r="G74" s="110">
        <v>690572471</v>
      </c>
      <c r="H74" s="108"/>
      <c r="I74" s="109">
        <f t="shared" si="10"/>
        <v>690572471</v>
      </c>
      <c r="J74" s="88">
        <f t="shared" si="11"/>
        <v>4.0350353202298947E-2</v>
      </c>
      <c r="K74" s="116">
        <f t="shared" si="12"/>
        <v>16423837099.042</v>
      </c>
      <c r="L74" s="116">
        <f t="shared" si="13"/>
        <v>13139069679.233601</v>
      </c>
      <c r="M74" s="116">
        <f t="shared" si="14"/>
        <v>9854302259.4251995</v>
      </c>
      <c r="N74" s="89">
        <f t="shared" si="15"/>
        <v>1</v>
      </c>
      <c r="O74" s="77">
        <v>0.61563469645402102</v>
      </c>
      <c r="P74" s="78">
        <f t="shared" si="16"/>
        <v>0.8</v>
      </c>
      <c r="Q74" s="100" t="str">
        <f t="shared" si="17"/>
        <v>Cumple</v>
      </c>
      <c r="R74" s="162">
        <f>+SUMIF('2.BDN'!D:D,Table8[[#This Row],[MUNICIPIO]],'2.BDN'!L:L)</f>
        <v>10307716743</v>
      </c>
      <c r="S74" s="162">
        <f>+SUMIF('2.BDN'!D:D,Table8[[#This Row],[MUNICIPIO]],'2.BDN'!O:O)</f>
        <v>0</v>
      </c>
      <c r="T74" s="162">
        <f>+Table8[[#This Row],[SUMATORIA DE PROYECTOS SIF]]+Table8[[#This Row],[SUMATORIA DE PROYECTOS SED]]</f>
        <v>10307716743</v>
      </c>
      <c r="U74" s="165">
        <v>10972830155</v>
      </c>
      <c r="V74" s="165">
        <f>+Table8[[#This Row],[CAPACIDAD MAXIMA DE ENDEUDAMIENTO AL 60%]]*0.2</f>
        <v>1970860451.88504</v>
      </c>
      <c r="W74" s="165">
        <v>1970860451.88504</v>
      </c>
      <c r="X74" s="165">
        <f>+Table8[[#This Row],[APORTE GOB2]]+Table8[[#This Row],[CAPACIDAD MAXIMA DE ENDEUDAMIENTO AL 60%]]</f>
        <v>11825162711.31024</v>
      </c>
      <c r="Y74" s="165">
        <f>+Table8[[#This Row],[CAPACIDAD MAXIMA DE ENDEUDAMIENTO AL 60%]]+Table8[[#This Row],[APORTE GOB]]-Table8[[#This Row],[SUMA TOTAL]]</f>
        <v>1517445968.3102398</v>
      </c>
      <c r="Z74" s="83"/>
      <c r="AA74" s="83"/>
    </row>
    <row r="75" spans="1:27">
      <c r="A75" s="97" t="s">
        <v>37</v>
      </c>
      <c r="B75" s="73" t="s">
        <v>846</v>
      </c>
      <c r="C75" s="73">
        <v>6</v>
      </c>
      <c r="D75" s="108">
        <v>16247454785.101002</v>
      </c>
      <c r="E75" s="108">
        <v>6889489895.2300005</v>
      </c>
      <c r="F75" s="109">
        <f t="shared" si="9"/>
        <v>9357964889.8710022</v>
      </c>
      <c r="G75" s="110">
        <v>3366685790</v>
      </c>
      <c r="H75" s="108">
        <v>1396955129.74</v>
      </c>
      <c r="I75" s="109">
        <f t="shared" si="10"/>
        <v>4763640919.7399998</v>
      </c>
      <c r="J75" s="88">
        <f t="shared" si="11"/>
        <v>0.29319305594303191</v>
      </c>
      <c r="K75" s="116">
        <f t="shared" si="12"/>
        <v>11483813865.361002</v>
      </c>
      <c r="L75" s="116">
        <f t="shared" si="13"/>
        <v>9187051092.2888012</v>
      </c>
      <c r="M75" s="116">
        <f t="shared" si="14"/>
        <v>6890288319.2166014</v>
      </c>
      <c r="N75" s="89">
        <f t="shared" si="15"/>
        <v>0.70674634102852452</v>
      </c>
      <c r="O75" s="77">
        <v>0.70820805266444298</v>
      </c>
      <c r="P75" s="78">
        <f t="shared" si="16"/>
        <v>0.8</v>
      </c>
      <c r="Q75" s="100" t="str">
        <f t="shared" si="17"/>
        <v>Cumple</v>
      </c>
      <c r="R75" s="162">
        <f>+SUMIF('2.BDN'!D:D,Table8[[#This Row],[MUNICIPIO]],'2.BDN'!L:L)</f>
        <v>4413498128</v>
      </c>
      <c r="S75" s="162">
        <f>+SUMIF('2.BDN'!D:D,Table8[[#This Row],[MUNICIPIO]],'2.BDN'!O:O)</f>
        <v>0</v>
      </c>
      <c r="T75" s="162">
        <f>+Table8[[#This Row],[SUMATORIA DE PROYECTOS SIF]]+Table8[[#This Row],[SUMATORIA DE PROYECTOS SED]]</f>
        <v>4413498128</v>
      </c>
      <c r="U75" s="165">
        <v>0</v>
      </c>
      <c r="V75" s="165">
        <f>+Table8[[#This Row],[CAPACIDAD MAXIMA DE ENDEUDAMIENTO AL 60%]]*0.2</f>
        <v>1378057663.8433204</v>
      </c>
      <c r="W75" s="165">
        <v>1378057663.8433204</v>
      </c>
      <c r="X75" s="165">
        <f>+Table8[[#This Row],[APORTE GOB2]]+Table8[[#This Row],[CAPACIDAD MAXIMA DE ENDEUDAMIENTO AL 60%]]</f>
        <v>8268345983.0599213</v>
      </c>
      <c r="Y75" s="165">
        <f>+Table8[[#This Row],[CAPACIDAD MAXIMA DE ENDEUDAMIENTO AL 60%]]+Table8[[#This Row],[APORTE GOB]]-Table8[[#This Row],[SUMA TOTAL]]</f>
        <v>3854847855.0599213</v>
      </c>
    </row>
    <row r="76" spans="1:27">
      <c r="A76" s="97" t="s">
        <v>20</v>
      </c>
      <c r="B76" s="73" t="s">
        <v>616</v>
      </c>
      <c r="C76" s="73">
        <v>6</v>
      </c>
      <c r="D76" s="108">
        <v>8540444993.8640003</v>
      </c>
      <c r="E76" s="108">
        <v>2695571158.3099999</v>
      </c>
      <c r="F76" s="109">
        <f t="shared" si="9"/>
        <v>5844873835.5540009</v>
      </c>
      <c r="G76" s="110">
        <v>0</v>
      </c>
      <c r="H76" s="108">
        <v>0</v>
      </c>
      <c r="I76" s="109">
        <f t="shared" si="10"/>
        <v>0</v>
      </c>
      <c r="J76" s="88">
        <f t="shared" si="11"/>
        <v>0</v>
      </c>
      <c r="K76" s="116">
        <f t="shared" si="12"/>
        <v>8540444993.8640003</v>
      </c>
      <c r="L76" s="116">
        <f t="shared" si="13"/>
        <v>6832355995.0912008</v>
      </c>
      <c r="M76" s="116">
        <f t="shared" si="14"/>
        <v>5124266996.3184004</v>
      </c>
      <c r="N76" s="89">
        <f t="shared" si="15"/>
        <v>0</v>
      </c>
      <c r="O76" s="77">
        <v>0.54404764708917908</v>
      </c>
      <c r="P76" s="78">
        <f t="shared" si="16"/>
        <v>0.8</v>
      </c>
      <c r="Q76" s="100" t="str">
        <f t="shared" si="17"/>
        <v>Cumple</v>
      </c>
      <c r="R76" s="162">
        <f>+SUMIF('2.BDN'!D:D,Table8[[#This Row],[MUNICIPIO]],'2.BDN'!L:L)</f>
        <v>1762477865</v>
      </c>
      <c r="S76" s="162">
        <f>+SUMIF('2.BDN'!D:D,Table8[[#This Row],[MUNICIPIO]],'2.BDN'!O:O)</f>
        <v>0</v>
      </c>
      <c r="T76" s="162">
        <f>+Table8[[#This Row],[SUMATORIA DE PROYECTOS SIF]]+Table8[[#This Row],[SUMATORIA DE PROYECTOS SED]]</f>
        <v>1762477865</v>
      </c>
      <c r="U76" s="165">
        <v>585000000</v>
      </c>
      <c r="V76" s="165">
        <f>+Table8[[#This Row],[CAPACIDAD MAXIMA DE ENDEUDAMIENTO AL 60%]]*0.2</f>
        <v>1024853399.2636801</v>
      </c>
      <c r="W76" s="165">
        <v>1024853399.2636801</v>
      </c>
      <c r="X76" s="165">
        <f>+Table8[[#This Row],[APORTE GOB2]]+Table8[[#This Row],[CAPACIDAD MAXIMA DE ENDEUDAMIENTO AL 60%]]</f>
        <v>6149120395.5820808</v>
      </c>
      <c r="Y76" s="165">
        <f>+Table8[[#This Row],[CAPACIDAD MAXIMA DE ENDEUDAMIENTO AL 60%]]+Table8[[#This Row],[APORTE GOB]]-Table8[[#This Row],[SUMA TOTAL]]</f>
        <v>4386642530.5820808</v>
      </c>
      <c r="Z76" s="9">
        <v>3</v>
      </c>
      <c r="AA76" s="76">
        <v>0.7</v>
      </c>
    </row>
    <row r="77" spans="1:27">
      <c r="A77" s="97" t="s">
        <v>44</v>
      </c>
      <c r="B77" s="73" t="s">
        <v>329</v>
      </c>
      <c r="C77" s="73">
        <v>6</v>
      </c>
      <c r="D77" s="108">
        <v>17207529181.433002</v>
      </c>
      <c r="E77" s="108">
        <v>3556882387.1300001</v>
      </c>
      <c r="F77" s="109">
        <f t="shared" si="9"/>
        <v>13650646794.303001</v>
      </c>
      <c r="G77" s="110">
        <v>2981910160</v>
      </c>
      <c r="H77" s="108">
        <v>5898924731</v>
      </c>
      <c r="I77" s="109">
        <f t="shared" si="10"/>
        <v>8880834891</v>
      </c>
      <c r="J77" s="88">
        <f t="shared" si="11"/>
        <v>0.51610168998478057</v>
      </c>
      <c r="K77" s="116">
        <f t="shared" si="12"/>
        <v>8326694290.4330025</v>
      </c>
      <c r="L77" s="116">
        <f t="shared" si="13"/>
        <v>6661355432.3464022</v>
      </c>
      <c r="M77" s="116">
        <f t="shared" si="14"/>
        <v>4996016574.2598009</v>
      </c>
      <c r="N77" s="89">
        <f t="shared" si="15"/>
        <v>0.3357691249301259</v>
      </c>
      <c r="O77" s="77">
        <v>0.46603493316730282</v>
      </c>
      <c r="P77" s="78">
        <f t="shared" si="16"/>
        <v>0.8</v>
      </c>
      <c r="Q77" s="100" t="str">
        <f t="shared" si="17"/>
        <v>Cumple</v>
      </c>
      <c r="R77" s="162">
        <f>+SUMIF('2.BDN'!D:D,Table8[[#This Row],[MUNICIPIO]],'2.BDN'!L:L)</f>
        <v>10214426441</v>
      </c>
      <c r="S77" s="162">
        <f>+SUMIF('2.BDN'!D:D,Table8[[#This Row],[MUNICIPIO]],'2.BDN'!O:O)</f>
        <v>0</v>
      </c>
      <c r="T77" s="162">
        <f>+Table8[[#This Row],[SUMATORIA DE PROYECTOS SIF]]+Table8[[#This Row],[SUMATORIA DE PROYECTOS SED]]</f>
        <v>10214426441</v>
      </c>
      <c r="U77" s="165">
        <v>11974426441</v>
      </c>
      <c r="V77" s="165">
        <f>+Table8[[#This Row],[CAPACIDAD MAXIMA DE ENDEUDAMIENTO AL 60%]]*0.2</f>
        <v>999203314.85196018</v>
      </c>
      <c r="W77" s="165">
        <v>999203314.85196018</v>
      </c>
      <c r="X77" s="165">
        <f>+Table8[[#This Row],[APORTE GOB2]]+Table8[[#This Row],[CAPACIDAD MAXIMA DE ENDEUDAMIENTO AL 60%]]</f>
        <v>5995219889.1117611</v>
      </c>
      <c r="Y77" s="165">
        <f>+Table8[[#This Row],[CAPACIDAD MAXIMA DE ENDEUDAMIENTO AL 60%]]+Table8[[#This Row],[APORTE GOB]]-Table8[[#This Row],[SUMA TOTAL]]</f>
        <v>-4219206551.8882389</v>
      </c>
    </row>
    <row r="78" spans="1:27">
      <c r="A78" s="97" t="s">
        <v>37</v>
      </c>
      <c r="B78" s="73" t="s">
        <v>153</v>
      </c>
      <c r="C78" s="73">
        <v>6</v>
      </c>
      <c r="D78" s="108">
        <v>30137297790.127998</v>
      </c>
      <c r="E78" s="108">
        <v>12298726691.530001</v>
      </c>
      <c r="F78" s="109">
        <f t="shared" si="9"/>
        <v>17838571098.598</v>
      </c>
      <c r="G78" s="110">
        <v>2369107602</v>
      </c>
      <c r="H78" s="108">
        <v>13974896585</v>
      </c>
      <c r="I78" s="109">
        <f t="shared" si="10"/>
        <v>16344004187</v>
      </c>
      <c r="J78" s="88">
        <f t="shared" si="11"/>
        <v>0.54231817002364979</v>
      </c>
      <c r="K78" s="116">
        <f t="shared" si="12"/>
        <v>13793293603.127998</v>
      </c>
      <c r="L78" s="116">
        <f t="shared" si="13"/>
        <v>11034634882.502399</v>
      </c>
      <c r="M78" s="116">
        <f t="shared" si="14"/>
        <v>8275976161.8767986</v>
      </c>
      <c r="N78" s="89">
        <f t="shared" si="15"/>
        <v>0.1449527040554961</v>
      </c>
      <c r="O78" s="77">
        <v>0.58055985759165929</v>
      </c>
      <c r="P78" s="78">
        <f t="shared" si="16"/>
        <v>0.8</v>
      </c>
      <c r="Q78" s="100" t="str">
        <f t="shared" si="17"/>
        <v>Cumple</v>
      </c>
      <c r="R78" s="162">
        <f>+SUMIF('2.BDN'!D:D,Table8[[#This Row],[MUNICIPIO]],'2.BDN'!L:L)</f>
        <v>58496605644</v>
      </c>
      <c r="S78" s="162">
        <f>+SUMIF('2.BDN'!D:D,Table8[[#This Row],[MUNICIPIO]],'2.BDN'!O:O)</f>
        <v>0</v>
      </c>
      <c r="T78" s="162">
        <f>+Table8[[#This Row],[SUMATORIA DE PROYECTOS SIF]]+Table8[[#This Row],[SUMATORIA DE PROYECTOS SED]]</f>
        <v>58496605644</v>
      </c>
      <c r="U78" s="165">
        <v>4689392819.1000004</v>
      </c>
      <c r="V78" s="165">
        <f>+Table8[[#This Row],[CAPACIDAD MAXIMA DE ENDEUDAMIENTO AL 60%]]*0.2</f>
        <v>1655195232.3753598</v>
      </c>
      <c r="W78" s="165">
        <v>1655195232.3753598</v>
      </c>
      <c r="X78" s="165">
        <f>+Table8[[#This Row],[APORTE GOB2]]+Table8[[#This Row],[CAPACIDAD MAXIMA DE ENDEUDAMIENTO AL 60%]]</f>
        <v>9931171394.2521591</v>
      </c>
      <c r="Y78" s="165">
        <f>+Table8[[#This Row],[CAPACIDAD MAXIMA DE ENDEUDAMIENTO AL 60%]]+Table8[[#This Row],[APORTE GOB]]-Table8[[#This Row],[SUMA TOTAL]]</f>
        <v>-48565434249.747841</v>
      </c>
    </row>
    <row r="79" spans="1:27">
      <c r="A79" s="97" t="s">
        <v>47</v>
      </c>
      <c r="B79" s="73" t="s">
        <v>273</v>
      </c>
      <c r="C79" s="73">
        <v>6</v>
      </c>
      <c r="D79" s="108">
        <v>4127448900.7750001</v>
      </c>
      <c r="E79" s="108">
        <v>1679484660.96</v>
      </c>
      <c r="F79" s="109">
        <f t="shared" si="9"/>
        <v>2447964239.8150001</v>
      </c>
      <c r="G79" s="110">
        <v>2175868693</v>
      </c>
      <c r="H79" s="108">
        <v>0</v>
      </c>
      <c r="I79" s="109">
        <f t="shared" si="10"/>
        <v>2175868693</v>
      </c>
      <c r="J79" s="88">
        <f t="shared" si="11"/>
        <v>0.52717035275504998</v>
      </c>
      <c r="K79" s="116">
        <f t="shared" si="12"/>
        <v>1951580207.7750001</v>
      </c>
      <c r="L79" s="116">
        <f t="shared" si="13"/>
        <v>1561264166.2200003</v>
      </c>
      <c r="M79" s="116">
        <f t="shared" si="14"/>
        <v>1170948124.665</v>
      </c>
      <c r="N79" s="89">
        <f t="shared" si="15"/>
        <v>1</v>
      </c>
      <c r="O79" s="77">
        <v>0.89586302238809568</v>
      </c>
      <c r="P79" s="78">
        <f t="shared" si="16"/>
        <v>0.8</v>
      </c>
      <c r="Q79" s="100" t="str">
        <f t="shared" si="17"/>
        <v>Incumple</v>
      </c>
      <c r="R79" s="162">
        <f>+SUMIF('2.BDN'!D:D,Table8[[#This Row],[MUNICIPIO]],'2.BDN'!L:L)</f>
        <v>6597876107</v>
      </c>
      <c r="S79" s="162">
        <f>+SUMIF('2.BDN'!D:D,Table8[[#This Row],[MUNICIPIO]],'2.BDN'!O:O)</f>
        <v>0</v>
      </c>
      <c r="T79" s="162">
        <f>+Table8[[#This Row],[SUMATORIA DE PROYECTOS SIF]]+Table8[[#This Row],[SUMATORIA DE PROYECTOS SED]]</f>
        <v>6597876107</v>
      </c>
      <c r="U79" s="165">
        <v>4992876107</v>
      </c>
      <c r="V79" s="165">
        <f>+Table8[[#This Row],[CAPACIDAD MAXIMA DE ENDEUDAMIENTO AL 60%]]*0.2</f>
        <v>234189624.933</v>
      </c>
      <c r="W79" s="165">
        <v>234189624.933</v>
      </c>
      <c r="X79" s="165">
        <f>+Table8[[#This Row],[APORTE GOB2]]+Table8[[#This Row],[CAPACIDAD MAXIMA DE ENDEUDAMIENTO AL 60%]]</f>
        <v>1405137749.598</v>
      </c>
      <c r="Y79" s="165">
        <f>+Table8[[#This Row],[CAPACIDAD MAXIMA DE ENDEUDAMIENTO AL 60%]]+Table8[[#This Row],[APORTE GOB]]-Table8[[#This Row],[SUMA TOTAL]]</f>
        <v>-5192738357.4020004</v>
      </c>
    </row>
    <row r="80" spans="1:27">
      <c r="A80" s="97" t="s">
        <v>47</v>
      </c>
      <c r="B80" s="73" t="s">
        <v>452</v>
      </c>
      <c r="C80" s="73">
        <v>6</v>
      </c>
      <c r="D80" s="108">
        <v>13002660545.618999</v>
      </c>
      <c r="E80" s="108">
        <v>2851909764.96</v>
      </c>
      <c r="F80" s="109">
        <f t="shared" si="9"/>
        <v>10150750780.659</v>
      </c>
      <c r="G80" s="110">
        <v>3580400217</v>
      </c>
      <c r="H80" s="108">
        <v>0</v>
      </c>
      <c r="I80" s="109">
        <f t="shared" si="10"/>
        <v>3580400217</v>
      </c>
      <c r="J80" s="88">
        <f t="shared" si="11"/>
        <v>0.27535904705336234</v>
      </c>
      <c r="K80" s="116">
        <f t="shared" si="12"/>
        <v>9422260328.6189995</v>
      </c>
      <c r="L80" s="116">
        <f t="shared" si="13"/>
        <v>7537808262.8951998</v>
      </c>
      <c r="M80" s="116">
        <f t="shared" si="14"/>
        <v>5653356197.1713991</v>
      </c>
      <c r="N80" s="89">
        <f t="shared" si="15"/>
        <v>1</v>
      </c>
      <c r="O80" s="77">
        <v>0.60546314083774588</v>
      </c>
      <c r="P80" s="78">
        <f t="shared" si="16"/>
        <v>0.8</v>
      </c>
      <c r="Q80" s="100" t="str">
        <f t="shared" si="17"/>
        <v>Cumple</v>
      </c>
      <c r="R80" s="162">
        <f>+SUMIF('2.BDN'!D:D,Table8[[#This Row],[MUNICIPIO]],'2.BDN'!L:L)</f>
        <v>6849322450</v>
      </c>
      <c r="S80" s="162">
        <f>+SUMIF('2.BDN'!D:D,Table8[[#This Row],[MUNICIPIO]],'2.BDN'!O:O)</f>
        <v>0</v>
      </c>
      <c r="T80" s="162">
        <f>+Table8[[#This Row],[SUMATORIA DE PROYECTOS SIF]]+Table8[[#This Row],[SUMATORIA DE PROYECTOS SED]]</f>
        <v>6849322450</v>
      </c>
      <c r="U80" s="165">
        <v>7026071357</v>
      </c>
      <c r="V80" s="165">
        <f>+Table8[[#This Row],[CAPACIDAD MAXIMA DE ENDEUDAMIENTO AL 60%]]*0.2</f>
        <v>1130671239.4342799</v>
      </c>
      <c r="W80" s="165">
        <v>1130671239.4342799</v>
      </c>
      <c r="X80" s="165">
        <f>+Table8[[#This Row],[APORTE GOB2]]+Table8[[#This Row],[CAPACIDAD MAXIMA DE ENDEUDAMIENTO AL 60%]]</f>
        <v>6784027436.6056786</v>
      </c>
      <c r="Y80" s="165">
        <f>+Table8[[#This Row],[CAPACIDAD MAXIMA DE ENDEUDAMIENTO AL 60%]]+Table8[[#This Row],[APORTE GOB]]-Table8[[#This Row],[SUMA TOTAL]]</f>
        <v>-65295013.394321442</v>
      </c>
    </row>
    <row r="81" spans="1:27">
      <c r="A81" s="97" t="s">
        <v>22</v>
      </c>
      <c r="B81" s="73" t="s">
        <v>88</v>
      </c>
      <c r="C81" s="73">
        <v>6</v>
      </c>
      <c r="D81" s="108">
        <v>7408957946.4439993</v>
      </c>
      <c r="E81" s="108">
        <v>2726179218.2000003</v>
      </c>
      <c r="F81" s="109">
        <f t="shared" si="9"/>
        <v>4682778728.2439995</v>
      </c>
      <c r="G81" s="110">
        <v>1117539497</v>
      </c>
      <c r="H81" s="108">
        <v>0</v>
      </c>
      <c r="I81" s="109">
        <f t="shared" si="10"/>
        <v>1117539497</v>
      </c>
      <c r="J81" s="88">
        <f t="shared" si="11"/>
        <v>0.15083625863153588</v>
      </c>
      <c r="K81" s="116">
        <f t="shared" si="12"/>
        <v>6291418449.4439993</v>
      </c>
      <c r="L81" s="116">
        <f t="shared" si="13"/>
        <v>5033134759.5551996</v>
      </c>
      <c r="M81" s="116">
        <f t="shared" si="14"/>
        <v>3774851069.6663995</v>
      </c>
      <c r="N81" s="89">
        <f t="shared" si="15"/>
        <v>1</v>
      </c>
      <c r="O81" s="77">
        <v>0.78495373596781126</v>
      </c>
      <c r="P81" s="78">
        <f t="shared" si="16"/>
        <v>0.8</v>
      </c>
      <c r="Q81" s="100" t="str">
        <f t="shared" si="17"/>
        <v>Riesgo</v>
      </c>
      <c r="R81" s="162">
        <f>+SUMIF('2.BDN'!D:D,Table8[[#This Row],[MUNICIPIO]],'2.BDN'!L:L)</f>
        <v>9049965874</v>
      </c>
      <c r="S81" s="162">
        <f>+SUMIF('2.BDN'!D:D,Table8[[#This Row],[MUNICIPIO]],'2.BDN'!O:O)</f>
        <v>0</v>
      </c>
      <c r="T81" s="162">
        <f>+Table8[[#This Row],[SUMATORIA DE PROYECTOS SIF]]+Table8[[#This Row],[SUMATORIA DE PROYECTOS SED]]</f>
        <v>9049965874</v>
      </c>
      <c r="U81" s="165">
        <v>12296485272</v>
      </c>
      <c r="V81" s="165">
        <f>+Table8[[#This Row],[CAPACIDAD MAXIMA DE ENDEUDAMIENTO AL 60%]]*0.2</f>
        <v>754970213.93327999</v>
      </c>
      <c r="W81" s="165">
        <v>754970213.93327999</v>
      </c>
      <c r="X81" s="165">
        <f>+Table8[[#This Row],[APORTE GOB2]]+Table8[[#This Row],[CAPACIDAD MAXIMA DE ENDEUDAMIENTO AL 60%]]</f>
        <v>4529821283.5996799</v>
      </c>
      <c r="Y81" s="165">
        <f>+Table8[[#This Row],[CAPACIDAD MAXIMA DE ENDEUDAMIENTO AL 60%]]+Table8[[#This Row],[APORTE GOB]]-Table8[[#This Row],[SUMA TOTAL]]</f>
        <v>-4520144590.4003201</v>
      </c>
    </row>
    <row r="82" spans="1:27">
      <c r="A82" s="97" t="s">
        <v>892</v>
      </c>
      <c r="B82" s="73" t="s">
        <v>854</v>
      </c>
      <c r="C82" s="73">
        <v>6</v>
      </c>
      <c r="D82" s="108">
        <v>35232058774.252998</v>
      </c>
      <c r="E82" s="108">
        <v>11428900078.82</v>
      </c>
      <c r="F82" s="109">
        <f t="shared" si="9"/>
        <v>23803158695.432999</v>
      </c>
      <c r="G82" s="110">
        <v>1114894120</v>
      </c>
      <c r="H82" s="108">
        <v>0</v>
      </c>
      <c r="I82" s="109">
        <f t="shared" si="10"/>
        <v>1114894120</v>
      </c>
      <c r="J82" s="88">
        <f t="shared" si="11"/>
        <v>3.1644308019114289E-2</v>
      </c>
      <c r="K82" s="116">
        <f t="shared" si="12"/>
        <v>34117164654.252998</v>
      </c>
      <c r="L82" s="116">
        <f t="shared" si="13"/>
        <v>27293731723.402401</v>
      </c>
      <c r="M82" s="116">
        <f t="shared" si="14"/>
        <v>20470298792.5518</v>
      </c>
      <c r="N82" s="89">
        <f t="shared" si="15"/>
        <v>1</v>
      </c>
      <c r="O82" s="77">
        <v>0.45513521966540887</v>
      </c>
      <c r="P82" s="78">
        <f t="shared" si="16"/>
        <v>0.8</v>
      </c>
      <c r="Q82" s="100" t="str">
        <f t="shared" si="17"/>
        <v>Cumple</v>
      </c>
      <c r="R82" s="162">
        <f>+SUMIF('2.BDN'!D:D,Table8[[#This Row],[MUNICIPIO]],'2.BDN'!L:L)</f>
        <v>0</v>
      </c>
      <c r="S82" s="162">
        <f>+SUMIF('2.BDN'!D:D,Table8[[#This Row],[MUNICIPIO]],'2.BDN'!O:O)</f>
        <v>0</v>
      </c>
      <c r="T82" s="162">
        <f>+Table8[[#This Row],[SUMATORIA DE PROYECTOS SIF]]+Table8[[#This Row],[SUMATORIA DE PROYECTOS SED]]</f>
        <v>0</v>
      </c>
      <c r="U82" s="165">
        <v>1150000000</v>
      </c>
      <c r="V82" s="165">
        <f>+Table8[[#This Row],[CAPACIDAD MAXIMA DE ENDEUDAMIENTO AL 60%]]*0.2</f>
        <v>4094059758.5103602</v>
      </c>
      <c r="W82" s="165">
        <v>4094059758.5103602</v>
      </c>
      <c r="X82" s="165">
        <f>+Table8[[#This Row],[APORTE GOB2]]+Table8[[#This Row],[CAPACIDAD MAXIMA DE ENDEUDAMIENTO AL 60%]]</f>
        <v>24564358551.06216</v>
      </c>
      <c r="Y82" s="165">
        <f>+Table8[[#This Row],[CAPACIDAD MAXIMA DE ENDEUDAMIENTO AL 60%]]+Table8[[#This Row],[APORTE GOB]]-Table8[[#This Row],[SUMA TOTAL]]</f>
        <v>24564358551.06216</v>
      </c>
      <c r="Z82" s="83"/>
      <c r="AA82" s="83"/>
    </row>
    <row r="83" spans="1:27">
      <c r="A83" s="97" t="s">
        <v>892</v>
      </c>
      <c r="B83" s="73" t="s">
        <v>134</v>
      </c>
      <c r="C83" s="73">
        <v>6</v>
      </c>
      <c r="D83" s="108">
        <v>17406090503.82</v>
      </c>
      <c r="E83" s="108">
        <v>8490973725.3299999</v>
      </c>
      <c r="F83" s="109">
        <f t="shared" si="9"/>
        <v>8915116778.4899998</v>
      </c>
      <c r="G83" s="110">
        <v>6695063584</v>
      </c>
      <c r="H83" s="108"/>
      <c r="I83" s="109">
        <f t="shared" si="10"/>
        <v>6695063584</v>
      </c>
      <c r="J83" s="88">
        <f t="shared" si="11"/>
        <v>0.38463913436108349</v>
      </c>
      <c r="K83" s="116">
        <f t="shared" si="12"/>
        <v>10711026919.82</v>
      </c>
      <c r="L83" s="116">
        <f t="shared" si="13"/>
        <v>8568821535.8559999</v>
      </c>
      <c r="M83" s="116">
        <f t="shared" si="14"/>
        <v>6426616151.8919992</v>
      </c>
      <c r="N83" s="89">
        <f t="shared" si="15"/>
        <v>1</v>
      </c>
      <c r="O83" s="77">
        <v>0.75913384232200265</v>
      </c>
      <c r="P83" s="78">
        <f t="shared" si="16"/>
        <v>0.8</v>
      </c>
      <c r="Q83" s="100" t="str">
        <f t="shared" si="17"/>
        <v>Riesgo</v>
      </c>
      <c r="R83" s="162">
        <f>+SUMIF('2.BDN'!D:D,Table8[[#This Row],[MUNICIPIO]],'2.BDN'!L:L)</f>
        <v>3028646346</v>
      </c>
      <c r="S83" s="162">
        <f>+SUMIF('2.BDN'!D:D,Table8[[#This Row],[MUNICIPIO]],'2.BDN'!O:O)</f>
        <v>0</v>
      </c>
      <c r="T83" s="162">
        <f>+Table8[[#This Row],[SUMATORIA DE PROYECTOS SIF]]+Table8[[#This Row],[SUMATORIA DE PROYECTOS SED]]</f>
        <v>3028646346</v>
      </c>
      <c r="U83" s="165">
        <v>5802450839</v>
      </c>
      <c r="V83" s="165">
        <f>+Table8[[#This Row],[CAPACIDAD MAXIMA DE ENDEUDAMIENTO AL 60%]]*0.2</f>
        <v>1285323230.3783998</v>
      </c>
      <c r="W83" s="165">
        <v>1285323230.3783998</v>
      </c>
      <c r="X83" s="165">
        <f>+Table8[[#This Row],[APORTE GOB2]]+Table8[[#This Row],[CAPACIDAD MAXIMA DE ENDEUDAMIENTO AL 60%]]</f>
        <v>7711939382.2703991</v>
      </c>
      <c r="Y83" s="165">
        <f>+Table8[[#This Row],[CAPACIDAD MAXIMA DE ENDEUDAMIENTO AL 60%]]+Table8[[#This Row],[APORTE GOB]]-Table8[[#This Row],[SUMA TOTAL]]</f>
        <v>4683293036.2703991</v>
      </c>
    </row>
    <row r="84" spans="1:27">
      <c r="A84" s="97" t="s">
        <v>892</v>
      </c>
      <c r="B84" s="73" t="s">
        <v>11</v>
      </c>
      <c r="C84" s="73">
        <v>6</v>
      </c>
      <c r="D84" s="108">
        <v>22896432570.9105</v>
      </c>
      <c r="E84" s="108">
        <v>6514105665.9899998</v>
      </c>
      <c r="F84" s="109">
        <f t="shared" si="9"/>
        <v>16382326904.9205</v>
      </c>
      <c r="G84" s="110">
        <v>15087488121</v>
      </c>
      <c r="H84" s="108">
        <v>152370595</v>
      </c>
      <c r="I84" s="109">
        <f t="shared" si="10"/>
        <v>15239858716</v>
      </c>
      <c r="J84" s="88">
        <f t="shared" si="11"/>
        <v>0.66559970287082904</v>
      </c>
      <c r="K84" s="116">
        <f t="shared" si="12"/>
        <v>7656573854.9104996</v>
      </c>
      <c r="L84" s="116">
        <f t="shared" si="13"/>
        <v>6125259083.9284</v>
      </c>
      <c r="M84" s="116">
        <f t="shared" si="14"/>
        <v>4593944312.9462996</v>
      </c>
      <c r="N84" s="89">
        <f t="shared" si="15"/>
        <v>0.99000183677293352</v>
      </c>
      <c r="O84" s="77">
        <v>0.53987925149269589</v>
      </c>
      <c r="P84" s="78">
        <f t="shared" si="16"/>
        <v>0.8</v>
      </c>
      <c r="Q84" s="100" t="str">
        <f t="shared" si="17"/>
        <v>Cumple</v>
      </c>
      <c r="R84" s="162">
        <f>+SUMIF('2.BDN'!D:D,Table8[[#This Row],[MUNICIPIO]],'2.BDN'!L:L)</f>
        <v>10636775675</v>
      </c>
      <c r="S84" s="162">
        <f>+SUMIF('2.BDN'!D:D,Table8[[#This Row],[MUNICIPIO]],'2.BDN'!O:O)</f>
        <v>0</v>
      </c>
      <c r="T84" s="162">
        <f>+Table8[[#This Row],[SUMATORIA DE PROYECTOS SIF]]+Table8[[#This Row],[SUMATORIA DE PROYECTOS SED]]</f>
        <v>10636775675</v>
      </c>
      <c r="U84" s="165">
        <v>19276878117</v>
      </c>
      <c r="V84" s="165">
        <f>+Table8[[#This Row],[CAPACIDAD MAXIMA DE ENDEUDAMIENTO AL 60%]]*0.2</f>
        <v>918788862.58925998</v>
      </c>
      <c r="W84" s="165">
        <v>918788862.58925998</v>
      </c>
      <c r="X84" s="165">
        <f>+Table8[[#This Row],[APORTE GOB2]]+Table8[[#This Row],[CAPACIDAD MAXIMA DE ENDEUDAMIENTO AL 60%]]</f>
        <v>5512733175.5355597</v>
      </c>
      <c r="Y84" s="165">
        <f>+Table8[[#This Row],[CAPACIDAD MAXIMA DE ENDEUDAMIENTO AL 60%]]+Table8[[#This Row],[APORTE GOB]]-Table8[[#This Row],[SUMA TOTAL]]</f>
        <v>-5124042499.4644403</v>
      </c>
    </row>
    <row r="85" spans="1:27">
      <c r="A85" s="97" t="s">
        <v>3</v>
      </c>
      <c r="B85" s="73" t="s">
        <v>858</v>
      </c>
      <c r="C85" s="73">
        <v>6</v>
      </c>
      <c r="D85" s="108">
        <v>31836256303.883995</v>
      </c>
      <c r="E85" s="108">
        <v>12586903103.25</v>
      </c>
      <c r="F85" s="109">
        <f t="shared" si="9"/>
        <v>19249353200.633995</v>
      </c>
      <c r="G85" s="110">
        <v>0</v>
      </c>
      <c r="H85" s="108">
        <v>0</v>
      </c>
      <c r="I85" s="109">
        <f t="shared" si="10"/>
        <v>0</v>
      </c>
      <c r="J85" s="88">
        <f t="shared" si="11"/>
        <v>0</v>
      </c>
      <c r="K85" s="116">
        <f t="shared" si="12"/>
        <v>31836256303.883995</v>
      </c>
      <c r="L85" s="116">
        <f t="shared" si="13"/>
        <v>25469005043.107197</v>
      </c>
      <c r="M85" s="116">
        <f t="shared" si="14"/>
        <v>19101753782.330395</v>
      </c>
      <c r="N85" s="89">
        <f t="shared" si="15"/>
        <v>0</v>
      </c>
      <c r="O85" s="77">
        <v>1.3391267531682534</v>
      </c>
      <c r="P85" s="78">
        <f t="shared" si="16"/>
        <v>0.8</v>
      </c>
      <c r="Q85" s="100" t="str">
        <f t="shared" si="17"/>
        <v>Incumple</v>
      </c>
      <c r="R85" s="162">
        <f>+SUMIF('2.BDN'!D:D,Table8[[#This Row],[MUNICIPIO]],'2.BDN'!L:L)</f>
        <v>2836114851</v>
      </c>
      <c r="S85" s="162">
        <f>+SUMIF('2.BDN'!D:D,Table8[[#This Row],[MUNICIPIO]],'2.BDN'!O:O)</f>
        <v>0</v>
      </c>
      <c r="T85" s="162">
        <f>+Table8[[#This Row],[SUMATORIA DE PROYECTOS SIF]]+Table8[[#This Row],[SUMATORIA DE PROYECTOS SED]]</f>
        <v>2836114851</v>
      </c>
      <c r="U85" s="165">
        <v>0</v>
      </c>
      <c r="V85" s="165">
        <f>+Table8[[#This Row],[CAPACIDAD MAXIMA DE ENDEUDAMIENTO AL 60%]]*0.2</f>
        <v>3820350756.4660792</v>
      </c>
      <c r="W85" s="165">
        <v>3820350756.4660792</v>
      </c>
      <c r="X85" s="165">
        <f>+Table8[[#This Row],[APORTE GOB2]]+Table8[[#This Row],[CAPACIDAD MAXIMA DE ENDEUDAMIENTO AL 60%]]</f>
        <v>22922104538.796474</v>
      </c>
      <c r="Y85" s="165">
        <f>+Table8[[#This Row],[CAPACIDAD MAXIMA DE ENDEUDAMIENTO AL 60%]]+Table8[[#This Row],[APORTE GOB]]-Table8[[#This Row],[SUMA TOTAL]]</f>
        <v>20085989687.796474</v>
      </c>
      <c r="Z85" s="9">
        <v>4</v>
      </c>
      <c r="AA85" s="76">
        <v>0.8</v>
      </c>
    </row>
    <row r="86" spans="1:27">
      <c r="A86" s="97" t="s">
        <v>20</v>
      </c>
      <c r="B86" s="73" t="s">
        <v>27</v>
      </c>
      <c r="C86" s="73">
        <v>1</v>
      </c>
      <c r="D86" s="108">
        <v>501236439904.31354</v>
      </c>
      <c r="E86" s="108">
        <v>112502020079.39</v>
      </c>
      <c r="F86" s="109">
        <f t="shared" si="9"/>
        <v>388734419824.92352</v>
      </c>
      <c r="G86" s="110">
        <v>85394840514</v>
      </c>
      <c r="H86" s="108">
        <v>114109886446.23999</v>
      </c>
      <c r="I86" s="109">
        <f t="shared" si="10"/>
        <v>199504726960.23999</v>
      </c>
      <c r="J86" s="88">
        <f t="shared" si="11"/>
        <v>0.39802518547599136</v>
      </c>
      <c r="K86" s="116">
        <f t="shared" si="12"/>
        <v>301731712944.07355</v>
      </c>
      <c r="L86" s="116">
        <f t="shared" si="13"/>
        <v>241385370355.25885</v>
      </c>
      <c r="M86" s="116">
        <f t="shared" si="14"/>
        <v>181039027766.44412</v>
      </c>
      <c r="N86" s="89">
        <f t="shared" si="15"/>
        <v>0.42803417149619039</v>
      </c>
      <c r="O86" s="77">
        <v>0.23207277402530038</v>
      </c>
      <c r="P86" s="78">
        <f t="shared" si="16"/>
        <v>0.65</v>
      </c>
      <c r="Q86" s="100" t="str">
        <f t="shared" si="17"/>
        <v>Cumple</v>
      </c>
      <c r="R86" s="162">
        <f>+SUMIF('2.BDN'!D:D,Table8[[#This Row],[MUNICIPIO]],'2.BDN'!L:L)</f>
        <v>17775978694</v>
      </c>
      <c r="S86" s="162">
        <f>+SUMIF('2.BDN'!D:D,Table8[[#This Row],[MUNICIPIO]],'2.BDN'!O:O)</f>
        <v>0</v>
      </c>
      <c r="T86" s="162">
        <f>+Table8[[#This Row],[SUMATORIA DE PROYECTOS SIF]]+Table8[[#This Row],[SUMATORIA DE PROYECTOS SED]]</f>
        <v>17775978694</v>
      </c>
      <c r="U86" s="165">
        <v>10173458813</v>
      </c>
      <c r="V86" s="165">
        <f>+Table8[[#This Row],[CAPACIDAD MAXIMA DE ENDEUDAMIENTO AL 60%]]*0.2</f>
        <v>36207805553.288826</v>
      </c>
      <c r="W86" s="165">
        <v>36207805553.288826</v>
      </c>
      <c r="X86" s="165">
        <f>+Table8[[#This Row],[APORTE GOB2]]+Table8[[#This Row],[CAPACIDAD MAXIMA DE ENDEUDAMIENTO AL 60%]]</f>
        <v>217246833319.73294</v>
      </c>
      <c r="Y86" s="165">
        <f>+Table8[[#This Row],[CAPACIDAD MAXIMA DE ENDEUDAMIENTO AL 60%]]+Table8[[#This Row],[APORTE GOB]]-Table8[[#This Row],[SUMA TOTAL]]</f>
        <v>199470854625.73294</v>
      </c>
    </row>
    <row r="87" spans="1:27">
      <c r="A87" s="97" t="s">
        <v>47</v>
      </c>
      <c r="B87" s="73" t="s">
        <v>861</v>
      </c>
      <c r="C87" s="73">
        <v>6</v>
      </c>
      <c r="D87" s="108">
        <v>14810352113.535</v>
      </c>
      <c r="E87" s="108">
        <v>3480047239.2000003</v>
      </c>
      <c r="F87" s="109">
        <f t="shared" si="9"/>
        <v>11330304874.334999</v>
      </c>
      <c r="G87" s="110">
        <v>2077277075</v>
      </c>
      <c r="H87" s="108">
        <v>0</v>
      </c>
      <c r="I87" s="109">
        <f t="shared" si="10"/>
        <v>2077277075</v>
      </c>
      <c r="J87" s="88">
        <f t="shared" si="11"/>
        <v>0.1402584529439784</v>
      </c>
      <c r="K87" s="116">
        <f t="shared" si="12"/>
        <v>12733075038.535</v>
      </c>
      <c r="L87" s="116">
        <f t="shared" si="13"/>
        <v>10186460030.828001</v>
      </c>
      <c r="M87" s="116">
        <f t="shared" si="14"/>
        <v>7639845023.1209993</v>
      </c>
      <c r="N87" s="89">
        <f t="shared" si="15"/>
        <v>1</v>
      </c>
      <c r="O87" s="77">
        <v>0.71063823778658097</v>
      </c>
      <c r="P87" s="78">
        <f t="shared" si="16"/>
        <v>0.8</v>
      </c>
      <c r="Q87" s="100" t="str">
        <f t="shared" si="17"/>
        <v>Cumple</v>
      </c>
      <c r="R87" s="162">
        <f>+SUMIF('2.BDN'!D:D,Table8[[#This Row],[MUNICIPIO]],'2.BDN'!L:L)</f>
        <v>2452519742</v>
      </c>
      <c r="S87" s="162">
        <f>+SUMIF('2.BDN'!D:D,Table8[[#This Row],[MUNICIPIO]],'2.BDN'!O:O)</f>
        <v>0</v>
      </c>
      <c r="T87" s="162">
        <f>+Table8[[#This Row],[SUMATORIA DE PROYECTOS SIF]]+Table8[[#This Row],[SUMATORIA DE PROYECTOS SED]]</f>
        <v>2452519742</v>
      </c>
      <c r="U87" s="165">
        <v>0</v>
      </c>
      <c r="V87" s="165">
        <f>+Table8[[#This Row],[CAPACIDAD MAXIMA DE ENDEUDAMIENTO AL 60%]]*0.2</f>
        <v>1527969004.6241999</v>
      </c>
      <c r="W87" s="165">
        <v>1527969004.6241999</v>
      </c>
      <c r="X87" s="165">
        <f>+Table8[[#This Row],[APORTE GOB2]]+Table8[[#This Row],[CAPACIDAD MAXIMA DE ENDEUDAMIENTO AL 60%]]</f>
        <v>9167814027.7451992</v>
      </c>
      <c r="Y87" s="165">
        <f>+Table8[[#This Row],[CAPACIDAD MAXIMA DE ENDEUDAMIENTO AL 60%]]+Table8[[#This Row],[APORTE GOB]]-Table8[[#This Row],[SUMA TOTAL]]</f>
        <v>6715294285.7451992</v>
      </c>
    </row>
    <row r="88" spans="1:27">
      <c r="A88" s="97" t="s">
        <v>14</v>
      </c>
      <c r="B88" s="73" t="s">
        <v>250</v>
      </c>
      <c r="C88" s="73">
        <v>1</v>
      </c>
      <c r="D88" s="108">
        <v>277583995965.57904</v>
      </c>
      <c r="E88" s="108">
        <v>130145150133.79001</v>
      </c>
      <c r="F88" s="109">
        <f t="shared" si="9"/>
        <v>147438845831.78903</v>
      </c>
      <c r="G88" s="110">
        <v>5311889964</v>
      </c>
      <c r="H88" s="108">
        <v>73866541452</v>
      </c>
      <c r="I88" s="109">
        <f t="shared" si="10"/>
        <v>79178431416</v>
      </c>
      <c r="J88" s="88">
        <f t="shared" si="11"/>
        <v>0.2852413416003215</v>
      </c>
      <c r="K88" s="116">
        <f t="shared" si="12"/>
        <v>198405564549.57904</v>
      </c>
      <c r="L88" s="116">
        <f t="shared" si="13"/>
        <v>158724451639.66324</v>
      </c>
      <c r="M88" s="116">
        <f t="shared" si="14"/>
        <v>119043338729.74742</v>
      </c>
      <c r="N88" s="89">
        <f t="shared" si="15"/>
        <v>6.7087587730698575E-2</v>
      </c>
      <c r="O88" s="77">
        <v>0.44877725222713505</v>
      </c>
      <c r="P88" s="78">
        <f t="shared" si="16"/>
        <v>0.65</v>
      </c>
      <c r="Q88" s="100" t="str">
        <f t="shared" si="17"/>
        <v>Cumple</v>
      </c>
      <c r="R88" s="162">
        <f>+SUMIF('2.BDN'!D:D,Table8[[#This Row],[MUNICIPIO]],'2.BDN'!L:L)</f>
        <v>16755097970</v>
      </c>
      <c r="S88" s="162">
        <f>+SUMIF('2.BDN'!D:D,Table8[[#This Row],[MUNICIPIO]],'2.BDN'!O:O)</f>
        <v>0</v>
      </c>
      <c r="T88" s="162">
        <f>+Table8[[#This Row],[SUMATORIA DE PROYECTOS SIF]]+Table8[[#This Row],[SUMATORIA DE PROYECTOS SED]]</f>
        <v>16755097970</v>
      </c>
      <c r="U88" s="165">
        <v>16755097970</v>
      </c>
      <c r="V88" s="165">
        <f>+Table8[[#This Row],[CAPACIDAD MAXIMA DE ENDEUDAMIENTO AL 60%]]*0.2</f>
        <v>23808667745.949486</v>
      </c>
      <c r="W88" s="165">
        <v>23808667745.949486</v>
      </c>
      <c r="X88" s="165">
        <f>+Table8[[#This Row],[APORTE GOB2]]+Table8[[#This Row],[CAPACIDAD MAXIMA DE ENDEUDAMIENTO AL 60%]]</f>
        <v>142852006475.6969</v>
      </c>
      <c r="Y88" s="165">
        <f>+Table8[[#This Row],[CAPACIDAD MAXIMA DE ENDEUDAMIENTO AL 60%]]+Table8[[#This Row],[APORTE GOB]]-Table8[[#This Row],[SUMA TOTAL]]</f>
        <v>126096908505.6969</v>
      </c>
    </row>
    <row r="89" spans="1:27">
      <c r="A89" s="97" t="s">
        <v>22</v>
      </c>
      <c r="B89" s="73" t="s">
        <v>492</v>
      </c>
      <c r="C89" s="73">
        <v>6</v>
      </c>
      <c r="D89" s="108">
        <v>13308978307.0145</v>
      </c>
      <c r="E89" s="108">
        <v>4910718349.54</v>
      </c>
      <c r="F89" s="109">
        <f t="shared" si="9"/>
        <v>8398259957.4744997</v>
      </c>
      <c r="G89" s="110">
        <v>0</v>
      </c>
      <c r="H89" s="108">
        <v>3987177539</v>
      </c>
      <c r="I89" s="109">
        <f t="shared" si="10"/>
        <v>3987177539</v>
      </c>
      <c r="J89" s="88">
        <f t="shared" si="11"/>
        <v>0.29958554646516761</v>
      </c>
      <c r="K89" s="116">
        <f t="shared" si="12"/>
        <v>9321800768.0144997</v>
      </c>
      <c r="L89" s="116">
        <f t="shared" si="13"/>
        <v>7457440614.4116001</v>
      </c>
      <c r="M89" s="116">
        <f t="shared" si="14"/>
        <v>5593080460.8086996</v>
      </c>
      <c r="N89" s="89">
        <f t="shared" si="15"/>
        <v>0</v>
      </c>
      <c r="O89" s="77">
        <v>0.65348583125551507</v>
      </c>
      <c r="P89" s="78">
        <f t="shared" si="16"/>
        <v>0.8</v>
      </c>
      <c r="Q89" s="100" t="str">
        <f t="shared" si="17"/>
        <v>Cumple</v>
      </c>
      <c r="R89" s="162">
        <f>+SUMIF('2.BDN'!D:D,Table8[[#This Row],[MUNICIPIO]],'2.BDN'!L:L)</f>
        <v>556920000</v>
      </c>
      <c r="S89" s="162">
        <f>+SUMIF('2.BDN'!D:D,Table8[[#This Row],[MUNICIPIO]],'2.BDN'!O:O)</f>
        <v>0</v>
      </c>
      <c r="T89" s="162">
        <f>+Table8[[#This Row],[SUMATORIA DE PROYECTOS SIF]]+Table8[[#This Row],[SUMATORIA DE PROYECTOS SED]]</f>
        <v>556920000</v>
      </c>
      <c r="U89" s="165">
        <v>4527154699</v>
      </c>
      <c r="V89" s="165">
        <f>+Table8[[#This Row],[CAPACIDAD MAXIMA DE ENDEUDAMIENTO AL 60%]]*0.2</f>
        <v>1118616092.1617401</v>
      </c>
      <c r="W89" s="165">
        <v>1118616092.1617401</v>
      </c>
      <c r="X89" s="165">
        <f>+Table8[[#This Row],[APORTE GOB2]]+Table8[[#This Row],[CAPACIDAD MAXIMA DE ENDEUDAMIENTO AL 60%]]</f>
        <v>6711696552.9704399</v>
      </c>
      <c r="Y89" s="165">
        <f>+Table8[[#This Row],[CAPACIDAD MAXIMA DE ENDEUDAMIENTO AL 60%]]+Table8[[#This Row],[APORTE GOB]]-Table8[[#This Row],[SUMA TOTAL]]</f>
        <v>6154776552.9704399</v>
      </c>
    </row>
    <row r="90" spans="1:27">
      <c r="A90" s="98" t="s">
        <v>34</v>
      </c>
      <c r="B90" s="73" t="s">
        <v>865</v>
      </c>
      <c r="C90" s="73">
        <v>6</v>
      </c>
      <c r="D90" s="108">
        <v>8997781405.9869995</v>
      </c>
      <c r="E90" s="108">
        <v>3426460056.4700003</v>
      </c>
      <c r="F90" s="109">
        <f t="shared" si="9"/>
        <v>5571321349.5169992</v>
      </c>
      <c r="G90" s="110">
        <v>1950193992</v>
      </c>
      <c r="H90" s="108">
        <v>0</v>
      </c>
      <c r="I90" s="109">
        <f t="shared" si="10"/>
        <v>1950193992</v>
      </c>
      <c r="J90" s="88">
        <f t="shared" si="11"/>
        <v>0.21674165041421964</v>
      </c>
      <c r="K90" s="116">
        <f t="shared" si="12"/>
        <v>7047587413.9869995</v>
      </c>
      <c r="L90" s="116">
        <f t="shared" si="13"/>
        <v>5638069931.1896</v>
      </c>
      <c r="M90" s="116">
        <f t="shared" si="14"/>
        <v>4228552448.3921995</v>
      </c>
      <c r="N90" s="89">
        <f t="shared" si="15"/>
        <v>1</v>
      </c>
      <c r="O90" s="77">
        <v>0.74479628788817998</v>
      </c>
      <c r="P90" s="78">
        <f t="shared" si="16"/>
        <v>0.8</v>
      </c>
      <c r="Q90" s="100" t="str">
        <f t="shared" si="17"/>
        <v>Cumple</v>
      </c>
      <c r="R90" s="162">
        <f>+SUMIF('2.BDN'!D:D,Table8[[#This Row],[MUNICIPIO]],'2.BDN'!L:L)</f>
        <v>5204826004</v>
      </c>
      <c r="S90" s="162">
        <f>+SUMIF('2.BDN'!D:D,Table8[[#This Row],[MUNICIPIO]],'2.BDN'!O:O)</f>
        <v>0</v>
      </c>
      <c r="T90" s="162">
        <f>+Table8[[#This Row],[SUMATORIA DE PROYECTOS SIF]]+Table8[[#This Row],[SUMATORIA DE PROYECTOS SED]]</f>
        <v>5204826004</v>
      </c>
      <c r="U90" s="165">
        <v>0</v>
      </c>
      <c r="V90" s="165">
        <f>+Table8[[#This Row],[CAPACIDAD MAXIMA DE ENDEUDAMIENTO AL 60%]]*0.2</f>
        <v>845710489.67843997</v>
      </c>
      <c r="W90" s="165">
        <v>845710489.67843997</v>
      </c>
      <c r="X90" s="165">
        <f>+Table8[[#This Row],[APORTE GOB2]]+Table8[[#This Row],[CAPACIDAD MAXIMA DE ENDEUDAMIENTO AL 60%]]</f>
        <v>5074262938.0706396</v>
      </c>
      <c r="Y90" s="165">
        <f>+Table8[[#This Row],[CAPACIDAD MAXIMA DE ENDEUDAMIENTO AL 60%]]+Table8[[#This Row],[APORTE GOB]]-Table8[[#This Row],[SUMA TOTAL]]</f>
        <v>-130563065.92936039</v>
      </c>
    </row>
    <row r="91" spans="1:27">
      <c r="A91" s="97" t="s">
        <v>20</v>
      </c>
      <c r="B91" s="79" t="s">
        <v>97</v>
      </c>
      <c r="C91" s="73">
        <v>6</v>
      </c>
      <c r="D91" s="108">
        <v>29325876885.033001</v>
      </c>
      <c r="E91" s="108">
        <v>5835926728.4000006</v>
      </c>
      <c r="F91" s="109">
        <f t="shared" si="9"/>
        <v>23489950156.632999</v>
      </c>
      <c r="G91" s="110">
        <v>5787068508</v>
      </c>
      <c r="H91" s="108"/>
      <c r="I91" s="109">
        <f t="shared" si="10"/>
        <v>5787068508</v>
      </c>
      <c r="J91" s="88">
        <f t="shared" si="11"/>
        <v>0.19733658879791371</v>
      </c>
      <c r="K91" s="116">
        <f t="shared" si="12"/>
        <v>23538808377.033001</v>
      </c>
      <c r="L91" s="116">
        <f t="shared" si="13"/>
        <v>18831046701.6264</v>
      </c>
      <c r="M91" s="116">
        <f t="shared" si="14"/>
        <v>14123285026.219801</v>
      </c>
      <c r="N91" s="89">
        <f t="shared" si="15"/>
        <v>1</v>
      </c>
      <c r="O91" s="77">
        <v>0.67595312063685153</v>
      </c>
      <c r="P91" s="78">
        <f t="shared" si="16"/>
        <v>0.8</v>
      </c>
      <c r="Q91" s="100" t="str">
        <f t="shared" si="17"/>
        <v>Cumple</v>
      </c>
      <c r="R91" s="162">
        <f>+SUMIF('2.BDN'!D:D,Table8[[#This Row],[MUNICIPIO]],'2.BDN'!L:L)</f>
        <v>3107176951</v>
      </c>
      <c r="S91" s="162">
        <f>+SUMIF('2.BDN'!D:D,Table8[[#This Row],[MUNICIPIO]],'2.BDN'!O:O)</f>
        <v>0</v>
      </c>
      <c r="T91" s="162">
        <f>+Table8[[#This Row],[SUMATORIA DE PROYECTOS SIF]]+Table8[[#This Row],[SUMATORIA DE PROYECTOS SED]]</f>
        <v>3107176951</v>
      </c>
      <c r="U91" s="165">
        <v>2371629272</v>
      </c>
      <c r="V91" s="165">
        <f>+Table8[[#This Row],[CAPACIDAD MAXIMA DE ENDEUDAMIENTO AL 60%]]*0.2</f>
        <v>2824657005.2439604</v>
      </c>
      <c r="W91" s="165">
        <v>2824657005.2439604</v>
      </c>
      <c r="X91" s="165">
        <f>+Table8[[#This Row],[APORTE GOB2]]+Table8[[#This Row],[CAPACIDAD MAXIMA DE ENDEUDAMIENTO AL 60%]]</f>
        <v>16947942031.46376</v>
      </c>
      <c r="Y91" s="165">
        <f>+Table8[[#This Row],[CAPACIDAD MAXIMA DE ENDEUDAMIENTO AL 60%]]+Table8[[#This Row],[APORTE GOB]]-Table8[[#This Row],[SUMA TOTAL]]</f>
        <v>13840765080.46376</v>
      </c>
    </row>
    <row r="92" spans="1:27">
      <c r="A92" s="97" t="s">
        <v>20</v>
      </c>
      <c r="B92" s="73" t="s">
        <v>113</v>
      </c>
      <c r="C92" s="73">
        <v>6</v>
      </c>
      <c r="D92" s="108">
        <v>7763487077.335</v>
      </c>
      <c r="E92" s="108">
        <v>2329929022.3600001</v>
      </c>
      <c r="F92" s="109">
        <f t="shared" si="9"/>
        <v>5433558054.9750004</v>
      </c>
      <c r="G92" s="110">
        <v>1217107364.4400001</v>
      </c>
      <c r="H92" s="108"/>
      <c r="I92" s="109">
        <f t="shared" si="10"/>
        <v>1217107364.4400001</v>
      </c>
      <c r="J92" s="88">
        <f t="shared" si="11"/>
        <v>0.15677328400446064</v>
      </c>
      <c r="K92" s="116">
        <f t="shared" si="12"/>
        <v>6546379712.8950005</v>
      </c>
      <c r="L92" s="116">
        <f t="shared" si="13"/>
        <v>5237103770.3160009</v>
      </c>
      <c r="M92" s="116">
        <f t="shared" si="14"/>
        <v>3927827827.737</v>
      </c>
      <c r="N92" s="89">
        <f t="shared" si="15"/>
        <v>1</v>
      </c>
      <c r="O92" s="77">
        <v>0.68141761997590633</v>
      </c>
      <c r="P92" s="78">
        <f t="shared" si="16"/>
        <v>0.8</v>
      </c>
      <c r="Q92" s="100" t="str">
        <f t="shared" si="17"/>
        <v>Cumple</v>
      </c>
      <c r="R92" s="162">
        <f>+SUMIF('2.BDN'!D:D,Table8[[#This Row],[MUNICIPIO]],'2.BDN'!L:L)</f>
        <v>15065598322.889999</v>
      </c>
      <c r="S92" s="162">
        <f>+SUMIF('2.BDN'!D:D,Table8[[#This Row],[MUNICIPIO]],'2.BDN'!O:O)</f>
        <v>0</v>
      </c>
      <c r="T92" s="162">
        <f>+Table8[[#This Row],[SUMATORIA DE PROYECTOS SIF]]+Table8[[#This Row],[SUMATORIA DE PROYECTOS SED]]</f>
        <v>15065598322.889999</v>
      </c>
      <c r="U92" s="165">
        <v>35186710847</v>
      </c>
      <c r="V92" s="165">
        <f>+Table8[[#This Row],[CAPACIDAD MAXIMA DE ENDEUDAMIENTO AL 60%]]*0.2</f>
        <v>785565565.5474</v>
      </c>
      <c r="W92" s="165">
        <v>785565565.5474</v>
      </c>
      <c r="X92" s="165">
        <f>+Table8[[#This Row],[APORTE GOB2]]+Table8[[#This Row],[CAPACIDAD MAXIMA DE ENDEUDAMIENTO AL 60%]]</f>
        <v>4713393393.2844</v>
      </c>
      <c r="Y92" s="165">
        <f>+Table8[[#This Row],[CAPACIDAD MAXIMA DE ENDEUDAMIENTO AL 60%]]+Table8[[#This Row],[APORTE GOB]]-Table8[[#This Row],[SUMA TOTAL]]</f>
        <v>-10352204929.605598</v>
      </c>
    </row>
    <row r="93" spans="1:27">
      <c r="A93" s="97" t="s">
        <v>47</v>
      </c>
      <c r="B93" s="73" t="s">
        <v>334</v>
      </c>
      <c r="C93" s="73">
        <v>6</v>
      </c>
      <c r="D93" s="108">
        <v>21865753958.964001</v>
      </c>
      <c r="E93" s="108">
        <v>8371779870.6599998</v>
      </c>
      <c r="F93" s="109">
        <f t="shared" si="9"/>
        <v>13493974088.304001</v>
      </c>
      <c r="G93" s="110">
        <v>851002641</v>
      </c>
      <c r="H93" s="108">
        <v>4636492005</v>
      </c>
      <c r="I93" s="109">
        <f t="shared" si="10"/>
        <v>5487494646</v>
      </c>
      <c r="J93" s="88">
        <f t="shared" si="11"/>
        <v>0.25096297416949431</v>
      </c>
      <c r="K93" s="116">
        <f t="shared" si="12"/>
        <v>16378259312.964001</v>
      </c>
      <c r="L93" s="116">
        <f t="shared" si="13"/>
        <v>13102607450.371201</v>
      </c>
      <c r="M93" s="116">
        <f t="shared" si="14"/>
        <v>9826955587.7784004</v>
      </c>
      <c r="N93" s="89">
        <f t="shared" si="15"/>
        <v>0.15508035923466848</v>
      </c>
      <c r="O93" s="77">
        <v>0.43479333121090752</v>
      </c>
      <c r="P93" s="78">
        <f t="shared" si="16"/>
        <v>0.8</v>
      </c>
      <c r="Q93" s="100" t="str">
        <f t="shared" si="17"/>
        <v>Cumple</v>
      </c>
      <c r="R93" s="162">
        <f>+SUMIF('2.BDN'!D:D,Table8[[#This Row],[MUNICIPIO]],'2.BDN'!L:L)</f>
        <v>16255113551.17</v>
      </c>
      <c r="S93" s="162">
        <f>+SUMIF('2.BDN'!D:D,Table8[[#This Row],[MUNICIPIO]],'2.BDN'!O:O)</f>
        <v>0</v>
      </c>
      <c r="T93" s="162">
        <f>+Table8[[#This Row],[SUMATORIA DE PROYECTOS SIF]]+Table8[[#This Row],[SUMATORIA DE PROYECTOS SED]]</f>
        <v>16255113551.17</v>
      </c>
      <c r="U93" s="165">
        <v>5605000000</v>
      </c>
      <c r="V93" s="165">
        <f>+Table8[[#This Row],[CAPACIDAD MAXIMA DE ENDEUDAMIENTO AL 60%]]*0.2</f>
        <v>1965391117.5556803</v>
      </c>
      <c r="W93" s="165">
        <v>1965391117.5556803</v>
      </c>
      <c r="X93" s="165">
        <f>+Table8[[#This Row],[APORTE GOB2]]+Table8[[#This Row],[CAPACIDAD MAXIMA DE ENDEUDAMIENTO AL 60%]]</f>
        <v>11792346705.33408</v>
      </c>
      <c r="Y93" s="165">
        <f>+Table8[[#This Row],[CAPACIDAD MAXIMA DE ENDEUDAMIENTO AL 60%]]+Table8[[#This Row],[APORTE GOB]]-Table8[[#This Row],[SUMA TOTAL]]</f>
        <v>-4462766845.8359203</v>
      </c>
    </row>
    <row r="94" spans="1:27">
      <c r="A94" s="98" t="s">
        <v>34</v>
      </c>
      <c r="B94" s="73" t="s">
        <v>57</v>
      </c>
      <c r="C94" s="73">
        <v>6</v>
      </c>
      <c r="D94" s="108">
        <v>5437802568.3275003</v>
      </c>
      <c r="E94" s="108">
        <v>2195257843.8499999</v>
      </c>
      <c r="F94" s="109">
        <f t="shared" si="9"/>
        <v>3242544724.4775004</v>
      </c>
      <c r="G94" s="110">
        <v>1389038990</v>
      </c>
      <c r="H94" s="108">
        <v>0</v>
      </c>
      <c r="I94" s="109">
        <f t="shared" si="10"/>
        <v>1389038990</v>
      </c>
      <c r="J94" s="88">
        <f t="shared" si="11"/>
        <v>0.25544123247329026</v>
      </c>
      <c r="K94" s="116">
        <f t="shared" si="12"/>
        <v>4048763578.3275003</v>
      </c>
      <c r="L94" s="116">
        <f t="shared" si="13"/>
        <v>3239010862.6620007</v>
      </c>
      <c r="M94" s="116">
        <f t="shared" si="14"/>
        <v>2429258146.9965</v>
      </c>
      <c r="N94" s="89">
        <f t="shared" si="15"/>
        <v>1</v>
      </c>
      <c r="O94" s="77">
        <v>0.74230580339650343</v>
      </c>
      <c r="P94" s="78">
        <f t="shared" si="16"/>
        <v>0.8</v>
      </c>
      <c r="Q94" s="100" t="str">
        <f t="shared" si="17"/>
        <v>Cumple</v>
      </c>
      <c r="R94" s="162">
        <f>+SUMIF('2.BDN'!D:D,Table8[[#This Row],[MUNICIPIO]],'2.BDN'!L:L)</f>
        <v>17071046483</v>
      </c>
      <c r="S94" s="162">
        <f>+SUMIF('2.BDN'!D:D,Table8[[#This Row],[MUNICIPIO]],'2.BDN'!O:O)</f>
        <v>0</v>
      </c>
      <c r="T94" s="162">
        <f>+Table8[[#This Row],[SUMATORIA DE PROYECTOS SIF]]+Table8[[#This Row],[SUMATORIA DE PROYECTOS SED]]</f>
        <v>17071046483</v>
      </c>
      <c r="U94" s="165">
        <v>25316601863</v>
      </c>
      <c r="V94" s="165">
        <f>+Table8[[#This Row],[CAPACIDAD MAXIMA DE ENDEUDAMIENTO AL 60%]]*0.2</f>
        <v>485851629.39930004</v>
      </c>
      <c r="W94" s="165">
        <v>485851629.39930004</v>
      </c>
      <c r="X94" s="165">
        <f>+Table8[[#This Row],[APORTE GOB2]]+Table8[[#This Row],[CAPACIDAD MAXIMA DE ENDEUDAMIENTO AL 60%]]</f>
        <v>2915109776.3958001</v>
      </c>
      <c r="Y94" s="165">
        <f>+Table8[[#This Row],[CAPACIDAD MAXIMA DE ENDEUDAMIENTO AL 60%]]+Table8[[#This Row],[APORTE GOB]]-Table8[[#This Row],[SUMA TOTAL]]</f>
        <v>-14155936706.6042</v>
      </c>
    </row>
    <row r="95" spans="1:27">
      <c r="A95" s="97" t="s">
        <v>37</v>
      </c>
      <c r="B95" s="79" t="s">
        <v>65</v>
      </c>
      <c r="C95" s="73">
        <v>6</v>
      </c>
      <c r="D95" s="108">
        <v>21558400486.167</v>
      </c>
      <c r="E95" s="108">
        <v>4028552935.2600002</v>
      </c>
      <c r="F95" s="109">
        <f t="shared" si="9"/>
        <v>17529847550.906998</v>
      </c>
      <c r="G95" s="110">
        <v>573337825</v>
      </c>
      <c r="H95" s="108">
        <v>3454671378</v>
      </c>
      <c r="I95" s="109">
        <f t="shared" si="10"/>
        <v>4028009203</v>
      </c>
      <c r="J95" s="88">
        <f t="shared" si="11"/>
        <v>0.18684174670493675</v>
      </c>
      <c r="K95" s="116">
        <f t="shared" si="12"/>
        <v>17530391283.167</v>
      </c>
      <c r="L95" s="116">
        <f t="shared" si="13"/>
        <v>14024313026.5336</v>
      </c>
      <c r="M95" s="116">
        <f t="shared" si="14"/>
        <v>10518234769.9002</v>
      </c>
      <c r="N95" s="89">
        <f t="shared" si="15"/>
        <v>0.14233776441548016</v>
      </c>
      <c r="O95" s="77">
        <v>0.45202185420266422</v>
      </c>
      <c r="P95" s="78">
        <f t="shared" si="16"/>
        <v>0.8</v>
      </c>
      <c r="Q95" s="100" t="str">
        <f t="shared" si="17"/>
        <v>Cumple</v>
      </c>
      <c r="R95" s="162">
        <f>+SUMIF('2.BDN'!D:D,Table8[[#This Row],[MUNICIPIO]],'2.BDN'!L:L)</f>
        <v>7167659240</v>
      </c>
      <c r="S95" s="162">
        <f>+SUMIF('2.BDN'!D:D,Table8[[#This Row],[MUNICIPIO]],'2.BDN'!O:O)</f>
        <v>0</v>
      </c>
      <c r="T95" s="162">
        <f>+Table8[[#This Row],[SUMATORIA DE PROYECTOS SIF]]+Table8[[#This Row],[SUMATORIA DE PROYECTOS SED]]</f>
        <v>7167659240</v>
      </c>
      <c r="U95" s="165">
        <v>3416500000</v>
      </c>
      <c r="V95" s="165">
        <f>+Table8[[#This Row],[CAPACIDAD MAXIMA DE ENDEUDAMIENTO AL 60%]]*0.2</f>
        <v>2103646953.9800401</v>
      </c>
      <c r="W95" s="165">
        <v>2103646953.9800401</v>
      </c>
      <c r="X95" s="165">
        <f>+Table8[[#This Row],[APORTE GOB2]]+Table8[[#This Row],[CAPACIDAD MAXIMA DE ENDEUDAMIENTO AL 60%]]</f>
        <v>12621881723.880239</v>
      </c>
      <c r="Y95" s="165">
        <f>+Table8[[#This Row],[CAPACIDAD MAXIMA DE ENDEUDAMIENTO AL 60%]]+Table8[[#This Row],[APORTE GOB]]-Table8[[#This Row],[SUMA TOTAL]]</f>
        <v>5454222483.8802395</v>
      </c>
    </row>
    <row r="96" spans="1:27">
      <c r="A96" s="97" t="s">
        <v>20</v>
      </c>
      <c r="B96" s="73" t="s">
        <v>270</v>
      </c>
      <c r="C96" s="73">
        <v>6</v>
      </c>
      <c r="D96" s="108">
        <v>10860999220.161499</v>
      </c>
      <c r="E96" s="108">
        <v>3903981787.4000001</v>
      </c>
      <c r="F96" s="109">
        <f t="shared" si="9"/>
        <v>6957017432.7614994</v>
      </c>
      <c r="G96" s="110">
        <v>1425530293</v>
      </c>
      <c r="H96" s="108"/>
      <c r="I96" s="109">
        <f t="shared" si="10"/>
        <v>1425530293</v>
      </c>
      <c r="J96" s="88">
        <f t="shared" si="11"/>
        <v>0.13125222312453153</v>
      </c>
      <c r="K96" s="116">
        <f t="shared" si="12"/>
        <v>9435468927.161499</v>
      </c>
      <c r="L96" s="116">
        <f t="shared" si="13"/>
        <v>7548375141.7291994</v>
      </c>
      <c r="M96" s="116">
        <f t="shared" si="14"/>
        <v>5661281356.2968988</v>
      </c>
      <c r="N96" s="89">
        <f t="shared" si="15"/>
        <v>1</v>
      </c>
      <c r="O96" s="77">
        <v>0.63270124114427018</v>
      </c>
      <c r="P96" s="78">
        <f t="shared" si="16"/>
        <v>0.8</v>
      </c>
      <c r="Q96" s="100" t="str">
        <f t="shared" si="17"/>
        <v>Cumple</v>
      </c>
      <c r="R96" s="162">
        <f>+SUMIF('2.BDN'!D:D,Table8[[#This Row],[MUNICIPIO]],'2.BDN'!L:L)</f>
        <v>79012268809</v>
      </c>
      <c r="S96" s="162">
        <f>+SUMIF('2.BDN'!D:D,Table8[[#This Row],[MUNICIPIO]],'2.BDN'!O:O)</f>
        <v>0</v>
      </c>
      <c r="T96" s="162">
        <f>+Table8[[#This Row],[SUMATORIA DE PROYECTOS SIF]]+Table8[[#This Row],[SUMATORIA DE PROYECTOS SED]]</f>
        <v>79012268809</v>
      </c>
      <c r="U96" s="165">
        <v>81035011470</v>
      </c>
      <c r="V96" s="165">
        <f>+Table8[[#This Row],[CAPACIDAD MAXIMA DE ENDEUDAMIENTO AL 60%]]*0.2</f>
        <v>1132256271.2593799</v>
      </c>
      <c r="W96" s="165">
        <v>1132256271.2593799</v>
      </c>
      <c r="X96" s="165">
        <f>+Table8[[#This Row],[APORTE GOB2]]+Table8[[#This Row],[CAPACIDAD MAXIMA DE ENDEUDAMIENTO AL 60%]]</f>
        <v>6793537627.5562782</v>
      </c>
      <c r="Y96" s="165">
        <f>+Table8[[#This Row],[CAPACIDAD MAXIMA DE ENDEUDAMIENTO AL 60%]]+Table8[[#This Row],[APORTE GOB]]-Table8[[#This Row],[SUMA TOTAL]]</f>
        <v>-72218731181.443726</v>
      </c>
    </row>
    <row r="97" spans="1:25">
      <c r="A97" s="98" t="s">
        <v>34</v>
      </c>
      <c r="B97" s="73" t="s">
        <v>174</v>
      </c>
      <c r="C97" s="73">
        <v>6</v>
      </c>
      <c r="D97" s="108">
        <v>31632055796.696003</v>
      </c>
      <c r="E97" s="108">
        <v>14204097707.720001</v>
      </c>
      <c r="F97" s="109">
        <f t="shared" si="9"/>
        <v>17427958088.976002</v>
      </c>
      <c r="G97" s="110">
        <v>6063106860</v>
      </c>
      <c r="H97" s="108">
        <v>5275762021</v>
      </c>
      <c r="I97" s="109">
        <f t="shared" si="10"/>
        <v>11338868881</v>
      </c>
      <c r="J97" s="88">
        <f t="shared" si="11"/>
        <v>0.35846133282884368</v>
      </c>
      <c r="K97" s="116">
        <f t="shared" si="12"/>
        <v>20293186915.696003</v>
      </c>
      <c r="L97" s="116">
        <f t="shared" si="13"/>
        <v>16234549532.556803</v>
      </c>
      <c r="M97" s="116">
        <f t="shared" si="14"/>
        <v>12175912149.417601</v>
      </c>
      <c r="N97" s="89">
        <f t="shared" si="15"/>
        <v>0.53471884397214064</v>
      </c>
      <c r="O97" s="77">
        <v>0.58208884880898415</v>
      </c>
      <c r="P97" s="78">
        <f t="shared" si="16"/>
        <v>0.8</v>
      </c>
      <c r="Q97" s="100" t="str">
        <f t="shared" si="17"/>
        <v>Cumple</v>
      </c>
      <c r="R97" s="162">
        <f>+SUMIF('2.BDN'!D:D,Table8[[#This Row],[MUNICIPIO]],'2.BDN'!L:L)</f>
        <v>12676134640</v>
      </c>
      <c r="S97" s="162">
        <f>+SUMIF('2.BDN'!D:D,Table8[[#This Row],[MUNICIPIO]],'2.BDN'!O:O)</f>
        <v>0</v>
      </c>
      <c r="T97" s="162">
        <f>+Table8[[#This Row],[SUMATORIA DE PROYECTOS SIF]]+Table8[[#This Row],[SUMATORIA DE PROYECTOS SED]]</f>
        <v>12676134640</v>
      </c>
      <c r="U97" s="165">
        <v>9952000000</v>
      </c>
      <c r="V97" s="165">
        <f>+Table8[[#This Row],[CAPACIDAD MAXIMA DE ENDEUDAMIENTO AL 60%]]*0.2</f>
        <v>2435182429.8835201</v>
      </c>
      <c r="W97" s="165">
        <v>2435182429.8835201</v>
      </c>
      <c r="X97" s="165">
        <f>+Table8[[#This Row],[APORTE GOB2]]+Table8[[#This Row],[CAPACIDAD MAXIMA DE ENDEUDAMIENTO AL 60%]]</f>
        <v>14611094579.301121</v>
      </c>
      <c r="Y97" s="165">
        <f>+Table8[[#This Row],[CAPACIDAD MAXIMA DE ENDEUDAMIENTO AL 60%]]+Table8[[#This Row],[APORTE GOB]]-Table8[[#This Row],[SUMA TOTAL]]</f>
        <v>1934959939.3011208</v>
      </c>
    </row>
    <row r="98" spans="1:25">
      <c r="A98" s="97" t="s">
        <v>37</v>
      </c>
      <c r="B98" s="79" t="s">
        <v>63</v>
      </c>
      <c r="C98" s="73">
        <v>6</v>
      </c>
      <c r="D98" s="108">
        <v>19508372714.52</v>
      </c>
      <c r="E98" s="108">
        <v>5389834315.5</v>
      </c>
      <c r="F98" s="109">
        <f t="shared" si="9"/>
        <v>14118538399.02</v>
      </c>
      <c r="G98" s="110">
        <v>2594281047</v>
      </c>
      <c r="H98" s="108">
        <v>1833333333</v>
      </c>
      <c r="I98" s="109">
        <f t="shared" si="10"/>
        <v>4427614380</v>
      </c>
      <c r="J98" s="88">
        <f t="shared" si="11"/>
        <v>0.22695969801235882</v>
      </c>
      <c r="K98" s="116">
        <f t="shared" si="12"/>
        <v>15080758334.52</v>
      </c>
      <c r="L98" s="116">
        <f t="shared" si="13"/>
        <v>12064606667.616001</v>
      </c>
      <c r="M98" s="116">
        <f t="shared" si="14"/>
        <v>9048455000.7119999</v>
      </c>
      <c r="N98" s="89">
        <f t="shared" si="15"/>
        <v>0.58593202215591322</v>
      </c>
      <c r="O98" s="77">
        <v>0.58851112900500024</v>
      </c>
      <c r="P98" s="78">
        <f t="shared" si="16"/>
        <v>0.8</v>
      </c>
      <c r="Q98" s="100" t="str">
        <f t="shared" si="17"/>
        <v>Cumple</v>
      </c>
      <c r="R98" s="162">
        <f>+SUMIF('2.BDN'!D:D,Table8[[#This Row],[MUNICIPIO]],'2.BDN'!L:L)</f>
        <v>23206989888</v>
      </c>
      <c r="S98" s="162">
        <f>+SUMIF('2.BDN'!D:D,Table8[[#This Row],[MUNICIPIO]],'2.BDN'!O:O)</f>
        <v>0</v>
      </c>
      <c r="T98" s="162">
        <f>+Table8[[#This Row],[SUMATORIA DE PROYECTOS SIF]]+Table8[[#This Row],[SUMATORIA DE PROYECTOS SED]]</f>
        <v>23206989888</v>
      </c>
      <c r="U98" s="165">
        <v>22469924902</v>
      </c>
      <c r="V98" s="165">
        <f>+Table8[[#This Row],[CAPACIDAD MAXIMA DE ENDEUDAMIENTO AL 60%]]*0.2</f>
        <v>1809691000.1424</v>
      </c>
      <c r="W98" s="165">
        <v>1809691000.1424</v>
      </c>
      <c r="X98" s="165">
        <f>+Table8[[#This Row],[APORTE GOB2]]+Table8[[#This Row],[CAPACIDAD MAXIMA DE ENDEUDAMIENTO AL 60%]]</f>
        <v>10858146000.854401</v>
      </c>
      <c r="Y98" s="165">
        <f>+Table8[[#This Row],[CAPACIDAD MAXIMA DE ENDEUDAMIENTO AL 60%]]+Table8[[#This Row],[APORTE GOB]]-Table8[[#This Row],[SUMA TOTAL]]</f>
        <v>-12348843887.145599</v>
      </c>
    </row>
    <row r="99" spans="1:25">
      <c r="A99" s="97" t="s">
        <v>20</v>
      </c>
      <c r="B99" s="73" t="s">
        <v>470</v>
      </c>
      <c r="C99" s="73">
        <v>6</v>
      </c>
      <c r="D99" s="108">
        <v>17565923370.843998</v>
      </c>
      <c r="E99" s="108">
        <v>4463335582.5100002</v>
      </c>
      <c r="F99" s="109">
        <f t="shared" si="9"/>
        <v>13102587788.333998</v>
      </c>
      <c r="G99" s="110">
        <v>2561424191</v>
      </c>
      <c r="H99" s="108"/>
      <c r="I99" s="109">
        <f t="shared" si="10"/>
        <v>2561424191</v>
      </c>
      <c r="J99" s="88">
        <f t="shared" si="11"/>
        <v>0.14581779374328047</v>
      </c>
      <c r="K99" s="116">
        <f t="shared" si="12"/>
        <v>15004499179.843998</v>
      </c>
      <c r="L99" s="116">
        <f t="shared" si="13"/>
        <v>12003599343.875198</v>
      </c>
      <c r="M99" s="116">
        <f t="shared" si="14"/>
        <v>9002699507.9063988</v>
      </c>
      <c r="N99" s="89">
        <f t="shared" si="15"/>
        <v>1</v>
      </c>
      <c r="O99" s="77">
        <v>0.64471709259563048</v>
      </c>
      <c r="P99" s="78">
        <f t="shared" si="16"/>
        <v>0.8</v>
      </c>
      <c r="Q99" s="100" t="str">
        <f t="shared" si="17"/>
        <v>Cumple</v>
      </c>
      <c r="R99" s="162">
        <f>+SUMIF('2.BDN'!D:D,Table8[[#This Row],[MUNICIPIO]],'2.BDN'!L:L)</f>
        <v>6997272963</v>
      </c>
      <c r="S99" s="162">
        <f>+SUMIF('2.BDN'!D:D,Table8[[#This Row],[MUNICIPIO]],'2.BDN'!O:O)</f>
        <v>0</v>
      </c>
      <c r="T99" s="162">
        <f>+Table8[[#This Row],[SUMATORIA DE PROYECTOS SIF]]+Table8[[#This Row],[SUMATORIA DE PROYECTOS SED]]</f>
        <v>6997272963</v>
      </c>
      <c r="U99" s="165">
        <v>12615822993</v>
      </c>
      <c r="V99" s="165">
        <f>+Table8[[#This Row],[CAPACIDAD MAXIMA DE ENDEUDAMIENTO AL 60%]]*0.2</f>
        <v>1800539901.5812798</v>
      </c>
      <c r="W99" s="165">
        <v>1800539901.5812798</v>
      </c>
      <c r="X99" s="165">
        <f>+Table8[[#This Row],[APORTE GOB2]]+Table8[[#This Row],[CAPACIDAD MAXIMA DE ENDEUDAMIENTO AL 60%]]</f>
        <v>10803239409.487679</v>
      </c>
      <c r="Y99" s="165">
        <f>+Table8[[#This Row],[CAPACIDAD MAXIMA DE ENDEUDAMIENTO AL 60%]]+Table8[[#This Row],[APORTE GOB]]-Table8[[#This Row],[SUMA TOTAL]]</f>
        <v>3805966446.4876785</v>
      </c>
    </row>
    <row r="100" spans="1:25">
      <c r="A100" s="97" t="s">
        <v>3</v>
      </c>
      <c r="B100" s="73" t="s">
        <v>327</v>
      </c>
      <c r="C100" s="73">
        <v>6</v>
      </c>
      <c r="D100" s="108">
        <v>13645854382.4415</v>
      </c>
      <c r="E100" s="108">
        <v>5036095672.2200003</v>
      </c>
      <c r="F100" s="109">
        <f t="shared" si="9"/>
        <v>8609758710.2215004</v>
      </c>
      <c r="G100" s="110">
        <v>2357809963</v>
      </c>
      <c r="H100" s="108">
        <v>1093248488</v>
      </c>
      <c r="I100" s="109">
        <f t="shared" si="10"/>
        <v>3451058451</v>
      </c>
      <c r="J100" s="88">
        <f t="shared" si="11"/>
        <v>0.25290160324739891</v>
      </c>
      <c r="K100" s="116">
        <f t="shared" si="12"/>
        <v>10194795931.4415</v>
      </c>
      <c r="L100" s="116">
        <f t="shared" si="13"/>
        <v>8155836745.1532001</v>
      </c>
      <c r="M100" s="116">
        <f t="shared" si="14"/>
        <v>6116877558.8648996</v>
      </c>
      <c r="N100" s="89">
        <f t="shared" si="15"/>
        <v>0.68321356954032075</v>
      </c>
      <c r="O100" s="77">
        <v>0.58815143933117542</v>
      </c>
      <c r="P100" s="78">
        <f t="shared" si="16"/>
        <v>0.8</v>
      </c>
      <c r="Q100" s="100" t="str">
        <f t="shared" si="17"/>
        <v>Cumple</v>
      </c>
      <c r="R100" s="162">
        <f>+SUMIF('2.BDN'!D:D,Table8[[#This Row],[MUNICIPIO]],'2.BDN'!L:L)</f>
        <v>11024919313</v>
      </c>
      <c r="S100" s="162">
        <f>+SUMIF('2.BDN'!D:D,Table8[[#This Row],[MUNICIPIO]],'2.BDN'!O:O)</f>
        <v>0</v>
      </c>
      <c r="T100" s="162">
        <f>+Table8[[#This Row],[SUMATORIA DE PROYECTOS SIF]]+Table8[[#This Row],[SUMATORIA DE PROYECTOS SED]]</f>
        <v>11024919313</v>
      </c>
      <c r="U100" s="165">
        <v>14445293239</v>
      </c>
      <c r="V100" s="165">
        <f>+Table8[[#This Row],[CAPACIDAD MAXIMA DE ENDEUDAMIENTO AL 60%]]*0.2</f>
        <v>1223375511.77298</v>
      </c>
      <c r="W100" s="165">
        <v>1223375511.77298</v>
      </c>
      <c r="X100" s="165">
        <f>+Table8[[#This Row],[APORTE GOB2]]+Table8[[#This Row],[CAPACIDAD MAXIMA DE ENDEUDAMIENTO AL 60%]]</f>
        <v>7340253070.6378794</v>
      </c>
      <c r="Y100" s="165">
        <f>+Table8[[#This Row],[CAPACIDAD MAXIMA DE ENDEUDAMIENTO AL 60%]]+Table8[[#This Row],[APORTE GOB]]-Table8[[#This Row],[SUMA TOTAL]]</f>
        <v>-3684666242.3621206</v>
      </c>
    </row>
    <row r="101" spans="1:25">
      <c r="A101" s="97" t="s">
        <v>20</v>
      </c>
      <c r="B101" s="73" t="s">
        <v>596</v>
      </c>
      <c r="C101" s="73">
        <v>6</v>
      </c>
      <c r="D101" s="108">
        <v>18910688140.249004</v>
      </c>
      <c r="E101" s="108">
        <v>5456011434.4000006</v>
      </c>
      <c r="F101" s="109">
        <f t="shared" si="9"/>
        <v>13454676705.849003</v>
      </c>
      <c r="G101" s="110">
        <v>5580933878</v>
      </c>
      <c r="H101" s="108">
        <v>4737487939</v>
      </c>
      <c r="I101" s="109">
        <f t="shared" si="10"/>
        <v>10318421817</v>
      </c>
      <c r="J101" s="88">
        <f t="shared" si="11"/>
        <v>0.5456396795544709</v>
      </c>
      <c r="K101" s="116">
        <f t="shared" si="12"/>
        <v>8592266323.2490044</v>
      </c>
      <c r="L101" s="116">
        <f t="shared" si="13"/>
        <v>6873813058.5992041</v>
      </c>
      <c r="M101" s="116">
        <f t="shared" si="14"/>
        <v>5155359793.9494028</v>
      </c>
      <c r="N101" s="89">
        <f t="shared" si="15"/>
        <v>0.54087087899480857</v>
      </c>
      <c r="O101" s="77">
        <v>0.45745893515208286</v>
      </c>
      <c r="P101" s="78">
        <f t="shared" si="16"/>
        <v>0.8</v>
      </c>
      <c r="Q101" s="100" t="str">
        <f t="shared" si="17"/>
        <v>Cumple</v>
      </c>
      <c r="R101" s="162">
        <f>+SUMIF('2.BDN'!D:D,Table8[[#This Row],[MUNICIPIO]],'2.BDN'!L:L)</f>
        <v>8052135543</v>
      </c>
      <c r="S101" s="162">
        <f>+SUMIF('2.BDN'!D:D,Table8[[#This Row],[MUNICIPIO]],'2.BDN'!O:O)</f>
        <v>0</v>
      </c>
      <c r="T101" s="162">
        <f>+Table8[[#This Row],[SUMATORIA DE PROYECTOS SIF]]+Table8[[#This Row],[SUMATORIA DE PROYECTOS SED]]</f>
        <v>8052135543</v>
      </c>
      <c r="U101" s="165">
        <v>2063000000</v>
      </c>
      <c r="V101" s="165">
        <f>+Table8[[#This Row],[CAPACIDAD MAXIMA DE ENDEUDAMIENTO AL 60%]]*0.2</f>
        <v>1031071958.7898806</v>
      </c>
      <c r="W101" s="165">
        <v>1031071958.7898806</v>
      </c>
      <c r="X101" s="165">
        <f>+Table8[[#This Row],[APORTE GOB2]]+Table8[[#This Row],[CAPACIDAD MAXIMA DE ENDEUDAMIENTO AL 60%]]</f>
        <v>6186431752.7392836</v>
      </c>
      <c r="Y101" s="165">
        <f>+Table8[[#This Row],[CAPACIDAD MAXIMA DE ENDEUDAMIENTO AL 60%]]+Table8[[#This Row],[APORTE GOB]]-Table8[[#This Row],[SUMA TOTAL]]</f>
        <v>-1865703790.2607164</v>
      </c>
    </row>
    <row r="102" spans="1:25">
      <c r="A102" s="97" t="s">
        <v>22</v>
      </c>
      <c r="B102" s="73" t="s">
        <v>30</v>
      </c>
      <c r="C102" s="73">
        <v>6</v>
      </c>
      <c r="D102" s="108">
        <v>12109127304.486</v>
      </c>
      <c r="E102" s="108">
        <v>6485076277.8299999</v>
      </c>
      <c r="F102" s="109">
        <f t="shared" si="9"/>
        <v>5624051026.6560001</v>
      </c>
      <c r="G102" s="110">
        <v>3662325591</v>
      </c>
      <c r="H102" s="108">
        <v>0</v>
      </c>
      <c r="I102" s="109">
        <f t="shared" si="10"/>
        <v>3662325591</v>
      </c>
      <c r="J102" s="88">
        <f t="shared" si="11"/>
        <v>0.30244339653141139</v>
      </c>
      <c r="K102" s="116">
        <f t="shared" si="12"/>
        <v>8446801713.4860001</v>
      </c>
      <c r="L102" s="116">
        <f t="shared" si="13"/>
        <v>6757441370.7888002</v>
      </c>
      <c r="M102" s="116">
        <f t="shared" si="14"/>
        <v>5068081028.0915995</v>
      </c>
      <c r="N102" s="89">
        <f t="shared" si="15"/>
        <v>1</v>
      </c>
      <c r="O102" s="77">
        <v>0.55253262293583549</v>
      </c>
      <c r="P102" s="78">
        <f t="shared" si="16"/>
        <v>0.8</v>
      </c>
      <c r="Q102" s="100" t="str">
        <f t="shared" si="17"/>
        <v>Cumple</v>
      </c>
      <c r="R102" s="162">
        <f>+SUMIF('2.BDN'!D:D,Table8[[#This Row],[MUNICIPIO]],'2.BDN'!L:L)</f>
        <v>800000000</v>
      </c>
      <c r="S102" s="162">
        <f>+SUMIF('2.BDN'!D:D,Table8[[#This Row],[MUNICIPIO]],'2.BDN'!O:O)</f>
        <v>0</v>
      </c>
      <c r="T102" s="162">
        <f>+Table8[[#This Row],[SUMATORIA DE PROYECTOS SIF]]+Table8[[#This Row],[SUMATORIA DE PROYECTOS SED]]</f>
        <v>800000000</v>
      </c>
      <c r="U102" s="165">
        <v>0</v>
      </c>
      <c r="V102" s="165">
        <f>+Table8[[#This Row],[CAPACIDAD MAXIMA DE ENDEUDAMIENTO AL 60%]]*0.2</f>
        <v>1013616205.61832</v>
      </c>
      <c r="W102" s="165">
        <v>1013616205.61832</v>
      </c>
      <c r="X102" s="165">
        <f>+Table8[[#This Row],[APORTE GOB2]]+Table8[[#This Row],[CAPACIDAD MAXIMA DE ENDEUDAMIENTO AL 60%]]</f>
        <v>6081697233.709919</v>
      </c>
      <c r="Y102" s="165">
        <f>+Table8[[#This Row],[CAPACIDAD MAXIMA DE ENDEUDAMIENTO AL 60%]]+Table8[[#This Row],[APORTE GOB]]-Table8[[#This Row],[SUMA TOTAL]]</f>
        <v>5281697233.709919</v>
      </c>
    </row>
    <row r="103" spans="1:25">
      <c r="A103" s="97" t="s">
        <v>47</v>
      </c>
      <c r="B103" s="73" t="s">
        <v>166</v>
      </c>
      <c r="C103" s="73">
        <v>5</v>
      </c>
      <c r="D103" s="108">
        <v>40656193467.687004</v>
      </c>
      <c r="E103" s="108">
        <v>18778286398.540001</v>
      </c>
      <c r="F103" s="109">
        <f t="shared" si="9"/>
        <v>21877907069.147003</v>
      </c>
      <c r="G103" s="110">
        <v>5492975516</v>
      </c>
      <c r="H103" s="108">
        <v>2014055909</v>
      </c>
      <c r="I103" s="109">
        <f t="shared" si="10"/>
        <v>7507031425</v>
      </c>
      <c r="J103" s="88">
        <f t="shared" si="11"/>
        <v>0.18464668688096655</v>
      </c>
      <c r="K103" s="116">
        <f t="shared" si="12"/>
        <v>33149162042.687004</v>
      </c>
      <c r="L103" s="116">
        <f t="shared" si="13"/>
        <v>26519329634.149605</v>
      </c>
      <c r="M103" s="116">
        <f t="shared" si="14"/>
        <v>19889497225.612202</v>
      </c>
      <c r="N103" s="89">
        <f t="shared" si="15"/>
        <v>0.73171073957506449</v>
      </c>
      <c r="O103" s="77">
        <v>0.53391906125286837</v>
      </c>
      <c r="P103" s="78">
        <f t="shared" si="16"/>
        <v>0.8</v>
      </c>
      <c r="Q103" s="100" t="str">
        <f t="shared" si="17"/>
        <v>Cumple</v>
      </c>
      <c r="R103" s="162">
        <f>+SUMIF('2.BDN'!D:D,Table8[[#This Row],[MUNICIPIO]],'2.BDN'!L:L)</f>
        <v>58261085849</v>
      </c>
      <c r="S103" s="162">
        <f>+SUMIF('2.BDN'!D:D,Table8[[#This Row],[MUNICIPIO]],'2.BDN'!O:O)</f>
        <v>0</v>
      </c>
      <c r="T103" s="162">
        <f>+Table8[[#This Row],[SUMATORIA DE PROYECTOS SIF]]+Table8[[#This Row],[SUMATORIA DE PROYECTOS SED]]</f>
        <v>58261085849</v>
      </c>
      <c r="U103" s="165">
        <v>45278863481</v>
      </c>
      <c r="V103" s="165">
        <f>+Table8[[#This Row],[CAPACIDAD MAXIMA DE ENDEUDAMIENTO AL 60%]]*0.2</f>
        <v>3977899445.1224403</v>
      </c>
      <c r="W103" s="165">
        <v>3977899445.1224403</v>
      </c>
      <c r="X103" s="165">
        <f>+Table8[[#This Row],[APORTE GOB2]]+Table8[[#This Row],[CAPACIDAD MAXIMA DE ENDEUDAMIENTO AL 60%]]</f>
        <v>23867396670.734642</v>
      </c>
      <c r="Y103" s="165">
        <f>+Table8[[#This Row],[CAPACIDAD MAXIMA DE ENDEUDAMIENTO AL 60%]]+Table8[[#This Row],[APORTE GOB]]-Table8[[#This Row],[SUMA TOTAL]]</f>
        <v>-34393689178.265358</v>
      </c>
    </row>
    <row r="104" spans="1:25">
      <c r="A104" s="98" t="s">
        <v>34</v>
      </c>
      <c r="B104" s="73" t="s">
        <v>324</v>
      </c>
      <c r="C104" s="73">
        <v>5</v>
      </c>
      <c r="D104" s="108">
        <v>37911059539.454002</v>
      </c>
      <c r="E104" s="108">
        <v>12962308085.960001</v>
      </c>
      <c r="F104" s="109">
        <f t="shared" si="9"/>
        <v>24948751453.494003</v>
      </c>
      <c r="G104" s="110">
        <v>8258858552.8800001</v>
      </c>
      <c r="H104" s="108">
        <v>2659839682.1199999</v>
      </c>
      <c r="I104" s="109">
        <f t="shared" si="10"/>
        <v>10918698235</v>
      </c>
      <c r="J104" s="88">
        <f t="shared" si="11"/>
        <v>0.28800825847763295</v>
      </c>
      <c r="K104" s="116">
        <f t="shared" si="12"/>
        <v>26992361304.454002</v>
      </c>
      <c r="L104" s="116">
        <f t="shared" si="13"/>
        <v>21593889043.563202</v>
      </c>
      <c r="M104" s="116">
        <f t="shared" si="14"/>
        <v>16195416782.672401</v>
      </c>
      <c r="N104" s="89">
        <f t="shared" si="15"/>
        <v>0.75639589767268622</v>
      </c>
      <c r="O104" s="77">
        <v>0.52584208336367533</v>
      </c>
      <c r="P104" s="78">
        <f t="shared" si="16"/>
        <v>0.8</v>
      </c>
      <c r="Q104" s="100" t="str">
        <f t="shared" si="17"/>
        <v>Cumple</v>
      </c>
      <c r="R104" s="162">
        <f>+SUMIF('2.BDN'!D:D,Table8[[#This Row],[MUNICIPIO]],'2.BDN'!L:L)</f>
        <v>0</v>
      </c>
      <c r="S104" s="162">
        <f>+SUMIF('2.BDN'!D:D,Table8[[#This Row],[MUNICIPIO]],'2.BDN'!O:O)</f>
        <v>0</v>
      </c>
      <c r="T104" s="162">
        <f>+Table8[[#This Row],[SUMATORIA DE PROYECTOS SIF]]+Table8[[#This Row],[SUMATORIA DE PROYECTOS SED]]</f>
        <v>0</v>
      </c>
      <c r="U104" s="165">
        <v>3182118631</v>
      </c>
      <c r="V104" s="165">
        <f>+Table8[[#This Row],[CAPACIDAD MAXIMA DE ENDEUDAMIENTO AL 60%]]*0.2</f>
        <v>3239083356.5344806</v>
      </c>
      <c r="W104" s="165">
        <v>3239083356.5344806</v>
      </c>
      <c r="X104" s="165">
        <f>+Table8[[#This Row],[APORTE GOB2]]+Table8[[#This Row],[CAPACIDAD MAXIMA DE ENDEUDAMIENTO AL 60%]]</f>
        <v>19434500139.206882</v>
      </c>
      <c r="Y104" s="165">
        <f>+Table8[[#This Row],[CAPACIDAD MAXIMA DE ENDEUDAMIENTO AL 60%]]+Table8[[#This Row],[APORTE GOB]]-Table8[[#This Row],[SUMA TOTAL]]</f>
        <v>19434500139.206882</v>
      </c>
    </row>
    <row r="105" spans="1:25">
      <c r="A105" s="97" t="s">
        <v>3</v>
      </c>
      <c r="B105" s="79" t="s">
        <v>369</v>
      </c>
      <c r="C105" s="73">
        <v>6</v>
      </c>
      <c r="D105" s="108">
        <v>13758623676.126001</v>
      </c>
      <c r="E105" s="108">
        <v>4170961872.3800001</v>
      </c>
      <c r="F105" s="109">
        <f t="shared" si="9"/>
        <v>9587661803.7460022</v>
      </c>
      <c r="G105" s="110">
        <v>5765015946</v>
      </c>
      <c r="H105" s="108">
        <v>0</v>
      </c>
      <c r="I105" s="109">
        <f t="shared" si="10"/>
        <v>5765015946</v>
      </c>
      <c r="J105" s="88">
        <f t="shared" si="11"/>
        <v>0.41901109309381507</v>
      </c>
      <c r="K105" s="116">
        <f t="shared" si="12"/>
        <v>7993607730.1260014</v>
      </c>
      <c r="L105" s="116">
        <f t="shared" si="13"/>
        <v>6394886184.1008015</v>
      </c>
      <c r="M105" s="116">
        <f t="shared" si="14"/>
        <v>4796164638.0756006</v>
      </c>
      <c r="N105" s="89">
        <f t="shared" si="15"/>
        <v>1</v>
      </c>
      <c r="O105" s="77">
        <v>0.61660684639206742</v>
      </c>
      <c r="P105" s="78">
        <f t="shared" si="16"/>
        <v>0.8</v>
      </c>
      <c r="Q105" s="100" t="str">
        <f t="shared" si="17"/>
        <v>Cumple</v>
      </c>
      <c r="R105" s="162">
        <f>+SUMIF('2.BDN'!D:D,Table8[[#This Row],[MUNICIPIO]],'2.BDN'!L:L)</f>
        <v>17994094753</v>
      </c>
      <c r="S105" s="162">
        <f>+SUMIF('2.BDN'!D:D,Table8[[#This Row],[MUNICIPIO]],'2.BDN'!O:O)</f>
        <v>0</v>
      </c>
      <c r="T105" s="162">
        <f>+Table8[[#This Row],[SUMATORIA DE PROYECTOS SIF]]+Table8[[#This Row],[SUMATORIA DE PROYECTOS SED]]</f>
        <v>17994094753</v>
      </c>
      <c r="U105" s="165">
        <v>18383180000</v>
      </c>
      <c r="V105" s="165">
        <f>+Table8[[#This Row],[CAPACIDAD MAXIMA DE ENDEUDAMIENTO AL 60%]]*0.2</f>
        <v>959232927.61512017</v>
      </c>
      <c r="W105" s="165">
        <v>959232927.61512017</v>
      </c>
      <c r="X105" s="165">
        <f>+Table8[[#This Row],[APORTE GOB2]]+Table8[[#This Row],[CAPACIDAD MAXIMA DE ENDEUDAMIENTO AL 60%]]</f>
        <v>5755397565.6907206</v>
      </c>
      <c r="Y105" s="165">
        <f>+Table8[[#This Row],[CAPACIDAD MAXIMA DE ENDEUDAMIENTO AL 60%]]+Table8[[#This Row],[APORTE GOB]]-Table8[[#This Row],[SUMA TOTAL]]</f>
        <v>-12238697187.30928</v>
      </c>
    </row>
    <row r="106" spans="1:25">
      <c r="A106" s="97" t="s">
        <v>3</v>
      </c>
      <c r="B106" s="73" t="s">
        <v>151</v>
      </c>
      <c r="C106" s="73">
        <v>2</v>
      </c>
      <c r="D106" s="108">
        <v>84858168955.287506</v>
      </c>
      <c r="E106" s="108">
        <v>27841707067.830002</v>
      </c>
      <c r="F106" s="109">
        <f t="shared" si="9"/>
        <v>57016461887.457504</v>
      </c>
      <c r="G106" s="110">
        <v>2326219324</v>
      </c>
      <c r="H106" s="108">
        <v>20000000000</v>
      </c>
      <c r="I106" s="109">
        <f t="shared" si="10"/>
        <v>22326219324</v>
      </c>
      <c r="J106" s="88">
        <f t="shared" si="11"/>
        <v>0.26310041329979528</v>
      </c>
      <c r="K106" s="116">
        <f t="shared" si="12"/>
        <v>62531949631.287506</v>
      </c>
      <c r="L106" s="116">
        <f t="shared" si="13"/>
        <v>50025559705.030006</v>
      </c>
      <c r="M106" s="116">
        <f t="shared" si="14"/>
        <v>37519169778.772499</v>
      </c>
      <c r="N106" s="89">
        <f t="shared" si="15"/>
        <v>0.10419226337615459</v>
      </c>
      <c r="O106" s="77">
        <v>0.29802786167909368</v>
      </c>
      <c r="P106" s="78">
        <f t="shared" si="16"/>
        <v>0.7</v>
      </c>
      <c r="Q106" s="100" t="str">
        <f t="shared" si="17"/>
        <v>Cumple</v>
      </c>
      <c r="R106" s="162">
        <f>+SUMIF('2.BDN'!D:D,Table8[[#This Row],[MUNICIPIO]],'2.BDN'!L:L)</f>
        <v>0</v>
      </c>
      <c r="S106" s="162">
        <f>+SUMIF('2.BDN'!D:D,Table8[[#This Row],[MUNICIPIO]],'2.BDN'!O:O)</f>
        <v>0</v>
      </c>
      <c r="T106" s="162">
        <f>+Table8[[#This Row],[SUMATORIA DE PROYECTOS SIF]]+Table8[[#This Row],[SUMATORIA DE PROYECTOS SED]]</f>
        <v>0</v>
      </c>
      <c r="U106" s="165">
        <v>7618024161</v>
      </c>
      <c r="V106" s="165">
        <f>+Table8[[#This Row],[CAPACIDAD MAXIMA DE ENDEUDAMIENTO AL 60%]]*0.2</f>
        <v>7503833955.7545004</v>
      </c>
      <c r="W106" s="165">
        <v>7503833955.7545004</v>
      </c>
      <c r="X106" s="165">
        <f>+Table8[[#This Row],[APORTE GOB2]]+Table8[[#This Row],[CAPACIDAD MAXIMA DE ENDEUDAMIENTO AL 60%]]</f>
        <v>45023003734.527</v>
      </c>
      <c r="Y106" s="165">
        <f>+Table8[[#This Row],[CAPACIDAD MAXIMA DE ENDEUDAMIENTO AL 60%]]+Table8[[#This Row],[APORTE GOB]]-Table8[[#This Row],[SUMA TOTAL]]</f>
        <v>45023003734.527</v>
      </c>
    </row>
    <row r="107" spans="1:25">
      <c r="A107" s="97" t="s">
        <v>20</v>
      </c>
      <c r="B107" s="73" t="s">
        <v>84</v>
      </c>
      <c r="C107" s="73">
        <v>5</v>
      </c>
      <c r="D107" s="108">
        <v>35695767669.016502</v>
      </c>
      <c r="E107" s="108">
        <v>13532488388.23</v>
      </c>
      <c r="F107" s="109">
        <f t="shared" si="9"/>
        <v>22163279280.786503</v>
      </c>
      <c r="G107" s="110">
        <v>1067761948</v>
      </c>
      <c r="H107" s="108">
        <v>4932032890</v>
      </c>
      <c r="I107" s="109">
        <f t="shared" si="10"/>
        <v>5999794838</v>
      </c>
      <c r="J107" s="88">
        <f t="shared" si="11"/>
        <v>0.16808140655867587</v>
      </c>
      <c r="K107" s="116">
        <f t="shared" si="12"/>
        <v>29695972831.016502</v>
      </c>
      <c r="L107" s="116">
        <f t="shared" si="13"/>
        <v>23756778264.813202</v>
      </c>
      <c r="M107" s="116">
        <f t="shared" si="14"/>
        <v>17817583698.609901</v>
      </c>
      <c r="N107" s="89">
        <f t="shared" si="15"/>
        <v>0.17796640999076777</v>
      </c>
      <c r="O107" s="77">
        <v>0.4016729815979605</v>
      </c>
      <c r="P107" s="78">
        <f t="shared" si="16"/>
        <v>0.8</v>
      </c>
      <c r="Q107" s="100" t="str">
        <f t="shared" si="17"/>
        <v>Cumple</v>
      </c>
      <c r="R107" s="162">
        <f>+SUMIF('2.BDN'!D:D,Table8[[#This Row],[MUNICIPIO]],'2.BDN'!L:L)</f>
        <v>67938338703</v>
      </c>
      <c r="S107" s="162">
        <f>+SUMIF('2.BDN'!D:D,Table8[[#This Row],[MUNICIPIO]],'2.BDN'!O:O)</f>
        <v>0</v>
      </c>
      <c r="T107" s="162">
        <f>+Table8[[#This Row],[SUMATORIA DE PROYECTOS SIF]]+Table8[[#This Row],[SUMATORIA DE PROYECTOS SED]]</f>
        <v>67938338703</v>
      </c>
      <c r="U107" s="165">
        <v>31834065392</v>
      </c>
      <c r="V107" s="165">
        <f>+Table8[[#This Row],[CAPACIDAD MAXIMA DE ENDEUDAMIENTO AL 60%]]*0.2</f>
        <v>3563516739.7219806</v>
      </c>
      <c r="W107" s="165">
        <v>3563516739.7219806</v>
      </c>
      <c r="X107" s="165">
        <f>+Table8[[#This Row],[APORTE GOB2]]+Table8[[#This Row],[CAPACIDAD MAXIMA DE ENDEUDAMIENTO AL 60%]]</f>
        <v>21381100438.331882</v>
      </c>
      <c r="Y107" s="165">
        <f>+Table8[[#This Row],[CAPACIDAD MAXIMA DE ENDEUDAMIENTO AL 60%]]+Table8[[#This Row],[APORTE GOB]]-Table8[[#This Row],[SUMA TOTAL]]</f>
        <v>-46557238264.668121</v>
      </c>
    </row>
    <row r="108" spans="1:25">
      <c r="A108" s="97" t="s">
        <v>47</v>
      </c>
      <c r="B108" s="73" t="s">
        <v>95</v>
      </c>
      <c r="C108" s="73">
        <v>6</v>
      </c>
      <c r="D108" s="108">
        <v>16347842057.745998</v>
      </c>
      <c r="E108" s="108">
        <v>7901643157.3299999</v>
      </c>
      <c r="F108" s="109">
        <f t="shared" si="9"/>
        <v>8446198900.4159985</v>
      </c>
      <c r="G108" s="110">
        <v>1620905965.8499999</v>
      </c>
      <c r="H108" s="108">
        <v>2416666620</v>
      </c>
      <c r="I108" s="109">
        <f t="shared" si="10"/>
        <v>4037572585.8499999</v>
      </c>
      <c r="J108" s="88">
        <f t="shared" si="11"/>
        <v>0.24697893285168493</v>
      </c>
      <c r="K108" s="116">
        <f t="shared" si="12"/>
        <v>12310269471.895998</v>
      </c>
      <c r="L108" s="116">
        <f t="shared" si="13"/>
        <v>9848215577.516798</v>
      </c>
      <c r="M108" s="116">
        <f t="shared" si="14"/>
        <v>7386161683.137599</v>
      </c>
      <c r="N108" s="89">
        <f t="shared" si="15"/>
        <v>0.40145556058375176</v>
      </c>
      <c r="O108" s="77">
        <v>0.5852153455768756</v>
      </c>
      <c r="P108" s="78">
        <f t="shared" si="16"/>
        <v>0.8</v>
      </c>
      <c r="Q108" s="100" t="str">
        <f t="shared" si="17"/>
        <v>Cumple</v>
      </c>
      <c r="R108" s="162">
        <f>+SUMIF('2.BDN'!D:D,Table8[[#This Row],[MUNICIPIO]],'2.BDN'!L:L)</f>
        <v>20809613049</v>
      </c>
      <c r="S108" s="162">
        <f>+SUMIF('2.BDN'!D:D,Table8[[#This Row],[MUNICIPIO]],'2.BDN'!O:O)</f>
        <v>0</v>
      </c>
      <c r="T108" s="162">
        <f>+Table8[[#This Row],[SUMATORIA DE PROYECTOS SIF]]+Table8[[#This Row],[SUMATORIA DE PROYECTOS SED]]</f>
        <v>20809613049</v>
      </c>
      <c r="U108" s="165">
        <v>34896745587</v>
      </c>
      <c r="V108" s="165">
        <f>+Table8[[#This Row],[CAPACIDAD MAXIMA DE ENDEUDAMIENTO AL 60%]]*0.2</f>
        <v>1477232336.6275198</v>
      </c>
      <c r="W108" s="165">
        <v>1477232336.6275198</v>
      </c>
      <c r="X108" s="165">
        <f>+Table8[[#This Row],[APORTE GOB2]]+Table8[[#This Row],[CAPACIDAD MAXIMA DE ENDEUDAMIENTO AL 60%]]</f>
        <v>8863394019.7651196</v>
      </c>
      <c r="Y108" s="165">
        <f>+Table8[[#This Row],[CAPACIDAD MAXIMA DE ENDEUDAMIENTO AL 60%]]+Table8[[#This Row],[APORTE GOB]]-Table8[[#This Row],[SUMA TOTAL]]</f>
        <v>-11946219029.23488</v>
      </c>
    </row>
    <row r="109" spans="1:25">
      <c r="A109" s="97" t="s">
        <v>22</v>
      </c>
      <c r="B109" s="73" t="s">
        <v>52</v>
      </c>
      <c r="C109" s="73">
        <v>6</v>
      </c>
      <c r="D109" s="108">
        <v>13939577899.640499</v>
      </c>
      <c r="E109" s="108">
        <v>5408645166.3600006</v>
      </c>
      <c r="F109" s="109">
        <f t="shared" si="9"/>
        <v>8530932733.2804985</v>
      </c>
      <c r="G109" s="110">
        <v>2408239973</v>
      </c>
      <c r="H109" s="108">
        <v>812109375</v>
      </c>
      <c r="I109" s="109">
        <f t="shared" si="10"/>
        <v>3220349348</v>
      </c>
      <c r="J109" s="88">
        <f t="shared" si="11"/>
        <v>0.23102201309001277</v>
      </c>
      <c r="K109" s="116">
        <f t="shared" si="12"/>
        <v>10719228551.640499</v>
      </c>
      <c r="L109" s="116">
        <f t="shared" si="13"/>
        <v>8575382841.3123999</v>
      </c>
      <c r="M109" s="116">
        <f t="shared" si="14"/>
        <v>6431537130.9842997</v>
      </c>
      <c r="N109" s="89">
        <f t="shared" si="15"/>
        <v>0.74781947942872684</v>
      </c>
      <c r="O109" s="77">
        <v>0.48148969869574604</v>
      </c>
      <c r="P109" s="78">
        <f t="shared" si="16"/>
        <v>0.8</v>
      </c>
      <c r="Q109" s="100" t="str">
        <f t="shared" si="17"/>
        <v>Cumple</v>
      </c>
      <c r="R109" s="162">
        <f>+SUMIF('2.BDN'!D:D,Table8[[#This Row],[MUNICIPIO]],'2.BDN'!L:L)</f>
        <v>18490016345</v>
      </c>
      <c r="S109" s="162">
        <f>+SUMIF('2.BDN'!D:D,Table8[[#This Row],[MUNICIPIO]],'2.BDN'!O:O)</f>
        <v>0</v>
      </c>
      <c r="T109" s="162">
        <f>+Table8[[#This Row],[SUMATORIA DE PROYECTOS SIF]]+Table8[[#This Row],[SUMATORIA DE PROYECTOS SED]]</f>
        <v>18490016345</v>
      </c>
      <c r="U109" s="165">
        <v>18913885007</v>
      </c>
      <c r="V109" s="165">
        <f>+Table8[[#This Row],[CAPACIDAD MAXIMA DE ENDEUDAMIENTO AL 60%]]*0.2</f>
        <v>1286307426.1968601</v>
      </c>
      <c r="W109" s="165">
        <v>1286307426.1968601</v>
      </c>
      <c r="X109" s="165">
        <f>+Table8[[#This Row],[APORTE GOB2]]+Table8[[#This Row],[CAPACIDAD MAXIMA DE ENDEUDAMIENTO AL 60%]]</f>
        <v>7717844557.18116</v>
      </c>
      <c r="Y109" s="165">
        <f>+Table8[[#This Row],[CAPACIDAD MAXIMA DE ENDEUDAMIENTO AL 60%]]+Table8[[#This Row],[APORTE GOB]]-Table8[[#This Row],[SUMA TOTAL]]</f>
        <v>-10772171787.81884</v>
      </c>
    </row>
    <row r="110" spans="1:25">
      <c r="A110" s="97" t="s">
        <v>44</v>
      </c>
      <c r="B110" s="73" t="s">
        <v>692</v>
      </c>
      <c r="C110" s="73">
        <v>6</v>
      </c>
      <c r="D110" s="108">
        <v>12386294028.284</v>
      </c>
      <c r="E110" s="108">
        <v>5371610026.9800005</v>
      </c>
      <c r="F110" s="109">
        <f t="shared" si="9"/>
        <v>7014684001.3039999</v>
      </c>
      <c r="G110" s="110">
        <v>1476389847</v>
      </c>
      <c r="H110" s="108">
        <v>1615533927.0799999</v>
      </c>
      <c r="I110" s="109">
        <f t="shared" si="10"/>
        <v>3091923774.0799999</v>
      </c>
      <c r="J110" s="88">
        <f t="shared" si="11"/>
        <v>0.24962460660304184</v>
      </c>
      <c r="K110" s="116">
        <f t="shared" si="12"/>
        <v>9294370254.2040005</v>
      </c>
      <c r="L110" s="116">
        <f t="shared" si="13"/>
        <v>7435496203.3632011</v>
      </c>
      <c r="M110" s="116">
        <f t="shared" si="14"/>
        <v>5576622152.5223999</v>
      </c>
      <c r="N110" s="89">
        <f t="shared" si="15"/>
        <v>0.47749878550589397</v>
      </c>
      <c r="O110" s="77">
        <v>0.88953529502502671</v>
      </c>
      <c r="P110" s="78">
        <f t="shared" si="16"/>
        <v>0.8</v>
      </c>
      <c r="Q110" s="100" t="str">
        <f t="shared" si="17"/>
        <v>Incumple</v>
      </c>
      <c r="R110" s="162">
        <f>+SUMIF('2.BDN'!D:D,Table8[[#This Row],[MUNICIPIO]],'2.BDN'!L:L)</f>
        <v>7222313981</v>
      </c>
      <c r="S110" s="162">
        <f>+SUMIF('2.BDN'!D:D,Table8[[#This Row],[MUNICIPIO]],'2.BDN'!O:O)</f>
        <v>0</v>
      </c>
      <c r="T110" s="162">
        <f>+Table8[[#This Row],[SUMATORIA DE PROYECTOS SIF]]+Table8[[#This Row],[SUMATORIA DE PROYECTOS SED]]</f>
        <v>7222313981</v>
      </c>
      <c r="U110" s="165">
        <v>5480000000</v>
      </c>
      <c r="V110" s="165">
        <f>+Table8[[#This Row],[CAPACIDAD MAXIMA DE ENDEUDAMIENTO AL 60%]]*0.2</f>
        <v>1115324430.5044801</v>
      </c>
      <c r="W110" s="165">
        <v>1115324430.5044801</v>
      </c>
      <c r="X110" s="165">
        <f>+Table8[[#This Row],[APORTE GOB2]]+Table8[[#This Row],[CAPACIDAD MAXIMA DE ENDEUDAMIENTO AL 60%]]</f>
        <v>6691946583.0268803</v>
      </c>
      <c r="Y110" s="165">
        <f>+Table8[[#This Row],[CAPACIDAD MAXIMA DE ENDEUDAMIENTO AL 60%]]+Table8[[#This Row],[APORTE GOB]]-Table8[[#This Row],[SUMA TOTAL]]</f>
        <v>-530367397.97311974</v>
      </c>
    </row>
    <row r="111" spans="1:25">
      <c r="A111" s="97" t="s">
        <v>22</v>
      </c>
      <c r="B111" s="73" t="s">
        <v>54</v>
      </c>
      <c r="C111" s="73">
        <v>6</v>
      </c>
      <c r="D111" s="108">
        <v>9297204605.9125004</v>
      </c>
      <c r="E111" s="108">
        <v>4650900904.1300001</v>
      </c>
      <c r="F111" s="109">
        <f t="shared" si="9"/>
        <v>4646303701.7825003</v>
      </c>
      <c r="G111" s="110">
        <v>1308996768</v>
      </c>
      <c r="H111" s="108">
        <v>0</v>
      </c>
      <c r="I111" s="109">
        <f t="shared" si="10"/>
        <v>1308996768</v>
      </c>
      <c r="J111" s="88">
        <f t="shared" si="11"/>
        <v>0.14079466070560084</v>
      </c>
      <c r="K111" s="116">
        <f t="shared" si="12"/>
        <v>7988207837.9125004</v>
      </c>
      <c r="L111" s="116">
        <f t="shared" si="13"/>
        <v>6390566270.3300009</v>
      </c>
      <c r="M111" s="116">
        <f t="shared" si="14"/>
        <v>4792924702.7475004</v>
      </c>
      <c r="N111" s="89">
        <f t="shared" si="15"/>
        <v>1</v>
      </c>
      <c r="O111" s="77">
        <v>0.67267671220391811</v>
      </c>
      <c r="P111" s="78">
        <f t="shared" si="16"/>
        <v>0.8</v>
      </c>
      <c r="Q111" s="100" t="str">
        <f t="shared" si="17"/>
        <v>Cumple</v>
      </c>
      <c r="R111" s="162">
        <f>+SUMIF('2.BDN'!D:D,Table8[[#This Row],[MUNICIPIO]],'2.BDN'!L:L)</f>
        <v>6969298165</v>
      </c>
      <c r="S111" s="162">
        <f>+SUMIF('2.BDN'!D:D,Table8[[#This Row],[MUNICIPIO]],'2.BDN'!O:O)</f>
        <v>0</v>
      </c>
      <c r="T111" s="162">
        <f>+Table8[[#This Row],[SUMATORIA DE PROYECTOS SIF]]+Table8[[#This Row],[SUMATORIA DE PROYECTOS SED]]</f>
        <v>6969298165</v>
      </c>
      <c r="U111" s="165">
        <v>7883311834</v>
      </c>
      <c r="V111" s="165">
        <f>+Table8[[#This Row],[CAPACIDAD MAXIMA DE ENDEUDAMIENTO AL 60%]]*0.2</f>
        <v>958584940.54950011</v>
      </c>
      <c r="W111" s="165">
        <v>958584940.54950011</v>
      </c>
      <c r="X111" s="165">
        <f>+Table8[[#This Row],[APORTE GOB2]]+Table8[[#This Row],[CAPACIDAD MAXIMA DE ENDEUDAMIENTO AL 60%]]</f>
        <v>5751509643.2970009</v>
      </c>
      <c r="Y111" s="165">
        <f>+Table8[[#This Row],[CAPACIDAD MAXIMA DE ENDEUDAMIENTO AL 60%]]+Table8[[#This Row],[APORTE GOB]]-Table8[[#This Row],[SUMA TOTAL]]</f>
        <v>-1217788521.7029991</v>
      </c>
    </row>
    <row r="112" spans="1:25">
      <c r="A112" s="97" t="s">
        <v>22</v>
      </c>
      <c r="B112" s="73" t="s">
        <v>146</v>
      </c>
      <c r="C112" s="73">
        <v>6</v>
      </c>
      <c r="D112" s="108">
        <v>11592686445.107998</v>
      </c>
      <c r="E112" s="108">
        <v>5670743725.9899998</v>
      </c>
      <c r="F112" s="109">
        <f t="shared" si="9"/>
        <v>5921942719.1179981</v>
      </c>
      <c r="G112" s="110">
        <v>1149558272.3800001</v>
      </c>
      <c r="H112" s="108">
        <v>1133660976</v>
      </c>
      <c r="I112" s="109">
        <f t="shared" si="10"/>
        <v>2283219248.3800001</v>
      </c>
      <c r="J112" s="88">
        <f t="shared" si="11"/>
        <v>0.19695342052001213</v>
      </c>
      <c r="K112" s="116">
        <f t="shared" si="12"/>
        <v>9309467196.7279968</v>
      </c>
      <c r="L112" s="116">
        <f t="shared" si="13"/>
        <v>7447573757.3823977</v>
      </c>
      <c r="M112" s="116">
        <f t="shared" si="14"/>
        <v>5585680318.0367975</v>
      </c>
      <c r="N112" s="89">
        <f t="shared" si="15"/>
        <v>0.50348133373334159</v>
      </c>
      <c r="O112" s="77">
        <v>0.69203788539600963</v>
      </c>
      <c r="P112" s="78">
        <f t="shared" si="16"/>
        <v>0.8</v>
      </c>
      <c r="Q112" s="100" t="str">
        <f t="shared" si="17"/>
        <v>Cumple</v>
      </c>
      <c r="R112" s="162">
        <f>+SUMIF('2.BDN'!D:D,Table8[[#This Row],[MUNICIPIO]],'2.BDN'!L:L)</f>
        <v>16459689295</v>
      </c>
      <c r="S112" s="162">
        <f>+SUMIF('2.BDN'!D:D,Table8[[#This Row],[MUNICIPIO]],'2.BDN'!O:O)</f>
        <v>0</v>
      </c>
      <c r="T112" s="162">
        <f>+Table8[[#This Row],[SUMATORIA DE PROYECTOS SIF]]+Table8[[#This Row],[SUMATORIA DE PROYECTOS SED]]</f>
        <v>16459689295</v>
      </c>
      <c r="U112" s="165">
        <v>24743364568.5</v>
      </c>
      <c r="V112" s="165">
        <f>+Table8[[#This Row],[CAPACIDAD MAXIMA DE ENDEUDAMIENTO AL 60%]]*0.2</f>
        <v>1117136063.6073596</v>
      </c>
      <c r="W112" s="165">
        <v>1117136063.6073596</v>
      </c>
      <c r="X112" s="165">
        <f>+Table8[[#This Row],[APORTE GOB2]]+Table8[[#This Row],[CAPACIDAD MAXIMA DE ENDEUDAMIENTO AL 60%]]</f>
        <v>6702816381.6441574</v>
      </c>
      <c r="Y112" s="165">
        <f>+Table8[[#This Row],[CAPACIDAD MAXIMA DE ENDEUDAMIENTO AL 60%]]+Table8[[#This Row],[APORTE GOB]]-Table8[[#This Row],[SUMA TOTAL]]</f>
        <v>-9756872913.3558426</v>
      </c>
    </row>
    <row r="113" spans="1:27">
      <c r="A113" s="98" t="s">
        <v>34</v>
      </c>
      <c r="B113" s="79" t="s">
        <v>884</v>
      </c>
      <c r="C113" s="73">
        <v>6</v>
      </c>
      <c r="D113" s="108">
        <v>11658945302.2845</v>
      </c>
      <c r="E113" s="108">
        <v>3873327651.4900002</v>
      </c>
      <c r="F113" s="109">
        <f t="shared" si="9"/>
        <v>7785617650.7945004</v>
      </c>
      <c r="G113" s="110">
        <v>358053435</v>
      </c>
      <c r="H113" s="108">
        <v>0</v>
      </c>
      <c r="I113" s="109">
        <f t="shared" si="10"/>
        <v>358053435</v>
      </c>
      <c r="J113" s="88">
        <f t="shared" si="11"/>
        <v>3.0710619675850231E-2</v>
      </c>
      <c r="K113" s="116">
        <f t="shared" si="12"/>
        <v>11300891867.2845</v>
      </c>
      <c r="L113" s="116">
        <f t="shared" si="13"/>
        <v>9040713493.8276005</v>
      </c>
      <c r="M113" s="116">
        <f t="shared" si="14"/>
        <v>6780535120.3706999</v>
      </c>
      <c r="N113" s="89">
        <f t="shared" si="15"/>
        <v>1</v>
      </c>
      <c r="O113" s="77">
        <v>0.73337464913949513</v>
      </c>
      <c r="P113" s="78">
        <f t="shared" si="16"/>
        <v>0.8</v>
      </c>
      <c r="Q113" s="100" t="str">
        <f t="shared" si="17"/>
        <v>Cumple</v>
      </c>
      <c r="R113" s="162">
        <f>+SUMIF('2.BDN'!D:D,Table8[[#This Row],[MUNICIPIO]],'2.BDN'!L:L)</f>
        <v>7958989235</v>
      </c>
      <c r="S113" s="162">
        <f>+SUMIF('2.BDN'!D:D,Table8[[#This Row],[MUNICIPIO]],'2.BDN'!O:O)</f>
        <v>0</v>
      </c>
      <c r="T113" s="162">
        <f>+Table8[[#This Row],[SUMATORIA DE PROYECTOS SIF]]+Table8[[#This Row],[SUMATORIA DE PROYECTOS SED]]</f>
        <v>7958989235</v>
      </c>
      <c r="U113" s="165">
        <v>0</v>
      </c>
      <c r="V113" s="165">
        <f>+Table8[[#This Row],[CAPACIDAD MAXIMA DE ENDEUDAMIENTO AL 60%]]*0.2</f>
        <v>1356107024.0741401</v>
      </c>
      <c r="W113" s="165">
        <v>1356107024.0741401</v>
      </c>
      <c r="X113" s="165">
        <f>+Table8[[#This Row],[APORTE GOB2]]+Table8[[#This Row],[CAPACIDAD MAXIMA DE ENDEUDAMIENTO AL 60%]]</f>
        <v>8136642144.4448395</v>
      </c>
      <c r="Y113" s="165">
        <f>+Table8[[#This Row],[CAPACIDAD MAXIMA DE ENDEUDAMIENTO AL 60%]]+Table8[[#This Row],[APORTE GOB]]-Table8[[#This Row],[SUMA TOTAL]]</f>
        <v>177652909.44483948</v>
      </c>
      <c r="Z113" s="83"/>
      <c r="AA113" s="83"/>
    </row>
    <row r="114" spans="1:27">
      <c r="A114" s="97" t="s">
        <v>37</v>
      </c>
      <c r="B114" s="73" t="s">
        <v>74</v>
      </c>
      <c r="C114" s="73">
        <v>5</v>
      </c>
      <c r="D114" s="108">
        <v>57277943756.629501</v>
      </c>
      <c r="E114" s="108">
        <v>34159399600.959999</v>
      </c>
      <c r="F114" s="109">
        <f t="shared" si="9"/>
        <v>23118544155.669502</v>
      </c>
      <c r="G114" s="110">
        <v>3450000000</v>
      </c>
      <c r="H114" s="108">
        <v>21452083665</v>
      </c>
      <c r="I114" s="109">
        <f t="shared" si="10"/>
        <v>24902083665</v>
      </c>
      <c r="J114" s="88">
        <f t="shared" si="11"/>
        <v>0.43475868775610099</v>
      </c>
      <c r="K114" s="116">
        <f t="shared" si="12"/>
        <v>32375860091.629501</v>
      </c>
      <c r="L114" s="116">
        <f t="shared" si="13"/>
        <v>25900688073.303604</v>
      </c>
      <c r="M114" s="116">
        <f t="shared" si="14"/>
        <v>19425516054.977699</v>
      </c>
      <c r="N114" s="89">
        <f t="shared" si="15"/>
        <v>0.13854262343712995</v>
      </c>
      <c r="O114" s="77">
        <v>0.87015152665365447</v>
      </c>
      <c r="P114" s="78">
        <f t="shared" si="16"/>
        <v>0.8</v>
      </c>
      <c r="Q114" s="100" t="str">
        <f t="shared" si="17"/>
        <v>Incumple</v>
      </c>
      <c r="R114" s="162">
        <f>+SUMIF('2.BDN'!D:D,Table8[[#This Row],[MUNICIPIO]],'2.BDN'!L:L)</f>
        <v>137363480275.7</v>
      </c>
      <c r="S114" s="162">
        <f>+SUMIF('2.BDN'!D:D,Table8[[#This Row],[MUNICIPIO]],'2.BDN'!O:O)</f>
        <v>0</v>
      </c>
      <c r="T114" s="162">
        <f>+Table8[[#This Row],[SUMATORIA DE PROYECTOS SIF]]+Table8[[#This Row],[SUMATORIA DE PROYECTOS SED]]</f>
        <v>137363480275.7</v>
      </c>
      <c r="U114" s="165">
        <v>60816954225</v>
      </c>
      <c r="V114" s="165">
        <f>+Table8[[#This Row],[CAPACIDAD MAXIMA DE ENDEUDAMIENTO AL 60%]]*0.2</f>
        <v>3885103210.9955401</v>
      </c>
      <c r="W114" s="165">
        <v>3885103210.9955401</v>
      </c>
      <c r="X114" s="165">
        <f>+Table8[[#This Row],[APORTE GOB2]]+Table8[[#This Row],[CAPACIDAD MAXIMA DE ENDEUDAMIENTO AL 60%]]</f>
        <v>23310619265.97324</v>
      </c>
      <c r="Y114" s="165">
        <f>+Table8[[#This Row],[CAPACIDAD MAXIMA DE ENDEUDAMIENTO AL 60%]]+Table8[[#This Row],[APORTE GOB]]-Table8[[#This Row],[SUMA TOTAL]]</f>
        <v>-114052861009.72676</v>
      </c>
    </row>
    <row r="115" spans="1:27">
      <c r="A115" s="97" t="s">
        <v>47</v>
      </c>
      <c r="B115" s="73" t="s">
        <v>260</v>
      </c>
      <c r="C115" s="73">
        <v>6</v>
      </c>
      <c r="D115" s="108">
        <v>9683475507.1875</v>
      </c>
      <c r="E115" s="108">
        <v>3083007311.46</v>
      </c>
      <c r="F115" s="109">
        <f t="shared" si="9"/>
        <v>6600468195.7275</v>
      </c>
      <c r="G115" s="110">
        <v>178661475</v>
      </c>
      <c r="H115" s="108">
        <v>2978048806</v>
      </c>
      <c r="I115" s="109">
        <f t="shared" si="10"/>
        <v>3156710281</v>
      </c>
      <c r="J115" s="88">
        <f t="shared" si="11"/>
        <v>0.32598939075716682</v>
      </c>
      <c r="K115" s="116">
        <f t="shared" si="12"/>
        <v>6526765226.1875</v>
      </c>
      <c r="L115" s="116">
        <f t="shared" si="13"/>
        <v>5221412180.9500008</v>
      </c>
      <c r="M115" s="116">
        <f t="shared" si="14"/>
        <v>3916059135.7124996</v>
      </c>
      <c r="N115" s="89">
        <f t="shared" si="15"/>
        <v>5.6597362157480804E-2</v>
      </c>
      <c r="O115" s="77">
        <v>0.64507007180798703</v>
      </c>
      <c r="P115" s="78">
        <f t="shared" si="16"/>
        <v>0.8</v>
      </c>
      <c r="Q115" s="100" t="str">
        <f t="shared" si="17"/>
        <v>Cumple</v>
      </c>
      <c r="R115" s="162">
        <f>+SUMIF('2.BDN'!D:D,Table8[[#This Row],[MUNICIPIO]],'2.BDN'!L:L)</f>
        <v>1958822896</v>
      </c>
      <c r="S115" s="162">
        <f>+SUMIF('2.BDN'!D:D,Table8[[#This Row],[MUNICIPIO]],'2.BDN'!O:O)</f>
        <v>0</v>
      </c>
      <c r="T115" s="162">
        <f>+Table8[[#This Row],[SUMATORIA DE PROYECTOS SIF]]+Table8[[#This Row],[SUMATORIA DE PROYECTOS SED]]</f>
        <v>1958822896</v>
      </c>
      <c r="U115" s="165">
        <v>3658822896</v>
      </c>
      <c r="V115" s="165">
        <f>+Table8[[#This Row],[CAPACIDAD MAXIMA DE ENDEUDAMIENTO AL 60%]]*0.2</f>
        <v>783211827.14249992</v>
      </c>
      <c r="W115" s="165">
        <v>783211827.14249992</v>
      </c>
      <c r="X115" s="165">
        <f>+Table8[[#This Row],[APORTE GOB2]]+Table8[[#This Row],[CAPACIDAD MAXIMA DE ENDEUDAMIENTO AL 60%]]</f>
        <v>4699270962.8549995</v>
      </c>
      <c r="Y115" s="165">
        <f>+Table8[[#This Row],[CAPACIDAD MAXIMA DE ENDEUDAMIENTO AL 60%]]+Table8[[#This Row],[APORTE GOB]]-Table8[[#This Row],[SUMA TOTAL]]</f>
        <v>2740448066.8549995</v>
      </c>
    </row>
    <row r="116" spans="1:27">
      <c r="A116" s="97" t="s">
        <v>22</v>
      </c>
      <c r="B116" s="73" t="s">
        <v>23</v>
      </c>
      <c r="C116" s="73">
        <v>6</v>
      </c>
      <c r="D116" s="108">
        <v>16589184003.816</v>
      </c>
      <c r="E116" s="108">
        <v>7984390195.2300005</v>
      </c>
      <c r="F116" s="109">
        <f t="shared" si="9"/>
        <v>8604793808.5859985</v>
      </c>
      <c r="G116" s="110">
        <v>1709535383</v>
      </c>
      <c r="H116" s="108">
        <v>1454838487</v>
      </c>
      <c r="I116" s="109">
        <f t="shared" si="10"/>
        <v>3164373870</v>
      </c>
      <c r="J116" s="88">
        <f t="shared" si="11"/>
        <v>0.19074921763916181</v>
      </c>
      <c r="K116" s="116">
        <f t="shared" si="12"/>
        <v>13424810133.816</v>
      </c>
      <c r="L116" s="116">
        <f t="shared" si="13"/>
        <v>10739848107.052801</v>
      </c>
      <c r="M116" s="116">
        <f t="shared" si="14"/>
        <v>8054886080.2895994</v>
      </c>
      <c r="N116" s="89">
        <f t="shared" si="15"/>
        <v>0.5402444379936685</v>
      </c>
      <c r="O116" s="77">
        <v>0.52370394920362784</v>
      </c>
      <c r="P116" s="78">
        <f t="shared" si="16"/>
        <v>0.8</v>
      </c>
      <c r="Q116" s="100" t="str">
        <f t="shared" si="17"/>
        <v>Cumple</v>
      </c>
      <c r="R116" s="162">
        <f>+SUMIF('2.BDN'!D:D,Table8[[#This Row],[MUNICIPIO]],'2.BDN'!L:L)</f>
        <v>17054308039</v>
      </c>
      <c r="S116" s="162">
        <f>+SUMIF('2.BDN'!D:D,Table8[[#This Row],[MUNICIPIO]],'2.BDN'!O:O)</f>
        <v>0</v>
      </c>
      <c r="T116" s="162">
        <f>+Table8[[#This Row],[SUMATORIA DE PROYECTOS SIF]]+Table8[[#This Row],[SUMATORIA DE PROYECTOS SED]]</f>
        <v>17054308039</v>
      </c>
      <c r="U116" s="165">
        <v>24528700909</v>
      </c>
      <c r="V116" s="165">
        <f>+Table8[[#This Row],[CAPACIDAD MAXIMA DE ENDEUDAMIENTO AL 60%]]*0.2</f>
        <v>1610977216.05792</v>
      </c>
      <c r="W116" s="165">
        <v>1610977216.05792</v>
      </c>
      <c r="X116" s="165">
        <f>+Table8[[#This Row],[APORTE GOB2]]+Table8[[#This Row],[CAPACIDAD MAXIMA DE ENDEUDAMIENTO AL 60%]]</f>
        <v>9665863296.3475189</v>
      </c>
      <c r="Y116" s="165">
        <f>+Table8[[#This Row],[CAPACIDAD MAXIMA DE ENDEUDAMIENTO AL 60%]]+Table8[[#This Row],[APORTE GOB]]-Table8[[#This Row],[SUMA TOTAL]]</f>
        <v>-7388444742.6524811</v>
      </c>
    </row>
    <row r="117" spans="1:27">
      <c r="A117" s="98" t="s">
        <v>34</v>
      </c>
      <c r="B117" s="79" t="s">
        <v>209</v>
      </c>
      <c r="C117" s="73">
        <v>6</v>
      </c>
      <c r="D117" s="108">
        <v>13037566833.207003</v>
      </c>
      <c r="E117" s="108">
        <v>3869989518.3099999</v>
      </c>
      <c r="F117" s="109">
        <f t="shared" si="9"/>
        <v>9167577314.8970032</v>
      </c>
      <c r="G117" s="110">
        <v>3761583922</v>
      </c>
      <c r="H117" s="108">
        <v>0</v>
      </c>
      <c r="I117" s="109">
        <f t="shared" si="10"/>
        <v>3761583922</v>
      </c>
      <c r="J117" s="88">
        <f t="shared" si="11"/>
        <v>0.28851886016178674</v>
      </c>
      <c r="K117" s="116">
        <f t="shared" si="12"/>
        <v>9275982911.2070026</v>
      </c>
      <c r="L117" s="116">
        <f t="shared" si="13"/>
        <v>7420786328.9656029</v>
      </c>
      <c r="M117" s="116">
        <f t="shared" si="14"/>
        <v>5565589746.7242012</v>
      </c>
      <c r="N117" s="89">
        <f t="shared" si="15"/>
        <v>1</v>
      </c>
      <c r="O117" s="77">
        <v>0.55776534569064784</v>
      </c>
      <c r="P117" s="78">
        <f t="shared" si="16"/>
        <v>0.8</v>
      </c>
      <c r="Q117" s="100" t="str">
        <f t="shared" si="17"/>
        <v>Cumple</v>
      </c>
      <c r="R117" s="162">
        <f>+SUMIF('2.BDN'!D:D,Table8[[#This Row],[MUNICIPIO]],'2.BDN'!L:L)</f>
        <v>7301880983.2800007</v>
      </c>
      <c r="S117" s="162">
        <f>+SUMIF('2.BDN'!D:D,Table8[[#This Row],[MUNICIPIO]],'2.BDN'!O:O)</f>
        <v>0</v>
      </c>
      <c r="T117" s="162">
        <f>+Table8[[#This Row],[SUMATORIA DE PROYECTOS SIF]]+Table8[[#This Row],[SUMATORIA DE PROYECTOS SED]]</f>
        <v>7301880983.2800007</v>
      </c>
      <c r="U117" s="165">
        <v>9921581372</v>
      </c>
      <c r="V117" s="165">
        <f>+Table8[[#This Row],[CAPACIDAD MAXIMA DE ENDEUDAMIENTO AL 60%]]*0.2</f>
        <v>1113117949.3448403</v>
      </c>
      <c r="W117" s="165">
        <v>1113117949.3448403</v>
      </c>
      <c r="X117" s="165">
        <f>+Table8[[#This Row],[APORTE GOB2]]+Table8[[#This Row],[CAPACIDAD MAXIMA DE ENDEUDAMIENTO AL 60%]]</f>
        <v>6678707696.0690413</v>
      </c>
      <c r="Y117" s="165">
        <f>+Table8[[#This Row],[CAPACIDAD MAXIMA DE ENDEUDAMIENTO AL 60%]]+Table8[[#This Row],[APORTE GOB]]-Table8[[#This Row],[SUMA TOTAL]]</f>
        <v>-623173287.21095943</v>
      </c>
    </row>
    <row r="118" spans="1:27">
      <c r="A118" s="97" t="s">
        <v>22</v>
      </c>
      <c r="B118" s="73" t="s">
        <v>90</v>
      </c>
      <c r="C118" s="73">
        <v>6</v>
      </c>
      <c r="D118" s="108">
        <v>6485715716.868001</v>
      </c>
      <c r="E118" s="108">
        <v>3717110032.7600002</v>
      </c>
      <c r="F118" s="109">
        <f t="shared" si="9"/>
        <v>2768605684.1080008</v>
      </c>
      <c r="G118" s="110">
        <v>598561755.20000005</v>
      </c>
      <c r="H118" s="108">
        <v>823222224</v>
      </c>
      <c r="I118" s="109">
        <f t="shared" si="10"/>
        <v>1421783979.2</v>
      </c>
      <c r="J118" s="88">
        <f t="shared" si="11"/>
        <v>0.21921774577665112</v>
      </c>
      <c r="K118" s="116">
        <f t="shared" si="12"/>
        <v>5063931737.6680012</v>
      </c>
      <c r="L118" s="116">
        <f t="shared" si="13"/>
        <v>4051145390.1344013</v>
      </c>
      <c r="M118" s="116">
        <f t="shared" si="14"/>
        <v>3038359042.6008005</v>
      </c>
      <c r="N118" s="89">
        <f t="shared" si="15"/>
        <v>0.42099345889155032</v>
      </c>
      <c r="O118" s="77">
        <v>0.68598337343648785</v>
      </c>
      <c r="P118" s="78">
        <f t="shared" si="16"/>
        <v>0.8</v>
      </c>
      <c r="Q118" s="100" t="str">
        <f t="shared" si="17"/>
        <v>Cumple</v>
      </c>
      <c r="R118" s="162">
        <f>+SUMIF('2.BDN'!D:D,Table8[[#This Row],[MUNICIPIO]],'2.BDN'!L:L)</f>
        <v>5347367173</v>
      </c>
      <c r="S118" s="162">
        <f>+SUMIF('2.BDN'!D:D,Table8[[#This Row],[MUNICIPIO]],'2.BDN'!O:O)</f>
        <v>0</v>
      </c>
      <c r="T118" s="162">
        <f>+Table8[[#This Row],[SUMATORIA DE PROYECTOS SIF]]+Table8[[#This Row],[SUMATORIA DE PROYECTOS SED]]</f>
        <v>5347367173</v>
      </c>
      <c r="U118" s="165">
        <v>6589802341.6000004</v>
      </c>
      <c r="V118" s="165">
        <f>+Table8[[#This Row],[CAPACIDAD MAXIMA DE ENDEUDAMIENTO AL 60%]]*0.2</f>
        <v>607671808.52016008</v>
      </c>
      <c r="W118" s="165">
        <v>607671808.52016008</v>
      </c>
      <c r="X118" s="165">
        <f>+Table8[[#This Row],[APORTE GOB2]]+Table8[[#This Row],[CAPACIDAD MAXIMA DE ENDEUDAMIENTO AL 60%]]</f>
        <v>3646030851.1209607</v>
      </c>
      <c r="Y118" s="165">
        <f>+Table8[[#This Row],[CAPACIDAD MAXIMA DE ENDEUDAMIENTO AL 60%]]+Table8[[#This Row],[APORTE GOB]]-Table8[[#This Row],[SUMA TOTAL]]</f>
        <v>-1701336321.8790393</v>
      </c>
    </row>
    <row r="119" spans="1:27">
      <c r="A119" s="97" t="s">
        <v>3</v>
      </c>
      <c r="B119" s="73" t="s">
        <v>4</v>
      </c>
      <c r="C119" s="73">
        <v>6</v>
      </c>
      <c r="D119" s="108">
        <v>14438255937.0725</v>
      </c>
      <c r="E119" s="108">
        <v>4668200945.8400002</v>
      </c>
      <c r="F119" s="109">
        <f t="shared" si="9"/>
        <v>9770054991.2325001</v>
      </c>
      <c r="G119" s="110">
        <v>2534414723</v>
      </c>
      <c r="H119" s="108"/>
      <c r="I119" s="109">
        <f t="shared" si="10"/>
        <v>2534414723</v>
      </c>
      <c r="J119" s="88">
        <f t="shared" si="11"/>
        <v>0.17553468604836753</v>
      </c>
      <c r="K119" s="116">
        <f t="shared" si="12"/>
        <v>11903841214.0725</v>
      </c>
      <c r="L119" s="116">
        <f t="shared" si="13"/>
        <v>9523072971.2580013</v>
      </c>
      <c r="M119" s="116">
        <f t="shared" si="14"/>
        <v>7142304728.4434996</v>
      </c>
      <c r="N119" s="89">
        <f t="shared" si="15"/>
        <v>1</v>
      </c>
      <c r="O119" s="77">
        <v>0.5148707777903756</v>
      </c>
      <c r="P119" s="78">
        <f t="shared" si="16"/>
        <v>0.8</v>
      </c>
      <c r="Q119" s="100" t="str">
        <f t="shared" si="17"/>
        <v>Cumple</v>
      </c>
      <c r="R119" s="162">
        <f>+SUMIF('2.BDN'!D:D,Table8[[#This Row],[MUNICIPIO]],'2.BDN'!L:L)</f>
        <v>7470010822</v>
      </c>
      <c r="S119" s="162">
        <f>+SUMIF('2.BDN'!D:D,Table8[[#This Row],[MUNICIPIO]],'2.BDN'!O:O)</f>
        <v>0</v>
      </c>
      <c r="T119" s="162">
        <f>+Table8[[#This Row],[SUMATORIA DE PROYECTOS SIF]]+Table8[[#This Row],[SUMATORIA DE PROYECTOS SED]]</f>
        <v>7470010822</v>
      </c>
      <c r="U119" s="165">
        <v>10436333367</v>
      </c>
      <c r="V119" s="165">
        <f>+Table8[[#This Row],[CAPACIDAD MAXIMA DE ENDEUDAMIENTO AL 60%]]*0.2</f>
        <v>1428460945.6887</v>
      </c>
      <c r="W119" s="165">
        <v>1428460945.6887</v>
      </c>
      <c r="X119" s="165">
        <f>+Table8[[#This Row],[APORTE GOB2]]+Table8[[#This Row],[CAPACIDAD MAXIMA DE ENDEUDAMIENTO AL 60%]]</f>
        <v>8570765674.1321993</v>
      </c>
      <c r="Y119" s="165">
        <f>+Table8[[#This Row],[CAPACIDAD MAXIMA DE ENDEUDAMIENTO AL 60%]]+Table8[[#This Row],[APORTE GOB]]-Table8[[#This Row],[SUMA TOTAL]]</f>
        <v>1100754852.1321993</v>
      </c>
    </row>
    <row r="120" spans="1:27">
      <c r="A120" s="97" t="s">
        <v>22</v>
      </c>
      <c r="B120" s="73" t="s">
        <v>281</v>
      </c>
      <c r="C120" s="73">
        <v>6</v>
      </c>
      <c r="D120" s="108">
        <v>12522207884.799</v>
      </c>
      <c r="E120" s="108">
        <v>6810462569.46</v>
      </c>
      <c r="F120" s="109">
        <f t="shared" si="9"/>
        <v>5711745315.3389997</v>
      </c>
      <c r="G120" s="110">
        <v>0</v>
      </c>
      <c r="H120" s="108">
        <v>0</v>
      </c>
      <c r="I120" s="109">
        <f t="shared" si="10"/>
        <v>0</v>
      </c>
      <c r="J120" s="88">
        <f t="shared" si="11"/>
        <v>0</v>
      </c>
      <c r="K120" s="116">
        <f t="shared" si="12"/>
        <v>12522207884.799</v>
      </c>
      <c r="L120" s="116">
        <f t="shared" si="13"/>
        <v>10017766307.839201</v>
      </c>
      <c r="M120" s="116">
        <f t="shared" si="14"/>
        <v>7513324730.8793993</v>
      </c>
      <c r="N120" s="89">
        <f t="shared" si="15"/>
        <v>0</v>
      </c>
      <c r="O120" s="77">
        <v>0.68767493145996073</v>
      </c>
      <c r="P120" s="78">
        <f t="shared" si="16"/>
        <v>0.8</v>
      </c>
      <c r="Q120" s="100" t="str">
        <f t="shared" si="17"/>
        <v>Cumple</v>
      </c>
      <c r="R120" s="162">
        <f>+SUMIF('2.BDN'!D:D,Table8[[#This Row],[MUNICIPIO]],'2.BDN'!L:L)</f>
        <v>39502442672</v>
      </c>
      <c r="S120" s="162">
        <f>+SUMIF('2.BDN'!D:D,Table8[[#This Row],[MUNICIPIO]],'2.BDN'!O:O)</f>
        <v>0</v>
      </c>
      <c r="T120" s="162">
        <f>+Table8[[#This Row],[SUMATORIA DE PROYECTOS SIF]]+Table8[[#This Row],[SUMATORIA DE PROYECTOS SED]]</f>
        <v>39502442672</v>
      </c>
      <c r="U120" s="165">
        <v>7478151095.1999998</v>
      </c>
      <c r="V120" s="165">
        <f>+Table8[[#This Row],[CAPACIDAD MAXIMA DE ENDEUDAMIENTO AL 60%]]*0.2</f>
        <v>1502664946.17588</v>
      </c>
      <c r="W120" s="165">
        <v>1502664946.17588</v>
      </c>
      <c r="X120" s="165">
        <f>+Table8[[#This Row],[APORTE GOB2]]+Table8[[#This Row],[CAPACIDAD MAXIMA DE ENDEUDAMIENTO AL 60%]]</f>
        <v>9015989677.0552788</v>
      </c>
      <c r="Y120" s="165">
        <f>+Table8[[#This Row],[CAPACIDAD MAXIMA DE ENDEUDAMIENTO AL 60%]]+Table8[[#This Row],[APORTE GOB]]-Table8[[#This Row],[SUMA TOTAL]]</f>
        <v>-30486452994.944721</v>
      </c>
      <c r="Z120" s="80">
        <v>5</v>
      </c>
      <c r="AA120" s="76">
        <v>0.8</v>
      </c>
    </row>
    <row r="121" spans="1:27">
      <c r="A121" s="97" t="s">
        <v>37</v>
      </c>
      <c r="B121" s="73" t="s">
        <v>148</v>
      </c>
      <c r="C121" s="73">
        <v>6</v>
      </c>
      <c r="D121" s="108">
        <v>18943215673.273502</v>
      </c>
      <c r="E121" s="108">
        <v>6022595389.6999998</v>
      </c>
      <c r="F121" s="109">
        <f t="shared" si="9"/>
        <v>12920620283.573502</v>
      </c>
      <c r="G121" s="110">
        <v>4570267145</v>
      </c>
      <c r="H121" s="108"/>
      <c r="I121" s="109">
        <f t="shared" si="10"/>
        <v>4570267145</v>
      </c>
      <c r="J121" s="88">
        <f t="shared" si="11"/>
        <v>0.24126142170508424</v>
      </c>
      <c r="K121" s="116">
        <f t="shared" si="12"/>
        <v>14372948528.273502</v>
      </c>
      <c r="L121" s="116">
        <f t="shared" si="13"/>
        <v>11498358822.618803</v>
      </c>
      <c r="M121" s="116">
        <f t="shared" si="14"/>
        <v>8623769116.9641018</v>
      </c>
      <c r="N121" s="89">
        <f t="shared" si="15"/>
        <v>1</v>
      </c>
      <c r="O121" s="77">
        <v>0.63532752805182191</v>
      </c>
      <c r="P121" s="78">
        <f t="shared" si="16"/>
        <v>0.8</v>
      </c>
      <c r="Q121" s="100" t="str">
        <f t="shared" si="17"/>
        <v>Cumple</v>
      </c>
      <c r="R121" s="162">
        <f>+SUMIF('2.BDN'!D:D,Table8[[#This Row],[MUNICIPIO]],'2.BDN'!L:L)</f>
        <v>24400375441</v>
      </c>
      <c r="S121" s="162">
        <f>+SUMIF('2.BDN'!D:D,Table8[[#This Row],[MUNICIPIO]],'2.BDN'!O:O)</f>
        <v>0</v>
      </c>
      <c r="T121" s="162">
        <f>+Table8[[#This Row],[SUMATORIA DE PROYECTOS SIF]]+Table8[[#This Row],[SUMATORIA DE PROYECTOS SED]]</f>
        <v>24400375441</v>
      </c>
      <c r="U121" s="165">
        <v>11571440470</v>
      </c>
      <c r="V121" s="165">
        <f>+Table8[[#This Row],[CAPACIDAD MAXIMA DE ENDEUDAMIENTO AL 60%]]*0.2</f>
        <v>1724753823.3928204</v>
      </c>
      <c r="W121" s="165">
        <v>1724753823.3928204</v>
      </c>
      <c r="X121" s="165">
        <f>+Table8[[#This Row],[APORTE GOB2]]+Table8[[#This Row],[CAPACIDAD MAXIMA DE ENDEUDAMIENTO AL 60%]]</f>
        <v>10348522940.356922</v>
      </c>
      <c r="Y121" s="165">
        <f>+Table8[[#This Row],[CAPACIDAD MAXIMA DE ENDEUDAMIENTO AL 60%]]+Table8[[#This Row],[APORTE GOB]]-Table8[[#This Row],[SUMA TOTAL]]</f>
        <v>-14051852500.643078</v>
      </c>
    </row>
    <row r="122" spans="1:27">
      <c r="A122" s="97" t="s">
        <v>3</v>
      </c>
      <c r="B122" s="73" t="s">
        <v>645</v>
      </c>
      <c r="C122" s="73">
        <v>6</v>
      </c>
      <c r="D122" s="108">
        <v>8242883516.8785</v>
      </c>
      <c r="E122" s="108">
        <v>3016955550.77</v>
      </c>
      <c r="F122" s="109">
        <f t="shared" si="9"/>
        <v>5225927966.1084995</v>
      </c>
      <c r="G122" s="110">
        <v>1780602025</v>
      </c>
      <c r="H122" s="108">
        <v>0</v>
      </c>
      <c r="I122" s="109">
        <f t="shared" si="10"/>
        <v>1780602025</v>
      </c>
      <c r="J122" s="88">
        <f t="shared" si="11"/>
        <v>0.2160168855175448</v>
      </c>
      <c r="K122" s="116">
        <f t="shared" si="12"/>
        <v>6462281491.8785</v>
      </c>
      <c r="L122" s="116">
        <f t="shared" si="13"/>
        <v>5169825193.5028</v>
      </c>
      <c r="M122" s="116">
        <f t="shared" si="14"/>
        <v>3877368895.1271</v>
      </c>
      <c r="N122" s="89">
        <f t="shared" si="15"/>
        <v>1</v>
      </c>
      <c r="O122" s="77">
        <v>0.64988265281416979</v>
      </c>
      <c r="P122" s="78">
        <f t="shared" si="16"/>
        <v>0.8</v>
      </c>
      <c r="Q122" s="100" t="str">
        <f t="shared" si="17"/>
        <v>Cumple</v>
      </c>
      <c r="R122" s="162">
        <f>+SUMIF('2.BDN'!D:D,Table8[[#This Row],[MUNICIPIO]],'2.BDN'!L:L)</f>
        <v>2673121142</v>
      </c>
      <c r="S122" s="162">
        <f>+SUMIF('2.BDN'!D:D,Table8[[#This Row],[MUNICIPIO]],'2.BDN'!O:O)</f>
        <v>0</v>
      </c>
      <c r="T122" s="162">
        <f>+Table8[[#This Row],[SUMATORIA DE PROYECTOS SIF]]+Table8[[#This Row],[SUMATORIA DE PROYECTOS SED]]</f>
        <v>2673121142</v>
      </c>
      <c r="U122" s="165">
        <v>4358750000</v>
      </c>
      <c r="V122" s="165">
        <f>+Table8[[#This Row],[CAPACIDAD MAXIMA DE ENDEUDAMIENTO AL 60%]]*0.2</f>
        <v>775473779.02542007</v>
      </c>
      <c r="W122" s="165">
        <v>775473779.02542007</v>
      </c>
      <c r="X122" s="165">
        <f>+Table8[[#This Row],[APORTE GOB2]]+Table8[[#This Row],[CAPACIDAD MAXIMA DE ENDEUDAMIENTO AL 60%]]</f>
        <v>4652842674.1525202</v>
      </c>
      <c r="Y122" s="165">
        <f>+Table8[[#This Row],[CAPACIDAD MAXIMA DE ENDEUDAMIENTO AL 60%]]+Table8[[#This Row],[APORTE GOB]]-Table8[[#This Row],[SUMA TOTAL]]</f>
        <v>1979721532.1525202</v>
      </c>
    </row>
    <row r="123" spans="1:27">
      <c r="A123" s="98" t="s">
        <v>34</v>
      </c>
      <c r="B123" s="79" t="s">
        <v>120</v>
      </c>
      <c r="C123" s="73">
        <v>5</v>
      </c>
      <c r="D123" s="108">
        <v>36204719778.619003</v>
      </c>
      <c r="E123" s="108">
        <v>11082623753.610001</v>
      </c>
      <c r="F123" s="109">
        <f t="shared" si="9"/>
        <v>25122096025.009003</v>
      </c>
      <c r="G123" s="110">
        <v>1291156679</v>
      </c>
      <c r="H123" s="108">
        <v>12320355879.07</v>
      </c>
      <c r="I123" s="109">
        <f t="shared" si="10"/>
        <v>13611512558.07</v>
      </c>
      <c r="J123" s="88">
        <f t="shared" si="11"/>
        <v>0.37595961635113639</v>
      </c>
      <c r="K123" s="116">
        <f t="shared" si="12"/>
        <v>22593207220.549004</v>
      </c>
      <c r="L123" s="116">
        <f t="shared" si="13"/>
        <v>18074565776.439205</v>
      </c>
      <c r="M123" s="116">
        <f t="shared" si="14"/>
        <v>13555924332.329401</v>
      </c>
      <c r="N123" s="89">
        <f t="shared" si="15"/>
        <v>9.4857692963336279E-2</v>
      </c>
      <c r="O123" s="77">
        <v>0.39053077044629697</v>
      </c>
      <c r="P123" s="78">
        <f t="shared" si="16"/>
        <v>0.8</v>
      </c>
      <c r="Q123" s="100" t="str">
        <f t="shared" si="17"/>
        <v>Cumple</v>
      </c>
      <c r="R123" s="162">
        <f>+SUMIF('2.BDN'!D:D,Table8[[#This Row],[MUNICIPIO]],'2.BDN'!L:L)</f>
        <v>208678936704</v>
      </c>
      <c r="S123" s="162">
        <f>+SUMIF('2.BDN'!D:D,Table8[[#This Row],[MUNICIPIO]],'2.BDN'!O:O)</f>
        <v>0</v>
      </c>
      <c r="T123" s="162">
        <f>+Table8[[#This Row],[SUMATORIA DE PROYECTOS SIF]]+Table8[[#This Row],[SUMATORIA DE PROYECTOS SED]]</f>
        <v>208678936704</v>
      </c>
      <c r="U123" s="165">
        <v>12087781213</v>
      </c>
      <c r="V123" s="165">
        <f>+Table8[[#This Row],[CAPACIDAD MAXIMA DE ENDEUDAMIENTO AL 60%]]*0.2</f>
        <v>2711184866.4658804</v>
      </c>
      <c r="W123" s="165">
        <v>2711184866.4658804</v>
      </c>
      <c r="X123" s="165">
        <f>+Table8[[#This Row],[APORTE GOB2]]+Table8[[#This Row],[CAPACIDAD MAXIMA DE ENDEUDAMIENTO AL 60%]]</f>
        <v>16267109198.79528</v>
      </c>
      <c r="Y123" s="165">
        <f>+Table8[[#This Row],[CAPACIDAD MAXIMA DE ENDEUDAMIENTO AL 60%]]+Table8[[#This Row],[APORTE GOB]]-Table8[[#This Row],[SUMA TOTAL]]</f>
        <v>-192411827505.20471</v>
      </c>
    </row>
    <row r="124" spans="1:27">
      <c r="A124" s="97" t="s">
        <v>3</v>
      </c>
      <c r="B124" s="73" t="s">
        <v>67</v>
      </c>
      <c r="C124" s="73">
        <v>6</v>
      </c>
      <c r="D124" s="108">
        <v>18632663202.9925</v>
      </c>
      <c r="E124" s="108">
        <v>4332293517.3299999</v>
      </c>
      <c r="F124" s="109">
        <f t="shared" si="9"/>
        <v>14300369685.6625</v>
      </c>
      <c r="G124" s="110">
        <v>3970281006</v>
      </c>
      <c r="H124" s="108">
        <v>1500000000</v>
      </c>
      <c r="I124" s="109">
        <f t="shared" si="10"/>
        <v>5470281006</v>
      </c>
      <c r="J124" s="88">
        <f t="shared" si="11"/>
        <v>0.29358556779588252</v>
      </c>
      <c r="K124" s="116">
        <f t="shared" si="12"/>
        <v>13162382196.9925</v>
      </c>
      <c r="L124" s="116">
        <f t="shared" si="13"/>
        <v>10529905757.594002</v>
      </c>
      <c r="M124" s="116">
        <f t="shared" si="14"/>
        <v>7897429318.1954994</v>
      </c>
      <c r="N124" s="89">
        <f t="shared" si="15"/>
        <v>0.72579105198531002</v>
      </c>
      <c r="O124" s="77">
        <v>0.44683077557401057</v>
      </c>
      <c r="P124" s="78">
        <f t="shared" si="16"/>
        <v>0.8</v>
      </c>
      <c r="Q124" s="100" t="str">
        <f t="shared" si="17"/>
        <v>Cumple</v>
      </c>
      <c r="R124" s="162">
        <f>+SUMIF('2.BDN'!D:D,Table8[[#This Row],[MUNICIPIO]],'2.BDN'!L:L)</f>
        <v>7365756344</v>
      </c>
      <c r="S124" s="162">
        <f>+SUMIF('2.BDN'!D:D,Table8[[#This Row],[MUNICIPIO]],'2.BDN'!O:O)</f>
        <v>0</v>
      </c>
      <c r="T124" s="162">
        <f>+Table8[[#This Row],[SUMATORIA DE PROYECTOS SIF]]+Table8[[#This Row],[SUMATORIA DE PROYECTOS SED]]</f>
        <v>7365756344</v>
      </c>
      <c r="U124" s="165">
        <v>20687979830</v>
      </c>
      <c r="V124" s="165">
        <f>+Table8[[#This Row],[CAPACIDAD MAXIMA DE ENDEUDAMIENTO AL 60%]]*0.2</f>
        <v>1579485863.6391001</v>
      </c>
      <c r="W124" s="165">
        <v>1579485863.6391001</v>
      </c>
      <c r="X124" s="165">
        <f>+Table8[[#This Row],[APORTE GOB2]]+Table8[[#This Row],[CAPACIDAD MAXIMA DE ENDEUDAMIENTO AL 60%]]</f>
        <v>9476915181.8345985</v>
      </c>
      <c r="Y124" s="165">
        <f>+Table8[[#This Row],[CAPACIDAD MAXIMA DE ENDEUDAMIENTO AL 60%]]+Table8[[#This Row],[APORTE GOB]]-Table8[[#This Row],[SUMA TOTAL]]</f>
        <v>2111158837.8345985</v>
      </c>
    </row>
    <row r="125" spans="1:27">
      <c r="A125" s="97" t="s">
        <v>892</v>
      </c>
      <c r="B125" s="73" t="s">
        <v>339</v>
      </c>
      <c r="C125" s="73">
        <v>6</v>
      </c>
      <c r="D125" s="108">
        <v>30235702409.850498</v>
      </c>
      <c r="E125" s="108">
        <v>8068276995.0799999</v>
      </c>
      <c r="F125" s="109">
        <f t="shared" si="9"/>
        <v>22167425414.7705</v>
      </c>
      <c r="G125" s="110">
        <v>0</v>
      </c>
      <c r="H125" s="108">
        <v>0</v>
      </c>
      <c r="I125" s="109">
        <f t="shared" si="10"/>
        <v>0</v>
      </c>
      <c r="J125" s="88">
        <f t="shared" si="11"/>
        <v>0</v>
      </c>
      <c r="K125" s="116">
        <f t="shared" si="12"/>
        <v>30235702409.850498</v>
      </c>
      <c r="L125" s="116">
        <f t="shared" si="13"/>
        <v>24188561927.880402</v>
      </c>
      <c r="M125" s="116">
        <f t="shared" si="14"/>
        <v>18141421445.910297</v>
      </c>
      <c r="N125" s="89">
        <f t="shared" si="15"/>
        <v>0</v>
      </c>
      <c r="O125" s="77">
        <v>0.48110149713114325</v>
      </c>
      <c r="P125" s="78">
        <f t="shared" si="16"/>
        <v>0.8</v>
      </c>
      <c r="Q125" s="100" t="str">
        <f t="shared" si="17"/>
        <v>Cumple</v>
      </c>
      <c r="R125" s="162">
        <f>+SUMIF('2.BDN'!D:D,Table8[[#This Row],[MUNICIPIO]],'2.BDN'!L:L)</f>
        <v>8421048083</v>
      </c>
      <c r="S125" s="162">
        <f>+SUMIF('2.BDN'!D:D,Table8[[#This Row],[MUNICIPIO]],'2.BDN'!O:O)</f>
        <v>0</v>
      </c>
      <c r="T125" s="162">
        <f>+Table8[[#This Row],[SUMATORIA DE PROYECTOS SIF]]+Table8[[#This Row],[SUMATORIA DE PROYECTOS SED]]</f>
        <v>8421048083</v>
      </c>
      <c r="U125" s="165">
        <v>0</v>
      </c>
      <c r="V125" s="165">
        <f>+Table8[[#This Row],[CAPACIDAD MAXIMA DE ENDEUDAMIENTO AL 60%]]*0.2</f>
        <v>3628284289.1820598</v>
      </c>
      <c r="W125" s="165">
        <v>3628284289.1820598</v>
      </c>
      <c r="X125" s="165">
        <f>+Table8[[#This Row],[APORTE GOB2]]+Table8[[#This Row],[CAPACIDAD MAXIMA DE ENDEUDAMIENTO AL 60%]]</f>
        <v>21769705735.092358</v>
      </c>
      <c r="Y125" s="165">
        <f>+Table8[[#This Row],[CAPACIDAD MAXIMA DE ENDEUDAMIENTO AL 60%]]+Table8[[#This Row],[APORTE GOB]]-Table8[[#This Row],[SUMA TOTAL]]</f>
        <v>13348657652.092358</v>
      </c>
      <c r="Z125" s="81">
        <v>6</v>
      </c>
      <c r="AA125" s="76">
        <v>0.8</v>
      </c>
    </row>
    <row r="126" spans="1:27">
      <c r="A126" s="101" t="s">
        <v>44</v>
      </c>
      <c r="B126" s="102" t="s">
        <v>200</v>
      </c>
      <c r="C126" s="102">
        <v>6</v>
      </c>
      <c r="D126" s="113">
        <v>26491016162.216</v>
      </c>
      <c r="E126" s="113">
        <v>7986352410.1199999</v>
      </c>
      <c r="F126" s="114">
        <f t="shared" si="9"/>
        <v>18504663752.096001</v>
      </c>
      <c r="G126" s="115">
        <v>6804069561</v>
      </c>
      <c r="H126" s="113"/>
      <c r="I126" s="114">
        <f t="shared" si="10"/>
        <v>6804069561</v>
      </c>
      <c r="J126" s="103">
        <f t="shared" si="11"/>
        <v>0.25684441545525194</v>
      </c>
      <c r="K126" s="117">
        <f t="shared" si="12"/>
        <v>19686946601.216</v>
      </c>
      <c r="L126" s="117">
        <f t="shared" si="13"/>
        <v>15749557280.972801</v>
      </c>
      <c r="M126" s="117">
        <f t="shared" si="14"/>
        <v>11812167960.729599</v>
      </c>
      <c r="N126" s="104">
        <f t="shared" si="15"/>
        <v>1</v>
      </c>
      <c r="O126" s="105">
        <v>0.54140540347070121</v>
      </c>
      <c r="P126" s="106">
        <f t="shared" si="16"/>
        <v>0.8</v>
      </c>
      <c r="Q126" s="107" t="str">
        <f t="shared" si="17"/>
        <v>Cumple</v>
      </c>
      <c r="R126" s="162">
        <f>+SUMIF('2.BDN'!D:D,Table8[[#This Row],[MUNICIPIO]],'2.BDN'!L:L)</f>
        <v>29891207190</v>
      </c>
      <c r="S126" s="162">
        <f>+SUMIF('2.BDN'!D:D,Table8[[#This Row],[MUNICIPIO]],'2.BDN'!O:O)</f>
        <v>0</v>
      </c>
      <c r="T126" s="162">
        <f>+Table8[[#This Row],[SUMATORIA DE PROYECTOS SIF]]+Table8[[#This Row],[SUMATORIA DE PROYECTOS SED]]</f>
        <v>29891207190</v>
      </c>
      <c r="U126" s="165">
        <v>23556827376</v>
      </c>
      <c r="V126" s="165">
        <f>+Table8[[#This Row],[CAPACIDAD MAXIMA DE ENDEUDAMIENTO AL 60%]]*0.2</f>
        <v>2362433592.1459198</v>
      </c>
      <c r="W126" s="165">
        <v>2362433592.1459198</v>
      </c>
      <c r="X126" s="165">
        <f>+Table8[[#This Row],[APORTE GOB2]]+Table8[[#This Row],[CAPACIDAD MAXIMA DE ENDEUDAMIENTO AL 60%]]</f>
        <v>14174601552.875519</v>
      </c>
      <c r="Y126" s="165">
        <f>+Table8[[#This Row],[CAPACIDAD MAXIMA DE ENDEUDAMIENTO AL 60%]]+Table8[[#This Row],[APORTE GOB]]-Table8[[#This Row],[SUMA TOTAL]]</f>
        <v>-15716605637.124481</v>
      </c>
    </row>
  </sheetData>
  <phoneticPr fontId="11" type="noConversion"/>
  <conditionalFormatting sqref="J2:J126">
    <cfRule type="cellIs" dxfId="5" priority="1" operator="lessThan">
      <formula>0.8</formula>
    </cfRule>
    <cfRule type="cellIs" dxfId="4" priority="2" operator="greaterThan">
      <formula>0.8</formula>
    </cfRule>
  </conditionalFormatting>
  <conditionalFormatting sqref="Q2:Q126">
    <cfRule type="cellIs" dxfId="3" priority="3" operator="equal">
      <formula>"Riesgo"</formula>
    </cfRule>
    <cfRule type="cellIs" dxfId="2" priority="4" operator="equal">
      <formula>"Cumple"</formula>
    </cfRule>
    <cfRule type="cellIs" dxfId="1" priority="5" operator="equal">
      <formula>"Incumple"</formula>
    </cfRule>
  </conditionalFormatting>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E767E-A511-4A73-B2F5-1D2591E43F63}">
  <sheetPr>
    <tabColor rgb="FF7030A0"/>
  </sheetPr>
  <dimension ref="A1:F108"/>
  <sheetViews>
    <sheetView zoomScaleNormal="100" workbookViewId="0">
      <selection activeCell="F7" sqref="F7"/>
    </sheetView>
  </sheetViews>
  <sheetFormatPr baseColWidth="10" defaultColWidth="9.140625" defaultRowHeight="15"/>
  <cols>
    <col min="1" max="1" width="60.85546875" style="28" customWidth="1"/>
    <col min="2" max="2" width="24.140625" bestFit="1" customWidth="1"/>
    <col min="3" max="3" width="23.5703125" style="28" bestFit="1" customWidth="1"/>
    <col min="4" max="5" width="23.5703125" style="28" customWidth="1"/>
    <col min="6" max="6" width="23.42578125" customWidth="1"/>
    <col min="7" max="7" width="21.42578125" bestFit="1" customWidth="1"/>
    <col min="8" max="8" width="18.7109375" bestFit="1" customWidth="1"/>
    <col min="9" max="9" width="19.7109375" bestFit="1" customWidth="1"/>
    <col min="10" max="10" width="34.42578125" bestFit="1" customWidth="1"/>
  </cols>
  <sheetData>
    <row r="1" spans="1:6">
      <c r="A1"/>
    </row>
    <row r="2" spans="1:6">
      <c r="A2" s="136" t="s">
        <v>389</v>
      </c>
      <c r="B2" s="137">
        <v>3</v>
      </c>
    </row>
    <row r="3" spans="1:6">
      <c r="A3" s="136" t="s">
        <v>949</v>
      </c>
      <c r="B3" s="126" t="s">
        <v>938</v>
      </c>
    </row>
    <row r="4" spans="1:6">
      <c r="A4" s="136" t="s">
        <v>946</v>
      </c>
      <c r="B4" s="126" t="s">
        <v>938</v>
      </c>
    </row>
    <row r="6" spans="1:6" ht="45">
      <c r="A6" s="141" t="s">
        <v>950</v>
      </c>
      <c r="B6" s="31" t="s">
        <v>1131</v>
      </c>
      <c r="C6" s="31" t="s">
        <v>1132</v>
      </c>
      <c r="D6" s="160" t="s">
        <v>1133</v>
      </c>
      <c r="E6" s="160" t="s">
        <v>1134</v>
      </c>
      <c r="F6" s="160" t="s">
        <v>1129</v>
      </c>
    </row>
    <row r="7" spans="1:6">
      <c r="A7" s="127" t="s">
        <v>32</v>
      </c>
      <c r="B7" s="135" t="e">
        <v>#NAME?</v>
      </c>
      <c r="C7" s="135">
        <v>7836603591.7691994</v>
      </c>
      <c r="D7" s="159">
        <f>+C7*0.2</f>
        <v>1567320718.3538399</v>
      </c>
      <c r="E7" s="159">
        <f>+C7+D7</f>
        <v>9403924310.1230392</v>
      </c>
      <c r="F7" s="159" t="e">
        <f>+IF(C7="","",C7-B7)</f>
        <v>#NAME?</v>
      </c>
    </row>
    <row r="8" spans="1:6">
      <c r="A8" s="127" t="s">
        <v>70</v>
      </c>
      <c r="B8" s="135" t="e">
        <v>#NAME?</v>
      </c>
      <c r="C8" s="135">
        <v>4721836557.4560003</v>
      </c>
      <c r="D8" s="159">
        <f t="shared" ref="D8:D58" si="0">+C8*0.2</f>
        <v>944367311.49120009</v>
      </c>
      <c r="E8" s="159">
        <f t="shared" ref="E8:E58" si="1">+C8+D8</f>
        <v>5666203868.9472008</v>
      </c>
      <c r="F8" s="159" t="e">
        <f t="shared" ref="F8:F58" si="2">+IF(C8="","",C8-B8)</f>
        <v>#NAME?</v>
      </c>
    </row>
    <row r="9" spans="1:6">
      <c r="A9" s="127" t="s">
        <v>92</v>
      </c>
      <c r="B9" s="135" t="e">
        <v>#NAME?</v>
      </c>
      <c r="C9" s="135">
        <v>8657012868.1971016</v>
      </c>
      <c r="D9" s="159">
        <f t="shared" si="0"/>
        <v>1731402573.6394205</v>
      </c>
      <c r="E9" s="159">
        <f t="shared" si="1"/>
        <v>10388415441.836521</v>
      </c>
      <c r="F9" s="159" t="e">
        <f t="shared" si="2"/>
        <v>#NAME?</v>
      </c>
    </row>
    <row r="10" spans="1:6">
      <c r="A10" s="127" t="s">
        <v>216</v>
      </c>
      <c r="B10" s="135" t="e">
        <v>#NAME?</v>
      </c>
      <c r="C10" s="135">
        <v>7560143357.3699999</v>
      </c>
      <c r="D10" s="159">
        <f t="shared" si="0"/>
        <v>1512028671.474</v>
      </c>
      <c r="E10" s="159">
        <f t="shared" si="1"/>
        <v>9072172028.8439999</v>
      </c>
      <c r="F10" s="159" t="e">
        <f t="shared" si="2"/>
        <v>#NAME?</v>
      </c>
    </row>
    <row r="11" spans="1:6">
      <c r="A11" s="127" t="s">
        <v>465</v>
      </c>
      <c r="B11" s="135" t="e">
        <v>#NAME?</v>
      </c>
      <c r="C11" s="135">
        <v>3530525968.4627995</v>
      </c>
      <c r="D11" s="159">
        <f t="shared" si="0"/>
        <v>706105193.69255996</v>
      </c>
      <c r="E11" s="159">
        <f t="shared" si="1"/>
        <v>4236631162.1553593</v>
      </c>
      <c r="F11" s="159" t="e">
        <f t="shared" si="2"/>
        <v>#NAME?</v>
      </c>
    </row>
    <row r="12" spans="1:6">
      <c r="A12" s="127" t="s">
        <v>477</v>
      </c>
      <c r="B12" s="135" t="e">
        <v>#NAME?</v>
      </c>
      <c r="C12" s="135">
        <v>4803063136.5323992</v>
      </c>
      <c r="D12" s="159">
        <f t="shared" si="0"/>
        <v>960612627.30647993</v>
      </c>
      <c r="E12" s="159">
        <f t="shared" si="1"/>
        <v>5763675763.8388786</v>
      </c>
      <c r="F12" s="159" t="e">
        <f t="shared" si="2"/>
        <v>#NAME?</v>
      </c>
    </row>
    <row r="13" spans="1:6">
      <c r="A13" s="127" t="s">
        <v>468</v>
      </c>
      <c r="B13" s="135" t="e">
        <v>#NAME?</v>
      </c>
      <c r="C13" s="135">
        <v>8714701156.7157021</v>
      </c>
      <c r="D13" s="159">
        <f t="shared" si="0"/>
        <v>1742940231.3431406</v>
      </c>
      <c r="E13" s="159">
        <f t="shared" si="1"/>
        <v>10457641388.058842</v>
      </c>
      <c r="F13" s="159" t="e">
        <f t="shared" si="2"/>
        <v>#NAME?</v>
      </c>
    </row>
    <row r="14" spans="1:6">
      <c r="A14" s="127" t="s">
        <v>168</v>
      </c>
      <c r="B14" s="135" t="e">
        <v>#NAME?</v>
      </c>
      <c r="C14" s="135">
        <v>3579550866.5675998</v>
      </c>
      <c r="D14" s="159">
        <f t="shared" si="0"/>
        <v>715910173.31351995</v>
      </c>
      <c r="E14" s="159">
        <f t="shared" si="1"/>
        <v>4295461039.8811197</v>
      </c>
      <c r="F14" s="159" t="e">
        <f t="shared" si="2"/>
        <v>#NAME?</v>
      </c>
    </row>
    <row r="15" spans="1:6">
      <c r="A15" s="137" t="s">
        <v>111</v>
      </c>
      <c r="B15" s="135" t="e">
        <v>#NAME?</v>
      </c>
      <c r="C15" s="135">
        <v>10382101566.028807</v>
      </c>
      <c r="D15" s="159">
        <f t="shared" si="0"/>
        <v>2076420313.2057614</v>
      </c>
      <c r="E15" s="159">
        <f t="shared" si="1"/>
        <v>12458521879.234568</v>
      </c>
      <c r="F15" s="159" t="e">
        <f t="shared" si="2"/>
        <v>#NAME?</v>
      </c>
    </row>
    <row r="16" spans="1:6">
      <c r="A16" s="127" t="s">
        <v>193</v>
      </c>
      <c r="B16" s="135" t="e">
        <v>#NAME?</v>
      </c>
      <c r="C16" s="135">
        <v>8470131252.2543993</v>
      </c>
      <c r="D16" s="159">
        <f t="shared" si="0"/>
        <v>1694026250.4508801</v>
      </c>
      <c r="E16" s="159">
        <f t="shared" si="1"/>
        <v>10164157502.70528</v>
      </c>
      <c r="F16" s="159" t="e">
        <f t="shared" si="2"/>
        <v>#NAME?</v>
      </c>
    </row>
    <row r="17" spans="1:6">
      <c r="A17" s="127" t="s">
        <v>141</v>
      </c>
      <c r="B17" s="135" t="e">
        <v>#NAME?</v>
      </c>
      <c r="C17" s="135">
        <v>3890339264.0045996</v>
      </c>
      <c r="D17" s="159">
        <f t="shared" si="0"/>
        <v>778067852.80092001</v>
      </c>
      <c r="E17" s="159">
        <f t="shared" si="1"/>
        <v>4668407116.8055191</v>
      </c>
      <c r="F17" s="159" t="e">
        <f t="shared" si="2"/>
        <v>#NAME?</v>
      </c>
    </row>
    <row r="18" spans="1:6">
      <c r="A18" s="137" t="s">
        <v>15</v>
      </c>
      <c r="B18" s="135" t="e">
        <v>#NAME?</v>
      </c>
      <c r="C18" s="135">
        <v>24928343917.8699</v>
      </c>
      <c r="D18" s="159">
        <f t="shared" si="0"/>
        <v>4985668783.5739803</v>
      </c>
      <c r="E18" s="159">
        <f t="shared" si="1"/>
        <v>29914012701.443878</v>
      </c>
      <c r="F18" s="159" t="e">
        <f t="shared" si="2"/>
        <v>#NAME?</v>
      </c>
    </row>
    <row r="19" spans="1:6">
      <c r="A19" s="127" t="s">
        <v>341</v>
      </c>
      <c r="B19" s="135" t="e">
        <v>#NAME?</v>
      </c>
      <c r="C19" s="135">
        <v>4105981265.4024</v>
      </c>
      <c r="D19" s="159">
        <f t="shared" si="0"/>
        <v>821196253.0804801</v>
      </c>
      <c r="E19" s="159">
        <f t="shared" si="1"/>
        <v>4927177518.4828796</v>
      </c>
      <c r="F19" s="159" t="e">
        <f t="shared" si="2"/>
        <v>#NAME?</v>
      </c>
    </row>
    <row r="20" spans="1:6">
      <c r="A20" s="127" t="s">
        <v>127</v>
      </c>
      <c r="B20" s="135" t="e">
        <v>#NAME?</v>
      </c>
      <c r="C20" s="135">
        <v>4535108654.9301004</v>
      </c>
      <c r="D20" s="159">
        <f t="shared" si="0"/>
        <v>907021730.98602009</v>
      </c>
      <c r="E20" s="159">
        <f t="shared" si="1"/>
        <v>5442130385.9161205</v>
      </c>
      <c r="F20" s="159" t="e">
        <f t="shared" si="2"/>
        <v>#NAME?</v>
      </c>
    </row>
    <row r="21" spans="1:6">
      <c r="A21" s="137" t="s">
        <v>337</v>
      </c>
      <c r="B21" s="135" t="e">
        <v>#NAME?</v>
      </c>
      <c r="C21" s="135">
        <v>6686489289.5726995</v>
      </c>
      <c r="D21" s="159">
        <f t="shared" si="0"/>
        <v>1337297857.9145401</v>
      </c>
      <c r="E21" s="159">
        <f t="shared" si="1"/>
        <v>8023787147.4872398</v>
      </c>
      <c r="F21" s="159" t="e">
        <f t="shared" si="2"/>
        <v>#NAME?</v>
      </c>
    </row>
    <row r="22" spans="1:6">
      <c r="A22" s="127" t="s">
        <v>136</v>
      </c>
      <c r="B22" s="135" t="e">
        <v>#NAME?</v>
      </c>
      <c r="C22" s="135">
        <v>6423107998.4322004</v>
      </c>
      <c r="D22" s="159">
        <f t="shared" si="0"/>
        <v>1284621599.6864402</v>
      </c>
      <c r="E22" s="159">
        <f t="shared" si="1"/>
        <v>7707729598.1186409</v>
      </c>
      <c r="F22" s="159" t="e">
        <f t="shared" si="2"/>
        <v>#NAME?</v>
      </c>
    </row>
    <row r="23" spans="1:6">
      <c r="A23" s="137" t="s">
        <v>574</v>
      </c>
      <c r="B23" s="135" t="e">
        <v>#NAME?</v>
      </c>
      <c r="C23" s="135">
        <v>12524698321.0431</v>
      </c>
      <c r="D23" s="159">
        <f t="shared" si="0"/>
        <v>2504939664.2086201</v>
      </c>
      <c r="E23" s="159">
        <f t="shared" si="1"/>
        <v>15029637985.25172</v>
      </c>
      <c r="F23" s="159" t="e">
        <f t="shared" si="2"/>
        <v>#NAME?</v>
      </c>
    </row>
    <row r="24" spans="1:6">
      <c r="A24" s="127" t="s">
        <v>191</v>
      </c>
      <c r="B24" s="135" t="e">
        <v>#NAME?</v>
      </c>
      <c r="C24" s="135">
        <v>4416624809.6175003</v>
      </c>
      <c r="D24" s="159">
        <f t="shared" si="0"/>
        <v>883324961.92350006</v>
      </c>
      <c r="E24" s="159">
        <f t="shared" si="1"/>
        <v>5299949771.5410004</v>
      </c>
      <c r="F24" s="159" t="e">
        <f t="shared" si="2"/>
        <v>#NAME?</v>
      </c>
    </row>
    <row r="25" spans="1:6">
      <c r="A25" s="127" t="s">
        <v>448</v>
      </c>
      <c r="B25" s="135" t="e">
        <v>#NAME?</v>
      </c>
      <c r="C25" s="135">
        <v>4149985945.8626995</v>
      </c>
      <c r="D25" s="159">
        <f t="shared" si="0"/>
        <v>829997189.17253995</v>
      </c>
      <c r="E25" s="159">
        <f t="shared" si="1"/>
        <v>4979983135.0352392</v>
      </c>
      <c r="F25" s="159" t="e">
        <f t="shared" si="2"/>
        <v>#NAME?</v>
      </c>
    </row>
    <row r="26" spans="1:6">
      <c r="A26" s="127" t="s">
        <v>286</v>
      </c>
      <c r="B26" s="135" t="e">
        <v>#NAME?</v>
      </c>
      <c r="C26" s="135">
        <v>3435744117.4499998</v>
      </c>
      <c r="D26" s="159">
        <f t="shared" si="0"/>
        <v>687148823.49000001</v>
      </c>
      <c r="E26" s="159">
        <f t="shared" si="1"/>
        <v>4122892940.9399996</v>
      </c>
      <c r="F26" s="159" t="e">
        <f t="shared" si="2"/>
        <v>#NAME?</v>
      </c>
    </row>
    <row r="27" spans="1:6">
      <c r="A27" s="127" t="s">
        <v>182</v>
      </c>
      <c r="B27" s="135" t="e">
        <v>#NAME?</v>
      </c>
      <c r="C27" s="135">
        <v>8456264615.0741997</v>
      </c>
      <c r="D27" s="159">
        <f t="shared" si="0"/>
        <v>1691252923.0148401</v>
      </c>
      <c r="E27" s="159">
        <f t="shared" si="1"/>
        <v>10147517538.089039</v>
      </c>
      <c r="F27" s="159" t="e">
        <f t="shared" si="2"/>
        <v>#NAME?</v>
      </c>
    </row>
    <row r="28" spans="1:6">
      <c r="A28" s="137" t="s">
        <v>359</v>
      </c>
      <c r="B28" s="135" t="e">
        <v>#NAME?</v>
      </c>
      <c r="C28" s="135">
        <v>1614983780.2233002</v>
      </c>
      <c r="D28" s="159">
        <f t="shared" si="0"/>
        <v>322996756.04466009</v>
      </c>
      <c r="E28" s="159">
        <f t="shared" si="1"/>
        <v>1937980536.2679603</v>
      </c>
      <c r="F28" s="159" t="e">
        <f t="shared" si="2"/>
        <v>#NAME?</v>
      </c>
    </row>
    <row r="29" spans="1:6">
      <c r="A29" s="127" t="s">
        <v>38</v>
      </c>
      <c r="B29" s="135" t="e">
        <v>#NAME?</v>
      </c>
      <c r="C29" s="135">
        <v>15067281834.195601</v>
      </c>
      <c r="D29" s="159">
        <f t="shared" si="0"/>
        <v>3013456366.8391204</v>
      </c>
      <c r="E29" s="159">
        <f t="shared" si="1"/>
        <v>18080738201.034721</v>
      </c>
      <c r="F29" s="159" t="e">
        <f t="shared" si="2"/>
        <v>#NAME?</v>
      </c>
    </row>
    <row r="30" spans="1:6">
      <c r="A30" s="127" t="s">
        <v>45</v>
      </c>
      <c r="B30" s="135" t="e">
        <v>#NAME?</v>
      </c>
      <c r="C30" s="135">
        <v>25723247457.998096</v>
      </c>
      <c r="D30" s="159">
        <f t="shared" si="0"/>
        <v>5144649491.5996199</v>
      </c>
      <c r="E30" s="159">
        <f t="shared" si="1"/>
        <v>30867896949.597717</v>
      </c>
      <c r="F30" s="159" t="e">
        <f t="shared" si="2"/>
        <v>#NAME?</v>
      </c>
    </row>
    <row r="31" spans="1:6">
      <c r="A31" s="127" t="s">
        <v>118</v>
      </c>
      <c r="B31" s="135" t="e">
        <v>#NAME?</v>
      </c>
      <c r="C31" s="135">
        <v>15749592971.400902</v>
      </c>
      <c r="D31" s="159">
        <f t="shared" si="0"/>
        <v>3149918594.2801805</v>
      </c>
      <c r="E31" s="159">
        <f t="shared" si="1"/>
        <v>18899511565.681084</v>
      </c>
      <c r="F31" s="159" t="e">
        <f t="shared" si="2"/>
        <v>#NAME?</v>
      </c>
    </row>
    <row r="32" spans="1:6">
      <c r="A32" s="127" t="s">
        <v>244</v>
      </c>
      <c r="B32" s="135" t="e">
        <v>#NAME?</v>
      </c>
      <c r="C32" s="135">
        <v>5255858191.3851004</v>
      </c>
      <c r="D32" s="159">
        <f t="shared" si="0"/>
        <v>1051171638.2770201</v>
      </c>
      <c r="E32" s="159">
        <f t="shared" si="1"/>
        <v>6307029829.6621208</v>
      </c>
      <c r="F32" s="159" t="e">
        <f t="shared" si="2"/>
        <v>#NAME?</v>
      </c>
    </row>
    <row r="33" spans="1:6">
      <c r="A33" s="137" t="s">
        <v>223</v>
      </c>
      <c r="B33" s="135" t="e">
        <v>#NAME?</v>
      </c>
      <c r="C33" s="135">
        <v>8331643130.2302017</v>
      </c>
      <c r="D33" s="159">
        <f t="shared" si="0"/>
        <v>1666328626.0460405</v>
      </c>
      <c r="E33" s="159">
        <f t="shared" si="1"/>
        <v>9997971756.2762413</v>
      </c>
      <c r="F33" s="159" t="e">
        <f t="shared" si="2"/>
        <v>#NAME?</v>
      </c>
    </row>
    <row r="34" spans="1:6">
      <c r="A34" s="127" t="s">
        <v>125</v>
      </c>
      <c r="B34" s="135" t="e">
        <v>#NAME?</v>
      </c>
      <c r="C34" s="135">
        <v>7109330692.1078997</v>
      </c>
      <c r="D34" s="159">
        <f t="shared" si="0"/>
        <v>1421866138.4215801</v>
      </c>
      <c r="E34" s="159">
        <f t="shared" si="1"/>
        <v>8531196830.52948</v>
      </c>
      <c r="F34" s="159" t="e">
        <f t="shared" si="2"/>
        <v>#NAME?</v>
      </c>
    </row>
    <row r="35" spans="1:6">
      <c r="A35" s="137" t="s">
        <v>444</v>
      </c>
      <c r="B35" s="135" t="e">
        <v>#NAME?</v>
      </c>
      <c r="C35" s="135">
        <v>8365572647.0789995</v>
      </c>
      <c r="D35" s="159">
        <f t="shared" si="0"/>
        <v>1673114529.4158001</v>
      </c>
      <c r="E35" s="159">
        <f t="shared" si="1"/>
        <v>10038687176.494801</v>
      </c>
      <c r="F35" s="159" t="e">
        <f t="shared" si="2"/>
        <v>#NAME?</v>
      </c>
    </row>
    <row r="36" spans="1:6">
      <c r="A36" s="127" t="s">
        <v>362</v>
      </c>
      <c r="B36" s="135" t="e">
        <v>#NAME?</v>
      </c>
      <c r="C36" s="135">
        <v>9223454723.1203995</v>
      </c>
      <c r="D36" s="159">
        <f t="shared" si="0"/>
        <v>1844690944.6240799</v>
      </c>
      <c r="E36" s="159">
        <f t="shared" si="1"/>
        <v>11068145667.74448</v>
      </c>
      <c r="F36" s="159" t="e">
        <f t="shared" si="2"/>
        <v>#NAME?</v>
      </c>
    </row>
    <row r="37" spans="1:6">
      <c r="A37" s="127" t="s">
        <v>35</v>
      </c>
      <c r="B37" s="135" t="e">
        <v>#NAME?</v>
      </c>
      <c r="C37" s="135">
        <v>8958364197.3237</v>
      </c>
      <c r="D37" s="159">
        <f t="shared" si="0"/>
        <v>1791672839.46474</v>
      </c>
      <c r="E37" s="159">
        <f t="shared" si="1"/>
        <v>10750037036.788441</v>
      </c>
      <c r="F37" s="159" t="e">
        <f t="shared" si="2"/>
        <v>#NAME?</v>
      </c>
    </row>
    <row r="38" spans="1:6">
      <c r="A38" s="127" t="s">
        <v>170</v>
      </c>
      <c r="B38" s="135" t="e">
        <v>#NAME?</v>
      </c>
      <c r="C38" s="135">
        <v>19853404445.6259</v>
      </c>
      <c r="D38" s="159">
        <f t="shared" si="0"/>
        <v>3970680889.1251802</v>
      </c>
      <c r="E38" s="159">
        <f t="shared" si="1"/>
        <v>23824085334.75108</v>
      </c>
      <c r="F38" s="159" t="e">
        <f t="shared" si="2"/>
        <v>#NAME?</v>
      </c>
    </row>
    <row r="39" spans="1:6">
      <c r="A39" s="127" t="s">
        <v>211</v>
      </c>
      <c r="B39" s="135" t="e">
        <v>#NAME?</v>
      </c>
      <c r="C39" s="135">
        <v>31811149536.068848</v>
      </c>
      <c r="D39" s="159">
        <f t="shared" si="0"/>
        <v>6362229907.2137699</v>
      </c>
      <c r="E39" s="159">
        <f t="shared" si="1"/>
        <v>38173379443.282616</v>
      </c>
      <c r="F39" s="159" t="e">
        <f t="shared" si="2"/>
        <v>#NAME?</v>
      </c>
    </row>
    <row r="40" spans="1:6">
      <c r="A40" s="127" t="s">
        <v>332</v>
      </c>
      <c r="B40" s="135" t="e">
        <v>#NAME?</v>
      </c>
      <c r="C40" s="135">
        <v>14012511199.860001</v>
      </c>
      <c r="D40" s="159">
        <f t="shared" si="0"/>
        <v>2802502239.9720001</v>
      </c>
      <c r="E40" s="159">
        <f t="shared" si="1"/>
        <v>16815013439.832001</v>
      </c>
      <c r="F40" s="159" t="e">
        <f t="shared" si="2"/>
        <v>#NAME?</v>
      </c>
    </row>
    <row r="41" spans="1:6">
      <c r="A41" s="127" t="s">
        <v>323</v>
      </c>
      <c r="B41" s="135" t="e">
        <v>#NAME?</v>
      </c>
      <c r="C41" s="135">
        <v>41512203365.817001</v>
      </c>
      <c r="D41" s="159">
        <f t="shared" si="0"/>
        <v>8302440673.1634007</v>
      </c>
      <c r="E41" s="159">
        <f t="shared" si="1"/>
        <v>49814644038.9804</v>
      </c>
      <c r="F41" s="159" t="e">
        <f t="shared" si="2"/>
        <v>#NAME?</v>
      </c>
    </row>
    <row r="42" spans="1:6">
      <c r="A42" s="127" t="s">
        <v>208</v>
      </c>
      <c r="B42" s="135" t="e">
        <v>#NAME?</v>
      </c>
      <c r="C42" s="135">
        <v>12590078461.389299</v>
      </c>
      <c r="D42" s="159">
        <f t="shared" si="0"/>
        <v>2518015692.2778602</v>
      </c>
      <c r="E42" s="159">
        <f t="shared" si="1"/>
        <v>15108094153.66716</v>
      </c>
      <c r="F42" s="159" t="e">
        <f t="shared" si="2"/>
        <v>#NAME?</v>
      </c>
    </row>
    <row r="43" spans="1:6">
      <c r="A43" s="127" t="s">
        <v>326</v>
      </c>
      <c r="B43" s="135" t="e">
        <v>#NAME?</v>
      </c>
      <c r="C43" s="135">
        <v>8276670630.956398</v>
      </c>
      <c r="D43" s="159">
        <f t="shared" si="0"/>
        <v>1655334126.1912796</v>
      </c>
      <c r="E43" s="159">
        <f t="shared" si="1"/>
        <v>9932004757.1476784</v>
      </c>
      <c r="F43" s="159" t="e">
        <f t="shared" si="2"/>
        <v>#NAME?</v>
      </c>
    </row>
    <row r="44" spans="1:6">
      <c r="A44" s="127" t="s">
        <v>76</v>
      </c>
      <c r="B44" s="135" t="e">
        <v>#NAME?</v>
      </c>
      <c r="C44" s="135">
        <v>198021401015.46329</v>
      </c>
      <c r="D44" s="159">
        <f t="shared" si="0"/>
        <v>39604280203.092659</v>
      </c>
      <c r="E44" s="159">
        <f t="shared" si="1"/>
        <v>237625681218.55594</v>
      </c>
      <c r="F44" s="159" t="e">
        <f t="shared" si="2"/>
        <v>#NAME?</v>
      </c>
    </row>
    <row r="45" spans="1:6">
      <c r="A45" s="137" t="s">
        <v>61</v>
      </c>
      <c r="B45" s="135" t="e">
        <v>#NAME?</v>
      </c>
      <c r="C45" s="135">
        <v>6712401363.7643986</v>
      </c>
      <c r="D45" s="159">
        <f t="shared" si="0"/>
        <v>1342480272.7528799</v>
      </c>
      <c r="E45" s="159">
        <f t="shared" si="1"/>
        <v>8054881636.5172787</v>
      </c>
      <c r="F45" s="159" t="e">
        <f t="shared" si="2"/>
        <v>#NAME?</v>
      </c>
    </row>
    <row r="46" spans="1:6">
      <c r="A46" s="127" t="s">
        <v>256</v>
      </c>
      <c r="B46" s="135" t="e">
        <v>#NAME?</v>
      </c>
      <c r="C46" s="135">
        <v>7343409281.4102011</v>
      </c>
      <c r="D46" s="159">
        <f t="shared" si="0"/>
        <v>1468681856.2820404</v>
      </c>
      <c r="E46" s="159">
        <f t="shared" si="1"/>
        <v>8812091137.6922417</v>
      </c>
      <c r="F46" s="159" t="e">
        <f t="shared" si="2"/>
        <v>#NAME?</v>
      </c>
    </row>
    <row r="47" spans="1:6">
      <c r="A47" s="127" t="s">
        <v>160</v>
      </c>
      <c r="B47" s="135" t="e">
        <v>#NAME?</v>
      </c>
      <c r="C47" s="135">
        <v>5888226033.849</v>
      </c>
      <c r="D47" s="159">
        <f t="shared" si="0"/>
        <v>1177645206.7697999</v>
      </c>
      <c r="E47" s="159">
        <f t="shared" si="1"/>
        <v>7065871240.6188002</v>
      </c>
      <c r="F47" s="159" t="e">
        <f t="shared" si="2"/>
        <v>#NAME?</v>
      </c>
    </row>
    <row r="48" spans="1:6">
      <c r="A48" s="127" t="s">
        <v>196</v>
      </c>
      <c r="B48" s="135" t="e">
        <v>#NAME?</v>
      </c>
      <c r="C48" s="135">
        <v>40629476482.864197</v>
      </c>
      <c r="D48" s="159">
        <f t="shared" si="0"/>
        <v>8125895296.5728397</v>
      </c>
      <c r="E48" s="159">
        <f t="shared" si="1"/>
        <v>48755371779.437035</v>
      </c>
      <c r="F48" s="159" t="e">
        <f t="shared" si="2"/>
        <v>#NAME?</v>
      </c>
    </row>
    <row r="49" spans="1:6">
      <c r="A49" s="127" t="s">
        <v>138</v>
      </c>
      <c r="B49" s="135" t="e">
        <v>#NAME?</v>
      </c>
      <c r="C49" s="135">
        <v>5912902937.5092001</v>
      </c>
      <c r="D49" s="159">
        <f t="shared" si="0"/>
        <v>1182580587.5018401</v>
      </c>
      <c r="E49" s="159">
        <f t="shared" si="1"/>
        <v>7095483525.0110397</v>
      </c>
      <c r="F49" s="159" t="e">
        <f t="shared" si="2"/>
        <v>#NAME?</v>
      </c>
    </row>
    <row r="50" spans="1:6">
      <c r="A50" s="127" t="s">
        <v>227</v>
      </c>
      <c r="B50" s="135" t="e">
        <v>#NAME?</v>
      </c>
      <c r="C50" s="135">
        <v>4730551987.2182999</v>
      </c>
      <c r="D50" s="159">
        <f t="shared" si="0"/>
        <v>946110397.44366002</v>
      </c>
      <c r="E50" s="159">
        <f t="shared" si="1"/>
        <v>5676662384.6619596</v>
      </c>
      <c r="F50" s="159" t="e">
        <f t="shared" si="2"/>
        <v>#NAME?</v>
      </c>
    </row>
    <row r="51" spans="1:6">
      <c r="A51" s="127" t="s">
        <v>163</v>
      </c>
      <c r="B51" s="135" t="e">
        <v>#NAME?</v>
      </c>
      <c r="C51" s="135">
        <v>48264831125.101501</v>
      </c>
      <c r="D51" s="159">
        <f t="shared" si="0"/>
        <v>9652966225.0202999</v>
      </c>
      <c r="E51" s="159">
        <f t="shared" si="1"/>
        <v>57917797350.121803</v>
      </c>
      <c r="F51" s="159" t="e">
        <f t="shared" si="2"/>
        <v>#NAME?</v>
      </c>
    </row>
    <row r="52" spans="1:6">
      <c r="A52" s="127" t="s">
        <v>230</v>
      </c>
      <c r="B52" s="135" t="e">
        <v>#NAME?</v>
      </c>
      <c r="C52" s="135">
        <v>2989293682.9704003</v>
      </c>
      <c r="D52" s="159">
        <f t="shared" si="0"/>
        <v>597858736.59408009</v>
      </c>
      <c r="E52" s="159">
        <f t="shared" si="1"/>
        <v>3587152419.5644803</v>
      </c>
      <c r="F52" s="159" t="e">
        <f t="shared" si="2"/>
        <v>#NAME?</v>
      </c>
    </row>
    <row r="53" spans="1:6">
      <c r="A53" s="137" t="s">
        <v>832</v>
      </c>
      <c r="B53" s="135" t="e">
        <v>#NAME?</v>
      </c>
      <c r="C53" s="135">
        <v>4674408748.3539009</v>
      </c>
      <c r="D53" s="159">
        <f t="shared" si="0"/>
        <v>934881749.67078018</v>
      </c>
      <c r="E53" s="159">
        <f t="shared" si="1"/>
        <v>5609290498.0246811</v>
      </c>
      <c r="F53" s="159" t="e">
        <f t="shared" si="2"/>
        <v>#NAME?</v>
      </c>
    </row>
    <row r="54" spans="1:6">
      <c r="A54" s="127" t="s">
        <v>156</v>
      </c>
      <c r="B54" s="135" t="e">
        <v>#NAME?</v>
      </c>
      <c r="C54" s="135">
        <v>8651846908.792799</v>
      </c>
      <c r="D54" s="159">
        <f t="shared" si="0"/>
        <v>1730369381.7585599</v>
      </c>
      <c r="E54" s="159">
        <f t="shared" si="1"/>
        <v>10382216290.551359</v>
      </c>
      <c r="F54" s="159" t="e">
        <f t="shared" si="2"/>
        <v>#NAME?</v>
      </c>
    </row>
    <row r="55" spans="1:6">
      <c r="A55" s="137" t="s">
        <v>144</v>
      </c>
      <c r="B55" s="135" t="e">
        <v>#NAME?</v>
      </c>
      <c r="C55" s="135">
        <v>7648697593.8710995</v>
      </c>
      <c r="D55" s="159">
        <f t="shared" si="0"/>
        <v>1529739518.77422</v>
      </c>
      <c r="E55" s="159">
        <f t="shared" si="1"/>
        <v>9178437112.645319</v>
      </c>
      <c r="F55" s="159" t="e">
        <f t="shared" si="2"/>
        <v>#NAME?</v>
      </c>
    </row>
    <row r="56" spans="1:6">
      <c r="A56" s="127" t="s">
        <v>101</v>
      </c>
      <c r="B56" s="135" t="e">
        <v>#NAME?</v>
      </c>
      <c r="C56" s="135">
        <v>4006909648.9754996</v>
      </c>
      <c r="D56" s="159">
        <f t="shared" si="0"/>
        <v>801381929.79509997</v>
      </c>
      <c r="E56" s="159">
        <f t="shared" si="1"/>
        <v>4808291578.7705994</v>
      </c>
      <c r="F56" s="159" t="e">
        <f t="shared" si="2"/>
        <v>#NAME?</v>
      </c>
    </row>
    <row r="57" spans="1:6">
      <c r="A57" s="127" t="s">
        <v>186</v>
      </c>
      <c r="B57" s="135" t="e">
        <v>#NAME?</v>
      </c>
      <c r="C57" s="135">
        <v>8559992944.0487976</v>
      </c>
      <c r="D57" s="159">
        <f t="shared" si="0"/>
        <v>1711998588.8097596</v>
      </c>
      <c r="E57" s="159">
        <f t="shared" si="1"/>
        <v>10271991532.858557</v>
      </c>
      <c r="F57" s="159" t="e">
        <f t="shared" si="2"/>
        <v>#NAME?</v>
      </c>
    </row>
    <row r="58" spans="1:6">
      <c r="A58" s="127" t="s">
        <v>311</v>
      </c>
      <c r="B58" s="135" t="e">
        <v>#NAME?</v>
      </c>
      <c r="C58" s="135">
        <v>2666374881.4466996</v>
      </c>
      <c r="D58" s="159">
        <f t="shared" si="0"/>
        <v>533274976.28933996</v>
      </c>
      <c r="E58" s="159">
        <f t="shared" si="1"/>
        <v>3199649857.7360396</v>
      </c>
      <c r="F58" s="159" t="e">
        <f t="shared" si="2"/>
        <v>#NAME?</v>
      </c>
    </row>
    <row r="59" spans="1:6">
      <c r="A59" s="127" t="s">
        <v>177</v>
      </c>
      <c r="B59" s="135" t="e">
        <v>#NAME?</v>
      </c>
      <c r="C59" s="135">
        <v>17315236506.011696</v>
      </c>
      <c r="D59" s="159">
        <f t="shared" ref="D59:D95" si="3">+C59*0.2</f>
        <v>3463047301.2023392</v>
      </c>
      <c r="E59" s="159">
        <f t="shared" ref="E59:E95" si="4">+C59+D59</f>
        <v>20778283807.214035</v>
      </c>
      <c r="F59" s="159" t="e">
        <f t="shared" ref="F59:F95" si="5">+IF(C59="","",C59-B59)</f>
        <v>#NAME?</v>
      </c>
    </row>
    <row r="60" spans="1:6">
      <c r="A60" s="137" t="s">
        <v>232</v>
      </c>
      <c r="B60" s="135" t="e">
        <v>#NAME?</v>
      </c>
      <c r="C60" s="135">
        <v>3123864990.0179996</v>
      </c>
      <c r="D60" s="159">
        <f t="shared" si="3"/>
        <v>624772998.0036</v>
      </c>
      <c r="E60" s="159">
        <f t="shared" si="4"/>
        <v>3748637988.0215998</v>
      </c>
      <c r="F60" s="159" t="e">
        <f t="shared" si="5"/>
        <v>#NAME?</v>
      </c>
    </row>
    <row r="61" spans="1:6">
      <c r="A61" s="127" t="s">
        <v>258</v>
      </c>
      <c r="B61" s="135" t="e">
        <v>#NAME?</v>
      </c>
      <c r="C61" s="135">
        <v>9854302259.4251995</v>
      </c>
      <c r="D61" s="159">
        <f t="shared" si="3"/>
        <v>1970860451.88504</v>
      </c>
      <c r="E61" s="159">
        <f t="shared" si="4"/>
        <v>11825162711.31024</v>
      </c>
      <c r="F61" s="159" t="e">
        <f t="shared" si="5"/>
        <v>#NAME?</v>
      </c>
    </row>
    <row r="62" spans="1:6">
      <c r="A62" s="137" t="s">
        <v>616</v>
      </c>
      <c r="B62" s="135" t="e">
        <v>#NAME?</v>
      </c>
      <c r="C62" s="135">
        <v>5124266996.3184004</v>
      </c>
      <c r="D62" s="159">
        <f t="shared" si="3"/>
        <v>1024853399.2636801</v>
      </c>
      <c r="E62" s="159">
        <f t="shared" si="4"/>
        <v>6149120395.5820808</v>
      </c>
      <c r="F62" s="159" t="e">
        <f t="shared" si="5"/>
        <v>#NAME?</v>
      </c>
    </row>
    <row r="63" spans="1:6">
      <c r="A63" s="127" t="s">
        <v>329</v>
      </c>
      <c r="B63" s="135" t="e">
        <v>#NAME?</v>
      </c>
      <c r="C63" s="135">
        <v>4996016574.2598009</v>
      </c>
      <c r="D63" s="159">
        <f t="shared" si="3"/>
        <v>999203314.85196018</v>
      </c>
      <c r="E63" s="159">
        <f t="shared" si="4"/>
        <v>5995219889.1117611</v>
      </c>
      <c r="F63" s="159" t="e">
        <f t="shared" si="5"/>
        <v>#NAME?</v>
      </c>
    </row>
    <row r="64" spans="1:6">
      <c r="A64" s="127" t="s">
        <v>153</v>
      </c>
      <c r="B64" s="135" t="e">
        <v>#NAME?</v>
      </c>
      <c r="C64" s="135">
        <v>8275976161.8767986</v>
      </c>
      <c r="D64" s="159">
        <f t="shared" si="3"/>
        <v>1655195232.3753598</v>
      </c>
      <c r="E64" s="159">
        <f t="shared" si="4"/>
        <v>9931171394.2521591</v>
      </c>
      <c r="F64" s="159" t="e">
        <f t="shared" si="5"/>
        <v>#NAME?</v>
      </c>
    </row>
    <row r="65" spans="1:6">
      <c r="A65" s="127" t="s">
        <v>273</v>
      </c>
      <c r="B65" s="135" t="e">
        <v>#NAME?</v>
      </c>
      <c r="C65" s="135">
        <v>1170948124.665</v>
      </c>
      <c r="D65" s="159">
        <f t="shared" si="3"/>
        <v>234189624.933</v>
      </c>
      <c r="E65" s="159">
        <f t="shared" si="4"/>
        <v>1405137749.598</v>
      </c>
      <c r="F65" s="159" t="e">
        <f t="shared" si="5"/>
        <v>#NAME?</v>
      </c>
    </row>
    <row r="66" spans="1:6">
      <c r="A66" s="127" t="s">
        <v>452</v>
      </c>
      <c r="B66" s="135" t="e">
        <v>#NAME?</v>
      </c>
      <c r="C66" s="135">
        <v>5653356197.1713991</v>
      </c>
      <c r="D66" s="159">
        <f t="shared" si="3"/>
        <v>1130671239.4342799</v>
      </c>
      <c r="E66" s="159">
        <f t="shared" si="4"/>
        <v>6784027436.6056786</v>
      </c>
      <c r="F66" s="159" t="e">
        <f t="shared" si="5"/>
        <v>#NAME?</v>
      </c>
    </row>
    <row r="67" spans="1:6">
      <c r="A67" s="137" t="s">
        <v>88</v>
      </c>
      <c r="B67" s="135" t="e">
        <v>#NAME?</v>
      </c>
      <c r="C67" s="135">
        <v>3774851069.6663995</v>
      </c>
      <c r="D67" s="159">
        <f t="shared" si="3"/>
        <v>754970213.93327999</v>
      </c>
      <c r="E67" s="159">
        <f t="shared" si="4"/>
        <v>4529821283.5996799</v>
      </c>
      <c r="F67" s="159" t="e">
        <f t="shared" si="5"/>
        <v>#NAME?</v>
      </c>
    </row>
    <row r="68" spans="1:6">
      <c r="A68" s="127" t="s">
        <v>134</v>
      </c>
      <c r="B68" s="135" t="e">
        <v>#NAME?</v>
      </c>
      <c r="C68" s="135">
        <v>6426616151.8919992</v>
      </c>
      <c r="D68" s="159">
        <f t="shared" si="3"/>
        <v>1285323230.3783998</v>
      </c>
      <c r="E68" s="159">
        <f t="shared" si="4"/>
        <v>7711939382.2703991</v>
      </c>
      <c r="F68" s="159" t="e">
        <f t="shared" si="5"/>
        <v>#NAME?</v>
      </c>
    </row>
    <row r="69" spans="1:6">
      <c r="A69" s="127" t="s">
        <v>11</v>
      </c>
      <c r="B69" s="135" t="e">
        <v>#NAME?</v>
      </c>
      <c r="C69" s="135">
        <v>4593944312.9462996</v>
      </c>
      <c r="D69" s="159">
        <f t="shared" si="3"/>
        <v>918788862.58925998</v>
      </c>
      <c r="E69" s="159">
        <f t="shared" si="4"/>
        <v>5512733175.5355597</v>
      </c>
      <c r="F69" s="159" t="e">
        <f t="shared" si="5"/>
        <v>#NAME?</v>
      </c>
    </row>
    <row r="70" spans="1:6">
      <c r="A70" s="127" t="s">
        <v>27</v>
      </c>
      <c r="B70" s="135" t="e">
        <v>#NAME?</v>
      </c>
      <c r="C70" s="135">
        <v>181039027766.44412</v>
      </c>
      <c r="D70" s="159">
        <f t="shared" si="3"/>
        <v>36207805553.288826</v>
      </c>
      <c r="E70" s="159">
        <f t="shared" si="4"/>
        <v>217246833319.73294</v>
      </c>
      <c r="F70" s="159" t="e">
        <f t="shared" si="5"/>
        <v>#NAME?</v>
      </c>
    </row>
    <row r="71" spans="1:6">
      <c r="A71" s="127" t="s">
        <v>250</v>
      </c>
      <c r="B71" s="135" t="e">
        <v>#NAME?</v>
      </c>
      <c r="C71" s="135">
        <v>119043338729.74742</v>
      </c>
      <c r="D71" s="159">
        <f t="shared" si="3"/>
        <v>23808667745.949486</v>
      </c>
      <c r="E71" s="159">
        <f t="shared" si="4"/>
        <v>142852006475.6969</v>
      </c>
      <c r="F71" s="159" t="e">
        <f t="shared" si="5"/>
        <v>#NAME?</v>
      </c>
    </row>
    <row r="72" spans="1:6">
      <c r="A72" s="127" t="s">
        <v>97</v>
      </c>
      <c r="B72" s="135" t="e">
        <v>#NAME?</v>
      </c>
      <c r="C72" s="135">
        <v>14123285026.219801</v>
      </c>
      <c r="D72" s="159">
        <f t="shared" si="3"/>
        <v>2824657005.2439604</v>
      </c>
      <c r="E72" s="159">
        <f t="shared" si="4"/>
        <v>16947942031.46376</v>
      </c>
      <c r="F72" s="159" t="e">
        <f t="shared" si="5"/>
        <v>#NAME?</v>
      </c>
    </row>
    <row r="73" spans="1:6">
      <c r="A73" s="127" t="s">
        <v>113</v>
      </c>
      <c r="B73" s="135" t="e">
        <v>#NAME?</v>
      </c>
      <c r="C73" s="135">
        <v>3927827827.737</v>
      </c>
      <c r="D73" s="159">
        <f t="shared" si="3"/>
        <v>785565565.5474</v>
      </c>
      <c r="E73" s="159">
        <f t="shared" si="4"/>
        <v>4713393393.2844</v>
      </c>
      <c r="F73" s="159" t="e">
        <f t="shared" si="5"/>
        <v>#NAME?</v>
      </c>
    </row>
    <row r="74" spans="1:6">
      <c r="A74" s="127" t="s">
        <v>334</v>
      </c>
      <c r="B74" s="135" t="e">
        <v>#NAME?</v>
      </c>
      <c r="C74" s="135">
        <v>9826955587.7784004</v>
      </c>
      <c r="D74" s="159">
        <f t="shared" si="3"/>
        <v>1965391117.5556803</v>
      </c>
      <c r="E74" s="159">
        <f t="shared" si="4"/>
        <v>11792346705.33408</v>
      </c>
      <c r="F74" s="159" t="e">
        <f t="shared" si="5"/>
        <v>#NAME?</v>
      </c>
    </row>
    <row r="75" spans="1:6">
      <c r="A75" s="127" t="s">
        <v>57</v>
      </c>
      <c r="B75" s="135" t="e">
        <v>#NAME?</v>
      </c>
      <c r="C75" s="135">
        <v>2429258146.9965</v>
      </c>
      <c r="D75" s="159">
        <f t="shared" si="3"/>
        <v>485851629.39930004</v>
      </c>
      <c r="E75" s="159">
        <f t="shared" si="4"/>
        <v>2915109776.3958001</v>
      </c>
      <c r="F75" s="159" t="e">
        <f t="shared" si="5"/>
        <v>#NAME?</v>
      </c>
    </row>
    <row r="76" spans="1:6">
      <c r="A76" s="127" t="s">
        <v>65</v>
      </c>
      <c r="B76" s="135" t="e">
        <v>#NAME?</v>
      </c>
      <c r="C76" s="135">
        <v>10518234769.9002</v>
      </c>
      <c r="D76" s="159">
        <f t="shared" si="3"/>
        <v>2103646953.9800401</v>
      </c>
      <c r="E76" s="159">
        <f t="shared" si="4"/>
        <v>12621881723.880239</v>
      </c>
      <c r="F76" s="159" t="e">
        <f t="shared" si="5"/>
        <v>#NAME?</v>
      </c>
    </row>
    <row r="77" spans="1:6">
      <c r="A77" s="127" t="s">
        <v>270</v>
      </c>
      <c r="B77" s="135" t="e">
        <v>#NAME?</v>
      </c>
      <c r="C77" s="135">
        <v>5661281356.2968988</v>
      </c>
      <c r="D77" s="159">
        <f t="shared" si="3"/>
        <v>1132256271.2593799</v>
      </c>
      <c r="E77" s="159">
        <f t="shared" si="4"/>
        <v>6793537627.5562782</v>
      </c>
      <c r="F77" s="159" t="e">
        <f t="shared" si="5"/>
        <v>#NAME?</v>
      </c>
    </row>
    <row r="78" spans="1:6">
      <c r="A78" s="127" t="s">
        <v>174</v>
      </c>
      <c r="B78" s="135" t="e">
        <v>#NAME?</v>
      </c>
      <c r="C78" s="135">
        <v>12175912149.417601</v>
      </c>
      <c r="D78" s="159">
        <f t="shared" si="3"/>
        <v>2435182429.8835201</v>
      </c>
      <c r="E78" s="159">
        <f t="shared" si="4"/>
        <v>14611094579.301121</v>
      </c>
      <c r="F78" s="159" t="e">
        <f t="shared" si="5"/>
        <v>#NAME?</v>
      </c>
    </row>
    <row r="79" spans="1:6">
      <c r="A79" s="127" t="s">
        <v>63</v>
      </c>
      <c r="B79" s="135" t="e">
        <v>#NAME?</v>
      </c>
      <c r="C79" s="135">
        <v>9048455000.7119999</v>
      </c>
      <c r="D79" s="159">
        <f t="shared" si="3"/>
        <v>1809691000.1424</v>
      </c>
      <c r="E79" s="159">
        <f t="shared" si="4"/>
        <v>10858146000.854401</v>
      </c>
      <c r="F79" s="159" t="e">
        <f t="shared" si="5"/>
        <v>#NAME?</v>
      </c>
    </row>
    <row r="80" spans="1:6">
      <c r="A80" s="127" t="s">
        <v>470</v>
      </c>
      <c r="B80" s="135" t="e">
        <v>#NAME?</v>
      </c>
      <c r="C80" s="135">
        <v>9002699507.9063988</v>
      </c>
      <c r="D80" s="159">
        <f t="shared" si="3"/>
        <v>1800539901.5812798</v>
      </c>
      <c r="E80" s="159">
        <f t="shared" si="4"/>
        <v>10803239409.487679</v>
      </c>
      <c r="F80" s="159" t="e">
        <f t="shared" si="5"/>
        <v>#NAME?</v>
      </c>
    </row>
    <row r="81" spans="1:6">
      <c r="A81" s="127" t="s">
        <v>327</v>
      </c>
      <c r="B81" s="135" t="e">
        <v>#NAME?</v>
      </c>
      <c r="C81" s="135">
        <v>6116877558.8648996</v>
      </c>
      <c r="D81" s="159">
        <f t="shared" si="3"/>
        <v>1223375511.77298</v>
      </c>
      <c r="E81" s="159">
        <f t="shared" si="4"/>
        <v>7340253070.6378794</v>
      </c>
      <c r="F81" s="159" t="e">
        <f t="shared" si="5"/>
        <v>#NAME?</v>
      </c>
    </row>
    <row r="82" spans="1:6">
      <c r="A82" s="127" t="s">
        <v>596</v>
      </c>
      <c r="B82" s="135" t="e">
        <v>#NAME?</v>
      </c>
      <c r="C82" s="135">
        <v>5155359793.9494028</v>
      </c>
      <c r="D82" s="159">
        <f t="shared" si="3"/>
        <v>1031071958.7898806</v>
      </c>
      <c r="E82" s="159">
        <f t="shared" si="4"/>
        <v>6186431752.7392836</v>
      </c>
      <c r="F82" s="159" t="e">
        <f t="shared" si="5"/>
        <v>#NAME?</v>
      </c>
    </row>
    <row r="83" spans="1:6">
      <c r="A83" s="137" t="s">
        <v>30</v>
      </c>
      <c r="B83" s="135" t="e">
        <v>#NAME?</v>
      </c>
      <c r="C83" s="135">
        <v>5068081028.0915995</v>
      </c>
      <c r="D83" s="159">
        <f t="shared" si="3"/>
        <v>1013616205.61832</v>
      </c>
      <c r="E83" s="159">
        <f t="shared" si="4"/>
        <v>6081697233.709919</v>
      </c>
      <c r="F83" s="159" t="e">
        <f t="shared" si="5"/>
        <v>#NAME?</v>
      </c>
    </row>
    <row r="84" spans="1:6">
      <c r="A84" s="127" t="s">
        <v>166</v>
      </c>
      <c r="B84" s="135" t="e">
        <v>#NAME?</v>
      </c>
      <c r="C84" s="135">
        <v>19889497225.612202</v>
      </c>
      <c r="D84" s="159">
        <f t="shared" si="3"/>
        <v>3977899445.1224403</v>
      </c>
      <c r="E84" s="159">
        <f t="shared" si="4"/>
        <v>23867396670.734642</v>
      </c>
      <c r="F84" s="159" t="e">
        <f t="shared" si="5"/>
        <v>#NAME?</v>
      </c>
    </row>
    <row r="85" spans="1:6">
      <c r="A85" s="137" t="s">
        <v>369</v>
      </c>
      <c r="B85" s="135" t="e">
        <v>#NAME?</v>
      </c>
      <c r="C85" s="135">
        <v>4796164638.0756006</v>
      </c>
      <c r="D85" s="159">
        <f t="shared" si="3"/>
        <v>959232927.61512017</v>
      </c>
      <c r="E85" s="159">
        <f t="shared" si="4"/>
        <v>5755397565.6907206</v>
      </c>
      <c r="F85" s="159" t="e">
        <f t="shared" si="5"/>
        <v>#NAME?</v>
      </c>
    </row>
    <row r="86" spans="1:6">
      <c r="A86" s="127" t="s">
        <v>84</v>
      </c>
      <c r="B86" s="135" t="e">
        <v>#NAME?</v>
      </c>
      <c r="C86" s="135">
        <v>17817583698.609901</v>
      </c>
      <c r="D86" s="159">
        <f t="shared" si="3"/>
        <v>3563516739.7219806</v>
      </c>
      <c r="E86" s="159">
        <f t="shared" si="4"/>
        <v>21381100438.331882</v>
      </c>
      <c r="F86" s="159" t="e">
        <f t="shared" si="5"/>
        <v>#NAME?</v>
      </c>
    </row>
    <row r="87" spans="1:6">
      <c r="A87" s="127" t="s">
        <v>95</v>
      </c>
      <c r="B87" s="135" t="e">
        <v>#NAME?</v>
      </c>
      <c r="C87" s="135">
        <v>7386161683.137599</v>
      </c>
      <c r="D87" s="159">
        <f t="shared" si="3"/>
        <v>1477232336.6275198</v>
      </c>
      <c r="E87" s="159">
        <f t="shared" si="4"/>
        <v>8863394019.7651196</v>
      </c>
      <c r="F87" s="159" t="e">
        <f t="shared" si="5"/>
        <v>#NAME?</v>
      </c>
    </row>
    <row r="88" spans="1:6">
      <c r="A88" s="127" t="s">
        <v>52</v>
      </c>
      <c r="B88" s="135" t="e">
        <v>#NAME?</v>
      </c>
      <c r="C88" s="135">
        <v>6431537130.9842997</v>
      </c>
      <c r="D88" s="159">
        <f t="shared" si="3"/>
        <v>1286307426.1968601</v>
      </c>
      <c r="E88" s="159">
        <f t="shared" si="4"/>
        <v>7717844557.18116</v>
      </c>
      <c r="F88" s="159" t="e">
        <f t="shared" si="5"/>
        <v>#NAME?</v>
      </c>
    </row>
    <row r="89" spans="1:6">
      <c r="A89" s="127" t="s">
        <v>692</v>
      </c>
      <c r="B89" s="135" t="e">
        <v>#NAME?</v>
      </c>
      <c r="C89" s="135">
        <v>5576622152.5223999</v>
      </c>
      <c r="D89" s="159">
        <f t="shared" si="3"/>
        <v>1115324430.5044801</v>
      </c>
      <c r="E89" s="159">
        <f t="shared" si="4"/>
        <v>6691946583.0268803</v>
      </c>
      <c r="F89" s="159" t="e">
        <f t="shared" si="5"/>
        <v>#NAME?</v>
      </c>
    </row>
    <row r="90" spans="1:6">
      <c r="A90" s="137" t="s">
        <v>54</v>
      </c>
      <c r="B90" s="135" t="e">
        <v>#NAME?</v>
      </c>
      <c r="C90" s="135">
        <v>4792924702.7475004</v>
      </c>
      <c r="D90" s="159">
        <f t="shared" si="3"/>
        <v>958584940.54950011</v>
      </c>
      <c r="E90" s="159">
        <f t="shared" si="4"/>
        <v>5751509643.2970009</v>
      </c>
      <c r="F90" s="159" t="e">
        <f t="shared" si="5"/>
        <v>#NAME?</v>
      </c>
    </row>
    <row r="91" spans="1:6">
      <c r="A91" s="127" t="s">
        <v>146</v>
      </c>
      <c r="B91" s="135" t="e">
        <v>#NAME?</v>
      </c>
      <c r="C91" s="135">
        <v>5585680318.0367975</v>
      </c>
      <c r="D91" s="159">
        <f t="shared" si="3"/>
        <v>1117136063.6073596</v>
      </c>
      <c r="E91" s="159">
        <f t="shared" si="4"/>
        <v>6702816381.6441574</v>
      </c>
      <c r="F91" s="159" t="e">
        <f t="shared" si="5"/>
        <v>#NAME?</v>
      </c>
    </row>
    <row r="92" spans="1:6">
      <c r="A92" s="127" t="s">
        <v>74</v>
      </c>
      <c r="B92" s="135" t="e">
        <v>#NAME?</v>
      </c>
      <c r="C92" s="135">
        <v>19425516054.977695</v>
      </c>
      <c r="D92" s="159">
        <f t="shared" si="3"/>
        <v>3885103210.9955392</v>
      </c>
      <c r="E92" s="159">
        <f t="shared" si="4"/>
        <v>23310619265.973236</v>
      </c>
      <c r="F92" s="159" t="e">
        <f t="shared" si="5"/>
        <v>#NAME?</v>
      </c>
    </row>
    <row r="93" spans="1:6">
      <c r="A93" s="127" t="s">
        <v>260</v>
      </c>
      <c r="B93" s="135" t="e">
        <v>#NAME?</v>
      </c>
      <c r="C93" s="135">
        <v>3916059135.7124996</v>
      </c>
      <c r="D93" s="159">
        <f t="shared" si="3"/>
        <v>783211827.14249992</v>
      </c>
      <c r="E93" s="159">
        <f t="shared" si="4"/>
        <v>4699270962.8549995</v>
      </c>
      <c r="F93" s="159" t="e">
        <f t="shared" si="5"/>
        <v>#NAME?</v>
      </c>
    </row>
    <row r="94" spans="1:6">
      <c r="A94" s="127" t="s">
        <v>23</v>
      </c>
      <c r="B94" s="135" t="e">
        <v>#NAME?</v>
      </c>
      <c r="C94" s="135">
        <v>8054886080.2895994</v>
      </c>
      <c r="D94" s="159">
        <f t="shared" si="3"/>
        <v>1610977216.05792</v>
      </c>
      <c r="E94" s="159">
        <f t="shared" si="4"/>
        <v>9665863296.3475189</v>
      </c>
      <c r="F94" s="159" t="e">
        <f t="shared" si="5"/>
        <v>#NAME?</v>
      </c>
    </row>
    <row r="95" spans="1:6">
      <c r="A95" s="127" t="s">
        <v>209</v>
      </c>
      <c r="B95" s="135" t="e">
        <v>#NAME?</v>
      </c>
      <c r="C95" s="135">
        <v>5565589746.7242012</v>
      </c>
      <c r="D95" s="159">
        <f t="shared" si="3"/>
        <v>1113117949.3448403</v>
      </c>
      <c r="E95" s="159">
        <f t="shared" si="4"/>
        <v>6678707696.0690413</v>
      </c>
      <c r="F95" s="159" t="e">
        <f t="shared" si="5"/>
        <v>#NAME?</v>
      </c>
    </row>
    <row r="96" spans="1:6">
      <c r="A96" s="127" t="s">
        <v>4</v>
      </c>
      <c r="B96" s="135" t="e">
        <v>#NAME?</v>
      </c>
      <c r="C96" s="135">
        <v>7142304728.4434996</v>
      </c>
      <c r="D96" s="161">
        <f>+SUM(D7:D95)</f>
        <v>262929725316.55557</v>
      </c>
      <c r="E96" s="161">
        <f>+SUM(E7:E95)</f>
        <v>1577578351899.3335</v>
      </c>
    </row>
    <row r="97" spans="1:3">
      <c r="A97" s="127" t="s">
        <v>281</v>
      </c>
      <c r="B97" s="135" t="e">
        <v>#NAME?</v>
      </c>
      <c r="C97" s="135">
        <v>7513324730.8793993</v>
      </c>
    </row>
    <row r="98" spans="1:3">
      <c r="A98" s="127" t="s">
        <v>148</v>
      </c>
      <c r="B98" s="135" t="e">
        <v>#NAME?</v>
      </c>
      <c r="C98" s="135">
        <v>8623769116.9641018</v>
      </c>
    </row>
    <row r="99" spans="1:3">
      <c r="A99" s="127" t="s">
        <v>120</v>
      </c>
      <c r="B99" s="135" t="e">
        <v>#NAME?</v>
      </c>
      <c r="C99" s="135">
        <v>13555924332.329401</v>
      </c>
    </row>
    <row r="100" spans="1:3">
      <c r="A100" s="127" t="s">
        <v>67</v>
      </c>
      <c r="B100" s="135" t="e">
        <v>#NAME?</v>
      </c>
      <c r="C100" s="135">
        <v>7897429318.1954994</v>
      </c>
    </row>
    <row r="101" spans="1:3">
      <c r="A101" s="127" t="s">
        <v>200</v>
      </c>
      <c r="B101" s="135" t="e">
        <v>#NAME?</v>
      </c>
      <c r="C101" s="135">
        <v>11812167960.729599</v>
      </c>
    </row>
    <row r="102" spans="1:3">
      <c r="A102" s="137" t="s">
        <v>796</v>
      </c>
      <c r="B102" s="135" t="e">
        <v>#NAME?</v>
      </c>
      <c r="C102" s="135">
        <v>6905242443.5736008</v>
      </c>
    </row>
    <row r="103" spans="1:3">
      <c r="A103" s="137" t="s">
        <v>827</v>
      </c>
      <c r="B103" s="135" t="e">
        <v>#NAME?</v>
      </c>
      <c r="C103" s="135">
        <v>1973426043.1436999</v>
      </c>
    </row>
    <row r="104" spans="1:3">
      <c r="A104" s="137" t="s">
        <v>865</v>
      </c>
      <c r="B104" s="135" t="e">
        <v>#NAME?</v>
      </c>
      <c r="C104" s="135">
        <v>4228552448.3921995</v>
      </c>
    </row>
    <row r="105" spans="1:3">
      <c r="A105" s="218" t="s">
        <v>1615</v>
      </c>
      <c r="B105" s="135" t="e">
        <v>#NAME?</v>
      </c>
      <c r="C105" s="135">
        <v>4228552448.3921995</v>
      </c>
    </row>
    <row r="106" spans="1:3">
      <c r="A106" s="137" t="s">
        <v>884</v>
      </c>
      <c r="B106" s="135" t="e">
        <v>#NAME?</v>
      </c>
      <c r="C106" s="135">
        <v>6780535120.3706999</v>
      </c>
    </row>
    <row r="107" spans="1:3">
      <c r="A107" s="218" t="s">
        <v>1347</v>
      </c>
      <c r="B107" s="135" t="e">
        <v>#NAME?</v>
      </c>
      <c r="C107" s="135">
        <v>6780535120.3706999</v>
      </c>
    </row>
    <row r="108" spans="1:3">
      <c r="A108" s="127" t="s">
        <v>937</v>
      </c>
      <c r="B108" s="135" t="e">
        <v>#NAME?</v>
      </c>
      <c r="C108" s="135">
        <v>15495703619.253897</v>
      </c>
    </row>
  </sheetData>
  <autoFilter ref="A6:F58" xr:uid="{7B1E767E-A511-4A73-B2F5-1D2591E43F63}"/>
  <conditionalFormatting sqref="F7:F95">
    <cfRule type="cellIs" dxfId="0" priority="1" operator="lessThan">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2:O166"/>
  <sheetViews>
    <sheetView topLeftCell="A86" workbookViewId="0">
      <selection activeCell="A150" sqref="A150"/>
    </sheetView>
  </sheetViews>
  <sheetFormatPr baseColWidth="10" defaultColWidth="11.42578125" defaultRowHeight="15"/>
  <cols>
    <col min="1" max="1" width="45.7109375" style="3" bestFit="1" customWidth="1"/>
  </cols>
  <sheetData>
    <row r="2" spans="1:1" ht="16.5">
      <c r="A2" s="2" t="s">
        <v>375</v>
      </c>
    </row>
    <row r="3" spans="1:1" ht="16.5">
      <c r="A3" s="1" t="s">
        <v>51</v>
      </c>
    </row>
    <row r="4" spans="1:1" ht="16.5">
      <c r="A4" s="1" t="s">
        <v>17</v>
      </c>
    </row>
    <row r="5" spans="1:1" ht="16.5">
      <c r="A5" s="1" t="s">
        <v>6</v>
      </c>
    </row>
    <row r="7" spans="1:1" ht="16.5">
      <c r="A7" s="2" t="s">
        <v>711</v>
      </c>
    </row>
    <row r="8" spans="1:1" ht="16.5">
      <c r="A8" s="1" t="s">
        <v>59</v>
      </c>
    </row>
    <row r="9" spans="1:1" ht="16.5">
      <c r="A9" s="1" t="s">
        <v>293</v>
      </c>
    </row>
    <row r="10" spans="1:1" ht="16.5">
      <c r="A10" s="1" t="s">
        <v>238</v>
      </c>
    </row>
    <row r="11" spans="1:1" ht="16.5">
      <c r="A11" s="1" t="s">
        <v>1069</v>
      </c>
    </row>
    <row r="12" spans="1:1" ht="16.5">
      <c r="A12" s="1" t="s">
        <v>236</v>
      </c>
    </row>
    <row r="13" spans="1:1" ht="16.5">
      <c r="A13" s="1" t="s">
        <v>1070</v>
      </c>
    </row>
    <row r="14" spans="1:1" ht="16.5">
      <c r="A14" s="1" t="s">
        <v>108</v>
      </c>
    </row>
    <row r="15" spans="1:1" ht="16.5">
      <c r="A15" s="1" t="s">
        <v>41</v>
      </c>
    </row>
    <row r="16" spans="1:1" ht="16.5">
      <c r="A16" s="1" t="s">
        <v>268</v>
      </c>
    </row>
    <row r="17" spans="1:1" ht="16.5">
      <c r="A17" s="1" t="s">
        <v>272</v>
      </c>
    </row>
    <row r="18" spans="1:1" ht="16.5">
      <c r="A18" s="1" t="s">
        <v>8</v>
      </c>
    </row>
    <row r="19" spans="1:1" ht="16.5">
      <c r="A19" s="1" t="s">
        <v>19</v>
      </c>
    </row>
    <row r="20" spans="1:1" ht="16.5">
      <c r="A20" s="1" t="s">
        <v>117</v>
      </c>
    </row>
    <row r="21" spans="1:1" ht="16.5">
      <c r="A21" s="1" t="s">
        <v>26</v>
      </c>
    </row>
    <row r="22" spans="1:1" ht="16.5">
      <c r="A22" s="1" t="s">
        <v>712</v>
      </c>
    </row>
    <row r="23" spans="1:1" ht="16.5">
      <c r="A23" s="1" t="s">
        <v>366</v>
      </c>
    </row>
    <row r="24" spans="1:1" ht="16.5">
      <c r="A24" s="1" t="s">
        <v>13</v>
      </c>
    </row>
    <row r="26" spans="1:1" ht="16.5">
      <c r="A26" s="2" t="s">
        <v>734</v>
      </c>
    </row>
    <row r="27" spans="1:1" ht="16.5">
      <c r="A27" s="1" t="s">
        <v>43</v>
      </c>
    </row>
    <row r="28" spans="1:1" ht="16.5">
      <c r="A28" s="1" t="s">
        <v>714</v>
      </c>
    </row>
    <row r="29" spans="1:1" ht="16.5">
      <c r="A29" s="1" t="s">
        <v>932</v>
      </c>
    </row>
    <row r="30" spans="1:1" ht="16.5">
      <c r="A30" s="1" t="s">
        <v>933</v>
      </c>
    </row>
    <row r="31" spans="1:1" ht="16.5">
      <c r="A31" s="1" t="s">
        <v>934</v>
      </c>
    </row>
    <row r="32" spans="1:1" ht="16.5">
      <c r="A32" s="1" t="s">
        <v>935</v>
      </c>
    </row>
    <row r="33" spans="1:15" ht="16.5">
      <c r="A33" s="1" t="s">
        <v>9</v>
      </c>
    </row>
    <row r="36" spans="1:15" ht="16.5">
      <c r="A36" s="2" t="s">
        <v>715</v>
      </c>
    </row>
    <row r="37" spans="1:15" ht="16.5">
      <c r="A37" s="1">
        <v>1</v>
      </c>
      <c r="B37" t="s">
        <v>929</v>
      </c>
    </row>
    <row r="38" spans="1:15" ht="16.5">
      <c r="A38" s="1">
        <v>2</v>
      </c>
      <c r="B38" t="s">
        <v>930</v>
      </c>
    </row>
    <row r="39" spans="1:15" ht="16.5">
      <c r="A39" s="1">
        <v>3</v>
      </c>
      <c r="B39" t="s">
        <v>931</v>
      </c>
    </row>
    <row r="40" spans="1:15" ht="16.5">
      <c r="A40" s="1" t="s">
        <v>936</v>
      </c>
    </row>
    <row r="42" spans="1:15" ht="16.5">
      <c r="A42" s="2" t="s">
        <v>716</v>
      </c>
    </row>
    <row r="43" spans="1:15" ht="16.5">
      <c r="A43" s="1" t="s">
        <v>7</v>
      </c>
      <c r="O43" s="1"/>
    </row>
    <row r="44" spans="1:15" ht="16.5">
      <c r="A44" s="1" t="s">
        <v>40</v>
      </c>
      <c r="O44" s="1"/>
    </row>
    <row r="45" spans="1:15" ht="16.5">
      <c r="A45" s="1" t="s">
        <v>29</v>
      </c>
      <c r="O45" s="1"/>
    </row>
    <row r="46" spans="1:15" ht="16.5">
      <c r="A46" s="1" t="s">
        <v>717</v>
      </c>
      <c r="O46" s="1"/>
    </row>
    <row r="47" spans="1:15" ht="16.5">
      <c r="A47" s="1" t="s">
        <v>718</v>
      </c>
      <c r="O47" s="1"/>
    </row>
    <row r="48" spans="1:15" ht="16.5">
      <c r="A48" s="1" t="s">
        <v>719</v>
      </c>
      <c r="O48" s="1"/>
    </row>
    <row r="49" spans="1:1" ht="16.5">
      <c r="A49" s="1" t="s">
        <v>720</v>
      </c>
    </row>
    <row r="50" spans="1:1" ht="16.5">
      <c r="A50" s="1" t="s">
        <v>721</v>
      </c>
    </row>
    <row r="51" spans="1:1" ht="16.5">
      <c r="A51" s="1" t="s">
        <v>722</v>
      </c>
    </row>
    <row r="52" spans="1:1" ht="16.5">
      <c r="A52" s="1" t="s">
        <v>56</v>
      </c>
    </row>
    <row r="53" spans="1:1" ht="16.5">
      <c r="A53" s="1" t="s">
        <v>82</v>
      </c>
    </row>
    <row r="54" spans="1:1" ht="16.5">
      <c r="A54" s="1" t="s">
        <v>25</v>
      </c>
    </row>
    <row r="55" spans="1:1" ht="16.5">
      <c r="A55" s="1" t="s">
        <v>78</v>
      </c>
    </row>
    <row r="56" spans="1:1" ht="16.5">
      <c r="A56" s="1" t="s">
        <v>18</v>
      </c>
    </row>
    <row r="57" spans="1:1" ht="16.5">
      <c r="A57" s="1" t="s">
        <v>72</v>
      </c>
    </row>
    <row r="58" spans="1:1" ht="16.5">
      <c r="A58" s="1" t="s">
        <v>723</v>
      </c>
    </row>
    <row r="59" spans="1:1" ht="16.5">
      <c r="A59" s="1" t="s">
        <v>724</v>
      </c>
    </row>
    <row r="60" spans="1:1" ht="16.5">
      <c r="A60" s="1" t="s">
        <v>725</v>
      </c>
    </row>
    <row r="61" spans="1:1" ht="16.5">
      <c r="A61" s="1" t="s">
        <v>439</v>
      </c>
    </row>
    <row r="62" spans="1:1" ht="16.5">
      <c r="A62" s="1" t="s">
        <v>726</v>
      </c>
    </row>
    <row r="63" spans="1:1" ht="16.5">
      <c r="A63" s="1" t="s">
        <v>396</v>
      </c>
    </row>
    <row r="64" spans="1:1" ht="16.5">
      <c r="A64" s="1" t="s">
        <v>415</v>
      </c>
    </row>
    <row r="65" spans="1:1" ht="16.5">
      <c r="A65" s="1" t="s">
        <v>400</v>
      </c>
    </row>
    <row r="66" spans="1:1" ht="16.5">
      <c r="A66" s="1" t="s">
        <v>409</v>
      </c>
    </row>
    <row r="68" spans="1:1" ht="16.5">
      <c r="A68" s="2" t="s">
        <v>727</v>
      </c>
    </row>
    <row r="69" spans="1:1" ht="16.5">
      <c r="A69" s="1" t="s">
        <v>728</v>
      </c>
    </row>
    <row r="70" spans="1:1" ht="16.5">
      <c r="A70" s="1" t="s">
        <v>920</v>
      </c>
    </row>
    <row r="71" spans="1:1" ht="16.5">
      <c r="A71" s="1" t="s">
        <v>921</v>
      </c>
    </row>
    <row r="72" spans="1:1" ht="16.5">
      <c r="A72" s="1" t="s">
        <v>922</v>
      </c>
    </row>
    <row r="73" spans="1:1" ht="16.5">
      <c r="A73" s="1" t="s">
        <v>190</v>
      </c>
    </row>
    <row r="74" spans="1:1" ht="16.5">
      <c r="A74" s="1" t="s">
        <v>729</v>
      </c>
    </row>
    <row r="75" spans="1:1" ht="16.5">
      <c r="A75" s="1"/>
    </row>
    <row r="77" spans="1:1" ht="16.5">
      <c r="A77" s="2" t="s">
        <v>730</v>
      </c>
    </row>
    <row r="78" spans="1:1">
      <c r="A78" s="3" t="s">
        <v>321</v>
      </c>
    </row>
    <row r="79" spans="1:1">
      <c r="A79" s="3" t="s">
        <v>322</v>
      </c>
    </row>
    <row r="80" spans="1:1">
      <c r="A80" s="3" t="s">
        <v>43</v>
      </c>
    </row>
    <row r="81" spans="1:1">
      <c r="A81" s="3" t="s">
        <v>325</v>
      </c>
    </row>
    <row r="83" spans="1:1" ht="16.5">
      <c r="A83" s="2" t="s">
        <v>731</v>
      </c>
    </row>
    <row r="84" spans="1:1" ht="16.5">
      <c r="A84" s="1" t="s">
        <v>728</v>
      </c>
    </row>
    <row r="85" spans="1:1" ht="16.5">
      <c r="A85" s="1" t="s">
        <v>179</v>
      </c>
    </row>
    <row r="86" spans="1:1" ht="16.5">
      <c r="A86" s="1" t="s">
        <v>190</v>
      </c>
    </row>
    <row r="87" spans="1:1" ht="16.5">
      <c r="A87" s="1" t="s">
        <v>729</v>
      </c>
    </row>
    <row r="88" spans="1:1" ht="16.5">
      <c r="A88" s="1" t="s">
        <v>732</v>
      </c>
    </row>
    <row r="89" spans="1:1" ht="16.5">
      <c r="A89" s="1" t="s">
        <v>733</v>
      </c>
    </row>
    <row r="91" spans="1:1" ht="16.5">
      <c r="A91" s="2" t="s">
        <v>734</v>
      </c>
    </row>
    <row r="92" spans="1:1">
      <c r="A92" s="3" t="s">
        <v>735</v>
      </c>
    </row>
    <row r="93" spans="1:1">
      <c r="A93" s="3" t="s">
        <v>736</v>
      </c>
    </row>
    <row r="94" spans="1:1">
      <c r="A94" s="3" t="s">
        <v>325</v>
      </c>
    </row>
    <row r="97" spans="1:1" ht="16.5">
      <c r="A97" s="2" t="s">
        <v>713</v>
      </c>
    </row>
    <row r="98" spans="1:1">
      <c r="A98" s="3" t="s">
        <v>737</v>
      </c>
    </row>
    <row r="99" spans="1:1">
      <c r="A99" s="3" t="s">
        <v>738</v>
      </c>
    </row>
    <row r="100" spans="1:1">
      <c r="A100" s="3" t="s">
        <v>739</v>
      </c>
    </row>
    <row r="101" spans="1:1">
      <c r="A101" s="3" t="s">
        <v>740</v>
      </c>
    </row>
    <row r="102" spans="1:1">
      <c r="A102" s="3" t="s">
        <v>741</v>
      </c>
    </row>
    <row r="103" spans="1:1">
      <c r="A103" s="3" t="s">
        <v>742</v>
      </c>
    </row>
    <row r="104" spans="1:1">
      <c r="A104" s="3" t="s">
        <v>743</v>
      </c>
    </row>
    <row r="105" spans="1:1">
      <c r="A105" s="3" t="s">
        <v>744</v>
      </c>
    </row>
    <row r="107" spans="1:1" ht="16.5">
      <c r="A107" s="2" t="s">
        <v>745</v>
      </c>
    </row>
    <row r="108" spans="1:1">
      <c r="A108" s="3" t="s">
        <v>924</v>
      </c>
    </row>
    <row r="109" spans="1:1">
      <c r="A109" s="3" t="s">
        <v>923</v>
      </c>
    </row>
    <row r="110" spans="1:1">
      <c r="A110" s="3" t="s">
        <v>925</v>
      </c>
    </row>
    <row r="111" spans="1:1">
      <c r="A111" s="3" t="s">
        <v>926</v>
      </c>
    </row>
    <row r="113" spans="1:1" ht="16.5">
      <c r="A113" s="2" t="s">
        <v>746</v>
      </c>
    </row>
    <row r="114" spans="1:1">
      <c r="A114" s="3" t="s">
        <v>747</v>
      </c>
    </row>
    <row r="115" spans="1:1">
      <c r="A115" s="3" t="s">
        <v>748</v>
      </c>
    </row>
    <row r="116" spans="1:1">
      <c r="A116" s="3" t="s">
        <v>749</v>
      </c>
    </row>
    <row r="117" spans="1:1">
      <c r="A117" s="3" t="s">
        <v>918</v>
      </c>
    </row>
    <row r="118" spans="1:1">
      <c r="A118" s="3" t="s">
        <v>750</v>
      </c>
    </row>
    <row r="119" spans="1:1">
      <c r="A119" s="3" t="s">
        <v>751</v>
      </c>
    </row>
    <row r="120" spans="1:1">
      <c r="A120" s="3" t="s">
        <v>919</v>
      </c>
    </row>
    <row r="122" spans="1:1">
      <c r="A122" s="3" t="s">
        <v>752</v>
      </c>
    </row>
    <row r="123" spans="1:1">
      <c r="A123" s="3" t="s">
        <v>415</v>
      </c>
    </row>
    <row r="124" spans="1:1">
      <c r="A124" s="3" t="s">
        <v>396</v>
      </c>
    </row>
    <row r="125" spans="1:1">
      <c r="A125" s="3" t="s">
        <v>400</v>
      </c>
    </row>
    <row r="126" spans="1:1">
      <c r="A126" s="3" t="s">
        <v>409</v>
      </c>
    </row>
    <row r="128" spans="1:1" ht="16.5">
      <c r="A128" s="2" t="s">
        <v>753</v>
      </c>
    </row>
    <row r="129" spans="1:1">
      <c r="A129" s="3" t="s">
        <v>754</v>
      </c>
    </row>
    <row r="130" spans="1:1">
      <c r="A130" s="3" t="s">
        <v>707</v>
      </c>
    </row>
    <row r="131" spans="1:1">
      <c r="A131" s="3" t="s">
        <v>429</v>
      </c>
    </row>
    <row r="132" spans="1:1">
      <c r="A132" s="3" t="s">
        <v>403</v>
      </c>
    </row>
    <row r="133" spans="1:1">
      <c r="A133" s="3" t="s">
        <v>404</v>
      </c>
    </row>
    <row r="134" spans="1:1">
      <c r="A134" s="3" t="s">
        <v>755</v>
      </c>
    </row>
    <row r="135" spans="1:1">
      <c r="A135" s="3" t="s">
        <v>392</v>
      </c>
    </row>
    <row r="136" spans="1:1">
      <c r="A136" s="3" t="s">
        <v>402</v>
      </c>
    </row>
    <row r="137" spans="1:1">
      <c r="A137" s="3" t="s">
        <v>395</v>
      </c>
    </row>
    <row r="138" spans="1:1">
      <c r="A138" s="3" t="s">
        <v>756</v>
      </c>
    </row>
    <row r="139" spans="1:1">
      <c r="A139" s="3" t="s">
        <v>757</v>
      </c>
    </row>
    <row r="140" spans="1:1">
      <c r="A140" s="3" t="s">
        <v>758</v>
      </c>
    </row>
    <row r="141" spans="1:1">
      <c r="A141" s="3" t="s">
        <v>759</v>
      </c>
    </row>
    <row r="142" spans="1:1">
      <c r="A142" s="3" t="s">
        <v>393</v>
      </c>
    </row>
    <row r="143" spans="1:1">
      <c r="A143" s="3" t="s">
        <v>760</v>
      </c>
    </row>
    <row r="144" spans="1:1">
      <c r="A144" s="3" t="s">
        <v>396</v>
      </c>
    </row>
    <row r="145" spans="1:1">
      <c r="A145" s="3" t="s">
        <v>401</v>
      </c>
    </row>
    <row r="146" spans="1:1">
      <c r="A146" s="3" t="s">
        <v>426</v>
      </c>
    </row>
    <row r="147" spans="1:1">
      <c r="A147" s="3" t="s">
        <v>435</v>
      </c>
    </row>
    <row r="148" spans="1:1">
      <c r="A148" s="3" t="s">
        <v>428</v>
      </c>
    </row>
    <row r="149" spans="1:1">
      <c r="A149" s="3" t="s">
        <v>1598</v>
      </c>
    </row>
    <row r="150" spans="1:1">
      <c r="A150" s="3" t="s">
        <v>441</v>
      </c>
    </row>
    <row r="151" spans="1:1">
      <c r="A151" s="3" t="s">
        <v>288</v>
      </c>
    </row>
    <row r="152" spans="1:1">
      <c r="A152" s="3" t="s">
        <v>407</v>
      </c>
    </row>
    <row r="153" spans="1:1">
      <c r="A153" s="3" t="s">
        <v>422</v>
      </c>
    </row>
    <row r="154" spans="1:1">
      <c r="A154" s="3" t="s">
        <v>40</v>
      </c>
    </row>
    <row r="155" spans="1:1">
      <c r="A155" s="3" t="s">
        <v>761</v>
      </c>
    </row>
    <row r="157" spans="1:1" ht="16.5">
      <c r="A157" s="2" t="s">
        <v>752</v>
      </c>
    </row>
    <row r="158" spans="1:1">
      <c r="A158" s="3" t="s">
        <v>762</v>
      </c>
    </row>
    <row r="159" spans="1:1">
      <c r="A159" s="3" t="s">
        <v>397</v>
      </c>
    </row>
    <row r="160" spans="1:1">
      <c r="A160" s="3" t="s">
        <v>398</v>
      </c>
    </row>
    <row r="161" spans="1:1">
      <c r="A161" s="3" t="s">
        <v>1079</v>
      </c>
    </row>
    <row r="162" spans="1:1">
      <c r="A162" s="3" t="s">
        <v>394</v>
      </c>
    </row>
    <row r="164" spans="1:1">
      <c r="A164" s="3" t="s">
        <v>1066</v>
      </c>
    </row>
    <row r="165" spans="1:1">
      <c r="A165" s="3" t="s">
        <v>1067</v>
      </c>
    </row>
    <row r="166" spans="1:1">
      <c r="A166" s="3" t="s">
        <v>1068</v>
      </c>
    </row>
  </sheetData>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504" operator="containsText" id="{A5AF4796-62D6-41F6-BF73-2B5DACB9C43B}">
            <xm:f>NOT(ISERROR(SEARCH($A$33,O1)))</xm:f>
            <xm:f>$A$33</xm:f>
            <x14:dxf/>
          </x14:cfRule>
          <xm:sqref>O1:O42 O49:O1048576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973F02-8DFB-4703-AEB4-E63F3CB0B1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6</vt:i4>
      </vt:variant>
    </vt:vector>
  </HeadingPairs>
  <TitlesOfParts>
    <vt:vector size="13" baseType="lpstr">
      <vt:lpstr>1.RADICADOS</vt:lpstr>
      <vt:lpstr>2.BDN</vt:lpstr>
      <vt:lpstr>2.BDN (backup)</vt:lpstr>
      <vt:lpstr>MUNICIPIOS</vt:lpstr>
      <vt:lpstr>4.CAP_ENDMNT</vt:lpstr>
      <vt:lpstr>EJERCICIO IDEA (X PROYECTO)</vt:lpstr>
      <vt:lpstr>Desplegables</vt:lpstr>
      <vt:lpstr>'2.BDN (backup)'!Municipios</vt:lpstr>
      <vt:lpstr>'4.CAP_ENDMNT'!Municipios</vt:lpstr>
      <vt:lpstr>'EJERCICIO IDEA (X PROYECTO)'!Municipios</vt:lpstr>
      <vt:lpstr>Municipios</vt:lpstr>
      <vt:lpstr>'2.BDN (backup)'!NECESIDAD</vt:lpstr>
      <vt:lpstr>NECESIDAD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MATEO GARCES CESPEDES</cp:lastModifiedBy>
  <cp:revision/>
  <cp:lastPrinted>2025-07-20T00:47:14Z</cp:lastPrinted>
  <dcterms:created xsi:type="dcterms:W3CDTF">2024-09-06T13:40:19Z</dcterms:created>
  <dcterms:modified xsi:type="dcterms:W3CDTF">2025-12-05T22:08:20Z</dcterms:modified>
  <cp:category/>
  <cp:contentStatus/>
</cp:coreProperties>
</file>