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nunez/Desktop/FALL 26/DS/"/>
    </mc:Choice>
  </mc:AlternateContent>
  <xr:revisionPtr revIDLastSave="0" documentId="13_ncr:1_{614DE674-6033-DB4E-B753-A3E3A44B5226}" xr6:coauthVersionLast="47" xr6:coauthVersionMax="47" xr10:uidLastSave="{00000000-0000-0000-0000-000000000000}"/>
  <bookViews>
    <workbookView xWindow="0" yWindow="680" windowWidth="28800" windowHeight="16260" firstSheet="2" activeTab="11" xr2:uid="{E5C3DAB4-BFA5-AB40-B2DD-C99EDAA60136}"/>
  </bookViews>
  <sheets>
    <sheet name="2018-19 Montana Western" sheetId="27" r:id="rId1"/>
    <sheet name="2020-21 Westmont" sheetId="15" r:id="rId2"/>
    <sheet name="2021-22  Thomas More" sheetId="25" r:id="rId3"/>
    <sheet name="2022-23 CLARKE" sheetId="28" r:id="rId4"/>
    <sheet name="2023-24 Dordt" sheetId="23" r:id="rId5"/>
    <sheet name="2024-25 Dordt" sheetId="24" r:id="rId6"/>
    <sheet name="2018-19 UPIKE" sheetId="29" r:id="rId7"/>
    <sheet name="2020-21 UPIKE" sheetId="5" r:id="rId8"/>
    <sheet name="2021-22 UPIKE" sheetId="18" r:id="rId9"/>
    <sheet name="2022-23 UPIKE" sheetId="20" r:id="rId10"/>
    <sheet name="2023-24 UPIKE" sheetId="21" r:id="rId11"/>
    <sheet name="2024-25 UPIKE" sheetId="22" r:id="rId12"/>
  </sheets>
  <definedNames>
    <definedName name="ExternalData_1" localSheetId="0" hidden="1">'2018-19 Montana Western'!$A$3:$A$38</definedName>
    <definedName name="ExternalData_1" localSheetId="7" hidden="1">'2020-21 UPIKE'!$A$2:$AB$110</definedName>
    <definedName name="ExternalData_1" localSheetId="1" hidden="1">'2020-21 Westmont'!$A$1:$A$121</definedName>
    <definedName name="ExternalData_1" localSheetId="2" hidden="1">'2021-22  Thomas More'!$A$4:$A$34</definedName>
    <definedName name="ExternalData_1" localSheetId="10" hidden="1">'2023-24 UPIKE'!$A$4:$A$134</definedName>
    <definedName name="ExternalData_2" localSheetId="8" hidden="1">'2021-22 UPIKE'!$A$4:$A$134</definedName>
    <definedName name="ExternalData_2" localSheetId="9" hidden="1">'2022-23 UPIKE'!$A$4:$A$131</definedName>
    <definedName name="ExternalData_2" localSheetId="4" hidden="1">'2023-24 Dordt'!$A$2:$Y$134</definedName>
    <definedName name="ExternalData_2" localSheetId="11" hidden="1">'2024-25 UPIKE'!$A$4:$A$126</definedName>
    <definedName name="ExternalData_3" localSheetId="5" hidden="1">'2024-25 Dordt'!$A$1:$A$32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22" l="1"/>
  <c r="AA22" i="22"/>
  <c r="T3" i="20"/>
  <c r="T2" i="20"/>
  <c r="T3" i="22"/>
  <c r="T2" i="22"/>
  <c r="AH10" i="29"/>
  <c r="AI10" i="22"/>
  <c r="AP10" i="22"/>
  <c r="AC22" i="22"/>
  <c r="AC23" i="22"/>
  <c r="AE23" i="22"/>
  <c r="AE22" i="22"/>
  <c r="U2" i="21"/>
  <c r="AH28" i="23"/>
  <c r="T3" i="18"/>
  <c r="T2" i="18"/>
  <c r="AE25" i="21"/>
  <c r="AE26" i="21"/>
  <c r="AC25" i="21"/>
  <c r="AC26" i="21"/>
  <c r="AA25" i="21"/>
  <c r="AA26" i="21"/>
  <c r="Z25" i="21"/>
  <c r="Z26" i="21"/>
  <c r="X26" i="21"/>
  <c r="X25" i="21"/>
  <c r="AA26" i="20"/>
  <c r="AA25" i="20"/>
  <c r="X26" i="20"/>
  <c r="X25" i="20"/>
  <c r="AE26" i="5"/>
  <c r="AE25" i="5"/>
  <c r="AC26" i="5"/>
  <c r="AE25" i="18"/>
  <c r="AE24" i="18"/>
  <c r="AC25" i="18"/>
  <c r="AC24" i="18"/>
  <c r="AA25" i="18"/>
  <c r="AA24" i="18"/>
  <c r="Z25" i="18"/>
  <c r="Z24" i="18"/>
  <c r="X25" i="18"/>
  <c r="AH11" i="22"/>
  <c r="AH22" i="22" s="1"/>
  <c r="AH12" i="22"/>
  <c r="AH13" i="22"/>
  <c r="AH14" i="22"/>
  <c r="AH15" i="22"/>
  <c r="AH16" i="22"/>
  <c r="AH17" i="22"/>
  <c r="AH18" i="22"/>
  <c r="AH19" i="22"/>
  <c r="AH20" i="22"/>
  <c r="AH21" i="22"/>
  <c r="AH10" i="22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10" i="21"/>
  <c r="AE26" i="20"/>
  <c r="AE25" i="20"/>
  <c r="AC26" i="20"/>
  <c r="AC25" i="20"/>
  <c r="AH25" i="20"/>
  <c r="AH11" i="20"/>
  <c r="AH12" i="20"/>
  <c r="AH13" i="20"/>
  <c r="AH14" i="20"/>
  <c r="AH15" i="20"/>
  <c r="AH16" i="20"/>
  <c r="AH17" i="20"/>
  <c r="AH18" i="20"/>
  <c r="AH19" i="20"/>
  <c r="AH20" i="20"/>
  <c r="AH21" i="20"/>
  <c r="AH22" i="20"/>
  <c r="AH23" i="20"/>
  <c r="AH24" i="20"/>
  <c r="AH10" i="20"/>
  <c r="AH24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10" i="18"/>
  <c r="AH25" i="5"/>
  <c r="X23" i="22"/>
  <c r="X22" i="22"/>
  <c r="X11" i="22"/>
  <c r="X12" i="22"/>
  <c r="X13" i="22"/>
  <c r="X14" i="22"/>
  <c r="X15" i="22"/>
  <c r="X16" i="22"/>
  <c r="X17" i="22"/>
  <c r="X18" i="22"/>
  <c r="X19" i="22"/>
  <c r="X20" i="22"/>
  <c r="X21" i="22"/>
  <c r="X10" i="22"/>
  <c r="AJ19" i="23"/>
  <c r="AI19" i="23"/>
  <c r="AA19" i="23"/>
  <c r="Z19" i="23"/>
  <c r="AH10" i="27"/>
  <c r="AP11" i="22"/>
  <c r="AP12" i="22"/>
  <c r="AP13" i="22"/>
  <c r="AP14" i="22"/>
  <c r="AP15" i="22"/>
  <c r="AP16" i="22"/>
  <c r="AP17" i="22"/>
  <c r="AP18" i="22"/>
  <c r="AP19" i="22"/>
  <c r="AP20" i="22"/>
  <c r="AP21" i="22"/>
  <c r="AP12" i="21"/>
  <c r="AP11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10" i="21"/>
  <c r="AP11" i="20"/>
  <c r="AP12" i="20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10" i="20"/>
  <c r="AP11" i="18"/>
  <c r="AP12" i="18"/>
  <c r="AP13" i="18"/>
  <c r="AP14" i="18"/>
  <c r="AP15" i="18"/>
  <c r="AP16" i="18"/>
  <c r="AP17" i="18"/>
  <c r="AP18" i="18"/>
  <c r="AP19" i="18"/>
  <c r="AP20" i="18"/>
  <c r="AP21" i="18"/>
  <c r="AP22" i="18"/>
  <c r="AP23" i="18"/>
  <c r="AP10" i="18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11" i="29"/>
  <c r="AP12" i="29"/>
  <c r="AP13" i="29"/>
  <c r="AP14" i="29"/>
  <c r="AP15" i="29"/>
  <c r="AP16" i="29"/>
  <c r="AP17" i="29"/>
  <c r="AP18" i="29"/>
  <c r="AP19" i="29"/>
  <c r="AP20" i="29"/>
  <c r="AP21" i="29"/>
  <c r="AP22" i="29"/>
  <c r="AP23" i="29"/>
  <c r="AP24" i="29"/>
  <c r="AP25" i="29"/>
  <c r="AP10" i="29"/>
  <c r="AP11" i="24"/>
  <c r="AP12" i="24"/>
  <c r="AP13" i="24"/>
  <c r="AP14" i="24"/>
  <c r="AP15" i="24"/>
  <c r="AP16" i="24"/>
  <c r="AP17" i="24"/>
  <c r="AP18" i="24"/>
  <c r="AP19" i="24"/>
  <c r="AP20" i="24"/>
  <c r="AP21" i="24"/>
  <c r="AP22" i="24"/>
  <c r="AP23" i="24"/>
  <c r="AP24" i="24"/>
  <c r="AP25" i="24"/>
  <c r="AP26" i="24"/>
  <c r="AP10" i="24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11" i="28"/>
  <c r="AP12" i="28"/>
  <c r="AP13" i="28"/>
  <c r="AP14" i="28"/>
  <c r="AP15" i="28"/>
  <c r="AP16" i="28"/>
  <c r="AP17" i="28"/>
  <c r="AP18" i="28"/>
  <c r="AP19" i="28"/>
  <c r="AP20" i="28"/>
  <c r="AP21" i="28"/>
  <c r="AP22" i="28"/>
  <c r="AP23" i="28"/>
  <c r="AP24" i="28"/>
  <c r="AP10" i="28"/>
  <c r="AP11" i="25"/>
  <c r="AP12" i="25"/>
  <c r="AP13" i="25"/>
  <c r="AP14" i="25"/>
  <c r="AP15" i="25"/>
  <c r="AP16" i="25"/>
  <c r="AP17" i="25"/>
  <c r="AP18" i="25"/>
  <c r="AP19" i="25"/>
  <c r="AP20" i="25"/>
  <c r="AP21" i="25"/>
  <c r="AP22" i="25"/>
  <c r="AP23" i="25"/>
  <c r="AP24" i="25"/>
  <c r="AP25" i="25"/>
  <c r="AP26" i="25"/>
  <c r="AP27" i="25"/>
  <c r="AP10" i="25"/>
  <c r="AP11" i="15"/>
  <c r="AP12" i="15"/>
  <c r="AP13" i="15"/>
  <c r="AP14" i="15"/>
  <c r="AP15" i="15"/>
  <c r="AP16" i="15"/>
  <c r="AP17" i="15"/>
  <c r="AP18" i="15"/>
  <c r="AP19" i="15"/>
  <c r="AP10" i="15"/>
  <c r="AO11" i="22"/>
  <c r="AO12" i="22"/>
  <c r="AO13" i="22"/>
  <c r="AO14" i="22"/>
  <c r="AO15" i="22"/>
  <c r="AO16" i="22"/>
  <c r="AO17" i="22"/>
  <c r="AO18" i="22"/>
  <c r="AO19" i="22"/>
  <c r="AO20" i="22"/>
  <c r="AO21" i="22"/>
  <c r="AO10" i="22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10" i="21"/>
  <c r="AO11" i="20"/>
  <c r="AO12" i="20"/>
  <c r="AO13" i="20"/>
  <c r="AO14" i="20"/>
  <c r="AO15" i="20"/>
  <c r="AO16" i="20"/>
  <c r="AO17" i="20"/>
  <c r="AO18" i="20"/>
  <c r="AO19" i="20"/>
  <c r="AO20" i="20"/>
  <c r="AO21" i="20"/>
  <c r="AO22" i="20"/>
  <c r="AO23" i="20"/>
  <c r="AO24" i="20"/>
  <c r="AO10" i="20"/>
  <c r="AO11" i="18"/>
  <c r="AO12" i="18"/>
  <c r="AO13" i="18"/>
  <c r="AO14" i="18"/>
  <c r="AO15" i="18"/>
  <c r="AO16" i="18"/>
  <c r="AO17" i="18"/>
  <c r="AO18" i="18"/>
  <c r="AO19" i="18"/>
  <c r="AO20" i="18"/>
  <c r="AO21" i="18"/>
  <c r="AO22" i="18"/>
  <c r="AO23" i="18"/>
  <c r="AO10" i="18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10" i="5"/>
  <c r="AO11" i="24"/>
  <c r="AO12" i="24"/>
  <c r="AO13" i="24"/>
  <c r="AO14" i="24"/>
  <c r="AO15" i="24"/>
  <c r="AO16" i="24"/>
  <c r="AO17" i="24"/>
  <c r="AO18" i="24"/>
  <c r="AO19" i="24"/>
  <c r="AO20" i="24"/>
  <c r="AO21" i="24"/>
  <c r="AO22" i="24"/>
  <c r="AO23" i="24"/>
  <c r="AO24" i="24"/>
  <c r="AO25" i="24"/>
  <c r="AO26" i="24"/>
  <c r="AO10" i="23"/>
  <c r="AO10" i="24"/>
  <c r="AO11" i="23"/>
  <c r="AO12" i="23"/>
  <c r="AO13" i="23"/>
  <c r="AO14" i="23"/>
  <c r="AO15" i="23"/>
  <c r="AO16" i="23"/>
  <c r="AO17" i="23"/>
  <c r="AO18" i="23"/>
  <c r="AO19" i="23"/>
  <c r="AO20" i="23"/>
  <c r="AO21" i="23"/>
  <c r="AO22" i="23"/>
  <c r="AO23" i="23"/>
  <c r="AO24" i="23"/>
  <c r="AO25" i="23"/>
  <c r="AO26" i="23"/>
  <c r="AO27" i="23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10" i="27"/>
  <c r="AO10" i="15"/>
  <c r="AO10" i="25"/>
  <c r="AO27" i="25"/>
  <c r="AO11" i="25"/>
  <c r="AO12" i="25"/>
  <c r="AO13" i="25"/>
  <c r="AO14" i="25"/>
  <c r="AO15" i="25"/>
  <c r="AO16" i="25"/>
  <c r="AO17" i="25"/>
  <c r="AO18" i="25"/>
  <c r="AO19" i="25"/>
  <c r="AO20" i="25"/>
  <c r="AO21" i="25"/>
  <c r="AO22" i="25"/>
  <c r="AO23" i="25"/>
  <c r="AO24" i="25"/>
  <c r="AO25" i="25"/>
  <c r="AO26" i="25"/>
  <c r="AO11" i="15"/>
  <c r="AO12" i="15"/>
  <c r="AO13" i="15"/>
  <c r="AO14" i="15"/>
  <c r="AO15" i="15"/>
  <c r="AO16" i="15"/>
  <c r="AO17" i="15"/>
  <c r="AO18" i="15"/>
  <c r="AO19" i="15"/>
  <c r="AN10" i="27"/>
  <c r="AN11" i="22"/>
  <c r="AN12" i="22"/>
  <c r="AN13" i="22"/>
  <c r="AN14" i="22"/>
  <c r="AN15" i="22"/>
  <c r="AN16" i="22"/>
  <c r="AN17" i="22"/>
  <c r="AN18" i="22"/>
  <c r="AN19" i="22"/>
  <c r="AN20" i="22"/>
  <c r="AN21" i="22"/>
  <c r="AN10" i="22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3" i="20"/>
  <c r="AN24" i="20"/>
  <c r="AN11" i="20"/>
  <c r="AN12" i="20"/>
  <c r="AN13" i="20"/>
  <c r="AN14" i="20"/>
  <c r="AN15" i="20"/>
  <c r="AN16" i="20"/>
  <c r="AN17" i="20"/>
  <c r="AN18" i="20"/>
  <c r="AN19" i="20"/>
  <c r="AN20" i="20"/>
  <c r="AN21" i="20"/>
  <c r="AN22" i="20"/>
  <c r="AN10" i="20"/>
  <c r="AN23" i="18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10" i="5"/>
  <c r="AN10" i="23"/>
  <c r="AN11" i="24"/>
  <c r="AN12" i="24"/>
  <c r="AN13" i="24"/>
  <c r="AN14" i="24"/>
  <c r="AN15" i="24"/>
  <c r="AN16" i="24"/>
  <c r="AN17" i="24"/>
  <c r="AN18" i="24"/>
  <c r="AN19" i="24"/>
  <c r="AN20" i="24"/>
  <c r="AN21" i="24"/>
  <c r="AN22" i="24"/>
  <c r="AN23" i="24"/>
  <c r="AN24" i="24"/>
  <c r="AN25" i="24"/>
  <c r="AN26" i="24"/>
  <c r="AN10" i="24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10" i="25"/>
  <c r="AN23" i="25"/>
  <c r="AN11" i="25"/>
  <c r="AN12" i="25"/>
  <c r="AN13" i="25"/>
  <c r="AN14" i="25"/>
  <c r="AN15" i="25"/>
  <c r="AN16" i="25"/>
  <c r="AN17" i="25"/>
  <c r="AN18" i="25"/>
  <c r="AN19" i="25"/>
  <c r="AN20" i="25"/>
  <c r="AN21" i="25"/>
  <c r="AN22" i="25"/>
  <c r="AN24" i="25"/>
  <c r="AN25" i="25"/>
  <c r="AN26" i="25"/>
  <c r="AN27" i="25"/>
  <c r="AN10" i="15"/>
  <c r="AN11" i="15"/>
  <c r="AN12" i="15"/>
  <c r="AN13" i="15"/>
  <c r="AN14" i="15"/>
  <c r="AN15" i="15"/>
  <c r="AN16" i="15"/>
  <c r="AN17" i="15"/>
  <c r="AN18" i="15"/>
  <c r="AN19" i="15"/>
  <c r="AM11" i="22"/>
  <c r="AM12" i="22"/>
  <c r="AM13" i="22"/>
  <c r="AM14" i="22"/>
  <c r="AM15" i="22"/>
  <c r="AM16" i="22"/>
  <c r="AM17" i="22"/>
  <c r="AM18" i="22"/>
  <c r="AM19" i="22"/>
  <c r="AM20" i="22"/>
  <c r="AM21" i="22"/>
  <c r="AM10" i="22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M10" i="21"/>
  <c r="AM18" i="20"/>
  <c r="AM24" i="20"/>
  <c r="AM11" i="20"/>
  <c r="AM12" i="20"/>
  <c r="AM13" i="20"/>
  <c r="AM14" i="20"/>
  <c r="AM15" i="20"/>
  <c r="AM16" i="20"/>
  <c r="AM17" i="20"/>
  <c r="AM19" i="20"/>
  <c r="AM20" i="20"/>
  <c r="AM21" i="20"/>
  <c r="AM22" i="20"/>
  <c r="AM23" i="20"/>
  <c r="AM10" i="20"/>
  <c r="AM11" i="18"/>
  <c r="AM12" i="18"/>
  <c r="AM13" i="18"/>
  <c r="AM14" i="18"/>
  <c r="AM15" i="18"/>
  <c r="AM16" i="18"/>
  <c r="AM17" i="18"/>
  <c r="AM18" i="18"/>
  <c r="AM19" i="18"/>
  <c r="AM20" i="18"/>
  <c r="AM21" i="18"/>
  <c r="AM22" i="18"/>
  <c r="AM23" i="18"/>
  <c r="AM10" i="18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11" i="24"/>
  <c r="AM12" i="24"/>
  <c r="AM13" i="24"/>
  <c r="AM14" i="24"/>
  <c r="AM15" i="24"/>
  <c r="AM16" i="24"/>
  <c r="AM17" i="24"/>
  <c r="AM18" i="24"/>
  <c r="AM19" i="24"/>
  <c r="AM20" i="24"/>
  <c r="AM21" i="24"/>
  <c r="AM22" i="24"/>
  <c r="AM23" i="24"/>
  <c r="AM24" i="24"/>
  <c r="AM25" i="24"/>
  <c r="AM26" i="24"/>
  <c r="AM10" i="24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M25" i="23"/>
  <c r="AM26" i="23"/>
  <c r="AM27" i="23"/>
  <c r="AM10" i="23"/>
  <c r="AM10" i="27"/>
  <c r="AM26" i="25"/>
  <c r="AM11" i="25"/>
  <c r="AM12" i="25"/>
  <c r="AM13" i="25"/>
  <c r="AM14" i="25"/>
  <c r="AM15" i="25"/>
  <c r="AM16" i="25"/>
  <c r="AM17" i="25"/>
  <c r="AM18" i="25"/>
  <c r="AM19" i="25"/>
  <c r="AM20" i="25"/>
  <c r="AM21" i="25"/>
  <c r="AM22" i="25"/>
  <c r="AM23" i="25"/>
  <c r="AM24" i="25"/>
  <c r="AM25" i="25"/>
  <c r="AM27" i="25"/>
  <c r="AM10" i="25"/>
  <c r="AM11" i="15"/>
  <c r="AM12" i="15"/>
  <c r="AM13" i="15"/>
  <c r="AM14" i="15"/>
  <c r="AM15" i="15"/>
  <c r="AM16" i="15"/>
  <c r="AM17" i="15"/>
  <c r="AM18" i="15"/>
  <c r="AM19" i="15"/>
  <c r="AM10" i="15"/>
  <c r="AL21" i="22"/>
  <c r="AL11" i="22"/>
  <c r="AL12" i="22"/>
  <c r="AL13" i="22"/>
  <c r="AL14" i="22"/>
  <c r="AL15" i="22"/>
  <c r="AL16" i="22"/>
  <c r="AL17" i="22"/>
  <c r="AL18" i="22"/>
  <c r="AL19" i="22"/>
  <c r="AL20" i="22"/>
  <c r="AL10" i="22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L10" i="21"/>
  <c r="AL10" i="20"/>
  <c r="AL11" i="20"/>
  <c r="AL12" i="20"/>
  <c r="AL13" i="20"/>
  <c r="AL14" i="20"/>
  <c r="AL15" i="20"/>
  <c r="AL16" i="20"/>
  <c r="AL17" i="20"/>
  <c r="AL18" i="20"/>
  <c r="AL19" i="20"/>
  <c r="AL20" i="20"/>
  <c r="AL21" i="20"/>
  <c r="AL22" i="20"/>
  <c r="AL23" i="20"/>
  <c r="AL24" i="20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10" i="18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L24" i="5"/>
  <c r="AL10" i="5"/>
  <c r="AL10" i="27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10" i="24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L25" i="23"/>
  <c r="AL26" i="23"/>
  <c r="AL27" i="23"/>
  <c r="AL10" i="23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10" i="28"/>
  <c r="AL10" i="25"/>
  <c r="AL11" i="25"/>
  <c r="AL12" i="25"/>
  <c r="AL13" i="25"/>
  <c r="AL14" i="25"/>
  <c r="AL15" i="25"/>
  <c r="AL16" i="25"/>
  <c r="AL17" i="25"/>
  <c r="AL18" i="25"/>
  <c r="AL19" i="25"/>
  <c r="AL20" i="25"/>
  <c r="AL21" i="25"/>
  <c r="AL22" i="25"/>
  <c r="AL23" i="25"/>
  <c r="AL24" i="25"/>
  <c r="AL25" i="25"/>
  <c r="AL26" i="25"/>
  <c r="AL27" i="25"/>
  <c r="AL11" i="15"/>
  <c r="AL12" i="15"/>
  <c r="AL13" i="15"/>
  <c r="AL14" i="15"/>
  <c r="AL15" i="15"/>
  <c r="AL16" i="15"/>
  <c r="AL17" i="15"/>
  <c r="AL18" i="15"/>
  <c r="AL19" i="15"/>
  <c r="AL10" i="15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10" i="21"/>
  <c r="AK11" i="20"/>
  <c r="AK12" i="20"/>
  <c r="AK13" i="20"/>
  <c r="AK14" i="20"/>
  <c r="AK15" i="20"/>
  <c r="AK16" i="20"/>
  <c r="AK17" i="20"/>
  <c r="AK18" i="20"/>
  <c r="AK19" i="20"/>
  <c r="AK20" i="20"/>
  <c r="AK21" i="20"/>
  <c r="AK22" i="20"/>
  <c r="AK23" i="20"/>
  <c r="AK24" i="20"/>
  <c r="AK10" i="20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10" i="18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11" i="24"/>
  <c r="AK12" i="24"/>
  <c r="AK13" i="24"/>
  <c r="AK14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10" i="24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K25" i="23"/>
  <c r="AK26" i="23"/>
  <c r="AK27" i="23"/>
  <c r="AK10" i="25"/>
  <c r="AK11" i="25"/>
  <c r="AK12" i="25"/>
  <c r="AK13" i="25"/>
  <c r="AK14" i="25"/>
  <c r="AK15" i="25"/>
  <c r="AK16" i="25"/>
  <c r="AK17" i="25"/>
  <c r="AK18" i="25"/>
  <c r="AK19" i="25"/>
  <c r="AK20" i="25"/>
  <c r="AK21" i="25"/>
  <c r="AK22" i="25"/>
  <c r="AK23" i="25"/>
  <c r="AK24" i="25"/>
  <c r="AK25" i="25"/>
  <c r="AK26" i="25"/>
  <c r="AK27" i="25"/>
  <c r="AK11" i="27"/>
  <c r="AK12" i="27"/>
  <c r="AK13" i="27"/>
  <c r="AK14" i="27"/>
  <c r="AK15" i="27"/>
  <c r="AK16" i="27"/>
  <c r="AK17" i="27"/>
  <c r="AK18" i="27"/>
  <c r="AK19" i="27"/>
  <c r="AK10" i="27"/>
  <c r="AK12" i="15"/>
  <c r="AK11" i="15"/>
  <c r="AK10" i="15"/>
  <c r="AK13" i="15"/>
  <c r="AK14" i="15"/>
  <c r="AK15" i="15"/>
  <c r="AK16" i="15"/>
  <c r="AK17" i="15"/>
  <c r="AK18" i="15"/>
  <c r="AK19" i="15"/>
  <c r="AI10" i="27"/>
  <c r="AJ11" i="22"/>
  <c r="AJ12" i="22"/>
  <c r="AJ13" i="22"/>
  <c r="AJ14" i="22"/>
  <c r="AJ15" i="22"/>
  <c r="AJ16" i="22"/>
  <c r="AJ17" i="22"/>
  <c r="AJ18" i="22"/>
  <c r="AJ19" i="22"/>
  <c r="AJ20" i="22"/>
  <c r="AJ21" i="22"/>
  <c r="AJ10" i="22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10" i="21"/>
  <c r="AJ10" i="20"/>
  <c r="AJ11" i="20"/>
  <c r="AJ12" i="20"/>
  <c r="AJ13" i="20"/>
  <c r="AJ14" i="20"/>
  <c r="AJ15" i="20"/>
  <c r="AJ16" i="20"/>
  <c r="AJ17" i="20"/>
  <c r="AJ18" i="20"/>
  <c r="AJ19" i="20"/>
  <c r="AJ20" i="20"/>
  <c r="AJ21" i="20"/>
  <c r="AJ22" i="20"/>
  <c r="AJ23" i="20"/>
  <c r="AJ24" i="20"/>
  <c r="AJ11" i="18"/>
  <c r="AJ12" i="18"/>
  <c r="AJ13" i="18"/>
  <c r="AJ14" i="18"/>
  <c r="AJ15" i="18"/>
  <c r="AJ16" i="18"/>
  <c r="AJ17" i="18"/>
  <c r="AJ18" i="18"/>
  <c r="AJ19" i="18"/>
  <c r="AJ20" i="18"/>
  <c r="AJ21" i="18"/>
  <c r="AJ22" i="18"/>
  <c r="AJ23" i="18"/>
  <c r="AJ10" i="18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10" i="5"/>
  <c r="AJ11" i="24"/>
  <c r="AJ12" i="24"/>
  <c r="AJ13" i="24"/>
  <c r="AJ14" i="24"/>
  <c r="AJ15" i="24"/>
  <c r="AJ16" i="24"/>
  <c r="AJ17" i="24"/>
  <c r="AJ18" i="24"/>
  <c r="AJ19" i="24"/>
  <c r="AJ20" i="24"/>
  <c r="AJ21" i="24"/>
  <c r="AJ22" i="24"/>
  <c r="AJ23" i="24"/>
  <c r="AJ24" i="24"/>
  <c r="AJ25" i="24"/>
  <c r="AJ26" i="24"/>
  <c r="AJ10" i="24"/>
  <c r="AJ11" i="23"/>
  <c r="AJ12" i="23"/>
  <c r="AJ13" i="23"/>
  <c r="AJ14" i="23"/>
  <c r="AJ15" i="23"/>
  <c r="AJ16" i="23"/>
  <c r="AJ17" i="23"/>
  <c r="AJ18" i="23"/>
  <c r="AJ20" i="23"/>
  <c r="AJ21" i="23"/>
  <c r="AJ22" i="23"/>
  <c r="AJ23" i="23"/>
  <c r="AJ24" i="23"/>
  <c r="AJ25" i="23"/>
  <c r="AJ26" i="23"/>
  <c r="AJ27" i="23"/>
  <c r="AJ10" i="23"/>
  <c r="AJ10" i="28"/>
  <c r="AJ11" i="25"/>
  <c r="AJ12" i="25"/>
  <c r="AJ13" i="25"/>
  <c r="AJ14" i="25"/>
  <c r="AJ15" i="25"/>
  <c r="AJ16" i="25"/>
  <c r="AJ17" i="25"/>
  <c r="AJ18" i="25"/>
  <c r="AJ19" i="25"/>
  <c r="AJ20" i="25"/>
  <c r="AJ21" i="25"/>
  <c r="AJ22" i="25"/>
  <c r="AJ23" i="25"/>
  <c r="AJ24" i="25"/>
  <c r="AJ25" i="25"/>
  <c r="AJ26" i="25"/>
  <c r="AJ27" i="25"/>
  <c r="AJ10" i="25"/>
  <c r="AJ11" i="15"/>
  <c r="AJ12" i="15"/>
  <c r="AJ13" i="15"/>
  <c r="AJ14" i="15"/>
  <c r="AJ15" i="15"/>
  <c r="AJ16" i="15"/>
  <c r="AJ17" i="15"/>
  <c r="AJ18" i="15"/>
  <c r="AJ19" i="15"/>
  <c r="AJ10" i="15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10" i="21"/>
  <c r="AI11" i="20"/>
  <c r="AI12" i="20"/>
  <c r="AI13" i="20"/>
  <c r="AI14" i="20"/>
  <c r="AI15" i="20"/>
  <c r="AI16" i="20"/>
  <c r="AI17" i="20"/>
  <c r="AI18" i="20"/>
  <c r="AI19" i="20"/>
  <c r="AI20" i="20"/>
  <c r="AI21" i="20"/>
  <c r="AI22" i="20"/>
  <c r="AI23" i="20"/>
  <c r="AI24" i="20"/>
  <c r="AI25" i="20"/>
  <c r="AI26" i="20"/>
  <c r="AI10" i="20"/>
  <c r="AI11" i="18"/>
  <c r="AI12" i="18"/>
  <c r="AI13" i="18"/>
  <c r="AI14" i="18"/>
  <c r="AI15" i="18"/>
  <c r="AI16" i="18"/>
  <c r="AI17" i="18"/>
  <c r="AI18" i="18"/>
  <c r="AI19" i="18"/>
  <c r="AI20" i="18"/>
  <c r="AI21" i="18"/>
  <c r="AI22" i="18"/>
  <c r="AI23" i="18"/>
  <c r="AI24" i="18"/>
  <c r="AI25" i="18"/>
  <c r="AI10" i="18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10" i="5"/>
  <c r="AI11" i="29"/>
  <c r="AI12" i="29"/>
  <c r="AI13" i="29"/>
  <c r="AI14" i="29"/>
  <c r="AI15" i="29"/>
  <c r="AI16" i="29"/>
  <c r="AI17" i="29"/>
  <c r="AI18" i="29"/>
  <c r="AI19" i="29"/>
  <c r="AI20" i="29"/>
  <c r="AI21" i="29"/>
  <c r="AI22" i="29"/>
  <c r="AI23" i="29"/>
  <c r="AI24" i="29"/>
  <c r="AI27" i="29"/>
  <c r="AI10" i="29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10" i="24"/>
  <c r="AI11" i="23"/>
  <c r="AI12" i="23"/>
  <c r="AI13" i="23"/>
  <c r="AI14" i="23"/>
  <c r="AI15" i="23"/>
  <c r="AI16" i="23"/>
  <c r="AI17" i="23"/>
  <c r="AI18" i="23"/>
  <c r="AI20" i="23"/>
  <c r="AI21" i="23"/>
  <c r="AI22" i="23"/>
  <c r="AI23" i="23"/>
  <c r="AI24" i="23"/>
  <c r="AI25" i="23"/>
  <c r="AI26" i="23"/>
  <c r="AI28" i="23"/>
  <c r="AI29" i="23"/>
  <c r="AI10" i="23"/>
  <c r="AI11" i="28"/>
  <c r="AI12" i="28"/>
  <c r="AI13" i="28"/>
  <c r="AI14" i="28"/>
  <c r="AI15" i="28"/>
  <c r="AI16" i="28"/>
  <c r="AI17" i="28"/>
  <c r="AI18" i="28"/>
  <c r="AI19" i="28"/>
  <c r="AI20" i="28"/>
  <c r="AI21" i="28"/>
  <c r="AI22" i="28"/>
  <c r="AI23" i="28"/>
  <c r="AI24" i="28"/>
  <c r="AI26" i="28"/>
  <c r="AI10" i="28"/>
  <c r="AI11" i="25"/>
  <c r="AI12" i="25"/>
  <c r="AI13" i="25"/>
  <c r="AI14" i="25"/>
  <c r="AI15" i="25"/>
  <c r="AI16" i="25"/>
  <c r="AI17" i="25"/>
  <c r="AI18" i="25"/>
  <c r="AI19" i="25"/>
  <c r="AI20" i="25"/>
  <c r="AI21" i="25"/>
  <c r="AI22" i="25"/>
  <c r="AI23" i="25"/>
  <c r="AI24" i="25"/>
  <c r="AI25" i="25"/>
  <c r="AI26" i="25"/>
  <c r="AI27" i="25"/>
  <c r="AI28" i="25"/>
  <c r="AI29" i="25"/>
  <c r="AI10" i="25"/>
  <c r="AI11" i="15"/>
  <c r="AI12" i="15"/>
  <c r="AI13" i="15"/>
  <c r="AI14" i="15"/>
  <c r="AI15" i="15"/>
  <c r="AI16" i="15"/>
  <c r="AI17" i="15"/>
  <c r="AI18" i="15"/>
  <c r="AI19" i="15"/>
  <c r="AI20" i="15"/>
  <c r="AI21" i="15"/>
  <c r="AI10" i="15"/>
  <c r="AJ10" i="27"/>
  <c r="AP10" i="27"/>
  <c r="AO11" i="27"/>
  <c r="AO12" i="27"/>
  <c r="AO13" i="27"/>
  <c r="AO14" i="27"/>
  <c r="AO15" i="27"/>
  <c r="AO16" i="27"/>
  <c r="AO17" i="27"/>
  <c r="AO18" i="27"/>
  <c r="AO19" i="27"/>
  <c r="AN11" i="27"/>
  <c r="AN12" i="27"/>
  <c r="AN13" i="27"/>
  <c r="AN14" i="27"/>
  <c r="AN15" i="27"/>
  <c r="AN16" i="27"/>
  <c r="AN17" i="27"/>
  <c r="AN18" i="27"/>
  <c r="AN19" i="27"/>
  <c r="AI11" i="27"/>
  <c r="AI12" i="27"/>
  <c r="AI13" i="27"/>
  <c r="AI14" i="27"/>
  <c r="AI15" i="27"/>
  <c r="AI16" i="27"/>
  <c r="AI17" i="27"/>
  <c r="AI18" i="27"/>
  <c r="AI19" i="27"/>
  <c r="AI20" i="27"/>
  <c r="AI21" i="27"/>
  <c r="AM11" i="27"/>
  <c r="AM12" i="27"/>
  <c r="AM13" i="27"/>
  <c r="AM14" i="27"/>
  <c r="AM15" i="27"/>
  <c r="AM16" i="27"/>
  <c r="AM17" i="27"/>
  <c r="AM18" i="27"/>
  <c r="AM19" i="27"/>
  <c r="AL11" i="27"/>
  <c r="AL12" i="27"/>
  <c r="AL13" i="27"/>
  <c r="AL14" i="27"/>
  <c r="AL15" i="27"/>
  <c r="AL16" i="27"/>
  <c r="AL17" i="27"/>
  <c r="AL18" i="27"/>
  <c r="AL19" i="27"/>
  <c r="AJ11" i="27"/>
  <c r="AJ12" i="27"/>
  <c r="AJ13" i="27"/>
  <c r="AJ14" i="27"/>
  <c r="AJ15" i="27"/>
  <c r="AJ16" i="27"/>
  <c r="AJ17" i="27"/>
  <c r="AJ18" i="27"/>
  <c r="AJ19" i="27"/>
  <c r="G20" i="27"/>
  <c r="AP11" i="27"/>
  <c r="AP12" i="27"/>
  <c r="AP13" i="27"/>
  <c r="AP14" i="27"/>
  <c r="AP15" i="27"/>
  <c r="AP16" i="27"/>
  <c r="AP17" i="27"/>
  <c r="AP18" i="27"/>
  <c r="AP19" i="27"/>
  <c r="AE21" i="15"/>
  <c r="AE20" i="15"/>
  <c r="AC21" i="15"/>
  <c r="AC20" i="15"/>
  <c r="AA21" i="15"/>
  <c r="AA20" i="15"/>
  <c r="Z21" i="15"/>
  <c r="Z20" i="15"/>
  <c r="AH16" i="27"/>
  <c r="N19" i="27"/>
  <c r="N11" i="27"/>
  <c r="N12" i="27"/>
  <c r="N13" i="27"/>
  <c r="N14" i="27"/>
  <c r="N15" i="27"/>
  <c r="N16" i="27"/>
  <c r="N17" i="27"/>
  <c r="N18" i="27"/>
  <c r="N10" i="27"/>
  <c r="AE21" i="27"/>
  <c r="AE20" i="27"/>
  <c r="AC21" i="27"/>
  <c r="AC20" i="27"/>
  <c r="AA21" i="27"/>
  <c r="AA20" i="27"/>
  <c r="Z21" i="27"/>
  <c r="Z20" i="27"/>
  <c r="AH25" i="29"/>
  <c r="AH10" i="23"/>
  <c r="AH10" i="24"/>
  <c r="AE27" i="29"/>
  <c r="AE11" i="29"/>
  <c r="AE12" i="29"/>
  <c r="AE13" i="29"/>
  <c r="AE14" i="29"/>
  <c r="AE15" i="29"/>
  <c r="AE16" i="29"/>
  <c r="AE17" i="29"/>
  <c r="AE18" i="29"/>
  <c r="AE19" i="29"/>
  <c r="AE20" i="29"/>
  <c r="AE21" i="29"/>
  <c r="AE22" i="29"/>
  <c r="AE23" i="29"/>
  <c r="AE24" i="29"/>
  <c r="AE25" i="29"/>
  <c r="AE10" i="29"/>
  <c r="AC27" i="29"/>
  <c r="AC11" i="29"/>
  <c r="AC12" i="29"/>
  <c r="AC13" i="29"/>
  <c r="AC14" i="29"/>
  <c r="AC15" i="29"/>
  <c r="AC16" i="29"/>
  <c r="AC17" i="29"/>
  <c r="AC18" i="29"/>
  <c r="AC19" i="29"/>
  <c r="AC20" i="29"/>
  <c r="AC21" i="29"/>
  <c r="AC22" i="29"/>
  <c r="AC23" i="29"/>
  <c r="AC24" i="29"/>
  <c r="AC25" i="29"/>
  <c r="AC10" i="29"/>
  <c r="AA27" i="29"/>
  <c r="X25" i="29"/>
  <c r="AA11" i="29"/>
  <c r="AA12" i="29"/>
  <c r="AA13" i="29"/>
  <c r="AA14" i="29"/>
  <c r="AA15" i="29"/>
  <c r="AA16" i="29"/>
  <c r="AA17" i="29"/>
  <c r="AA18" i="29"/>
  <c r="AA19" i="29"/>
  <c r="AA20" i="29"/>
  <c r="AA21" i="29"/>
  <c r="AA22" i="29"/>
  <c r="AA23" i="29"/>
  <c r="AA24" i="29"/>
  <c r="AA10" i="29"/>
  <c r="Z27" i="29"/>
  <c r="Z26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10" i="29"/>
  <c r="X27" i="29"/>
  <c r="X11" i="29"/>
  <c r="X12" i="29"/>
  <c r="X13" i="29"/>
  <c r="X14" i="29"/>
  <c r="X15" i="29"/>
  <c r="X16" i="29"/>
  <c r="X17" i="29"/>
  <c r="X18" i="29"/>
  <c r="X19" i="29"/>
  <c r="X20" i="29"/>
  <c r="X21" i="29"/>
  <c r="X22" i="29"/>
  <c r="X23" i="29"/>
  <c r="X24" i="29"/>
  <c r="X10" i="29"/>
  <c r="N27" i="29"/>
  <c r="N24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10" i="29"/>
  <c r="N10" i="24"/>
  <c r="AB26" i="29"/>
  <c r="AC26" i="29" s="1"/>
  <c r="AD26" i="29"/>
  <c r="AE26" i="29" s="1"/>
  <c r="W26" i="29"/>
  <c r="X26" i="29" s="1"/>
  <c r="V26" i="29"/>
  <c r="U27" i="29"/>
  <c r="T11" i="29"/>
  <c r="AH11" i="29" s="1"/>
  <c r="T12" i="29"/>
  <c r="AH12" i="29" s="1"/>
  <c r="T13" i="29"/>
  <c r="U13" i="29" s="1"/>
  <c r="T14" i="29"/>
  <c r="U14" i="29" s="1"/>
  <c r="T15" i="29"/>
  <c r="U15" i="29" s="1"/>
  <c r="T16" i="29"/>
  <c r="U16" i="29" s="1"/>
  <c r="T17" i="29"/>
  <c r="AH17" i="29" s="1"/>
  <c r="T18" i="29"/>
  <c r="AH18" i="29" s="1"/>
  <c r="T19" i="29"/>
  <c r="AH19" i="29" s="1"/>
  <c r="T20" i="29"/>
  <c r="AH20" i="29" s="1"/>
  <c r="T21" i="29"/>
  <c r="AH21" i="29" s="1"/>
  <c r="T22" i="29"/>
  <c r="AH22" i="29" s="1"/>
  <c r="T23" i="29"/>
  <c r="U23" i="29" s="1"/>
  <c r="T24" i="29"/>
  <c r="U24" i="29" s="1"/>
  <c r="T26" i="29"/>
  <c r="U26" i="29" s="1"/>
  <c r="AG27" i="29"/>
  <c r="AF26" i="29"/>
  <c r="AG26" i="29" s="1"/>
  <c r="AG11" i="29"/>
  <c r="AG12" i="29"/>
  <c r="AG13" i="29"/>
  <c r="AG14" i="29"/>
  <c r="AG15" i="29"/>
  <c r="AG16" i="29"/>
  <c r="AG17" i="29"/>
  <c r="AG18" i="29"/>
  <c r="AG19" i="29"/>
  <c r="AG20" i="29"/>
  <c r="AG21" i="29"/>
  <c r="AG22" i="29"/>
  <c r="AG23" i="29"/>
  <c r="AG24" i="29"/>
  <c r="AG25" i="29"/>
  <c r="Q12" i="29"/>
  <c r="Q13" i="29"/>
  <c r="Q14" i="29"/>
  <c r="Q15" i="29"/>
  <c r="Q16" i="29"/>
  <c r="Q17" i="29"/>
  <c r="Q18" i="29"/>
  <c r="Q19" i="29"/>
  <c r="Q20" i="29"/>
  <c r="Q22" i="29"/>
  <c r="Q23" i="29"/>
  <c r="Q27" i="29"/>
  <c r="Q11" i="29"/>
  <c r="P26" i="29"/>
  <c r="O26" i="29"/>
  <c r="M27" i="29"/>
  <c r="M11" i="29"/>
  <c r="M12" i="29"/>
  <c r="M13" i="29"/>
  <c r="M15" i="29"/>
  <c r="M16" i="29"/>
  <c r="M17" i="29"/>
  <c r="M18" i="29"/>
  <c r="M19" i="29"/>
  <c r="M21" i="29"/>
  <c r="M22" i="29"/>
  <c r="M23" i="29"/>
  <c r="L26" i="29"/>
  <c r="K26" i="29"/>
  <c r="M26" i="29" s="1"/>
  <c r="J27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11" i="29"/>
  <c r="I26" i="29"/>
  <c r="H26" i="29"/>
  <c r="F26" i="29"/>
  <c r="AO20" i="29" s="1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AG10" i="29"/>
  <c r="T10" i="29"/>
  <c r="U10" i="29" s="1"/>
  <c r="M10" i="29"/>
  <c r="J10" i="29"/>
  <c r="G10" i="29"/>
  <c r="U3" i="21"/>
  <c r="T3" i="24"/>
  <c r="T2" i="24"/>
  <c r="G26" i="28"/>
  <c r="G25" i="28"/>
  <c r="T2" i="25"/>
  <c r="T3" i="25"/>
  <c r="Z23" i="22"/>
  <c r="N23" i="22"/>
  <c r="N26" i="21"/>
  <c r="Z26" i="20"/>
  <c r="Z25" i="20"/>
  <c r="N26" i="20"/>
  <c r="N25" i="18"/>
  <c r="X24" i="18"/>
  <c r="AC25" i="5"/>
  <c r="AA26" i="5"/>
  <c r="AA25" i="5"/>
  <c r="AA11" i="5"/>
  <c r="AA12" i="5"/>
  <c r="AA13" i="5"/>
  <c r="AA14" i="5"/>
  <c r="AA15" i="5"/>
  <c r="AA16" i="5"/>
  <c r="AA17" i="5"/>
  <c r="AA18" i="5"/>
  <c r="AA19" i="5"/>
  <c r="AA21" i="5"/>
  <c r="AA22" i="5"/>
  <c r="AA23" i="5"/>
  <c r="AA24" i="5"/>
  <c r="AA10" i="5"/>
  <c r="X10" i="5"/>
  <c r="Z26" i="5"/>
  <c r="Z25" i="5"/>
  <c r="X26" i="5"/>
  <c r="X25" i="5"/>
  <c r="N26" i="5"/>
  <c r="AE28" i="24"/>
  <c r="AE27" i="24"/>
  <c r="AC28" i="24"/>
  <c r="AC27" i="24"/>
  <c r="AA28" i="24"/>
  <c r="AA27" i="24"/>
  <c r="Z28" i="24"/>
  <c r="Z27" i="24"/>
  <c r="X28" i="24"/>
  <c r="X27" i="24"/>
  <c r="N28" i="24"/>
  <c r="AE29" i="23"/>
  <c r="AE28" i="23"/>
  <c r="AC29" i="23"/>
  <c r="AC28" i="23"/>
  <c r="AA29" i="23"/>
  <c r="AA28" i="23"/>
  <c r="Z29" i="23"/>
  <c r="Z28" i="23"/>
  <c r="X29" i="23"/>
  <c r="X28" i="23"/>
  <c r="N29" i="23"/>
  <c r="AE26" i="28"/>
  <c r="AC26" i="28"/>
  <c r="AC25" i="28"/>
  <c r="AA26" i="28"/>
  <c r="AA25" i="28"/>
  <c r="Z26" i="28"/>
  <c r="Z25" i="28"/>
  <c r="X26" i="28"/>
  <c r="X25" i="28"/>
  <c r="N26" i="28"/>
  <c r="AE29" i="25"/>
  <c r="AE28" i="25"/>
  <c r="AC29" i="25"/>
  <c r="AC28" i="25"/>
  <c r="AA29" i="25"/>
  <c r="AA28" i="25"/>
  <c r="Z29" i="25"/>
  <c r="Z28" i="25"/>
  <c r="X29" i="25"/>
  <c r="X28" i="25"/>
  <c r="N29" i="25"/>
  <c r="N21" i="15"/>
  <c r="X21" i="15"/>
  <c r="X20" i="15"/>
  <c r="X21" i="27"/>
  <c r="N21" i="27"/>
  <c r="N20" i="27"/>
  <c r="Z22" i="22"/>
  <c r="X20" i="27"/>
  <c r="N22" i="22"/>
  <c r="N25" i="21"/>
  <c r="N25" i="20"/>
  <c r="N24" i="18"/>
  <c r="N25" i="5"/>
  <c r="N27" i="24"/>
  <c r="N28" i="23"/>
  <c r="N28" i="25"/>
  <c r="N20" i="15"/>
  <c r="N11" i="22"/>
  <c r="N12" i="22"/>
  <c r="N13" i="22"/>
  <c r="N14" i="22"/>
  <c r="N15" i="22"/>
  <c r="N16" i="22"/>
  <c r="N17" i="22"/>
  <c r="N18" i="22"/>
  <c r="N19" i="22"/>
  <c r="N20" i="22"/>
  <c r="N21" i="22"/>
  <c r="N10" i="22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10" i="21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10" i="20"/>
  <c r="N23" i="18"/>
  <c r="N11" i="18"/>
  <c r="N12" i="18"/>
  <c r="N13" i="18"/>
  <c r="N14" i="18"/>
  <c r="N15" i="18"/>
  <c r="N16" i="18"/>
  <c r="N17" i="18"/>
  <c r="N18" i="18"/>
  <c r="N19" i="18"/>
  <c r="N20" i="18"/>
  <c r="N21" i="18"/>
  <c r="N22" i="18"/>
  <c r="N10" i="18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10" i="5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10" i="23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10" i="28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10" i="25"/>
  <c r="N11" i="15"/>
  <c r="N12" i="15"/>
  <c r="N13" i="15"/>
  <c r="N14" i="15"/>
  <c r="N15" i="15"/>
  <c r="N16" i="15"/>
  <c r="N17" i="15"/>
  <c r="N18" i="15"/>
  <c r="N19" i="15"/>
  <c r="N10" i="15"/>
  <c r="AC17" i="21"/>
  <c r="AC11" i="21"/>
  <c r="AC12" i="21"/>
  <c r="AC13" i="21"/>
  <c r="AC14" i="21"/>
  <c r="AC15" i="21"/>
  <c r="AC16" i="21"/>
  <c r="AC18" i="21"/>
  <c r="AC19" i="21"/>
  <c r="AC20" i="21"/>
  <c r="AC21" i="21"/>
  <c r="AC22" i="21"/>
  <c r="AC23" i="21"/>
  <c r="AC24" i="21"/>
  <c r="AC10" i="21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10" i="20"/>
  <c r="AA11" i="20"/>
  <c r="AA12" i="20"/>
  <c r="AA13" i="20"/>
  <c r="AA14" i="20"/>
  <c r="AA15" i="20"/>
  <c r="AA16" i="20"/>
  <c r="AA17" i="20"/>
  <c r="AA18" i="20"/>
  <c r="AA19" i="20"/>
  <c r="AA20" i="20"/>
  <c r="AA22" i="20"/>
  <c r="AA23" i="20"/>
  <c r="AA24" i="20"/>
  <c r="AA10" i="20"/>
  <c r="AC10" i="20"/>
  <c r="AC11" i="20"/>
  <c r="AC12" i="20"/>
  <c r="AC13" i="20"/>
  <c r="AC14" i="20"/>
  <c r="AC15" i="20"/>
  <c r="AC16" i="20"/>
  <c r="AC17" i="20"/>
  <c r="AC18" i="20"/>
  <c r="AC19" i="20"/>
  <c r="AC20" i="20"/>
  <c r="AC21" i="20"/>
  <c r="AC22" i="20"/>
  <c r="AC23" i="20"/>
  <c r="AC24" i="20"/>
  <c r="AA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10" i="18"/>
  <c r="AA23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C23" i="18"/>
  <c r="AC11" i="18"/>
  <c r="AC12" i="18"/>
  <c r="AC13" i="18"/>
  <c r="AC14" i="18"/>
  <c r="AC15" i="18"/>
  <c r="AC16" i="18"/>
  <c r="AC17" i="18"/>
  <c r="AC18" i="18"/>
  <c r="AC19" i="18"/>
  <c r="AC20" i="18"/>
  <c r="AC21" i="18"/>
  <c r="AC22" i="18"/>
  <c r="AC10" i="18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10" i="5"/>
  <c r="AC19" i="5"/>
  <c r="AC11" i="5"/>
  <c r="AC12" i="5"/>
  <c r="AC13" i="5"/>
  <c r="AC14" i="5"/>
  <c r="AC15" i="5"/>
  <c r="AC16" i="5"/>
  <c r="AC17" i="5"/>
  <c r="AC18" i="5"/>
  <c r="AC20" i="5"/>
  <c r="AC21" i="5"/>
  <c r="AC22" i="5"/>
  <c r="AC23" i="5"/>
  <c r="AC24" i="5"/>
  <c r="AC10" i="5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10" i="24"/>
  <c r="Z26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10" i="24"/>
  <c r="X11" i="23"/>
  <c r="X12" i="23"/>
  <c r="X13" i="23"/>
  <c r="X14" i="23"/>
  <c r="X15" i="23"/>
  <c r="X16" i="23"/>
  <c r="X17" i="23"/>
  <c r="X18" i="23"/>
  <c r="X20" i="23"/>
  <c r="X21" i="23"/>
  <c r="X22" i="23"/>
  <c r="X23" i="23"/>
  <c r="X24" i="23"/>
  <c r="X25" i="23"/>
  <c r="X26" i="23"/>
  <c r="X27" i="23"/>
  <c r="X10" i="23"/>
  <c r="Z11" i="23"/>
  <c r="Z12" i="23"/>
  <c r="Z13" i="23"/>
  <c r="Z14" i="23"/>
  <c r="Z15" i="23"/>
  <c r="Z16" i="23"/>
  <c r="Z17" i="23"/>
  <c r="Z18" i="23"/>
  <c r="Z20" i="23"/>
  <c r="Z21" i="23"/>
  <c r="Z22" i="23"/>
  <c r="Z23" i="23"/>
  <c r="Z24" i="23"/>
  <c r="Z25" i="23"/>
  <c r="Z26" i="23"/>
  <c r="Z27" i="23"/>
  <c r="Z10" i="23"/>
  <c r="AA11" i="23"/>
  <c r="AA12" i="23"/>
  <c r="AA13" i="23"/>
  <c r="AA14" i="23"/>
  <c r="AA15" i="23"/>
  <c r="AA16" i="23"/>
  <c r="AA17" i="23"/>
  <c r="AA18" i="23"/>
  <c r="AA20" i="23"/>
  <c r="AA21" i="23"/>
  <c r="AA22" i="23"/>
  <c r="AA24" i="23"/>
  <c r="AA25" i="23"/>
  <c r="AA26" i="23"/>
  <c r="AA10" i="23"/>
  <c r="AC11" i="23"/>
  <c r="AC12" i="23"/>
  <c r="AC13" i="23"/>
  <c r="AC14" i="23"/>
  <c r="AC15" i="23"/>
  <c r="AC16" i="23"/>
  <c r="AC17" i="23"/>
  <c r="AC18" i="23"/>
  <c r="AC19" i="23"/>
  <c r="AC20" i="23"/>
  <c r="AC21" i="23"/>
  <c r="AC22" i="23"/>
  <c r="AC23" i="23"/>
  <c r="AC24" i="23"/>
  <c r="AC25" i="23"/>
  <c r="AC26" i="23"/>
  <c r="AC27" i="23"/>
  <c r="AC10" i="23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10" i="28"/>
  <c r="X11" i="28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10" i="28"/>
  <c r="AA11" i="28"/>
  <c r="AA12" i="28"/>
  <c r="AA13" i="28"/>
  <c r="AA14" i="28"/>
  <c r="AA15" i="28"/>
  <c r="AA16" i="28"/>
  <c r="AA17" i="28"/>
  <c r="AA18" i="28"/>
  <c r="AA19" i="28"/>
  <c r="AA20" i="28"/>
  <c r="AA21" i="28"/>
  <c r="AA22" i="28"/>
  <c r="AA23" i="28"/>
  <c r="AA24" i="28"/>
  <c r="AA10" i="28"/>
  <c r="AC14" i="28"/>
  <c r="AC10" i="28"/>
  <c r="AC11" i="28"/>
  <c r="AC12" i="28"/>
  <c r="AC13" i="28"/>
  <c r="AC15" i="28"/>
  <c r="AC16" i="28"/>
  <c r="AC17" i="28"/>
  <c r="AC18" i="28"/>
  <c r="AC19" i="28"/>
  <c r="AC20" i="28"/>
  <c r="AC21" i="28"/>
  <c r="AC22" i="28"/>
  <c r="AC23" i="28"/>
  <c r="AC24" i="28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10" i="25"/>
  <c r="AA11" i="25"/>
  <c r="AA12" i="25"/>
  <c r="AA13" i="25"/>
  <c r="AA14" i="25"/>
  <c r="AA15" i="25"/>
  <c r="AA16" i="25"/>
  <c r="AA17" i="25"/>
  <c r="AA18" i="25"/>
  <c r="AA19" i="25"/>
  <c r="AA20" i="25"/>
  <c r="AA21" i="25"/>
  <c r="AA22" i="25"/>
  <c r="AA23" i="25"/>
  <c r="AA24" i="25"/>
  <c r="AA25" i="25"/>
  <c r="AA26" i="25"/>
  <c r="AA27" i="25"/>
  <c r="AA10" i="25"/>
  <c r="AC11" i="25"/>
  <c r="AC12" i="25"/>
  <c r="AC13" i="25"/>
  <c r="AC14" i="25"/>
  <c r="AC15" i="25"/>
  <c r="AC16" i="25"/>
  <c r="AC17" i="25"/>
  <c r="AC18" i="25"/>
  <c r="AC19" i="25"/>
  <c r="AC20" i="25"/>
  <c r="AC21" i="25"/>
  <c r="AC22" i="25"/>
  <c r="AC23" i="25"/>
  <c r="AC24" i="25"/>
  <c r="AC25" i="25"/>
  <c r="AC26" i="25"/>
  <c r="AC27" i="25"/>
  <c r="AC10" i="25"/>
  <c r="X16" i="15"/>
  <c r="X11" i="15"/>
  <c r="X12" i="15"/>
  <c r="X13" i="15"/>
  <c r="X14" i="15"/>
  <c r="X15" i="15"/>
  <c r="X17" i="15"/>
  <c r="X18" i="15"/>
  <c r="X19" i="15"/>
  <c r="X10" i="15"/>
  <c r="AA12" i="15"/>
  <c r="Z11" i="15"/>
  <c r="Z12" i="15"/>
  <c r="Z13" i="15"/>
  <c r="Z14" i="15"/>
  <c r="Z15" i="15"/>
  <c r="Z16" i="15"/>
  <c r="Z17" i="15"/>
  <c r="Z18" i="15"/>
  <c r="Z19" i="15"/>
  <c r="Z10" i="15"/>
  <c r="AA11" i="15"/>
  <c r="AA13" i="15"/>
  <c r="AA14" i="15"/>
  <c r="AA15" i="15"/>
  <c r="AA16" i="15"/>
  <c r="AA17" i="15"/>
  <c r="AA18" i="15"/>
  <c r="AA10" i="15"/>
  <c r="AC10" i="15"/>
  <c r="AC11" i="15"/>
  <c r="AC12" i="15"/>
  <c r="AC13" i="15"/>
  <c r="AC14" i="15"/>
  <c r="AC15" i="15"/>
  <c r="AC16" i="15"/>
  <c r="AC17" i="15"/>
  <c r="AC18" i="15"/>
  <c r="AC19" i="15"/>
  <c r="AC11" i="27"/>
  <c r="AC12" i="27"/>
  <c r="AC13" i="27"/>
  <c r="AC14" i="27"/>
  <c r="AC15" i="27"/>
  <c r="AC16" i="27"/>
  <c r="AC17" i="27"/>
  <c r="AC18" i="27"/>
  <c r="AC19" i="27"/>
  <c r="AC10" i="27"/>
  <c r="X11" i="27"/>
  <c r="X12" i="27"/>
  <c r="X13" i="27"/>
  <c r="X14" i="27"/>
  <c r="X15" i="27"/>
  <c r="X16" i="27"/>
  <c r="X17" i="27"/>
  <c r="X18" i="27"/>
  <c r="X19" i="27"/>
  <c r="X10" i="27"/>
  <c r="Z16" i="27"/>
  <c r="Z11" i="27"/>
  <c r="Z12" i="27"/>
  <c r="Z13" i="27"/>
  <c r="Z14" i="27"/>
  <c r="Z15" i="27"/>
  <c r="Z17" i="27"/>
  <c r="Z18" i="27"/>
  <c r="Z19" i="27"/>
  <c r="Z10" i="27"/>
  <c r="AA18" i="27"/>
  <c r="AA19" i="27"/>
  <c r="AA11" i="27"/>
  <c r="AA12" i="27"/>
  <c r="AA13" i="27"/>
  <c r="AA14" i="27"/>
  <c r="AA15" i="27"/>
  <c r="AA16" i="27"/>
  <c r="AA17" i="27"/>
  <c r="AA10" i="27"/>
  <c r="AE11" i="27"/>
  <c r="AE10" i="27"/>
  <c r="AE12" i="27"/>
  <c r="AE13" i="27"/>
  <c r="AE14" i="27"/>
  <c r="AE15" i="27"/>
  <c r="AE16" i="27"/>
  <c r="AE17" i="27"/>
  <c r="AE18" i="27"/>
  <c r="AE19" i="27"/>
  <c r="AE11" i="15"/>
  <c r="AE12" i="15"/>
  <c r="AE13" i="15"/>
  <c r="AE14" i="15"/>
  <c r="AE15" i="15"/>
  <c r="AE16" i="15"/>
  <c r="AE17" i="15"/>
  <c r="AE18" i="15"/>
  <c r="AE19" i="15"/>
  <c r="AE10" i="15"/>
  <c r="AE10" i="25"/>
  <c r="AE11" i="25"/>
  <c r="AE12" i="25"/>
  <c r="AE13" i="25"/>
  <c r="AE14" i="25"/>
  <c r="AE15" i="25"/>
  <c r="AE16" i="25"/>
  <c r="AE17" i="25"/>
  <c r="AE18" i="25"/>
  <c r="AE19" i="25"/>
  <c r="AE20" i="25"/>
  <c r="AE21" i="25"/>
  <c r="AE22" i="25"/>
  <c r="AE23" i="25"/>
  <c r="AE24" i="25"/>
  <c r="AE25" i="25"/>
  <c r="AE26" i="25"/>
  <c r="AE27" i="25"/>
  <c r="AE24" i="28"/>
  <c r="AE11" i="28"/>
  <c r="AE12" i="28"/>
  <c r="AE13" i="28"/>
  <c r="AE14" i="28"/>
  <c r="AE15" i="28"/>
  <c r="AE16" i="28"/>
  <c r="AE17" i="28"/>
  <c r="AE18" i="28"/>
  <c r="AE19" i="28"/>
  <c r="AE20" i="28"/>
  <c r="AE21" i="28"/>
  <c r="AE22" i="28"/>
  <c r="AE23" i="28"/>
  <c r="AE10" i="28"/>
  <c r="AE11" i="23"/>
  <c r="AE12" i="23"/>
  <c r="AE13" i="23"/>
  <c r="AE14" i="23"/>
  <c r="AE15" i="23"/>
  <c r="AE16" i="23"/>
  <c r="AE17" i="23"/>
  <c r="AE18" i="23"/>
  <c r="AE19" i="23"/>
  <c r="AE20" i="23"/>
  <c r="AE21" i="23"/>
  <c r="AE22" i="23"/>
  <c r="AE23" i="23"/>
  <c r="AE24" i="23"/>
  <c r="AE25" i="23"/>
  <c r="AE26" i="23"/>
  <c r="AE27" i="23"/>
  <c r="AE10" i="23"/>
  <c r="AE26" i="24"/>
  <c r="AE11" i="24"/>
  <c r="AE12" i="24"/>
  <c r="AE13" i="24"/>
  <c r="AE14" i="24"/>
  <c r="AE15" i="24"/>
  <c r="AE16" i="24"/>
  <c r="AE17" i="24"/>
  <c r="AE18" i="24"/>
  <c r="AE19" i="24"/>
  <c r="AE20" i="24"/>
  <c r="AE21" i="24"/>
  <c r="AE22" i="24"/>
  <c r="AE23" i="24"/>
  <c r="AE24" i="24"/>
  <c r="AE25" i="24"/>
  <c r="AE10" i="24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10" i="5"/>
  <c r="AE23" i="18"/>
  <c r="AE10" i="18"/>
  <c r="AE11" i="18"/>
  <c r="AE12" i="18"/>
  <c r="AE13" i="18"/>
  <c r="AE14" i="18"/>
  <c r="AE15" i="18"/>
  <c r="AE16" i="18"/>
  <c r="AE17" i="18"/>
  <c r="AE18" i="18"/>
  <c r="AE19" i="18"/>
  <c r="AE20" i="18"/>
  <c r="AE21" i="18"/>
  <c r="AE22" i="18"/>
  <c r="AE11" i="20"/>
  <c r="AE12" i="20"/>
  <c r="AE13" i="20"/>
  <c r="AE14" i="20"/>
  <c r="AE15" i="20"/>
  <c r="AE16" i="20"/>
  <c r="AE17" i="20"/>
  <c r="AE18" i="20"/>
  <c r="AE19" i="20"/>
  <c r="AE20" i="20"/>
  <c r="AE21" i="20"/>
  <c r="AE22" i="20"/>
  <c r="AE23" i="20"/>
  <c r="AE24" i="20"/>
  <c r="AE10" i="20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10" i="21"/>
  <c r="AA11" i="21"/>
  <c r="AA12" i="21"/>
  <c r="AA13" i="21"/>
  <c r="AA14" i="21"/>
  <c r="AA16" i="21"/>
  <c r="AA17" i="21"/>
  <c r="AA18" i="21"/>
  <c r="AA19" i="21"/>
  <c r="AA20" i="21"/>
  <c r="AA21" i="21"/>
  <c r="AA22" i="21"/>
  <c r="AA23" i="21"/>
  <c r="AA24" i="21"/>
  <c r="AA10" i="21"/>
  <c r="AE24" i="21"/>
  <c r="AE11" i="21"/>
  <c r="AE12" i="21"/>
  <c r="AE13" i="21"/>
  <c r="AE14" i="21"/>
  <c r="AE15" i="21"/>
  <c r="AE16" i="21"/>
  <c r="AE17" i="21"/>
  <c r="AE18" i="21"/>
  <c r="AE19" i="21"/>
  <c r="AE20" i="21"/>
  <c r="AE21" i="21"/>
  <c r="AE22" i="21"/>
  <c r="AE23" i="21"/>
  <c r="AE10" i="21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C11" i="22"/>
  <c r="AC12" i="22"/>
  <c r="AC13" i="22"/>
  <c r="AC14" i="22"/>
  <c r="AC15" i="22"/>
  <c r="AC16" i="22"/>
  <c r="AC17" i="22"/>
  <c r="AC18" i="22"/>
  <c r="AC19" i="22"/>
  <c r="AC20" i="22"/>
  <c r="AC21" i="22"/>
  <c r="AC10" i="22"/>
  <c r="AA11" i="22"/>
  <c r="AA12" i="22"/>
  <c r="AA13" i="22"/>
  <c r="AA14" i="22"/>
  <c r="AA15" i="22"/>
  <c r="AA16" i="22"/>
  <c r="AA17" i="22"/>
  <c r="AA18" i="22"/>
  <c r="AA19" i="22"/>
  <c r="AA20" i="22"/>
  <c r="AA21" i="22"/>
  <c r="AA10" i="22"/>
  <c r="Z21" i="22"/>
  <c r="Z11" i="22"/>
  <c r="Z12" i="22"/>
  <c r="Z13" i="22"/>
  <c r="Z14" i="22"/>
  <c r="Z15" i="22"/>
  <c r="Z16" i="22"/>
  <c r="Z17" i="22"/>
  <c r="Z18" i="22"/>
  <c r="Z19" i="22"/>
  <c r="Z20" i="22"/>
  <c r="Z10" i="22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10" i="5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11" i="23"/>
  <c r="AH12" i="23"/>
  <c r="AH13" i="23"/>
  <c r="AH14" i="23"/>
  <c r="AH15" i="23"/>
  <c r="AH16" i="23"/>
  <c r="AH17" i="23"/>
  <c r="AH18" i="23"/>
  <c r="AH19" i="23"/>
  <c r="AH20" i="23"/>
  <c r="AH21" i="23"/>
  <c r="AH22" i="23"/>
  <c r="AH23" i="23"/>
  <c r="AH24" i="23"/>
  <c r="AH25" i="23"/>
  <c r="AH26" i="23"/>
  <c r="AH27" i="23"/>
  <c r="AH19" i="28"/>
  <c r="AH11" i="25"/>
  <c r="AH12" i="25"/>
  <c r="AH13" i="25"/>
  <c r="AH14" i="25"/>
  <c r="AH15" i="25"/>
  <c r="AH16" i="25"/>
  <c r="AH17" i="25"/>
  <c r="AH18" i="25"/>
  <c r="AH19" i="25"/>
  <c r="AH20" i="25"/>
  <c r="AH21" i="25"/>
  <c r="AH22" i="25"/>
  <c r="AH23" i="25"/>
  <c r="AH24" i="25"/>
  <c r="AH25" i="25"/>
  <c r="AH26" i="25"/>
  <c r="AH27" i="25"/>
  <c r="AH10" i="25"/>
  <c r="AH11" i="15"/>
  <c r="AH12" i="15"/>
  <c r="AH13" i="15"/>
  <c r="AH14" i="15"/>
  <c r="AH15" i="15"/>
  <c r="AH16" i="15"/>
  <c r="AH17" i="15"/>
  <c r="AH18" i="15"/>
  <c r="AH19" i="15"/>
  <c r="AH10" i="15"/>
  <c r="AH11" i="27"/>
  <c r="AH12" i="27"/>
  <c r="AH13" i="27"/>
  <c r="AH14" i="27"/>
  <c r="AH15" i="27"/>
  <c r="AH17" i="27"/>
  <c r="AH18" i="27"/>
  <c r="AH19" i="27"/>
  <c r="AF25" i="28"/>
  <c r="AD25" i="28"/>
  <c r="AE25" i="28" s="1"/>
  <c r="P25" i="28"/>
  <c r="O25" i="28"/>
  <c r="L25" i="28"/>
  <c r="K25" i="28"/>
  <c r="I25" i="28"/>
  <c r="AN17" i="28" s="1"/>
  <c r="H25" i="28"/>
  <c r="AK11" i="28" s="1"/>
  <c r="T20" i="28"/>
  <c r="AH20" i="28" s="1"/>
  <c r="T21" i="28"/>
  <c r="AH21" i="28" s="1"/>
  <c r="T22" i="28"/>
  <c r="AH22" i="28" s="1"/>
  <c r="T23" i="28"/>
  <c r="AH23" i="28" s="1"/>
  <c r="T24" i="28"/>
  <c r="AH24" i="28" s="1"/>
  <c r="T11" i="28"/>
  <c r="AH11" i="28" s="1"/>
  <c r="T12" i="28"/>
  <c r="AH12" i="28" s="1"/>
  <c r="T13" i="28"/>
  <c r="AH13" i="28" s="1"/>
  <c r="T14" i="28"/>
  <c r="AH14" i="28" s="1"/>
  <c r="T15" i="28"/>
  <c r="AH15" i="28" s="1"/>
  <c r="T16" i="28"/>
  <c r="AH16" i="28" s="1"/>
  <c r="T17" i="28"/>
  <c r="AH17" i="28" s="1"/>
  <c r="T18" i="28"/>
  <c r="AH18" i="28" s="1"/>
  <c r="T19" i="28"/>
  <c r="T10" i="28"/>
  <c r="AH10" i="28" s="1"/>
  <c r="AH25" i="21" l="1"/>
  <c r="AJ18" i="29"/>
  <c r="AK22" i="29"/>
  <c r="AL22" i="29"/>
  <c r="AM20" i="29"/>
  <c r="AN16" i="29"/>
  <c r="AJ11" i="29"/>
  <c r="AK15" i="29"/>
  <c r="AL15" i="29"/>
  <c r="AM14" i="29"/>
  <c r="AO21" i="29"/>
  <c r="AO10" i="29"/>
  <c r="AJ23" i="29"/>
  <c r="AK13" i="29"/>
  <c r="AL13" i="29"/>
  <c r="AM11" i="29"/>
  <c r="AN25" i="29"/>
  <c r="AO18" i="29"/>
  <c r="AI26" i="29"/>
  <c r="AJ21" i="29"/>
  <c r="AK25" i="29"/>
  <c r="AK12" i="29"/>
  <c r="AL25" i="29"/>
  <c r="AL12" i="29"/>
  <c r="AM24" i="29"/>
  <c r="AN20" i="29"/>
  <c r="AO17" i="29"/>
  <c r="AH24" i="29"/>
  <c r="AJ20" i="29"/>
  <c r="AK24" i="29"/>
  <c r="AL24" i="29"/>
  <c r="AM22" i="29"/>
  <c r="AN18" i="29"/>
  <c r="AO16" i="29"/>
  <c r="AJ13" i="29"/>
  <c r="AK17" i="29"/>
  <c r="AL17" i="29"/>
  <c r="AM19" i="29"/>
  <c r="AN15" i="29"/>
  <c r="AJ10" i="29"/>
  <c r="AK14" i="29"/>
  <c r="AL10" i="29"/>
  <c r="AL14" i="29"/>
  <c r="AM12" i="29"/>
  <c r="AN10" i="29"/>
  <c r="AO19" i="29"/>
  <c r="AJ19" i="29"/>
  <c r="AK23" i="29"/>
  <c r="AL23" i="29"/>
  <c r="AM21" i="29"/>
  <c r="AN17" i="29"/>
  <c r="AO11" i="29"/>
  <c r="AI25" i="28"/>
  <c r="AJ24" i="28"/>
  <c r="AK15" i="28"/>
  <c r="AK16" i="28"/>
  <c r="AJ15" i="28"/>
  <c r="AK14" i="28"/>
  <c r="AJ14" i="28"/>
  <c r="AK13" i="28"/>
  <c r="AN16" i="28"/>
  <c r="AK10" i="28"/>
  <c r="AM17" i="28"/>
  <c r="AN15" i="28"/>
  <c r="AM16" i="28"/>
  <c r="AK23" i="28"/>
  <c r="AK24" i="28"/>
  <c r="AK20" i="28"/>
  <c r="AH23" i="29"/>
  <c r="AH16" i="29"/>
  <c r="AJ17" i="29"/>
  <c r="AK21" i="29"/>
  <c r="AK11" i="29"/>
  <c r="AL21" i="29"/>
  <c r="AL11" i="29"/>
  <c r="AM18" i="29"/>
  <c r="AN24" i="29"/>
  <c r="AN14" i="29"/>
  <c r="AO25" i="29"/>
  <c r="AO15" i="29"/>
  <c r="J26" i="29"/>
  <c r="AH15" i="29"/>
  <c r="AJ16" i="29"/>
  <c r="AK20" i="29"/>
  <c r="AL20" i="29"/>
  <c r="AM17" i="29"/>
  <c r="AN23" i="29"/>
  <c r="AN13" i="29"/>
  <c r="AO24" i="29"/>
  <c r="AO14" i="29"/>
  <c r="AA26" i="29"/>
  <c r="AH14" i="29"/>
  <c r="AJ25" i="29"/>
  <c r="AJ15" i="29"/>
  <c r="AK19" i="29"/>
  <c r="AL19" i="29"/>
  <c r="AM10" i="29"/>
  <c r="AM16" i="29"/>
  <c r="AN22" i="29"/>
  <c r="AN12" i="29"/>
  <c r="AO23" i="29"/>
  <c r="AO13" i="29"/>
  <c r="AH13" i="29"/>
  <c r="AJ24" i="29"/>
  <c r="AJ14" i="29"/>
  <c r="AK18" i="29"/>
  <c r="AL18" i="29"/>
  <c r="AM25" i="29"/>
  <c r="AM15" i="29"/>
  <c r="AN21" i="29"/>
  <c r="AN11" i="29"/>
  <c r="AO22" i="29"/>
  <c r="AO12" i="29"/>
  <c r="AJ22" i="29"/>
  <c r="AJ12" i="29"/>
  <c r="AK10" i="29"/>
  <c r="AK16" i="29"/>
  <c r="AL16" i="29"/>
  <c r="AM23" i="29"/>
  <c r="AM13" i="29"/>
  <c r="AN19" i="29"/>
  <c r="AH27" i="24"/>
  <c r="AJ22" i="28"/>
  <c r="AJ12" i="28"/>
  <c r="AM24" i="28"/>
  <c r="AM14" i="28"/>
  <c r="AN23" i="28"/>
  <c r="AN13" i="28"/>
  <c r="AJ21" i="28"/>
  <c r="AJ11" i="28"/>
  <c r="AK22" i="28"/>
  <c r="AK12" i="28"/>
  <c r="AM23" i="28"/>
  <c r="AM13" i="28"/>
  <c r="AM10" i="28"/>
  <c r="AN22" i="28"/>
  <c r="AN12" i="28"/>
  <c r="AJ20" i="28"/>
  <c r="AK21" i="28"/>
  <c r="AM22" i="28"/>
  <c r="AM12" i="28"/>
  <c r="AN21" i="28"/>
  <c r="AN11" i="28"/>
  <c r="AM21" i="28"/>
  <c r="AM11" i="28"/>
  <c r="AN20" i="28"/>
  <c r="AJ19" i="28"/>
  <c r="N25" i="28"/>
  <c r="AJ18" i="28"/>
  <c r="AK19" i="28"/>
  <c r="AM20" i="28"/>
  <c r="AN19" i="28"/>
  <c r="AN10" i="28"/>
  <c r="AJ17" i="28"/>
  <c r="AK18" i="28"/>
  <c r="AM19" i="28"/>
  <c r="AN18" i="28"/>
  <c r="AJ23" i="28"/>
  <c r="AJ13" i="28"/>
  <c r="AM15" i="28"/>
  <c r="AN24" i="28"/>
  <c r="AN14" i="28"/>
  <c r="AJ16" i="28"/>
  <c r="AK17" i="28"/>
  <c r="AM18" i="28"/>
  <c r="AH26" i="29"/>
  <c r="U22" i="29"/>
  <c r="U12" i="29"/>
  <c r="Q26" i="29"/>
  <c r="U21" i="29"/>
  <c r="U11" i="29"/>
  <c r="U20" i="29"/>
  <c r="U19" i="29"/>
  <c r="N26" i="29"/>
  <c r="U18" i="29"/>
  <c r="U17" i="29"/>
  <c r="AH25" i="28"/>
  <c r="AH20" i="15"/>
  <c r="AH20" i="27"/>
  <c r="AH2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4138D-09EF-7B43-9E53-FE040FECCC2C}" keepAlive="1" name="Query - 2018_19_UMONTANA-WESTERN_WBB_CUM_STATS" description="Connection to the '2018_19_UMONTANA-WESTERN_WBB_CUM_STATS' query in the workbook." type="5" refreshedVersion="8" background="1" saveData="1">
    <dbPr connection="Provider=Microsoft.Mashup.OleDb.1;Data Source=$Workbook$;Location=2018_19_UMONTANA-WESTERN_WBB_CUM_STATS;Extended Properties=&quot;&quot;" command="SELECT * FROM [2018_19_UMONTANA-WESTERN_WBB_CUM_STATS]"/>
  </connection>
  <connection id="2" xr16:uid="{A261D9C8-D1A2-194E-A35C-D1353916D0A1}" keepAlive="1" name="Query - 2020-21" description="Connection to the '2020-21' query in the workbook." type="5" refreshedVersion="8" background="1" saveData="1">
    <dbPr connection="Provider=Microsoft.Mashup.OleDb.1;Data Source=$Workbook$;Location=2020-21;Extended Properties=&quot;&quot;" command="SELECT * FROM [2020-21]"/>
  </connection>
  <connection id="3" xr16:uid="{7C60ED98-A51D-E647-8F37-93B186F16819}" keepAlive="1" name="Query - 2021-22" description="Connection to the '2021-22' query in the workbook." type="5" refreshedVersion="0" background="1">
    <dbPr connection="Provider=Microsoft.Mashup.OleDb.1;Data Source=$Workbook$;Location=2021-22;Extended Properties=&quot;&quot;" command="SELECT * FROM [2021-22]"/>
  </connection>
  <connection id="4" xr16:uid="{194F31F0-ECF3-4141-9BA2-C18188F17BE6}" keepAlive="1" name="Query - 2021-22 (2)" description="Connection to the '2021-22 (2)' query in the workbook." type="5" refreshedVersion="8" background="1" saveData="1">
    <dbPr connection="Provider=Microsoft.Mashup.OleDb.1;Data Source=$Workbook$;Location=&quot;2021-22 (2)&quot;;Extended Properties=&quot;&quot;" command="SELECT * FROM [2021-22 (2)]"/>
  </connection>
  <connection id="5" xr16:uid="{AADE1B15-8F2D-5F48-BBB7-1101D54DE593}" keepAlive="1" name="Query - 2022-23" description="Connection to the '2022-23' query in the workbook." type="5" refreshedVersion="8" background="1" saveData="1">
    <dbPr connection="Provider=Microsoft.Mashup.OleDb.1;Data Source=$Workbook$;Location=2022-23;Extended Properties=&quot;&quot;" command="SELECT * FROM [2022-23]"/>
  </connection>
  <connection id="6" xr16:uid="{C1BE74E4-10F2-F047-9FED-93234472630D}" keepAlive="1" name="Query - 2022-23-Women_s-Basketball-Statistics-Clarke-_IA_-Clarke-University-Print-Versio" description="Connection to the '2022-23-Women_s-Basketball-Statistics-Clarke-_IA_-Clarke-University-Print-Versio' query in the workbook." type="5" refreshedVersion="0" background="1">
    <dbPr connection="Provider=Microsoft.Mashup.OleDb.1;Data Source=$Workbook$;Location=2022-23-Women_s-Basketball-Statistics-Clarke-_IA_-Clarke-University-Print-Versio;Extended Properties=&quot;&quot;" command="SELECT * FROM [2022-23-Women_s-Basketball-Statistics-Clarke-_IA_-Clarke-University-Print-Versio]"/>
  </connection>
  <connection id="7" xr16:uid="{E423A88F-6E74-8E4D-A81D-28BCCE92F9CB}" keepAlive="1" name="Query - 2023-24" description="Connection to the '2023-24' query in the workbook." type="5" refreshedVersion="8" background="1" saveData="1">
    <dbPr connection="Provider=Microsoft.Mashup.OleDb.1;Data Source=$Workbook$;Location=2023-24;Extended Properties=&quot;&quot;" command="SELECT * FROM [2023-24]"/>
  </connection>
  <connection id="8" xr16:uid="{FAC8507D-12E6-8942-8ECB-29CFBC1E0109}" keepAlive="1" name="Query - 2024-25" description="Connection to the '2024-25' query in the workbook." type="5" refreshedVersion="8" background="1" saveData="1">
    <dbPr connection="Provider=Microsoft.Mashup.OleDb.1;Data Source=$Workbook$;Location=2024-25;Extended Properties=&quot;&quot;" command="SELECT * FROM [2024-25]"/>
  </connection>
  <connection id="9" xr16:uid="{33235BD6-B615-2545-8C36-D4FE5F2D7EA2}" keepAlive="1" name="Query - Dordt 2023-24" description="Connection to the 'Dordt 2023-24' query in the workbook." type="5" refreshedVersion="8" background="1" saveData="1">
    <dbPr connection="Provider=Microsoft.Mashup.OleDb.1;Data Source=$Workbook$;Location=&quot;Dordt 2023-24&quot;;Extended Properties=&quot;&quot;" command="SELECT * FROM [Dordt 2023-24]"/>
  </connection>
  <connection id="10" xr16:uid="{D43B645B-F9A0-8A4C-9AD6-8C02CDCEBB59}" keepAlive="1" name="Query - Dordt-2024-25" description="Connection to the 'Dordt-2024-25' query in the workbook." type="5" refreshedVersion="8" background="1" saveData="1">
    <dbPr connection="Provider=Microsoft.Mashup.OleDb.1;Data Source=$Workbook$;Location=Dordt-2024-25;Extended Properties=&quot;&quot;" command="SELECT * FROM [Dordt-2024-25]"/>
  </connection>
  <connection id="11" xr16:uid="{0DA7F82C-9ED3-E84E-9DD7-8C864B6456D9}" keepAlive="1" name="Query - master_player_analysis_FULL_clean" description="Connection to the 'master_player_analysis_FULL_clean' query in the workbook." type="5" refreshedVersion="8" background="1" saveData="1">
    <dbPr connection="Provider=Microsoft.Mashup.OleDb.1;Data Source=$Workbook$;Location=master_player_analysis_FULL_clean;Extended Properties=&quot;&quot;" command="SELECT * FROM [master_player_analysis_FULL_clean]"/>
  </connection>
  <connection id="12" xr16:uid="{82463A72-045A-FA42-A318-3F3B780CE4BF}" keepAlive="1" name="Query - Thomas-More-2021-22" description="Connection to the 'Thomas-More-2021-22' query in the workbook." type="5" refreshedVersion="8" background="1" saveData="1">
    <dbPr connection="Provider=Microsoft.Mashup.OleDb.1;Data Source=$Workbook$;Location=Thomas-More-2021-22;Extended Properties=&quot;&quot;" command="SELECT * FROM [Thomas-More-2021-22]"/>
  </connection>
  <connection id="13" xr16:uid="{464B8971-BEF4-7942-99F4-F7F2EEF84BFD}" keepAlive="1" name="Query - Westmont-2020-21" description="Connection to the 'Westmont-2020-21' query in the workbook." type="5" refreshedVersion="0" background="1">
    <dbPr connection="Provider=Microsoft.Mashup.OleDb.1;Data Source=$Workbook$;Location=Westmont-2020-21;Extended Properties=&quot;&quot;" command="SELECT * FROM [Westmont-2020-21]"/>
  </connection>
  <connection id="14" xr16:uid="{D449DFAF-2564-BC4B-A538-249DB14D610D}" keepAlive="1" name="Query - Westmont-2020-21 (2)" description="Connection to the 'Westmont-2020-21 (2)' query in the workbook." type="5" refreshedVersion="8" background="1" saveData="1">
    <dbPr connection="Provider=Microsoft.Mashup.OleDb.1;Data Source=$Workbook$;Location=&quot;Westmont-2020-21 (2)&quot;;Extended Properties=&quot;&quot;" command="SELECT * FROM [Westmont-2020-21 (2)]"/>
  </connection>
</connections>
</file>

<file path=xl/sharedStrings.xml><?xml version="1.0" encoding="utf-8"?>
<sst xmlns="http://schemas.openxmlformats.org/spreadsheetml/2006/main" count="2829" uniqueCount="529">
  <si>
    <t>Montana Western</t>
  </si>
  <si>
    <t>Clarke</t>
  </si>
  <si>
    <t>UPIKE</t>
  </si>
  <si>
    <t>FG%</t>
  </si>
  <si>
    <t>FT</t>
  </si>
  <si>
    <t>FT%</t>
  </si>
  <si>
    <t>TO</t>
  </si>
  <si>
    <t/>
  </si>
  <si>
    <t>FG</t>
  </si>
  <si>
    <t>3PT</t>
  </si>
  <si>
    <t>Rebounds</t>
  </si>
  <si>
    <t>#</t>
  </si>
  <si>
    <t>Player</t>
  </si>
  <si>
    <t>MIN</t>
  </si>
  <si>
    <t>3FG%</t>
  </si>
  <si>
    <t>OFF</t>
  </si>
  <si>
    <t>DEF</t>
  </si>
  <si>
    <t>TOT</t>
  </si>
  <si>
    <t>PF</t>
  </si>
  <si>
    <t>BLK</t>
  </si>
  <si>
    <t>PTS</t>
  </si>
  <si>
    <t>52</t>
  </si>
  <si>
    <t>Burbridge, Brianna</t>
  </si>
  <si>
    <t>619</t>
  </si>
  <si>
    <t>29.5</t>
  </si>
  <si>
    <t>0.61</t>
  </si>
  <si>
    <t>0.333</t>
  </si>
  <si>
    <t>0.703</t>
  </si>
  <si>
    <t>81</t>
  </si>
  <si>
    <t>148</t>
  </si>
  <si>
    <t>229</t>
  </si>
  <si>
    <t>10.9</t>
  </si>
  <si>
    <t>35</t>
  </si>
  <si>
    <t>0</t>
  </si>
  <si>
    <t>33</t>
  </si>
  <si>
    <t>20</t>
  </si>
  <si>
    <t>16</t>
  </si>
  <si>
    <t>38</t>
  </si>
  <si>
    <t>334</t>
  </si>
  <si>
    <t>15.9</t>
  </si>
  <si>
    <t>10</t>
  </si>
  <si>
    <t>Englert, Mary</t>
  </si>
  <si>
    <t>497</t>
  </si>
  <si>
    <t>27.6</t>
  </si>
  <si>
    <t>0.406</t>
  </si>
  <si>
    <t>0.283</t>
  </si>
  <si>
    <t>0.735</t>
  </si>
  <si>
    <t>18</t>
  </si>
  <si>
    <t>70</t>
  </si>
  <si>
    <t>3.9</t>
  </si>
  <si>
    <t>30</t>
  </si>
  <si>
    <t>28</t>
  </si>
  <si>
    <t>65</t>
  </si>
  <si>
    <t>4</t>
  </si>
  <si>
    <t>21</t>
  </si>
  <si>
    <t>248</t>
  </si>
  <si>
    <t>13.8</t>
  </si>
  <si>
    <t>11</t>
  </si>
  <si>
    <t>Reed, Alexis</t>
  </si>
  <si>
    <t>591</t>
  </si>
  <si>
    <t>26.9</t>
  </si>
  <si>
    <t>0.412</t>
  </si>
  <si>
    <t>0.46</t>
  </si>
  <si>
    <t>0.852</t>
  </si>
  <si>
    <t>6</t>
  </si>
  <si>
    <t>29</t>
  </si>
  <si>
    <t>1.6</t>
  </si>
  <si>
    <t>41</t>
  </si>
  <si>
    <t>32</t>
  </si>
  <si>
    <t>63</t>
  </si>
  <si>
    <t>43</t>
  </si>
  <si>
    <t>284</t>
  </si>
  <si>
    <t>12.9</t>
  </si>
  <si>
    <t>Feltner, Sierra</t>
  </si>
  <si>
    <t>735</t>
  </si>
  <si>
    <t>33.4</t>
  </si>
  <si>
    <t>0.403</t>
  </si>
  <si>
    <t>0.356</t>
  </si>
  <si>
    <t>0.73</t>
  </si>
  <si>
    <t>26</t>
  </si>
  <si>
    <t>80</t>
  </si>
  <si>
    <t>106</t>
  </si>
  <si>
    <t>4.8</t>
  </si>
  <si>
    <t>75</t>
  </si>
  <si>
    <t>9</t>
  </si>
  <si>
    <t>24</t>
  </si>
  <si>
    <t>240</t>
  </si>
  <si>
    <t>Stamper, Morgan</t>
  </si>
  <si>
    <t>566</t>
  </si>
  <si>
    <t>27</t>
  </si>
  <si>
    <t>0.378</t>
  </si>
  <si>
    <t>0.294</t>
  </si>
  <si>
    <t>96</t>
  </si>
  <si>
    <t>83</t>
  </si>
  <si>
    <t>179</t>
  </si>
  <si>
    <t>8.5</t>
  </si>
  <si>
    <t>71</t>
  </si>
  <si>
    <t>1</t>
  </si>
  <si>
    <t>37</t>
  </si>
  <si>
    <t>45</t>
  </si>
  <si>
    <t>151</t>
  </si>
  <si>
    <t>7.2</t>
  </si>
  <si>
    <t>Frazier, Bailey</t>
  </si>
  <si>
    <t>275</t>
  </si>
  <si>
    <t>13.1</t>
  </si>
  <si>
    <t>0.276</t>
  </si>
  <si>
    <t>0.25</t>
  </si>
  <si>
    <t>0.958</t>
  </si>
  <si>
    <t>14</t>
  </si>
  <si>
    <t>23</t>
  </si>
  <si>
    <t>1.8</t>
  </si>
  <si>
    <t>7</t>
  </si>
  <si>
    <t>19</t>
  </si>
  <si>
    <t>5</t>
  </si>
  <si>
    <t>102</t>
  </si>
  <si>
    <t>4.9</t>
  </si>
  <si>
    <t>3</t>
  </si>
  <si>
    <t>Free, Hailey</t>
  </si>
  <si>
    <t>353</t>
  </si>
  <si>
    <t>18.6</t>
  </si>
  <si>
    <t>0.444</t>
  </si>
  <si>
    <t>0.261</t>
  </si>
  <si>
    <t>0.8</t>
  </si>
  <si>
    <t>12</t>
  </si>
  <si>
    <t>39</t>
  </si>
  <si>
    <t>2.1</t>
  </si>
  <si>
    <t>2</t>
  </si>
  <si>
    <t>8</t>
  </si>
  <si>
    <t>94</t>
  </si>
  <si>
    <t>Sideri, Georgia</t>
  </si>
  <si>
    <t>85</t>
  </si>
  <si>
    <t>14.2</t>
  </si>
  <si>
    <t>0.423</t>
  </si>
  <si>
    <t>0.75</t>
  </si>
  <si>
    <t>0.7</t>
  </si>
  <si>
    <t>Aouinet, Fatma</t>
  </si>
  <si>
    <t>47</t>
  </si>
  <si>
    <t>13</t>
  </si>
  <si>
    <t>22</t>
  </si>
  <si>
    <t>Parker, Julia</t>
  </si>
  <si>
    <t>274</t>
  </si>
  <si>
    <t>16.1</t>
  </si>
  <si>
    <t>0.329</t>
  </si>
  <si>
    <t>0.314</t>
  </si>
  <si>
    <t>15</t>
  </si>
  <si>
    <t>0.9</t>
  </si>
  <si>
    <t>4.1</t>
  </si>
  <si>
    <t>Hollier, Zaria</t>
  </si>
  <si>
    <t>0.447</t>
  </si>
  <si>
    <t>0.313</t>
  </si>
  <si>
    <t>68</t>
  </si>
  <si>
    <t>2.8</t>
  </si>
  <si>
    <t>Ree, Hailey</t>
  </si>
  <si>
    <t>0.125</t>
  </si>
  <si>
    <t>149</t>
  </si>
  <si>
    <t>12.4</t>
  </si>
  <si>
    <t>0.348</t>
  </si>
  <si>
    <t>0.5</t>
  </si>
  <si>
    <t>2.3</t>
  </si>
  <si>
    <t>17</t>
  </si>
  <si>
    <t>34</t>
  </si>
  <si>
    <t>Turnbull, Serenity</t>
  </si>
  <si>
    <t>7.8</t>
  </si>
  <si>
    <t>0.167</t>
  </si>
  <si>
    <t>25</t>
  </si>
  <si>
    <t>1.9</t>
  </si>
  <si>
    <t>Birchfield, Bailey</t>
  </si>
  <si>
    <t>0.6</t>
  </si>
  <si>
    <t>Berger, Taylor</t>
  </si>
  <si>
    <t>4.7</t>
  </si>
  <si>
    <t>Total</t>
  </si>
  <si>
    <t>4663</t>
  </si>
  <si>
    <t>202.7</t>
  </si>
  <si>
    <t>0.421</t>
  </si>
  <si>
    <t>0.326</t>
  </si>
  <si>
    <t>0.685</t>
  </si>
  <si>
    <t>341</t>
  </si>
  <si>
    <t>593</t>
  </si>
  <si>
    <t>934</t>
  </si>
  <si>
    <t>40.6</t>
  </si>
  <si>
    <t>360</t>
  </si>
  <si>
    <t>277</t>
  </si>
  <si>
    <t>381</t>
  </si>
  <si>
    <t>182</t>
  </si>
  <si>
    <t>1663</t>
  </si>
  <si>
    <t>72.3</t>
  </si>
  <si>
    <t>Opponents</t>
  </si>
  <si>
    <t>4674</t>
  </si>
  <si>
    <t>203.2</t>
  </si>
  <si>
    <t>0.415</t>
  </si>
  <si>
    <t>0.281</t>
  </si>
  <si>
    <t>0.708</t>
  </si>
  <si>
    <t>272</t>
  </si>
  <si>
    <t>540</t>
  </si>
  <si>
    <t>812</t>
  </si>
  <si>
    <t>35.3</t>
  </si>
  <si>
    <t>386</t>
  </si>
  <si>
    <t>222</t>
  </si>
  <si>
    <t>346</t>
  </si>
  <si>
    <t>46</t>
  </si>
  <si>
    <t>188</t>
  </si>
  <si>
    <t>1576</t>
  </si>
  <si>
    <t>68.52</t>
  </si>
  <si>
    <t>1668</t>
  </si>
  <si>
    <t>W</t>
  </si>
  <si>
    <t>L</t>
  </si>
  <si>
    <t>Score by Periods</t>
  </si>
  <si>
    <t>1st</t>
  </si>
  <si>
    <t>2nd</t>
  </si>
  <si>
    <t>3rd</t>
  </si>
  <si>
    <t>4th</t>
  </si>
  <si>
    <t>OT</t>
  </si>
  <si>
    <t>435</t>
  </si>
  <si>
    <t>388</t>
  </si>
  <si>
    <t>411</t>
  </si>
  <si>
    <t>419</t>
  </si>
  <si>
    <t>380</t>
  </si>
  <si>
    <t>392</t>
  </si>
  <si>
    <t>410</t>
  </si>
  <si>
    <t>67</t>
  </si>
  <si>
    <t>31</t>
  </si>
  <si>
    <t>36</t>
  </si>
  <si>
    <t>48</t>
  </si>
  <si>
    <t>3.7</t>
  </si>
  <si>
    <t>49</t>
  </si>
  <si>
    <t>12.6</t>
  </si>
  <si>
    <t>86</t>
  </si>
  <si>
    <t>58</t>
  </si>
  <si>
    <t>0.4</t>
  </si>
  <si>
    <t>72</t>
  </si>
  <si>
    <t>0.222</t>
  </si>
  <si>
    <t>82</t>
  </si>
  <si>
    <t>61</t>
  </si>
  <si>
    <t>0.375</t>
  </si>
  <si>
    <t>3.2</t>
  </si>
  <si>
    <t>1.5</t>
  </si>
  <si>
    <t>6.3</t>
  </si>
  <si>
    <t>1.7</t>
  </si>
  <si>
    <t>0.2</t>
  </si>
  <si>
    <t>0.3</t>
  </si>
  <si>
    <t>0.338</t>
  </si>
  <si>
    <t>266</t>
  </si>
  <si>
    <t>12.2</t>
  </si>
  <si>
    <t>GS</t>
  </si>
  <si>
    <t>_x000C_</t>
  </si>
  <si>
    <t>FGA</t>
  </si>
  <si>
    <t>3FG</t>
  </si>
  <si>
    <t>FTA</t>
  </si>
  <si>
    <t>McNulty, LeeAnna</t>
  </si>
  <si>
    <t>Sites, Sammi</t>
  </si>
  <si>
    <t>Adkins, Abby</t>
  </si>
  <si>
    <t>Robbins, Sheridan</t>
  </si>
  <si>
    <t xml:space="preserve">Total   </t>
  </si>
  <si>
    <t>GP</t>
  </si>
  <si>
    <t>Berberabe, Stefanie</t>
  </si>
  <si>
    <t>Stoll, Gabriella</t>
  </si>
  <si>
    <t>Cook, Aleena</t>
  </si>
  <si>
    <t xml:space="preserve"> Miyahara, Krissy</t>
  </si>
  <si>
    <t xml:space="preserve"> Okonkwo, Destiny</t>
  </si>
  <si>
    <t xml:space="preserve"> Koehnke, Kirsten</t>
  </si>
  <si>
    <t>Larson, Kaitlin</t>
  </si>
  <si>
    <t>Brown, Sydney</t>
  </si>
  <si>
    <t>Tsuneishi, Lauren</t>
  </si>
  <si>
    <t>Jarrett, Iyree</t>
  </si>
  <si>
    <t>Stone, Allie</t>
  </si>
  <si>
    <t>Roberts, Hannah</t>
  </si>
  <si>
    <t>Collopy, Katie</t>
  </si>
  <si>
    <t>Frazier, Brooklyn</t>
  </si>
  <si>
    <t>Davis, Willa</t>
  </si>
  <si>
    <t>Bush, Rachel</t>
  </si>
  <si>
    <t>Blyth, India</t>
  </si>
  <si>
    <t>Moore, Alexis</t>
  </si>
  <si>
    <t>Mejia-Andrade, Jaidy</t>
  </si>
  <si>
    <t>Ayler, Paige</t>
  </si>
  <si>
    <t>Warren, Jaaliyah</t>
  </si>
  <si>
    <t>Smith, Alana</t>
  </si>
  <si>
    <t>McKenzie, Taylor</t>
  </si>
  <si>
    <t>Osborne, Carlie</t>
  </si>
  <si>
    <t>Sievers, Macy</t>
  </si>
  <si>
    <t>990</t>
  </si>
  <si>
    <t>26.8</t>
  </si>
  <si>
    <t>0.51</t>
  </si>
  <si>
    <t>0.778</t>
  </si>
  <si>
    <t>196</t>
  </si>
  <si>
    <t>234</t>
  </si>
  <si>
    <t>253</t>
  </si>
  <si>
    <t>101</t>
  </si>
  <si>
    <t>100</t>
  </si>
  <si>
    <t>468</t>
  </si>
  <si>
    <t>Gustafson, Karly</t>
  </si>
  <si>
    <t>839</t>
  </si>
  <si>
    <t>22.7</t>
  </si>
  <si>
    <t>0.548</t>
  </si>
  <si>
    <t>0.799</t>
  </si>
  <si>
    <t>191</t>
  </si>
  <si>
    <t>258</t>
  </si>
  <si>
    <t>460</t>
  </si>
  <si>
    <t>Beckman, Bailey</t>
  </si>
  <si>
    <t>942</t>
  </si>
  <si>
    <t>25.5</t>
  </si>
  <si>
    <t>0.298</t>
  </si>
  <si>
    <t>0.838</t>
  </si>
  <si>
    <t>73</t>
  </si>
  <si>
    <t>456</t>
  </si>
  <si>
    <t>12.3</t>
  </si>
  <si>
    <t>Schoonhoven, Gracie</t>
  </si>
  <si>
    <t>483</t>
  </si>
  <si>
    <t>0.676</t>
  </si>
  <si>
    <t>0.689</t>
  </si>
  <si>
    <t>62</t>
  </si>
  <si>
    <t>123</t>
  </si>
  <si>
    <t>57</t>
  </si>
  <si>
    <t>55</t>
  </si>
  <si>
    <t>365</t>
  </si>
  <si>
    <t>Schoonhoven, Janie</t>
  </si>
  <si>
    <t>903</t>
  </si>
  <si>
    <t>24.4</t>
  </si>
  <si>
    <t>0.636</t>
  </si>
  <si>
    <t>0.788</t>
  </si>
  <si>
    <t>109</t>
  </si>
  <si>
    <t>217</t>
  </si>
  <si>
    <t>326</t>
  </si>
  <si>
    <t>8.8</t>
  </si>
  <si>
    <t>424</t>
  </si>
  <si>
    <t>11.5</t>
  </si>
  <si>
    <t>Van Holland, Faith</t>
  </si>
  <si>
    <t>857</t>
  </si>
  <si>
    <t>23.2</t>
  </si>
  <si>
    <t>0.372</t>
  </si>
  <si>
    <t>0.344</t>
  </si>
  <si>
    <t>0.818</t>
  </si>
  <si>
    <t>79</t>
  </si>
  <si>
    <t>99</t>
  </si>
  <si>
    <t>206</t>
  </si>
  <si>
    <t>5.6</t>
  </si>
  <si>
    <t>Heimensen, Hayden</t>
  </si>
  <si>
    <t>421</t>
  </si>
  <si>
    <t>18.3</t>
  </si>
  <si>
    <t>0.376</t>
  </si>
  <si>
    <t>0.353</t>
  </si>
  <si>
    <t>0.611</t>
  </si>
  <si>
    <t>129</t>
  </si>
  <si>
    <t>Nielson, Macey</t>
  </si>
  <si>
    <t>576</t>
  </si>
  <si>
    <t>15.6</t>
  </si>
  <si>
    <t>138</t>
  </si>
  <si>
    <t>Kuperus, Eliana</t>
  </si>
  <si>
    <t>426</t>
  </si>
  <si>
    <t>0.442</t>
  </si>
  <si>
    <t>0.69</t>
  </si>
  <si>
    <t>130</t>
  </si>
  <si>
    <t>3.5</t>
  </si>
  <si>
    <t>40</t>
  </si>
  <si>
    <t>126</t>
  </si>
  <si>
    <t>3.4</t>
  </si>
  <si>
    <t>Harazin, Olivia</t>
  </si>
  <si>
    <t>Drent, Taylor</t>
  </si>
  <si>
    <t>160</t>
  </si>
  <si>
    <t>5.7</t>
  </si>
  <si>
    <t>0.41</t>
  </si>
  <si>
    <t>0.565</t>
  </si>
  <si>
    <t>66</t>
  </si>
  <si>
    <t>2.4</t>
  </si>
  <si>
    <t>Bleeker, Willow</t>
  </si>
  <si>
    <t>136</t>
  </si>
  <si>
    <t>5.9</t>
  </si>
  <si>
    <t>0.357</t>
  </si>
  <si>
    <t>0.35</t>
  </si>
  <si>
    <t>1.2</t>
  </si>
  <si>
    <t>Davis, Kaylee</t>
  </si>
  <si>
    <t>91</t>
  </si>
  <si>
    <t>0.273</t>
  </si>
  <si>
    <t>0.833</t>
  </si>
  <si>
    <t>1.1</t>
  </si>
  <si>
    <t>Goodwin, McKenzie</t>
  </si>
  <si>
    <t>Lems, Ellie</t>
  </si>
  <si>
    <t>2.9</t>
  </si>
  <si>
    <t>Sievers, Bailey</t>
  </si>
  <si>
    <t>115</t>
  </si>
  <si>
    <t>Smith, Brooke</t>
  </si>
  <si>
    <t>4.6</t>
  </si>
  <si>
    <t>McCool, Izzy</t>
  </si>
  <si>
    <t>7376</t>
  </si>
  <si>
    <t>199.4</t>
  </si>
  <si>
    <t>0.465</t>
  </si>
  <si>
    <t>0.755</t>
  </si>
  <si>
    <t>513</t>
  </si>
  <si>
    <t>44</t>
  </si>
  <si>
    <t>630</t>
  </si>
  <si>
    <t>663</t>
  </si>
  <si>
    <t>533</t>
  </si>
  <si>
    <t>95</t>
  </si>
  <si>
    <t>3049</t>
  </si>
  <si>
    <t>82.41</t>
  </si>
  <si>
    <t>7402</t>
  </si>
  <si>
    <t>200.1</t>
  </si>
  <si>
    <t>0.282</t>
  </si>
  <si>
    <t>0.739</t>
  </si>
  <si>
    <t>337</t>
  </si>
  <si>
    <t>867</t>
  </si>
  <si>
    <t>1204</t>
  </si>
  <si>
    <t>32.5</t>
  </si>
  <si>
    <t>635</t>
  </si>
  <si>
    <t>361</t>
  </si>
  <si>
    <t>626</t>
  </si>
  <si>
    <t>98</t>
  </si>
  <si>
    <t>2335</t>
  </si>
  <si>
    <t>63.11</t>
  </si>
  <si>
    <t>Dordt (IA)</t>
  </si>
  <si>
    <t>780</t>
  </si>
  <si>
    <t>751</t>
  </si>
  <si>
    <t>830</t>
  </si>
  <si>
    <t>688</t>
  </si>
  <si>
    <t>551</t>
  </si>
  <si>
    <t>524</t>
  </si>
  <si>
    <t>641</t>
  </si>
  <si>
    <t>Van Donge, Janie</t>
  </si>
  <si>
    <t>Hoogendoorn, Desta</t>
  </si>
  <si>
    <t>Charleston, Stella</t>
  </si>
  <si>
    <t>Lingemann , Ava</t>
  </si>
  <si>
    <t>Watson, Trinity</t>
  </si>
  <si>
    <t>Grant, Mara</t>
  </si>
  <si>
    <t xml:space="preserve">FG  </t>
  </si>
  <si>
    <t>Clos, Taylor</t>
  </si>
  <si>
    <t>Chrisman, Alexah</t>
  </si>
  <si>
    <t>Simon, Emily</t>
  </si>
  <si>
    <t>Hurst, Courtney</t>
  </si>
  <si>
    <t>Secrist, Summer</t>
  </si>
  <si>
    <t>Barth, Zoie</t>
  </si>
  <si>
    <t>Brenner, Kelly</t>
  </si>
  <si>
    <t>Smith, Alex</t>
  </si>
  <si>
    <t>Jones, Maggie</t>
  </si>
  <si>
    <t>Schwarber, Kenzie</t>
  </si>
  <si>
    <t>Martin, Rachel</t>
  </si>
  <si>
    <t>Vickers, Mattison</t>
  </si>
  <si>
    <t>Whiteman, Sammi</t>
  </si>
  <si>
    <t>Evans, Heaven</t>
  </si>
  <si>
    <t>Ledford, Paige</t>
  </si>
  <si>
    <t>Hunt, Callie</t>
  </si>
  <si>
    <t>Mahan, Abby</t>
  </si>
  <si>
    <t>Kennedy, Brooke</t>
  </si>
  <si>
    <t xml:space="preserve">Total                          </t>
  </si>
  <si>
    <t>Paige Holmes</t>
  </si>
  <si>
    <t>Brandy Bookout</t>
  </si>
  <si>
    <t>Britt Cooper</t>
  </si>
  <si>
    <t>Cierra Lamey</t>
  </si>
  <si>
    <t>Shannon Worster</t>
  </si>
  <si>
    <t>Brianna King</t>
  </si>
  <si>
    <t>Tori Anderson</t>
  </si>
  <si>
    <t>Savanna Bignell</t>
  </si>
  <si>
    <t>Mesa King</t>
  </si>
  <si>
    <t>Darby Schye</t>
  </si>
  <si>
    <t>ST</t>
  </si>
  <si>
    <t>Ubl, Tina</t>
  </si>
  <si>
    <t>Kelchen, Emma</t>
  </si>
  <si>
    <t>McDermottm, Nicole</t>
  </si>
  <si>
    <t>Haase, Taylor</t>
  </si>
  <si>
    <t>Michels, Giana</t>
  </si>
  <si>
    <t>Merschman, Mya</t>
  </si>
  <si>
    <t>Culbertson, Skylar</t>
  </si>
  <si>
    <t>Lindauer, Madison</t>
  </si>
  <si>
    <t>Peterson, Izzie</t>
  </si>
  <si>
    <t>Boldt, Halle</t>
  </si>
  <si>
    <t>Vondenkamp, Anisha</t>
  </si>
  <si>
    <t>Schilling, Lilly</t>
  </si>
  <si>
    <t>Wetering, Shanae</t>
  </si>
  <si>
    <t>Atienza, Beatrice</t>
  </si>
  <si>
    <t>Blunt, Jenna</t>
  </si>
  <si>
    <t>PEI season</t>
  </si>
  <si>
    <t>TO/G</t>
  </si>
  <si>
    <t>eFG%</t>
  </si>
  <si>
    <t>AST/TO</t>
  </si>
  <si>
    <t>AST/G</t>
  </si>
  <si>
    <t>STL/G</t>
  </si>
  <si>
    <t>BLK/G</t>
  </si>
  <si>
    <t>AST</t>
  </si>
  <si>
    <t xml:space="preserve"> </t>
  </si>
  <si>
    <t>-</t>
  </si>
  <si>
    <t>SCORE BY QUARTERS</t>
  </si>
  <si>
    <t>OT1</t>
  </si>
  <si>
    <t>TOTAL</t>
  </si>
  <si>
    <t>Overall</t>
  </si>
  <si>
    <t>Away</t>
  </si>
  <si>
    <t>Conference</t>
  </si>
  <si>
    <t>Record</t>
  </si>
  <si>
    <t>Home</t>
  </si>
  <si>
    <t>Neutral</t>
  </si>
  <si>
    <t xml:space="preserve">Westmont  </t>
  </si>
  <si>
    <t xml:space="preserve">Opponents               </t>
  </si>
  <si>
    <t xml:space="preserve">Thomas More </t>
  </si>
  <si>
    <t xml:space="preserve">Dordt (IA)          </t>
  </si>
  <si>
    <t>OT2</t>
  </si>
  <si>
    <t> Burbridge, Brianna</t>
  </si>
  <si>
    <t> Baker, Emily</t>
  </si>
  <si>
    <t> Mullins, Kayla</t>
  </si>
  <si>
    <t>Greatrex, Mia</t>
  </si>
  <si>
    <t> Odia, Theodora</t>
  </si>
  <si>
    <t>Latham, Elisabeth</t>
  </si>
  <si>
    <t> Knauer, Shelbi</t>
  </si>
  <si>
    <t>Estrada, Yurleis</t>
  </si>
  <si>
    <t> Duncan, Jillian</t>
  </si>
  <si>
    <t>Corder, Adison</t>
  </si>
  <si>
    <t>TS%</t>
  </si>
  <si>
    <t>USG%</t>
  </si>
  <si>
    <t>AST%</t>
  </si>
  <si>
    <t>REB%</t>
  </si>
  <si>
    <t>TOV%</t>
  </si>
  <si>
    <t>STOCKS</t>
  </si>
  <si>
    <t>PACE</t>
  </si>
  <si>
    <t>STL%</t>
  </si>
  <si>
    <t>BLK %</t>
  </si>
  <si>
    <t>3FGA</t>
  </si>
  <si>
    <t>REB_AVG</t>
  </si>
  <si>
    <t>MIN_AVG</t>
  </si>
  <si>
    <t>PTS_AVG</t>
  </si>
  <si>
    <t>Positions</t>
  </si>
  <si>
    <t>Position</t>
  </si>
  <si>
    <t>G</t>
  </si>
  <si>
    <t>F</t>
  </si>
  <si>
    <t>P</t>
  </si>
  <si>
    <t>G/F</t>
  </si>
  <si>
    <t>C</t>
  </si>
  <si>
    <t>Postions</t>
  </si>
  <si>
    <t>F/C</t>
  </si>
  <si>
    <t xml:space="preserve"> G</t>
  </si>
  <si>
    <t xml:space="preserve">PACE </t>
  </si>
  <si>
    <t>Returners</t>
  </si>
  <si>
    <t>Left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</si>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</sst>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/>
    <xf numFmtId="0" fontId="0" fillId="0" borderId="7" xfId="0" applyBorder="1"/>
    <xf numFmtId="0" fontId="0" fillId="0" borderId="3" xfId="0" applyBorder="1"/>
    <xf numFmtId="0" fontId="0" fillId="0" borderId="9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0" fillId="0" borderId="2" xfId="0" applyNumberFormat="1" applyBorder="1"/>
    <xf numFmtId="164" fontId="0" fillId="0" borderId="6" xfId="0" applyNumberFormat="1" applyBorder="1"/>
    <xf numFmtId="0" fontId="0" fillId="0" borderId="16" xfId="0" applyBorder="1"/>
    <xf numFmtId="164" fontId="0" fillId="0" borderId="8" xfId="0" applyNumberForma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2" fillId="0" borderId="9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165" fontId="0" fillId="0" borderId="2" xfId="0" applyNumberFormat="1" applyBorder="1"/>
    <xf numFmtId="165" fontId="0" fillId="0" borderId="6" xfId="0" applyNumberForma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2" fontId="0" fillId="0" borderId="2" xfId="0" applyNumberFormat="1" applyBorder="1"/>
    <xf numFmtId="2" fontId="0" fillId="0" borderId="6" xfId="0" applyNumberFormat="1" applyBorder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2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6" xfId="0" applyNumberFormat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64" fontId="0" fillId="0" borderId="19" xfId="0" applyNumberFormat="1" applyBorder="1"/>
    <xf numFmtId="0" fontId="0" fillId="0" borderId="20" xfId="0" applyBorder="1"/>
    <xf numFmtId="0" fontId="3" fillId="0" borderId="0" xfId="0" applyFont="1"/>
    <xf numFmtId="1" fontId="0" fillId="0" borderId="0" xfId="0" applyNumberFormat="1"/>
    <xf numFmtId="0" fontId="0" fillId="2" borderId="9" xfId="0" applyFill="1" applyBorder="1"/>
    <xf numFmtId="0" fontId="0" fillId="2" borderId="1" xfId="0" applyFill="1" applyBorder="1"/>
    <xf numFmtId="0" fontId="0" fillId="3" borderId="9" xfId="0" applyFill="1" applyBorder="1"/>
    <xf numFmtId="0" fontId="0" fillId="3" borderId="5" xfId="0" applyFill="1" applyBorder="1"/>
    <xf numFmtId="0" fontId="0" fillId="2" borderId="0" xfId="0" applyFill="1"/>
    <xf numFmtId="0" fontId="0" fillId="3" borderId="0" xfId="0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64" fontId="3" fillId="0" borderId="26" xfId="0" applyNumberFormat="1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27" xfId="0" applyFont="1" applyBorder="1"/>
    <xf numFmtId="0" fontId="2" fillId="0" borderId="29" xfId="0" applyFont="1" applyBorder="1"/>
    <xf numFmtId="0" fontId="0" fillId="0" borderId="12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NumberFormat="1"/>
    <xf numFmtId="0" fontId="0" fillId="0" borderId="10" xfId="0" applyNumberFormat="1" applyBorder="1"/>
    <xf numFmtId="0" fontId="0" fillId="0" borderId="2" xfId="0" applyNumberFormat="1" applyBorder="1"/>
    <xf numFmtId="0" fontId="0" fillId="0" borderId="6" xfId="0" applyNumberFormat="1" applyBorder="1"/>
    <xf numFmtId="0" fontId="0" fillId="0" borderId="0" xfId="0" applyBorder="1"/>
    <xf numFmtId="164" fontId="0" fillId="0" borderId="0" xfId="0" applyNumberFormat="1" applyBorder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323224</xdr:colOff>
      <xdr:row>65</xdr:row>
      <xdr:rowOff>166496</xdr:rowOff>
    </xdr:from>
    <xdr:to>
      <xdr:col>35</xdr:col>
      <xdr:colOff>147505</xdr:colOff>
      <xdr:row>98</xdr:row>
      <xdr:rowOff>164892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FF5EBD-CC2A-BF47-BCF7-301448570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6611" y="13726819"/>
          <a:ext cx="14572668" cy="675807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9" xr16:uid="{2A2CFFFF-1530-3F49-AE3E-53C2D58D38B3}" autoFormatId="16" applyNumberFormats="0" applyBorderFormats="0" applyFontFormats="0" applyPatternFormats="0" applyAlignmentFormats="0" applyWidthHeightFormats="0">
  <queryTableRefresh headersInLastRefresh="0" nextId="45" unboundColumnsRight="17">
    <queryTableFields count="42">
      <queryTableField id="1" name="Column1" tableColumnId="1"/>
      <queryTableField id="2" name="Column2" tableColumnId="2"/>
      <queryTableField id="44" dataBound="0" tableColumnId="43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28" dataBound="0" tableColumnId="28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2" name="Column22" tableColumnId="22"/>
      <queryTableField id="29" dataBound="0" tableColumnId="29"/>
      <queryTableField id="23" name="Column23" tableColumnId="23"/>
      <queryTableField id="30" dataBound="0" tableColumnId="30"/>
      <queryTableField id="31" dataBound="0" tableColumnId="31"/>
      <queryTableField id="24" dataBound="0" tableColumnId="24"/>
      <queryTableField id="32" dataBound="0" tableColumnId="32"/>
      <queryTableField id="25" dataBound="0" tableColumnId="25"/>
      <queryTableField id="33" dataBound="0" tableColumnId="33"/>
      <queryTableField id="26" dataBound="0" tableColumnId="26"/>
      <queryTableField id="27" dataBound="0" tableColumnId="27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21"/>
    </queryTableFields>
    <queryTableDeletedFields count="1">
      <deletedField name="Column2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A822D8D1-1AED-8B48-AABD-12792B73FB4F}" autoFormatId="16" applyNumberFormats="0" applyBorderFormats="0" applyFontFormats="0" applyPatternFormats="0" applyAlignmentFormats="0" applyWidthHeightFormats="0">
  <queryTableRefresh headersInLastRefresh="0" nextId="45" unboundColumnsRight="14">
    <queryTableFields count="42">
      <queryTableField id="1" name="Column1" tableColumnId="1"/>
      <queryTableField id="2" name="Column2" tableColumnId="2"/>
      <queryTableField id="44" dataBound="0" tableColumnId="43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28" dataBound="0" tableColumnId="28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2" name="Column22" tableColumnId="22"/>
      <queryTableField id="29" dataBound="0" tableColumnId="29"/>
      <queryTableField id="23" name="Column23" tableColumnId="23"/>
      <queryTableField id="30" dataBound="0" tableColumnId="30"/>
      <queryTableField id="31" dataBound="0" tableColumnId="31"/>
      <queryTableField id="24" name="Column24" tableColumnId="24"/>
      <queryTableField id="32" dataBound="0" tableColumnId="32"/>
      <queryTableField id="25" dataBound="0" tableColumnId="25"/>
      <queryTableField id="33" dataBound="0" tableColumnId="33"/>
      <queryTableField id="26" dataBound="0" tableColumnId="26"/>
      <queryTableField id="27" dataBound="0" tableColumnId="27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21"/>
    </queryTableFields>
    <queryTableDeletedFields count="1">
      <deletedField name="Column2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98CF98-066C-964A-952E-01E40EDD1540}" name="Dordt_2023_24" displayName="Dordt_2023_24" ref="A2:AP134" tableType="queryTable" headerRowCount="0" totalsRowShown="0">
  <tableColumns count="42">
    <tableColumn id="1" xr3:uid="{E8335625-7F17-7948-94B4-3057A51F0CE7}" uniqueName="1" name="Column1" queryTableFieldId="1" dataDxfId="69"/>
    <tableColumn id="2" xr3:uid="{EEC3852C-CAB2-0040-9F44-DC319681176E}" uniqueName="2" name="Column2" queryTableFieldId="2" dataDxfId="68"/>
    <tableColumn id="43" xr3:uid="{0EB4976A-9A33-4447-9831-DE70724CF422}" uniqueName="43" name="Column43" queryTableFieldId="44"/>
    <tableColumn id="3" xr3:uid="{DC6F3974-29AE-E54D-A7AA-42E8C0B76A18}" uniqueName="3" name="Column3" queryTableFieldId="3" dataDxfId="67"/>
    <tableColumn id="4" xr3:uid="{9C365280-F77C-2541-BFA9-6C900509466A}" uniqueName="4" name="Column4" queryTableFieldId="4" dataDxfId="1"/>
    <tableColumn id="5" xr3:uid="{B0950A43-BB34-494C-82BD-61476F97CA51}" uniqueName="5" name="Column5" queryTableFieldId="5" dataDxfId="0"/>
    <tableColumn id="6" xr3:uid="{D45B9370-2B71-5A44-ABDA-4FE4C70A0081}" uniqueName="6" name="Column6" queryTableFieldId="6" dataDxfId="66"/>
    <tableColumn id="7" xr3:uid="{DCBC07BF-CE66-FF47-BA14-1DF363831528}" uniqueName="7" name="Column7" queryTableFieldId="7" dataDxfId="65"/>
    <tableColumn id="8" xr3:uid="{7887273D-77F4-B14A-B371-BFB2A9D2E1A4}" uniqueName="8" name="Column8" queryTableFieldId="8" dataDxfId="64"/>
    <tableColumn id="9" xr3:uid="{87E8A6E0-CC7C-0E47-B134-D06E1FAC779B}" uniqueName="9" name="Column9" queryTableFieldId="9" dataDxfId="63"/>
    <tableColumn id="10" xr3:uid="{C4899838-5C51-B541-BE39-AC023FFD385A}" uniqueName="10" name="Column10" queryTableFieldId="10" dataDxfId="62"/>
    <tableColumn id="11" xr3:uid="{27DBDC3A-C9CE-7E40-8F6A-E136C81D80F0}" uniqueName="11" name="Column11" queryTableFieldId="11" dataDxfId="61"/>
    <tableColumn id="12" xr3:uid="{E529C451-0159-5847-B9F1-9C1D1F25E445}" uniqueName="12" name="Column12" queryTableFieldId="12" dataDxfId="60"/>
    <tableColumn id="28" xr3:uid="{39368B9E-34CB-EF45-A2BA-E4EAADB7CC4E}" uniqueName="28" name="Column28" queryTableFieldId="28"/>
    <tableColumn id="13" xr3:uid="{22083A62-166F-3040-B041-F569E9281965}" uniqueName="13" name="Column13" queryTableFieldId="13" dataDxfId="59"/>
    <tableColumn id="14" xr3:uid="{9E92ED59-C3DF-4B45-B020-B9ED94C2C3CC}" uniqueName="14" name="Column14" queryTableFieldId="14" dataDxfId="58"/>
    <tableColumn id="15" xr3:uid="{212A3548-87C2-2044-B8F7-872C34583618}" uniqueName="15" name="Column15" queryTableFieldId="15" dataDxfId="57"/>
    <tableColumn id="16" xr3:uid="{D5606DC7-3B17-A144-B671-61A6DDD205A6}" uniqueName="16" name="Column16" queryTableFieldId="16" dataDxfId="56"/>
    <tableColumn id="17" xr3:uid="{FF2E8EA1-BDB0-B14F-8520-442BBF2F3BCE}" uniqueName="17" name="Column17" queryTableFieldId="17" dataDxfId="55"/>
    <tableColumn id="18" xr3:uid="{F129495E-BA9F-9543-BFC8-2C969B6C5C35}" uniqueName="18" name="Column18" queryTableFieldId="18" dataDxfId="54"/>
    <tableColumn id="19" xr3:uid="{4DCDB48E-6FFD-E24B-AAD1-A43C88C8FA09}" uniqueName="19" name="Column19" queryTableFieldId="19" dataDxfId="53"/>
    <tableColumn id="20" xr3:uid="{98F8A2E3-FF57-FD42-BA89-91203803D0BA}" uniqueName="20" name="Column20" queryTableFieldId="20" dataDxfId="52"/>
    <tableColumn id="22" xr3:uid="{450B3C63-87B1-BA4A-8E87-474F363E1546}" uniqueName="22" name="Column22" queryTableFieldId="22" dataDxfId="51"/>
    <tableColumn id="29" xr3:uid="{53984292-273B-6A41-8E8B-D27E37EAC68D}" uniqueName="29" name="Column29" queryTableFieldId="29"/>
    <tableColumn id="23" xr3:uid="{CA04A6FE-7B63-8F43-A741-9EDC50D34E95}" uniqueName="23" name="Column23" queryTableFieldId="23" dataDxfId="50"/>
    <tableColumn id="30" xr3:uid="{B8AB09DE-9244-FF43-AAB8-9C8A1AA1072A}" uniqueName="30" name="Column30" queryTableFieldId="30"/>
    <tableColumn id="31" xr3:uid="{40D2DA2B-0B8A-4548-A5A0-E2D2B8C0C356}" uniqueName="31" name="Column31" queryTableFieldId="31"/>
    <tableColumn id="24" xr3:uid="{90BFE617-54D0-6E4B-8628-E03C7A745E49}" uniqueName="24" name="Column24" queryTableFieldId="24" dataDxfId="49"/>
    <tableColumn id="32" xr3:uid="{190A03E9-8950-CC4D-A903-D869155475DB}" uniqueName="32" name="Column32" queryTableFieldId="32"/>
    <tableColumn id="25" xr3:uid="{F8F083D1-BDBF-7C4B-A66F-00B89509A1F3}" uniqueName="25" name="Column25" queryTableFieldId="25" dataDxfId="48"/>
    <tableColumn id="33" xr3:uid="{0D3BDF2C-8035-F946-966A-91DCCD3306E3}" uniqueName="33" name="Column33" queryTableFieldId="33"/>
    <tableColumn id="26" xr3:uid="{B8AFC1C7-6C5F-F646-92B0-23625C6CB181}" uniqueName="26" name="Column26" queryTableFieldId="26" dataDxfId="47"/>
    <tableColumn id="27" xr3:uid="{1A2D25DE-FBBE-CC49-B3F6-846A4351A493}" uniqueName="27" name="Column27" queryTableFieldId="27" dataDxfId="46"/>
    <tableColumn id="34" xr3:uid="{25BC03EE-3904-0141-A9B5-6ACE7F1AB966}" uniqueName="34" name="Column34" queryTableFieldId="34" dataDxfId="45"/>
    <tableColumn id="35" xr3:uid="{A3B8F772-BB15-7340-B92A-11DF381FC507}" uniqueName="35" name="Column35" queryTableFieldId="35" dataDxfId="44"/>
    <tableColumn id="36" xr3:uid="{0FBCD32D-FA6A-184F-8A5E-C20BBCE2AE5A}" uniqueName="36" name="Column36" queryTableFieldId="36" dataDxfId="43"/>
    <tableColumn id="37" xr3:uid="{10B500BF-23BD-444D-8FD5-12ECBCD634BE}" uniqueName="37" name="Column37" queryTableFieldId="37" dataDxfId="42"/>
    <tableColumn id="38" xr3:uid="{F7AAAC99-D40C-7449-8077-2E9AF6C778F6}" uniqueName="38" name="Column38" queryTableFieldId="38" dataDxfId="41"/>
    <tableColumn id="39" xr3:uid="{19AEFC20-86B6-BD4A-A61C-3B5BEF42E69D}" uniqueName="39" name="Column39" queryTableFieldId="39" dataDxfId="40"/>
    <tableColumn id="40" xr3:uid="{BA8FFFF9-33E8-7849-BC3D-0D022FF604E3}" uniqueName="40" name="Column40" queryTableFieldId="40" dataDxfId="39"/>
    <tableColumn id="41" xr3:uid="{15FBF710-2537-AE4D-8895-1358310C7721}" uniqueName="41" name="Column41" queryTableFieldId="41" dataDxfId="38"/>
    <tableColumn id="21" xr3:uid="{5444E2F4-EF27-144F-96E6-52F9E4E526E2}" uniqueName="21" name="Column21" queryTableFieldId="42" dataDxfId="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2FBD3-92D6-2E43-94D2-E9DF1207D220}" name="_2020_21" displayName="_2020_21" ref="A2:AP110" tableType="queryTable" headerRowCount="0" totalsRowShown="0">
  <tableColumns count="42">
    <tableColumn id="1" xr3:uid="{36E3328B-6BDB-8044-A10F-A89021143282}" uniqueName="1" name="Column1" queryTableFieldId="1" dataDxfId="36"/>
    <tableColumn id="2" xr3:uid="{00910EF5-D2A8-A44C-A2FF-CE310F6237B4}" uniqueName="2" name="Column2" queryTableFieldId="2" dataDxfId="35"/>
    <tableColumn id="43" xr3:uid="{EBFA1B5C-DE64-FD46-8C23-B18B1F4FCDC6}" uniqueName="43" name="Column43" queryTableFieldId="44"/>
    <tableColumn id="3" xr3:uid="{FB08A4DE-166A-0948-BF0F-22E3AD3B68C4}" uniqueName="3" name="Column3" queryTableFieldId="3" dataDxfId="34"/>
    <tableColumn id="4" xr3:uid="{FD381DC9-CC73-2A49-B0BC-A6E15F6E558B}" uniqueName="4" name="Column4" queryTableFieldId="4" dataDxfId="33"/>
    <tableColumn id="5" xr3:uid="{06507E51-49DB-DB44-AD15-72D6AFF158E5}" uniqueName="5" name="Column5" queryTableFieldId="5" dataDxfId="32"/>
    <tableColumn id="6" xr3:uid="{F2086DBC-8114-1941-9A50-BCCCE0E9CFD4}" uniqueName="6" name="Column6" queryTableFieldId="6" dataDxfId="31"/>
    <tableColumn id="7" xr3:uid="{B3266A4F-60F7-314C-A116-907A3490FE2F}" uniqueName="7" name="Column7" queryTableFieldId="7" dataDxfId="30"/>
    <tableColumn id="8" xr3:uid="{E35E413F-2A9C-7C4A-8F40-B2D513A47409}" uniqueName="8" name="Column8" queryTableFieldId="8" dataDxfId="29"/>
    <tableColumn id="9" xr3:uid="{C6821A6A-E485-C244-B47C-AEFC3E6D5B3A}" uniqueName="9" name="Column9" queryTableFieldId="9" dataDxfId="28"/>
    <tableColumn id="10" xr3:uid="{736075BC-AC4B-D741-8B5C-F468270B37FE}" uniqueName="10" name="Column10" queryTableFieldId="10" dataDxfId="27"/>
    <tableColumn id="11" xr3:uid="{74ABDF86-E504-484C-A0C9-8702B42F3750}" uniqueName="11" name="Column11" queryTableFieldId="11" dataDxfId="26"/>
    <tableColumn id="12" xr3:uid="{5F96DFF2-DBC3-304A-86D1-D99DEABB13E1}" uniqueName="12" name="Column12" queryTableFieldId="12" dataDxfId="25"/>
    <tableColumn id="28" xr3:uid="{3D50F91E-AFF5-954B-A6D1-89883E2EB855}" uniqueName="28" name="Column28" queryTableFieldId="28"/>
    <tableColumn id="13" xr3:uid="{59FA9E7C-0276-344C-88A9-9C4CD2A3AB84}" uniqueName="13" name="Column13" queryTableFieldId="13" dataDxfId="24"/>
    <tableColumn id="14" xr3:uid="{29DBB6CC-23AF-6D44-A6E3-1AB8D1226219}" uniqueName="14" name="Column14" queryTableFieldId="14" dataDxfId="23"/>
    <tableColumn id="15" xr3:uid="{E5F89182-94EE-764B-8CB7-A096B0101EE6}" uniqueName="15" name="Column15" queryTableFieldId="15" dataDxfId="22"/>
    <tableColumn id="16" xr3:uid="{F5F7B657-2655-634D-9187-BE055107CCAA}" uniqueName="16" name="Column16" queryTableFieldId="16" dataDxfId="21"/>
    <tableColumn id="17" xr3:uid="{B1969D97-4714-6847-A9DF-84144278FE63}" uniqueName="17" name="Column17" queryTableFieldId="17" dataDxfId="20"/>
    <tableColumn id="18" xr3:uid="{4B49B5E5-63DB-B842-BA38-2198322BF407}" uniqueName="18" name="Column18" queryTableFieldId="18" dataDxfId="19"/>
    <tableColumn id="19" xr3:uid="{F49C24A1-00F0-844F-94A9-4402B2EBE0B0}" uniqueName="19" name="Column19" queryTableFieldId="19" dataDxfId="18"/>
    <tableColumn id="20" xr3:uid="{61745748-5CE9-BC4A-A152-E8A020AA4506}" uniqueName="20" name="Column20" queryTableFieldId="20" dataDxfId="17"/>
    <tableColumn id="22" xr3:uid="{0F2176C0-A100-E84F-8356-E3E53C6F2654}" uniqueName="22" name="Column22" queryTableFieldId="22" dataDxfId="16"/>
    <tableColumn id="29" xr3:uid="{6096DF50-4D35-7E4A-8299-CD1BE5AB3D8C}" uniqueName="29" name="Column29" queryTableFieldId="29"/>
    <tableColumn id="23" xr3:uid="{1590B9F4-6379-8743-8C83-6C2252EA7FA5}" uniqueName="23" name="Column23" queryTableFieldId="23" dataDxfId="15"/>
    <tableColumn id="30" xr3:uid="{A8212F78-5134-4A4D-8C9F-277735F7A6B8}" uniqueName="30" name="Column30" queryTableFieldId="30"/>
    <tableColumn id="31" xr3:uid="{06935A8B-1A78-1549-84F0-8FE9E7ED1F9B}" uniqueName="31" name="Column31" queryTableFieldId="31"/>
    <tableColumn id="24" xr3:uid="{57316CC1-0709-6F42-B4BA-C44F783776A4}" uniqueName="24" name="Column24" queryTableFieldId="24" dataDxfId="14"/>
    <tableColumn id="32" xr3:uid="{A5CEA78B-CFEA-0F41-A83F-081E92060BEF}" uniqueName="32" name="Column32" queryTableFieldId="32"/>
    <tableColumn id="25" xr3:uid="{54722828-A420-EA4C-AC47-CF8DE3FDA670}" uniqueName="25" name="Column25" queryTableFieldId="25" dataDxfId="13"/>
    <tableColumn id="33" xr3:uid="{441A0B05-3635-3C48-9EA3-2B1CEF94D1E7}" uniqueName="33" name="Column33" queryTableFieldId="33"/>
    <tableColumn id="26" xr3:uid="{14FA0A0D-79A2-CA45-8645-D9DD92ED506F}" uniqueName="26" name="Column26" queryTableFieldId="26" dataDxfId="12"/>
    <tableColumn id="27" xr3:uid="{2EE8953B-2DE3-1047-B656-8F2EAB7DDF31}" uniqueName="27" name="Column27" queryTableFieldId="27" dataDxfId="11"/>
    <tableColumn id="34" xr3:uid="{9B80C112-684E-F646-AD2F-5729F91B58F9}" uniqueName="34" name="Column34" queryTableFieldId="34" dataDxfId="10"/>
    <tableColumn id="35" xr3:uid="{2063272B-ADF4-A543-872D-782CAD522D52}" uniqueName="35" name="Column35" queryTableFieldId="35" dataDxfId="9"/>
    <tableColumn id="36" xr3:uid="{84551E22-9959-AB40-979D-57960E5A8DE2}" uniqueName="36" name="Column36" queryTableFieldId="36" dataDxfId="8"/>
    <tableColumn id="37" xr3:uid="{185D00BC-982D-C94A-ABEE-CFADD3B570A3}" uniqueName="37" name="Column37" queryTableFieldId="37" dataDxfId="7"/>
    <tableColumn id="38" xr3:uid="{90B9FC9A-D0D4-5C43-811C-9FF0B6B6C982}" uniqueName="38" name="Column38" queryTableFieldId="38" dataDxfId="6"/>
    <tableColumn id="39" xr3:uid="{427082D9-D106-2E48-8E3E-EE9F33DC5125}" uniqueName="39" name="Column39" queryTableFieldId="39" dataDxfId="5"/>
    <tableColumn id="40" xr3:uid="{02AF6326-55BF-DB41-A165-26A229E26E56}" uniqueName="40" name="Column40" queryTableFieldId="40" dataDxfId="4"/>
    <tableColumn id="41" xr3:uid="{BE67CA0B-3150-6246-A8E4-A15C349B0F2D}" uniqueName="41" name="Column41" queryTableFieldId="41" dataDxfId="3"/>
    <tableColumn id="21" xr3:uid="{D63787A0-A40F-F74E-9FA7-29F3454020C2}" uniqueName="21" name="Column21" queryTableFieldId="42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2C7E-905C-BB42-8081-CB3A44ABC3CF}">
  <dimension ref="A1:AP38"/>
  <sheetViews>
    <sheetView zoomScale="56" workbookViewId="0">
      <selection activeCell="AO11" sqref="AO11"/>
    </sheetView>
  </sheetViews>
  <sheetFormatPr baseColWidth="10" defaultRowHeight="16" x14ac:dyDescent="0.2"/>
  <cols>
    <col min="1" max="1" width="26.33203125" customWidth="1"/>
    <col min="2" max="2" width="17.83203125" bestFit="1" customWidth="1"/>
    <col min="3" max="3" width="17.83203125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  <c r="V1" s="57"/>
    </row>
    <row r="2" spans="1:42" ht="18" thickBot="1" x14ac:dyDescent="0.3">
      <c r="A2" s="10" t="s">
        <v>484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186</v>
      </c>
      <c r="O2">
        <v>406</v>
      </c>
      <c r="P2">
        <v>400</v>
      </c>
      <c r="Q2">
        <v>500</v>
      </c>
      <c r="R2">
        <v>493</v>
      </c>
      <c r="S2">
        <v>5</v>
      </c>
      <c r="T2" s="6">
        <v>1804</v>
      </c>
      <c r="U2" s="58"/>
      <c r="V2" s="59" t="s">
        <v>508</v>
      </c>
      <c r="W2" s="60">
        <v>13.44</v>
      </c>
    </row>
    <row r="3" spans="1:42" ht="17" thickBot="1" x14ac:dyDescent="0.25">
      <c r="A3" s="20"/>
      <c r="B3" s="3">
        <v>30</v>
      </c>
      <c r="C3" s="4"/>
      <c r="D3" s="7">
        <v>4</v>
      </c>
      <c r="E3" s="3">
        <v>15</v>
      </c>
      <c r="F3" s="7">
        <v>3</v>
      </c>
      <c r="G3" s="3">
        <v>13</v>
      </c>
      <c r="H3" s="7">
        <v>3</v>
      </c>
      <c r="I3" s="3">
        <v>9</v>
      </c>
      <c r="J3" s="7">
        <v>1</v>
      </c>
      <c r="K3" s="3">
        <v>8</v>
      </c>
      <c r="L3" s="22">
        <v>0</v>
      </c>
      <c r="M3" s="23"/>
      <c r="N3" s="3" t="s">
        <v>0</v>
      </c>
      <c r="O3" s="4">
        <v>641</v>
      </c>
      <c r="P3" s="4">
        <v>612</v>
      </c>
      <c r="Q3" s="4">
        <v>615</v>
      </c>
      <c r="R3" s="4">
        <v>568</v>
      </c>
      <c r="S3" s="4">
        <v>12</v>
      </c>
      <c r="T3" s="7">
        <v>2448</v>
      </c>
    </row>
    <row r="4" spans="1:42" x14ac:dyDescent="0.2">
      <c r="AG4" t="s">
        <v>476</v>
      </c>
    </row>
    <row r="6" spans="1:42" x14ac:dyDescent="0.2">
      <c r="A6" t="s">
        <v>7</v>
      </c>
      <c r="Y6" t="s">
        <v>476</v>
      </c>
      <c r="AN6" t="s">
        <v>476</v>
      </c>
    </row>
    <row r="7" spans="1:42" ht="17" thickBot="1" x14ac:dyDescent="0.25"/>
    <row r="8" spans="1:42" ht="17" thickBot="1" x14ac:dyDescent="0.25">
      <c r="H8" s="10" t="s">
        <v>8</v>
      </c>
      <c r="I8" s="11"/>
      <c r="J8" s="11"/>
      <c r="K8" s="11" t="s">
        <v>9</v>
      </c>
      <c r="L8" s="11"/>
      <c r="M8" s="11"/>
      <c r="N8" s="11"/>
      <c r="O8" s="11" t="s">
        <v>4</v>
      </c>
      <c r="P8" s="11"/>
      <c r="Q8" s="11"/>
      <c r="R8" s="12" t="s">
        <v>10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5</v>
      </c>
      <c r="B10" s="2" t="s">
        <v>442</v>
      </c>
      <c r="C10" s="2" t="s">
        <v>517</v>
      </c>
      <c r="D10" s="2">
        <v>34</v>
      </c>
      <c r="E10" s="2">
        <v>34</v>
      </c>
      <c r="F10" s="2">
        <v>1016</v>
      </c>
      <c r="G10" s="2">
        <v>29.9</v>
      </c>
      <c r="H10" s="2">
        <v>75</v>
      </c>
      <c r="I10" s="2">
        <v>176</v>
      </c>
      <c r="J10" s="2">
        <v>0.42599999999999999</v>
      </c>
      <c r="K10" s="2">
        <v>29</v>
      </c>
      <c r="L10" s="2">
        <v>103</v>
      </c>
      <c r="M10" s="2">
        <v>0.28199999999999997</v>
      </c>
      <c r="N10" s="16">
        <f>(H10+(0.5*K10))/(L10+I10)</f>
        <v>0.32078853046594979</v>
      </c>
      <c r="O10" s="2">
        <v>30</v>
      </c>
      <c r="P10" s="2">
        <v>48</v>
      </c>
      <c r="Q10" s="2">
        <v>0.625</v>
      </c>
      <c r="R10" s="2">
        <v>33</v>
      </c>
      <c r="S10" s="2">
        <v>78</v>
      </c>
      <c r="T10" s="2">
        <v>111</v>
      </c>
      <c r="U10" s="2">
        <v>3.3</v>
      </c>
      <c r="V10" s="2">
        <v>52</v>
      </c>
      <c r="W10" s="2">
        <v>68</v>
      </c>
      <c r="X10" s="16">
        <f t="shared" ref="X10:X19" si="0">W10/D10</f>
        <v>2</v>
      </c>
      <c r="Y10" s="2">
        <v>34</v>
      </c>
      <c r="Z10" s="16">
        <f t="shared" ref="Z10:Z19" si="1">Y10/D10</f>
        <v>1</v>
      </c>
      <c r="AA10" s="16">
        <f>W10/Y10</f>
        <v>2</v>
      </c>
      <c r="AB10" s="2">
        <v>5</v>
      </c>
      <c r="AC10" s="16">
        <f t="shared" ref="AC10:AC20" si="2">AB10/D10</f>
        <v>0.14705882352941177</v>
      </c>
      <c r="AD10" s="2">
        <v>50</v>
      </c>
      <c r="AE10" s="16">
        <f t="shared" ref="AE10:AE20" si="3">AD10/D10</f>
        <v>1.4705882352941178</v>
      </c>
      <c r="AF10" s="2">
        <v>209</v>
      </c>
      <c r="AG10" s="2">
        <v>6.1</v>
      </c>
      <c r="AH10" s="16">
        <f>((AF10+T10+W10+AD10+AB10-Y10)/F10)*40</f>
        <v>16.102362204724411</v>
      </c>
      <c r="AI10" s="16">
        <f xml:space="preserve"> AF10 / (2 * (I10 + 0.44 * P10)) * 100</f>
        <v>53.013392857142861</v>
      </c>
      <c r="AJ10" s="39">
        <f xml:space="preserve"> ((I10 + 0.44*P10 + Y10) * ($F$20/5)) / (F10 * ($I$20 + 0.44*$P$20 + $Y$20)) * 100</f>
        <v>12.027532836852881</v>
      </c>
      <c r="AK10" s="39">
        <f xml:space="preserve"> 100 * (W10 / ( ( (F10 / ($F$20/5)) * $H$20 ) - H10 ) )</f>
        <v>11.379386405634989</v>
      </c>
      <c r="AL10" s="16">
        <f xml:space="preserve"> (100 * (R10 * ($F$20/5)) / (F10 * $R$20 + ($F$20 - F10) * $S$21)) + (100 * (S10 * ($F$20/5)) / (F10 * $S$20 + ($F$20 - F10) * $R$21))</f>
        <v>5.2050081364447749</v>
      </c>
      <c r="AM10" s="16">
        <f xml:space="preserve"> 100 * (Y10 * ($F$20/5)) / (F10 * ($I$20 + 0.44*$P$20 + $Y$20))</f>
        <v>1.769367066688291</v>
      </c>
      <c r="AN10" s="16">
        <f xml:space="preserve"> 100 * (AD10 * ($F$20/5)) / (F10 * ($I$20 + 0.44 * $P$20 + $Y$20))</f>
        <v>2.6020103921886637</v>
      </c>
      <c r="AO10" s="16">
        <f xml:space="preserve"> 100 * (AB10 * ($F$20/5)) / (F10 * ($I$21 - $L$21))</f>
        <v>0.55267043099875679</v>
      </c>
      <c r="AP10" s="44">
        <f t="shared" ref="AP10:AP19" si="4">AD10+AB10</f>
        <v>55</v>
      </c>
    </row>
    <row r="11" spans="1:42" x14ac:dyDescent="0.2">
      <c r="A11" s="9">
        <v>10</v>
      </c>
      <c r="B11" t="s">
        <v>443</v>
      </c>
      <c r="C11" t="s">
        <v>518</v>
      </c>
      <c r="D11">
        <v>25</v>
      </c>
      <c r="E11">
        <v>0</v>
      </c>
      <c r="F11">
        <v>219</v>
      </c>
      <c r="G11">
        <v>8.6999999999999993</v>
      </c>
      <c r="H11">
        <v>20</v>
      </c>
      <c r="I11">
        <v>53</v>
      </c>
      <c r="J11">
        <v>0.377</v>
      </c>
      <c r="K11">
        <v>14</v>
      </c>
      <c r="L11">
        <v>38</v>
      </c>
      <c r="M11">
        <v>0.36799999999999999</v>
      </c>
      <c r="N11" s="37">
        <f t="shared" ref="N11:N18" si="5">(H11+(0.5*K11))/(L11+I11)</f>
        <v>0.2967032967032967</v>
      </c>
      <c r="O11">
        <v>6</v>
      </c>
      <c r="P11">
        <v>8</v>
      </c>
      <c r="Q11">
        <v>0.75</v>
      </c>
      <c r="R11">
        <v>4</v>
      </c>
      <c r="S11">
        <v>18</v>
      </c>
      <c r="T11">
        <v>22</v>
      </c>
      <c r="U11">
        <v>0.9</v>
      </c>
      <c r="V11">
        <v>24</v>
      </c>
      <c r="W11">
        <v>10</v>
      </c>
      <c r="X11" s="37">
        <f t="shared" si="0"/>
        <v>0.4</v>
      </c>
      <c r="Y11">
        <v>17</v>
      </c>
      <c r="Z11" s="37">
        <f t="shared" si="1"/>
        <v>0.68</v>
      </c>
      <c r="AA11" s="37">
        <f t="shared" ref="AA11:AA17" si="6">W11/Y11</f>
        <v>0.58823529411764708</v>
      </c>
      <c r="AB11">
        <v>2</v>
      </c>
      <c r="AC11" s="37">
        <f t="shared" si="2"/>
        <v>0.08</v>
      </c>
      <c r="AD11">
        <v>11</v>
      </c>
      <c r="AE11" s="37">
        <f t="shared" si="3"/>
        <v>0.44</v>
      </c>
      <c r="AF11">
        <v>60</v>
      </c>
      <c r="AG11">
        <v>2.4</v>
      </c>
      <c r="AH11" s="37">
        <f t="shared" ref="AH11:AH19" si="7">((AF11+T11+W11+AD11+AB11-Y11)/F11)*40</f>
        <v>16.073059360730593</v>
      </c>
      <c r="AI11" s="37">
        <f t="shared" ref="AI11:AI21" si="8" xml:space="preserve"> AF11 / (2 * (I11 + 0.44 * P11)) * 100</f>
        <v>53.07855626326964</v>
      </c>
      <c r="AJ11" s="40">
        <f t="shared" ref="AJ11:AJ19" si="9" xml:space="preserve"> ((I11 + 0.44*P11 + Y11) * ($F$20/5)) / (F11 * ($I$20 + 0.44*$P$20 + $Y$20)) * 100</f>
        <v>17.749826566050224</v>
      </c>
      <c r="AK11" s="40">
        <f t="shared" ref="AK11:AK19" si="10" xml:space="preserve"> 100 * (W11 / ( ( (F11 / ($F$20/5)) * $H$20 ) - H11 ) )</f>
        <v>8.0016875263675988</v>
      </c>
      <c r="AL11" s="37">
        <f t="shared" ref="AL11:AL19" si="11" xml:space="preserve"> (100 * (R11 * ($F$20/5)) / (F11 * $R$20 + ($F$20 - F11) * $S$21)) + (100 * (S11 * ($F$20/5)) / (F11 * $S$20 + ($F$20 - F11) * $R$21))</f>
        <v>1.3271820143392037</v>
      </c>
      <c r="AM11" s="37">
        <f t="shared" ref="AM11:AM19" si="12" xml:space="preserve"> 100 * (Y11 * ($F$20/5)) / (F11 * ($I$20 + 0.44*$P$20 + $Y$20))</f>
        <v>4.1042852505828851</v>
      </c>
      <c r="AN11" s="37">
        <f t="shared" ref="AN11:AN19" si="13" xml:space="preserve"> 100 * (AD11 * ($F$20/5)) / (F11 * ($I$20 + 0.44 * $P$20 + $Y$20))</f>
        <v>2.6557139856712788</v>
      </c>
      <c r="AO11" s="37">
        <f t="shared" ref="AO11:AO19" si="14" xml:space="preserve"> 100 * (AB11 * ($F$20/5)) / (F11 * ($I$21 - $L$21))</f>
        <v>1.0255948089401585</v>
      </c>
      <c r="AP11" s="5">
        <f t="shared" si="4"/>
        <v>13</v>
      </c>
    </row>
    <row r="12" spans="1:42" x14ac:dyDescent="0.2">
      <c r="A12" s="9">
        <v>15</v>
      </c>
      <c r="B12" t="s">
        <v>444</v>
      </c>
      <c r="C12" t="s">
        <v>518</v>
      </c>
      <c r="D12">
        <v>34</v>
      </c>
      <c r="E12">
        <v>34</v>
      </c>
      <c r="F12">
        <v>958</v>
      </c>
      <c r="G12">
        <v>28.2</v>
      </c>
      <c r="H12">
        <v>135</v>
      </c>
      <c r="I12">
        <v>271</v>
      </c>
      <c r="J12">
        <v>0.498</v>
      </c>
      <c r="K12">
        <v>4</v>
      </c>
      <c r="L12">
        <v>16</v>
      </c>
      <c r="M12">
        <v>0.25</v>
      </c>
      <c r="N12" s="37">
        <f t="shared" si="5"/>
        <v>0.47735191637630664</v>
      </c>
      <c r="O12">
        <v>55</v>
      </c>
      <c r="P12">
        <v>86</v>
      </c>
      <c r="Q12">
        <v>0.64</v>
      </c>
      <c r="R12">
        <v>79</v>
      </c>
      <c r="S12">
        <v>155</v>
      </c>
      <c r="T12">
        <v>234</v>
      </c>
      <c r="U12">
        <v>6.9</v>
      </c>
      <c r="V12">
        <v>64</v>
      </c>
      <c r="W12">
        <v>62</v>
      </c>
      <c r="X12" s="37">
        <f t="shared" si="0"/>
        <v>1.8235294117647058</v>
      </c>
      <c r="Y12">
        <v>43</v>
      </c>
      <c r="Z12" s="37">
        <f t="shared" si="1"/>
        <v>1.2647058823529411</v>
      </c>
      <c r="AA12" s="37">
        <f t="shared" si="6"/>
        <v>1.441860465116279</v>
      </c>
      <c r="AB12">
        <v>22</v>
      </c>
      <c r="AC12" s="37">
        <f t="shared" si="2"/>
        <v>0.6470588235294118</v>
      </c>
      <c r="AD12">
        <v>24</v>
      </c>
      <c r="AE12" s="37">
        <f t="shared" si="3"/>
        <v>0.70588235294117652</v>
      </c>
      <c r="AF12">
        <v>329</v>
      </c>
      <c r="AG12">
        <v>9.6999999999999993</v>
      </c>
      <c r="AH12" s="37">
        <f t="shared" si="7"/>
        <v>26.221294363256785</v>
      </c>
      <c r="AI12" s="37">
        <f t="shared" si="8"/>
        <v>53.263825929283769</v>
      </c>
      <c r="AJ12" s="40">
        <f t="shared" si="9"/>
        <v>19.418354859496077</v>
      </c>
      <c r="AK12" s="40">
        <f t="shared" si="10"/>
        <v>12.420446077021927</v>
      </c>
      <c r="AL12" s="37">
        <f t="shared" si="11"/>
        <v>10.828170267470917</v>
      </c>
      <c r="AM12" s="37">
        <f t="shared" si="12"/>
        <v>2.373207307180341</v>
      </c>
      <c r="AN12" s="37">
        <f t="shared" si="13"/>
        <v>1.3245808226122833</v>
      </c>
      <c r="AO12" s="37">
        <f t="shared" si="14"/>
        <v>2.5789748379298976</v>
      </c>
      <c r="AP12" s="5">
        <f t="shared" si="4"/>
        <v>46</v>
      </c>
    </row>
    <row r="13" spans="1:42" x14ac:dyDescent="0.2">
      <c r="A13" s="9">
        <v>23</v>
      </c>
      <c r="B13" t="s">
        <v>445</v>
      </c>
      <c r="C13" t="s">
        <v>518</v>
      </c>
      <c r="D13">
        <v>34</v>
      </c>
      <c r="E13">
        <v>34</v>
      </c>
      <c r="F13">
        <v>1006</v>
      </c>
      <c r="G13">
        <v>29.6</v>
      </c>
      <c r="H13">
        <v>103</v>
      </c>
      <c r="I13">
        <v>241</v>
      </c>
      <c r="J13">
        <v>0.42699999999999999</v>
      </c>
      <c r="K13">
        <v>44</v>
      </c>
      <c r="L13">
        <v>106</v>
      </c>
      <c r="M13">
        <v>0.41499999999999998</v>
      </c>
      <c r="N13" s="37">
        <f t="shared" si="5"/>
        <v>0.36023054755043227</v>
      </c>
      <c r="O13">
        <v>69</v>
      </c>
      <c r="P13">
        <v>86</v>
      </c>
      <c r="Q13">
        <v>0.80200000000000005</v>
      </c>
      <c r="R13">
        <v>35</v>
      </c>
      <c r="S13">
        <v>156</v>
      </c>
      <c r="T13">
        <v>191</v>
      </c>
      <c r="U13">
        <v>5.6</v>
      </c>
      <c r="V13">
        <v>48</v>
      </c>
      <c r="W13">
        <v>63</v>
      </c>
      <c r="X13" s="37">
        <f t="shared" si="0"/>
        <v>1.8529411764705883</v>
      </c>
      <c r="Y13">
        <v>60</v>
      </c>
      <c r="Z13" s="37">
        <f t="shared" si="1"/>
        <v>1.7647058823529411</v>
      </c>
      <c r="AA13" s="37">
        <f t="shared" si="6"/>
        <v>1.05</v>
      </c>
      <c r="AB13">
        <v>16</v>
      </c>
      <c r="AC13" s="37">
        <f t="shared" si="2"/>
        <v>0.47058823529411764</v>
      </c>
      <c r="AD13">
        <v>40</v>
      </c>
      <c r="AE13" s="37">
        <f t="shared" si="3"/>
        <v>1.1764705882352942</v>
      </c>
      <c r="AF13">
        <v>319</v>
      </c>
      <c r="AG13">
        <v>9.4</v>
      </c>
      <c r="AH13" s="37">
        <f t="shared" si="7"/>
        <v>22.624254473161031</v>
      </c>
      <c r="AI13" s="37">
        <f t="shared" si="8"/>
        <v>57.201262372686834</v>
      </c>
      <c r="AJ13" s="40">
        <f t="shared" si="9"/>
        <v>17.808585377929113</v>
      </c>
      <c r="AK13" s="40">
        <f t="shared" si="10"/>
        <v>11.191008149151003</v>
      </c>
      <c r="AL13" s="37">
        <f t="shared" si="11"/>
        <v>9.5598309171917393</v>
      </c>
      <c r="AM13" s="37">
        <f t="shared" si="12"/>
        <v>3.1534503679487269</v>
      </c>
      <c r="AN13" s="37">
        <f t="shared" si="13"/>
        <v>2.1023002452991513</v>
      </c>
      <c r="AO13" s="37">
        <f t="shared" si="14"/>
        <v>1.7861253531442922</v>
      </c>
      <c r="AP13" s="5">
        <f t="shared" si="4"/>
        <v>56</v>
      </c>
    </row>
    <row r="14" spans="1:42" x14ac:dyDescent="0.2">
      <c r="A14" s="9">
        <v>25</v>
      </c>
      <c r="B14" t="s">
        <v>446</v>
      </c>
      <c r="C14" t="s">
        <v>517</v>
      </c>
      <c r="D14">
        <v>33</v>
      </c>
      <c r="E14">
        <v>1</v>
      </c>
      <c r="F14">
        <v>633</v>
      </c>
      <c r="G14">
        <v>19.2</v>
      </c>
      <c r="H14">
        <v>79</v>
      </c>
      <c r="I14">
        <v>151</v>
      </c>
      <c r="J14">
        <v>0.52300000000000002</v>
      </c>
      <c r="K14">
        <v>24</v>
      </c>
      <c r="L14">
        <v>56</v>
      </c>
      <c r="M14">
        <v>0.42899999999999999</v>
      </c>
      <c r="N14" s="37">
        <f t="shared" si="5"/>
        <v>0.43961352657004832</v>
      </c>
      <c r="O14">
        <v>17</v>
      </c>
      <c r="P14">
        <v>28</v>
      </c>
      <c r="Q14">
        <v>0.60699999999999998</v>
      </c>
      <c r="R14">
        <v>17</v>
      </c>
      <c r="S14">
        <v>59</v>
      </c>
      <c r="T14">
        <v>76</v>
      </c>
      <c r="U14">
        <v>2.2999999999999998</v>
      </c>
      <c r="V14">
        <v>37</v>
      </c>
      <c r="W14">
        <v>68</v>
      </c>
      <c r="X14" s="37">
        <f t="shared" si="0"/>
        <v>2.0606060606060606</v>
      </c>
      <c r="Y14">
        <v>37</v>
      </c>
      <c r="Z14" s="37">
        <f t="shared" si="1"/>
        <v>1.1212121212121211</v>
      </c>
      <c r="AA14" s="37">
        <f t="shared" si="6"/>
        <v>1.8378378378378379</v>
      </c>
      <c r="AB14">
        <v>6</v>
      </c>
      <c r="AC14" s="37">
        <f t="shared" si="2"/>
        <v>0.18181818181818182</v>
      </c>
      <c r="AD14">
        <v>32</v>
      </c>
      <c r="AE14" s="37">
        <f t="shared" si="3"/>
        <v>0.96969696969696972</v>
      </c>
      <c r="AF14">
        <v>199</v>
      </c>
      <c r="AG14">
        <v>6</v>
      </c>
      <c r="AH14" s="37">
        <f t="shared" si="7"/>
        <v>21.737756714060033</v>
      </c>
      <c r="AI14" s="37">
        <f t="shared" si="8"/>
        <v>60.92334068087191</v>
      </c>
      <c r="AJ14" s="40">
        <f t="shared" si="9"/>
        <v>16.732210973505364</v>
      </c>
      <c r="AK14" s="40">
        <f t="shared" si="10"/>
        <v>19.998035962559239</v>
      </c>
      <c r="AL14" s="37">
        <f t="shared" si="11"/>
        <v>4.0265034320160833</v>
      </c>
      <c r="AM14" s="37">
        <f t="shared" si="12"/>
        <v>3.0905142073667062</v>
      </c>
      <c r="AN14" s="37">
        <f t="shared" si="13"/>
        <v>2.6728771523171515</v>
      </c>
      <c r="AO14" s="37">
        <f t="shared" si="14"/>
        <v>1.0644799201795958</v>
      </c>
      <c r="AP14" s="5">
        <f t="shared" si="4"/>
        <v>38</v>
      </c>
    </row>
    <row r="15" spans="1:42" x14ac:dyDescent="0.2">
      <c r="A15" s="9">
        <v>32</v>
      </c>
      <c r="B15" t="s">
        <v>447</v>
      </c>
      <c r="C15" t="s">
        <v>517</v>
      </c>
      <c r="D15">
        <v>34</v>
      </c>
      <c r="E15">
        <v>33</v>
      </c>
      <c r="F15">
        <v>1141</v>
      </c>
      <c r="G15">
        <v>33.6</v>
      </c>
      <c r="H15">
        <v>276</v>
      </c>
      <c r="I15">
        <v>595</v>
      </c>
      <c r="J15">
        <v>0.46400000000000002</v>
      </c>
      <c r="K15">
        <v>95</v>
      </c>
      <c r="L15">
        <v>259</v>
      </c>
      <c r="M15">
        <v>0.36699999999999999</v>
      </c>
      <c r="N15" s="37">
        <f t="shared" si="5"/>
        <v>0.37880562060889927</v>
      </c>
      <c r="O15">
        <v>124</v>
      </c>
      <c r="P15">
        <v>151</v>
      </c>
      <c r="Q15">
        <v>0.82099999999999995</v>
      </c>
      <c r="R15">
        <v>14</v>
      </c>
      <c r="S15">
        <v>115</v>
      </c>
      <c r="T15">
        <v>129</v>
      </c>
      <c r="U15">
        <v>3.8</v>
      </c>
      <c r="V15">
        <v>47</v>
      </c>
      <c r="W15">
        <v>107</v>
      </c>
      <c r="X15" s="37">
        <f t="shared" si="0"/>
        <v>3.1470588235294117</v>
      </c>
      <c r="Y15">
        <v>90</v>
      </c>
      <c r="Z15" s="37">
        <f t="shared" si="1"/>
        <v>2.6470588235294117</v>
      </c>
      <c r="AA15" s="37">
        <f t="shared" si="6"/>
        <v>1.1888888888888889</v>
      </c>
      <c r="AB15">
        <v>11</v>
      </c>
      <c r="AC15" s="37">
        <f t="shared" si="2"/>
        <v>0.3235294117647059</v>
      </c>
      <c r="AD15">
        <v>92</v>
      </c>
      <c r="AE15" s="37">
        <f t="shared" si="3"/>
        <v>2.7058823529411766</v>
      </c>
      <c r="AF15">
        <v>771</v>
      </c>
      <c r="AG15">
        <v>22.7</v>
      </c>
      <c r="AH15" s="37">
        <f t="shared" si="7"/>
        <v>35.758106923751093</v>
      </c>
      <c r="AI15" s="37">
        <f t="shared" si="8"/>
        <v>58.281930333817122</v>
      </c>
      <c r="AJ15" s="40">
        <f t="shared" si="9"/>
        <v>34.821012517650303</v>
      </c>
      <c r="AK15" s="40">
        <f t="shared" si="10"/>
        <v>22.323325160902368</v>
      </c>
      <c r="AL15" s="37">
        <f t="shared" si="11"/>
        <v>6.5214189599638575</v>
      </c>
      <c r="AM15" s="37">
        <f t="shared" si="12"/>
        <v>4.1705141150172027</v>
      </c>
      <c r="AN15" s="37">
        <f t="shared" si="13"/>
        <v>4.2631922064620298</v>
      </c>
      <c r="AO15" s="37">
        <f t="shared" si="14"/>
        <v>1.0826721712256098</v>
      </c>
      <c r="AP15" s="5">
        <f t="shared" si="4"/>
        <v>103</v>
      </c>
    </row>
    <row r="16" spans="1:42" x14ac:dyDescent="0.2">
      <c r="A16" s="9">
        <v>33</v>
      </c>
      <c r="B16" t="s">
        <v>448</v>
      </c>
      <c r="C16" t="s">
        <v>517</v>
      </c>
      <c r="D16">
        <v>34</v>
      </c>
      <c r="E16">
        <v>34</v>
      </c>
      <c r="F16">
        <v>803</v>
      </c>
      <c r="G16">
        <v>23.6</v>
      </c>
      <c r="H16">
        <v>94</v>
      </c>
      <c r="I16">
        <v>239</v>
      </c>
      <c r="J16">
        <v>0.39300000000000002</v>
      </c>
      <c r="K16">
        <v>44</v>
      </c>
      <c r="L16">
        <v>141</v>
      </c>
      <c r="M16">
        <v>0.312</v>
      </c>
      <c r="N16" s="37">
        <f t="shared" si="5"/>
        <v>0.30526315789473685</v>
      </c>
      <c r="O16">
        <v>17</v>
      </c>
      <c r="P16">
        <v>22</v>
      </c>
      <c r="Q16">
        <v>0.77300000000000002</v>
      </c>
      <c r="R16">
        <v>17</v>
      </c>
      <c r="S16">
        <v>68</v>
      </c>
      <c r="T16">
        <v>85</v>
      </c>
      <c r="U16">
        <v>2.5</v>
      </c>
      <c r="V16">
        <v>28</v>
      </c>
      <c r="W16">
        <v>56</v>
      </c>
      <c r="X16" s="37">
        <f t="shared" si="0"/>
        <v>1.6470588235294117</v>
      </c>
      <c r="Y16">
        <v>35</v>
      </c>
      <c r="Z16" s="37">
        <f t="shared" si="1"/>
        <v>1.0294117647058822</v>
      </c>
      <c r="AA16" s="37">
        <f t="shared" si="6"/>
        <v>1.6</v>
      </c>
      <c r="AB16">
        <v>5</v>
      </c>
      <c r="AC16" s="37">
        <f t="shared" si="2"/>
        <v>0.14705882352941177</v>
      </c>
      <c r="AD16">
        <v>30</v>
      </c>
      <c r="AE16" s="37">
        <f t="shared" si="3"/>
        <v>0.88235294117647056</v>
      </c>
      <c r="AF16">
        <v>249</v>
      </c>
      <c r="AG16">
        <v>7.3</v>
      </c>
      <c r="AH16" s="37">
        <f t="shared" si="7"/>
        <v>19.427148194271481</v>
      </c>
      <c r="AI16" s="37">
        <f t="shared" si="8"/>
        <v>50.064339713688277</v>
      </c>
      <c r="AJ16" s="40">
        <f t="shared" si="9"/>
        <v>18.678668019551122</v>
      </c>
      <c r="AK16" s="40">
        <f t="shared" si="10"/>
        <v>12.797952156287318</v>
      </c>
      <c r="AL16" s="37">
        <f t="shared" si="11"/>
        <v>4.4000692828479551</v>
      </c>
      <c r="AM16" s="37">
        <f t="shared" si="12"/>
        <v>2.3045451941775563</v>
      </c>
      <c r="AN16" s="37">
        <f t="shared" si="13"/>
        <v>1.9753244521521913</v>
      </c>
      <c r="AO16" s="37">
        <f t="shared" si="14"/>
        <v>0.69926918791374448</v>
      </c>
      <c r="AP16" s="5">
        <f t="shared" si="4"/>
        <v>35</v>
      </c>
    </row>
    <row r="17" spans="1:42" x14ac:dyDescent="0.2">
      <c r="A17" s="9">
        <v>40</v>
      </c>
      <c r="B17" t="s">
        <v>449</v>
      </c>
      <c r="C17" t="s">
        <v>517</v>
      </c>
      <c r="D17">
        <v>31</v>
      </c>
      <c r="E17">
        <v>0</v>
      </c>
      <c r="F17">
        <v>584</v>
      </c>
      <c r="G17">
        <v>18.8</v>
      </c>
      <c r="H17">
        <v>76</v>
      </c>
      <c r="I17">
        <v>157</v>
      </c>
      <c r="J17">
        <v>0.48399999999999999</v>
      </c>
      <c r="K17">
        <v>39</v>
      </c>
      <c r="L17">
        <v>93</v>
      </c>
      <c r="M17">
        <v>0.41899999999999998</v>
      </c>
      <c r="N17" s="37">
        <f t="shared" si="5"/>
        <v>0.38200000000000001</v>
      </c>
      <c r="O17">
        <v>18</v>
      </c>
      <c r="P17">
        <v>25</v>
      </c>
      <c r="Q17">
        <v>0.72</v>
      </c>
      <c r="R17">
        <v>27</v>
      </c>
      <c r="S17">
        <v>55</v>
      </c>
      <c r="T17">
        <v>82</v>
      </c>
      <c r="U17">
        <v>2.6</v>
      </c>
      <c r="V17">
        <v>64</v>
      </c>
      <c r="W17">
        <v>48</v>
      </c>
      <c r="X17" s="37">
        <f t="shared" si="0"/>
        <v>1.5483870967741935</v>
      </c>
      <c r="Y17">
        <v>49</v>
      </c>
      <c r="Z17" s="37">
        <f t="shared" si="1"/>
        <v>1.5806451612903225</v>
      </c>
      <c r="AA17" s="37">
        <f t="shared" si="6"/>
        <v>0.97959183673469385</v>
      </c>
      <c r="AB17">
        <v>2</v>
      </c>
      <c r="AC17" s="37">
        <f t="shared" si="2"/>
        <v>6.4516129032258063E-2</v>
      </c>
      <c r="AD17">
        <v>35</v>
      </c>
      <c r="AE17" s="37">
        <f t="shared" si="3"/>
        <v>1.1290322580645162</v>
      </c>
      <c r="AF17">
        <v>209</v>
      </c>
      <c r="AG17">
        <v>6.7</v>
      </c>
      <c r="AH17" s="37">
        <f t="shared" si="7"/>
        <v>22.397260273972602</v>
      </c>
      <c r="AI17" s="37">
        <f t="shared" si="8"/>
        <v>62.202380952380956</v>
      </c>
      <c r="AJ17" s="40">
        <f t="shared" si="9"/>
        <v>19.646247780363666</v>
      </c>
      <c r="AK17" s="40">
        <f t="shared" si="10"/>
        <v>15.454140795340518</v>
      </c>
      <c r="AL17" s="37">
        <f t="shared" si="11"/>
        <v>4.0955383408138948</v>
      </c>
      <c r="AM17" s="37">
        <f t="shared" si="12"/>
        <v>4.4362494987917955</v>
      </c>
      <c r="AN17" s="37">
        <f t="shared" si="13"/>
        <v>3.1687496419941401</v>
      </c>
      <c r="AO17" s="37">
        <f t="shared" si="14"/>
        <v>0.38459805335255948</v>
      </c>
      <c r="AP17" s="5">
        <f t="shared" si="4"/>
        <v>37</v>
      </c>
    </row>
    <row r="18" spans="1:42" x14ac:dyDescent="0.2">
      <c r="A18" s="9">
        <v>42</v>
      </c>
      <c r="B18" t="s">
        <v>450</v>
      </c>
      <c r="C18" t="s">
        <v>518</v>
      </c>
      <c r="D18">
        <v>18</v>
      </c>
      <c r="E18">
        <v>0</v>
      </c>
      <c r="F18">
        <v>111</v>
      </c>
      <c r="G18">
        <v>6.2</v>
      </c>
      <c r="H18">
        <v>18</v>
      </c>
      <c r="I18">
        <v>30</v>
      </c>
      <c r="J18">
        <v>0.6</v>
      </c>
      <c r="K18">
        <v>0</v>
      </c>
      <c r="L18">
        <v>0</v>
      </c>
      <c r="M18">
        <v>0</v>
      </c>
      <c r="N18" s="37">
        <f t="shared" si="5"/>
        <v>0.6</v>
      </c>
      <c r="O18">
        <v>5</v>
      </c>
      <c r="P18">
        <v>6</v>
      </c>
      <c r="Q18">
        <v>0.83299999999999996</v>
      </c>
      <c r="R18">
        <v>14</v>
      </c>
      <c r="S18">
        <v>12</v>
      </c>
      <c r="T18">
        <v>26</v>
      </c>
      <c r="U18">
        <v>1.4</v>
      </c>
      <c r="V18">
        <v>14</v>
      </c>
      <c r="W18">
        <v>11</v>
      </c>
      <c r="X18" s="37">
        <f t="shared" si="0"/>
        <v>0.61111111111111116</v>
      </c>
      <c r="Y18">
        <v>6</v>
      </c>
      <c r="Z18" s="37">
        <f t="shared" si="1"/>
        <v>0.33333333333333331</v>
      </c>
      <c r="AA18" s="37">
        <f>W18/Y18</f>
        <v>1.8333333333333333</v>
      </c>
      <c r="AB18">
        <v>0</v>
      </c>
      <c r="AC18" s="37">
        <f t="shared" si="2"/>
        <v>0</v>
      </c>
      <c r="AD18">
        <v>7</v>
      </c>
      <c r="AE18" s="37">
        <f t="shared" si="3"/>
        <v>0.3888888888888889</v>
      </c>
      <c r="AF18">
        <v>41</v>
      </c>
      <c r="AG18">
        <v>2.2999999999999998</v>
      </c>
      <c r="AH18" s="37">
        <f t="shared" si="7"/>
        <v>28.468468468468465</v>
      </c>
      <c r="AI18" s="37">
        <f t="shared" si="8"/>
        <v>62.806372549019606</v>
      </c>
      <c r="AJ18" s="40">
        <f t="shared" si="9"/>
        <v>18.40546819081742</v>
      </c>
      <c r="AK18" s="40">
        <f t="shared" si="10"/>
        <v>19.827040040547388</v>
      </c>
      <c r="AL18" s="37">
        <f t="shared" si="11"/>
        <v>1.2030509864149006</v>
      </c>
      <c r="AM18" s="37">
        <f t="shared" si="12"/>
        <v>2.8579919550958723</v>
      </c>
      <c r="AN18" s="37">
        <f t="shared" si="13"/>
        <v>3.3343239476118511</v>
      </c>
      <c r="AO18" s="37">
        <f t="shared" si="14"/>
        <v>0</v>
      </c>
      <c r="AP18" s="5">
        <f t="shared" si="4"/>
        <v>7</v>
      </c>
    </row>
    <row r="19" spans="1:42" ht="17" thickBot="1" x14ac:dyDescent="0.25">
      <c r="A19" s="3">
        <v>44</v>
      </c>
      <c r="B19" s="4" t="s">
        <v>451</v>
      </c>
      <c r="C19" s="4" t="s">
        <v>518</v>
      </c>
      <c r="D19" s="4">
        <v>34</v>
      </c>
      <c r="E19" s="4">
        <v>0</v>
      </c>
      <c r="F19" s="4">
        <v>357</v>
      </c>
      <c r="G19" s="4">
        <v>10.5</v>
      </c>
      <c r="H19" s="4">
        <v>28</v>
      </c>
      <c r="I19" s="4">
        <v>53</v>
      </c>
      <c r="J19" s="4">
        <v>0.52800000000000002</v>
      </c>
      <c r="K19" s="4">
        <v>0</v>
      </c>
      <c r="L19" s="4">
        <v>0</v>
      </c>
      <c r="M19" s="4">
        <v>0</v>
      </c>
      <c r="N19" s="17">
        <f>(H19+(0.5*K19))/(L19+I19)</f>
        <v>0.52830188679245282</v>
      </c>
      <c r="O19" s="4">
        <v>6</v>
      </c>
      <c r="P19" s="4">
        <v>10</v>
      </c>
      <c r="Q19" s="4">
        <v>0.6</v>
      </c>
      <c r="R19" s="4">
        <v>33</v>
      </c>
      <c r="S19" s="4">
        <v>35</v>
      </c>
      <c r="T19" s="4">
        <v>68</v>
      </c>
      <c r="U19" s="4">
        <v>2</v>
      </c>
      <c r="V19" s="4">
        <v>38</v>
      </c>
      <c r="W19" s="4">
        <v>20</v>
      </c>
      <c r="X19" s="17">
        <f t="shared" si="0"/>
        <v>0.58823529411764708</v>
      </c>
      <c r="Y19" s="4">
        <v>25</v>
      </c>
      <c r="Z19" s="17">
        <f t="shared" si="1"/>
        <v>0.73529411764705888</v>
      </c>
      <c r="AA19" s="17">
        <f>W19/Y19</f>
        <v>0.8</v>
      </c>
      <c r="AB19" s="4">
        <v>4</v>
      </c>
      <c r="AC19" s="17">
        <f t="shared" si="2"/>
        <v>0.11764705882352941</v>
      </c>
      <c r="AD19" s="4">
        <v>11</v>
      </c>
      <c r="AE19" s="17">
        <f t="shared" si="3"/>
        <v>0.3235294117647059</v>
      </c>
      <c r="AF19" s="4">
        <v>62</v>
      </c>
      <c r="AG19" s="4">
        <v>1.8</v>
      </c>
      <c r="AH19" s="17">
        <f t="shared" si="7"/>
        <v>15.686274509803921</v>
      </c>
      <c r="AI19" s="17">
        <f t="shared" si="8"/>
        <v>54.00696864111498</v>
      </c>
      <c r="AJ19" s="41">
        <f t="shared" si="9"/>
        <v>12.203705704056439</v>
      </c>
      <c r="AK19" s="41">
        <f t="shared" si="10"/>
        <v>9.6002969511886462</v>
      </c>
      <c r="AL19" s="17">
        <f t="shared" si="11"/>
        <v>3.1529234892917279</v>
      </c>
      <c r="AM19" s="17">
        <f t="shared" si="12"/>
        <v>3.7025806140947934</v>
      </c>
      <c r="AN19" s="17">
        <f t="shared" si="13"/>
        <v>1.6291354702017089</v>
      </c>
      <c r="AO19" s="17">
        <f t="shared" si="14"/>
        <v>1.2582927908005308</v>
      </c>
      <c r="AP19" s="56">
        <f t="shared" si="4"/>
        <v>15</v>
      </c>
    </row>
    <row r="20" spans="1:42" x14ac:dyDescent="0.2">
      <c r="A20" s="9"/>
      <c r="B20" s="1" t="s">
        <v>170</v>
      </c>
      <c r="C20" s="2"/>
      <c r="D20" s="2">
        <v>34</v>
      </c>
      <c r="E20" s="2"/>
      <c r="F20" s="2">
        <v>6828</v>
      </c>
      <c r="G20" s="29">
        <f>F20/D20</f>
        <v>200.8235294117647</v>
      </c>
      <c r="H20" s="2">
        <v>904</v>
      </c>
      <c r="I20" s="2">
        <v>1966</v>
      </c>
      <c r="J20" s="2">
        <v>0.46</v>
      </c>
      <c r="K20" s="2">
        <v>293</v>
      </c>
      <c r="L20" s="2">
        <v>812</v>
      </c>
      <c r="M20" s="2">
        <v>0.36099999999999999</v>
      </c>
      <c r="N20" s="16">
        <f>(H20+(0.5*K20))/(L20+I20)</f>
        <v>0.37814974802015838</v>
      </c>
      <c r="O20" s="2">
        <v>347</v>
      </c>
      <c r="P20" s="2">
        <v>470</v>
      </c>
      <c r="Q20" s="2">
        <v>0.73799999999999999</v>
      </c>
      <c r="R20" s="2">
        <v>299</v>
      </c>
      <c r="S20" s="2">
        <v>877</v>
      </c>
      <c r="T20" s="2">
        <v>1176</v>
      </c>
      <c r="U20" s="2">
        <v>34.6</v>
      </c>
      <c r="V20" s="2">
        <v>416</v>
      </c>
      <c r="W20" s="2">
        <v>513</v>
      </c>
      <c r="X20" s="16">
        <f>W20 / MAX(D10:D19)</f>
        <v>15.088235294117647</v>
      </c>
      <c r="Y20" s="2">
        <v>410</v>
      </c>
      <c r="Z20" s="16">
        <f xml:space="preserve"> Y20/D20</f>
        <v>12.058823529411764</v>
      </c>
      <c r="AA20" s="16">
        <f>W20/Y20</f>
        <v>1.251219512195122</v>
      </c>
      <c r="AB20" s="2">
        <v>73</v>
      </c>
      <c r="AC20" s="16">
        <f t="shared" si="2"/>
        <v>2.1470588235294117</v>
      </c>
      <c r="AD20" s="2">
        <v>332</v>
      </c>
      <c r="AE20" s="16">
        <f t="shared" si="3"/>
        <v>9.764705882352942</v>
      </c>
      <c r="AF20" s="2">
        <v>2448</v>
      </c>
      <c r="AG20" s="2">
        <v>72</v>
      </c>
      <c r="AH20" s="16">
        <f>SUM(AH10*F10,AH11*F11,AH12*F12,AH13*F13,AH14*F14,AH15*F15,AH16*F16,AH17*F17,AH18*F18,AH19*F19)/F20</f>
        <v>23.397773872290568</v>
      </c>
      <c r="AI20" s="16">
        <f t="shared" si="8"/>
        <v>56.332842415316641</v>
      </c>
      <c r="AJ20" s="2"/>
      <c r="AK20" s="2"/>
      <c r="AL20" s="2"/>
      <c r="AM20" s="2"/>
      <c r="AN20" s="2"/>
      <c r="AO20" s="2"/>
      <c r="AP20" s="44"/>
    </row>
    <row r="21" spans="1:42" ht="17" thickBot="1" x14ac:dyDescent="0.25">
      <c r="A21" s="15"/>
      <c r="B21" s="3" t="s">
        <v>186</v>
      </c>
      <c r="C21" s="4"/>
      <c r="D21" s="4">
        <v>34</v>
      </c>
      <c r="E21" s="4"/>
      <c r="F21" s="4">
        <v>6822</v>
      </c>
      <c r="G21" s="4"/>
      <c r="H21" s="4">
        <v>665</v>
      </c>
      <c r="I21" s="4">
        <v>1801</v>
      </c>
      <c r="J21" s="4">
        <v>0.36</v>
      </c>
      <c r="K21" s="4">
        <v>169</v>
      </c>
      <c r="L21" s="4">
        <v>585</v>
      </c>
      <c r="M21" s="4">
        <v>0.28899999999999998</v>
      </c>
      <c r="N21" s="17">
        <f>(H21+(0.5*K21))/(L21+I21)</f>
        <v>0.31412405699916179</v>
      </c>
      <c r="O21" s="4">
        <v>305</v>
      </c>
      <c r="P21" s="4">
        <v>417</v>
      </c>
      <c r="Q21" s="4">
        <v>0.73099999999999998</v>
      </c>
      <c r="R21" s="4">
        <v>275</v>
      </c>
      <c r="S21" s="4">
        <v>785</v>
      </c>
      <c r="T21" s="4">
        <v>1060</v>
      </c>
      <c r="U21" s="4">
        <v>31.2</v>
      </c>
      <c r="V21" s="4">
        <v>458</v>
      </c>
      <c r="W21" s="4">
        <v>343</v>
      </c>
      <c r="X21" s="17">
        <f>W21 / D20</f>
        <v>10.088235294117647</v>
      </c>
      <c r="Y21" s="4">
        <v>595</v>
      </c>
      <c r="Z21" s="17">
        <f>Y21/D20</f>
        <v>17.5</v>
      </c>
      <c r="AA21" s="17">
        <f>W21/Y21</f>
        <v>0.57647058823529407</v>
      </c>
      <c r="AB21" s="4">
        <v>53</v>
      </c>
      <c r="AC21" s="17">
        <f>AB21/D20</f>
        <v>1.5588235294117647</v>
      </c>
      <c r="AD21" s="4">
        <v>200</v>
      </c>
      <c r="AE21" s="17">
        <f>AD21/D20</f>
        <v>5.882352941176471</v>
      </c>
      <c r="AF21" s="4">
        <v>1084</v>
      </c>
      <c r="AG21" s="4">
        <v>53.1</v>
      </c>
      <c r="AH21" s="4"/>
      <c r="AI21" s="17">
        <f t="shared" si="8"/>
        <v>27.311940659517859</v>
      </c>
      <c r="AJ21" s="4"/>
      <c r="AK21" s="4"/>
      <c r="AL21" s="4"/>
      <c r="AM21" s="4"/>
      <c r="AN21" s="4"/>
      <c r="AO21" s="4"/>
      <c r="AP21" s="56"/>
    </row>
    <row r="25" spans="1:42" x14ac:dyDescent="0.2">
      <c r="A25" t="s">
        <v>7</v>
      </c>
    </row>
    <row r="26" spans="1:42" x14ac:dyDescent="0.2">
      <c r="A26" t="s">
        <v>7</v>
      </c>
    </row>
    <row r="27" spans="1:42" x14ac:dyDescent="0.2">
      <c r="A27" t="s">
        <v>7</v>
      </c>
    </row>
    <row r="31" spans="1:42" x14ac:dyDescent="0.2">
      <c r="A31" t="s">
        <v>7</v>
      </c>
    </row>
    <row r="38" spans="1:26" x14ac:dyDescent="0.2">
      <c r="A38" t="s">
        <v>244</v>
      </c>
      <c r="Z38" t="s">
        <v>476</v>
      </c>
    </row>
  </sheetData>
  <pageMargins left="0.7" right="0.7" top="0.75" bottom="0.75" header="0.3" footer="0.3"/>
  <ignoredErrors>
    <ignoredError sqref="X2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5C0E-376E-4E44-A9BB-1A5150D82424}">
  <dimension ref="A1:AP121"/>
  <sheetViews>
    <sheetView topLeftCell="A4" zoomScale="75" workbookViewId="0">
      <selection activeCell="AO35" sqref="AO35"/>
    </sheetView>
  </sheetViews>
  <sheetFormatPr baseColWidth="10" defaultRowHeight="16" x14ac:dyDescent="0.2"/>
  <cols>
    <col min="1" max="1" width="22.5" customWidth="1"/>
    <col min="2" max="2" width="17.33203125" bestFit="1" customWidth="1"/>
    <col min="3" max="3" width="17.33203125" customWidth="1"/>
    <col min="8" max="8" width="18.33203125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  <c r="V1" s="57"/>
      <c r="W1" s="57"/>
    </row>
    <row r="2" spans="1:42" ht="17" thickBot="1" x14ac:dyDescent="0.25">
      <c r="A2" s="10" t="s">
        <v>484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487</v>
      </c>
      <c r="O2">
        <v>304</v>
      </c>
      <c r="P2">
        <v>309</v>
      </c>
      <c r="Q2">
        <v>293</v>
      </c>
      <c r="R2">
        <v>311</v>
      </c>
      <c r="S2">
        <v>0</v>
      </c>
      <c r="T2" s="6">
        <v>1217</v>
      </c>
      <c r="U2" s="58"/>
      <c r="V2" s="61" t="s">
        <v>508</v>
      </c>
      <c r="W2" s="62">
        <v>13.194000000000001</v>
      </c>
    </row>
    <row r="3" spans="1:42" ht="17" thickBot="1" x14ac:dyDescent="0.25">
      <c r="A3" s="20"/>
      <c r="B3" s="3">
        <v>15</v>
      </c>
      <c r="C3" s="4"/>
      <c r="D3" s="7">
        <v>1</v>
      </c>
      <c r="E3" s="3">
        <v>6</v>
      </c>
      <c r="F3" s="7">
        <v>0</v>
      </c>
      <c r="G3" s="3">
        <v>6</v>
      </c>
      <c r="H3" s="7">
        <v>0</v>
      </c>
      <c r="I3" s="3">
        <v>4</v>
      </c>
      <c r="J3" s="7">
        <v>1</v>
      </c>
      <c r="K3" s="3">
        <v>5</v>
      </c>
      <c r="L3" s="22">
        <v>0</v>
      </c>
      <c r="N3" s="3" t="s">
        <v>488</v>
      </c>
      <c r="O3" s="4">
        <v>226</v>
      </c>
      <c r="P3" s="4">
        <v>207</v>
      </c>
      <c r="Q3" s="4">
        <v>211</v>
      </c>
      <c r="R3" s="4">
        <v>237</v>
      </c>
      <c r="S3" s="4">
        <v>0</v>
      </c>
      <c r="T3" s="7">
        <v>868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10</v>
      </c>
      <c r="B10" s="2" t="s">
        <v>254</v>
      </c>
      <c r="C10" s="2" t="s">
        <v>517</v>
      </c>
      <c r="D10" s="2">
        <v>16</v>
      </c>
      <c r="E10" s="2">
        <v>16</v>
      </c>
      <c r="F10" s="2">
        <v>488</v>
      </c>
      <c r="G10" s="2">
        <v>30.5</v>
      </c>
      <c r="H10" s="2">
        <v>115</v>
      </c>
      <c r="I10" s="2">
        <v>210</v>
      </c>
      <c r="J10" s="2">
        <v>0.54800000000000004</v>
      </c>
      <c r="K10" s="2">
        <v>13</v>
      </c>
      <c r="L10" s="2">
        <v>41</v>
      </c>
      <c r="M10" s="2">
        <v>0.317</v>
      </c>
      <c r="N10" s="16">
        <f>(H10+(0.5*K10))/(L10+I10)</f>
        <v>0.48406374501992033</v>
      </c>
      <c r="O10" s="2">
        <v>31</v>
      </c>
      <c r="P10" s="2">
        <v>44</v>
      </c>
      <c r="Q10" s="2">
        <v>0.70499999999999996</v>
      </c>
      <c r="R10" s="2">
        <v>43</v>
      </c>
      <c r="S10" s="2">
        <v>42</v>
      </c>
      <c r="T10" s="2">
        <v>85</v>
      </c>
      <c r="U10" s="2">
        <v>5.3</v>
      </c>
      <c r="V10" s="2">
        <v>24</v>
      </c>
      <c r="W10" s="2">
        <v>72</v>
      </c>
      <c r="X10" s="16">
        <f t="shared" ref="X10:X19" si="0">W10/D10</f>
        <v>4.5</v>
      </c>
      <c r="Y10" s="2">
        <v>26</v>
      </c>
      <c r="Z10" s="16">
        <f t="shared" ref="Z10:Z20" si="1">Y10/D10</f>
        <v>1.625</v>
      </c>
      <c r="AA10" s="16">
        <f>W10/Y10</f>
        <v>2.7692307692307692</v>
      </c>
      <c r="AB10" s="2">
        <v>2</v>
      </c>
      <c r="AC10" s="16">
        <f t="shared" ref="AC10:AC20" si="2">AB10/D10</f>
        <v>0.125</v>
      </c>
      <c r="AD10" s="2">
        <v>33</v>
      </c>
      <c r="AE10" s="16">
        <f t="shared" ref="AE10:AE20" si="3">AD10/D10</f>
        <v>2.0625</v>
      </c>
      <c r="AF10" s="2">
        <v>274</v>
      </c>
      <c r="AG10" s="2">
        <v>17.100000000000001</v>
      </c>
      <c r="AH10" s="16">
        <f t="shared" ref="AH10:AH19" si="4">((AF10+T10+W10+AD10+AB10-Y10)/F10)*40</f>
        <v>36.065573770491802</v>
      </c>
      <c r="AI10" s="16">
        <f xml:space="preserve"> AF10 / (2 * (I10 + 0.44 * P10)) * 100</f>
        <v>59.731426578304848</v>
      </c>
      <c r="AJ10" s="39">
        <f xml:space="preserve"> ((I10 + 0.44*P10 + Y10) * ($F$20/5)) / (F10 * ($I$20 + 0.44*$P$20 + $Y$20)) * 100</f>
        <v>25.351502242776284</v>
      </c>
      <c r="AK10" s="16">
        <f xml:space="preserve"> 100 * (W10 / ( ( (F10 / ($F$20/5)) * $H$20 ) - H10 ) )</f>
        <v>29.857355186258754</v>
      </c>
      <c r="AL10" s="16">
        <f xml:space="preserve"> (100 * (R10 * ($F$20/5)) / (F10 * $R$20 + ($F$20 - F10) * $S$21)) + (100 * (S10 * ($F$20/5)) / (F10 * $S$20 + ($F$20 - F10) * $R$21))</f>
        <v>6.702732357869059</v>
      </c>
      <c r="AM10" s="16">
        <f xml:space="preserve"> 100 * (Y10 * ($F$20/5)) / (F10 * ($I$20 + 0.44*$P$20 + $Y$20))</f>
        <v>2.5812149839919463</v>
      </c>
      <c r="AN10" s="16">
        <f xml:space="preserve"> 100 * (AD10 * ($F$20/5)) / (F10 * ($I$20 + 0.44 * $P$20 + $Y$20))</f>
        <v>3.2761574796820856</v>
      </c>
      <c r="AO10" s="16">
        <f xml:space="preserve"> 100 * (AB10 * ($F$20/5)) / (F10 * ($I$21 - $L$21))</f>
        <v>0.46453109932497588</v>
      </c>
      <c r="AP10" s="44">
        <f>AD10+AB10</f>
        <v>35</v>
      </c>
    </row>
    <row r="11" spans="1:42" x14ac:dyDescent="0.2">
      <c r="A11" s="9">
        <v>3</v>
      </c>
      <c r="B11" t="s">
        <v>263</v>
      </c>
      <c r="C11" t="s">
        <v>517</v>
      </c>
      <c r="D11">
        <v>16</v>
      </c>
      <c r="E11">
        <v>16</v>
      </c>
      <c r="F11">
        <v>526</v>
      </c>
      <c r="G11">
        <v>32.9</v>
      </c>
      <c r="H11">
        <v>78</v>
      </c>
      <c r="I11">
        <v>206</v>
      </c>
      <c r="J11">
        <v>0.379</v>
      </c>
      <c r="K11">
        <v>33</v>
      </c>
      <c r="L11">
        <v>95</v>
      </c>
      <c r="M11">
        <v>0.34699999999999998</v>
      </c>
      <c r="N11" s="37">
        <f t="shared" ref="N11:N19" si="5">(H11+(0.5*K11))/(L11+I11)</f>
        <v>0.31395348837209303</v>
      </c>
      <c r="O11">
        <v>41</v>
      </c>
      <c r="P11">
        <v>56</v>
      </c>
      <c r="Q11">
        <v>0.73199999999999998</v>
      </c>
      <c r="R11">
        <v>22</v>
      </c>
      <c r="S11">
        <v>58</v>
      </c>
      <c r="T11">
        <v>80</v>
      </c>
      <c r="U11">
        <v>5</v>
      </c>
      <c r="V11">
        <v>42</v>
      </c>
      <c r="W11">
        <v>95</v>
      </c>
      <c r="X11" s="37">
        <f t="shared" si="0"/>
        <v>5.9375</v>
      </c>
      <c r="Y11">
        <v>33</v>
      </c>
      <c r="Z11" s="37">
        <f t="shared" si="1"/>
        <v>2.0625</v>
      </c>
      <c r="AA11" s="37">
        <f t="shared" ref="AA11:AA18" si="6">W11/Y11</f>
        <v>2.8787878787878789</v>
      </c>
      <c r="AB11">
        <v>3</v>
      </c>
      <c r="AC11" s="37">
        <f t="shared" si="2"/>
        <v>0.1875</v>
      </c>
      <c r="AD11">
        <v>38</v>
      </c>
      <c r="AE11" s="37">
        <f t="shared" si="3"/>
        <v>2.375</v>
      </c>
      <c r="AF11">
        <v>230</v>
      </c>
      <c r="AG11">
        <v>14.4</v>
      </c>
      <c r="AH11" s="37">
        <f t="shared" si="4"/>
        <v>31.406844106463879</v>
      </c>
      <c r="AI11" s="37">
        <f t="shared" ref="AI11:AI21" si="7" xml:space="preserve"> AF11 / (2 * (I11 + 0.44 * P11)) * 100</f>
        <v>49.861255636489773</v>
      </c>
      <c r="AJ11" s="40">
        <f t="shared" ref="AJ11:AJ19" si="8" xml:space="preserve"> ((I11 + 0.44*P11 + Y11) * ($F$20/5)) / (F11 * ($I$20 + 0.44*$P$20 + $Y$20)) * 100</f>
        <v>24.282657280583699</v>
      </c>
      <c r="AK11" s="37">
        <f xml:space="preserve"> 100 * (W11 / ( ( (F11 / ($F$20/5)) * $H$20 ) - H11 ) )</f>
        <v>31.057998400892444</v>
      </c>
      <c r="AL11" s="37">
        <f t="shared" ref="AL11:AL19" si="9" xml:space="preserve"> (100 * (R11 * ($F$20/5)) / (F11 * $R$20 + ($F$20 - F11) * $S$21)) + (100 * (S11 * ($F$20/5)) / (F11 * $S$20 + ($F$20 - F11) * $R$21))</f>
        <v>6.7677540444283633</v>
      </c>
      <c r="AM11" s="37">
        <f t="shared" ref="AM11:AM19" si="10" xml:space="preserve"> 100 * (Y11 * ($F$20/5)) / (F11 * ($I$20 + 0.44*$P$20 + $Y$20))</f>
        <v>3.0394769013020109</v>
      </c>
      <c r="AN11" s="37">
        <f t="shared" ref="AN11:AN19" si="11" xml:space="preserve"> 100 * (AD11 * ($F$20/5)) / (F11 * ($I$20 + 0.44 * $P$20 + $Y$20))</f>
        <v>3.5000037045295884</v>
      </c>
      <c r="AO11" s="37">
        <f t="shared" ref="AO11:AO19" si="12" xml:space="preserve"> 100 * (AB11 * ($F$20/5)) / (F11 * ($I$21 - $L$21))</f>
        <v>0.64645772757772324</v>
      </c>
      <c r="AP11" s="5">
        <f t="shared" ref="AP11:AP19" si="13">AD11+AB11</f>
        <v>41</v>
      </c>
    </row>
    <row r="12" spans="1:42" x14ac:dyDescent="0.2">
      <c r="A12" s="9">
        <v>1</v>
      </c>
      <c r="B12" t="s">
        <v>262</v>
      </c>
      <c r="C12" t="s">
        <v>517</v>
      </c>
      <c r="D12">
        <v>16</v>
      </c>
      <c r="E12">
        <v>16</v>
      </c>
      <c r="F12">
        <v>524</v>
      </c>
      <c r="G12">
        <v>32.799999999999997</v>
      </c>
      <c r="H12">
        <v>68</v>
      </c>
      <c r="I12">
        <v>171</v>
      </c>
      <c r="J12">
        <v>0.39800000000000002</v>
      </c>
      <c r="K12">
        <v>63</v>
      </c>
      <c r="L12">
        <v>159</v>
      </c>
      <c r="M12">
        <v>0.39600000000000002</v>
      </c>
      <c r="N12" s="37">
        <f t="shared" si="5"/>
        <v>0.30151515151515151</v>
      </c>
      <c r="O12">
        <v>23</v>
      </c>
      <c r="P12">
        <v>25</v>
      </c>
      <c r="Q12">
        <v>0.92</v>
      </c>
      <c r="R12">
        <v>19</v>
      </c>
      <c r="S12">
        <v>24</v>
      </c>
      <c r="T12">
        <v>43</v>
      </c>
      <c r="U12">
        <v>2.7</v>
      </c>
      <c r="V12">
        <v>32</v>
      </c>
      <c r="W12">
        <v>24</v>
      </c>
      <c r="X12" s="37">
        <f t="shared" si="0"/>
        <v>1.5</v>
      </c>
      <c r="Y12">
        <v>12</v>
      </c>
      <c r="Z12" s="37">
        <f t="shared" si="1"/>
        <v>0.75</v>
      </c>
      <c r="AA12" s="37">
        <f>W12/Y12</f>
        <v>2</v>
      </c>
      <c r="AB12">
        <v>0</v>
      </c>
      <c r="AC12" s="37">
        <f t="shared" si="2"/>
        <v>0</v>
      </c>
      <c r="AD12">
        <v>19</v>
      </c>
      <c r="AE12" s="37">
        <f t="shared" si="3"/>
        <v>1.1875</v>
      </c>
      <c r="AF12">
        <v>222</v>
      </c>
      <c r="AG12">
        <v>13.9</v>
      </c>
      <c r="AH12" s="37">
        <f t="shared" si="4"/>
        <v>22.595419847328245</v>
      </c>
      <c r="AI12" s="37">
        <f t="shared" si="7"/>
        <v>60.989010989010993</v>
      </c>
      <c r="AJ12" s="40">
        <f t="shared" si="8"/>
        <v>17.936640117769048</v>
      </c>
      <c r="AK12" s="37">
        <f xml:space="preserve"> 100 * (W12 / ( ( (F12 / ($F$20/5)) * $H$20 ) - H12 ) )</f>
        <v>7.6331089919492943</v>
      </c>
      <c r="AL12" s="37">
        <f t="shared" si="9"/>
        <v>3.4464919459861187</v>
      </c>
      <c r="AM12" s="37">
        <f t="shared" si="10"/>
        <v>1.1094828938826216</v>
      </c>
      <c r="AN12" s="37">
        <f t="shared" si="11"/>
        <v>1.7566812486474841</v>
      </c>
      <c r="AO12" s="37">
        <f t="shared" si="12"/>
        <v>0</v>
      </c>
      <c r="AP12" s="5">
        <f t="shared" si="13"/>
        <v>19</v>
      </c>
    </row>
    <row r="13" spans="1:42" x14ac:dyDescent="0.2">
      <c r="A13" s="9">
        <v>21</v>
      </c>
      <c r="B13" t="s">
        <v>261</v>
      </c>
      <c r="C13" t="s">
        <v>518</v>
      </c>
      <c r="D13">
        <v>16</v>
      </c>
      <c r="E13">
        <v>16</v>
      </c>
      <c r="F13">
        <v>382</v>
      </c>
      <c r="G13">
        <v>23.9</v>
      </c>
      <c r="H13">
        <v>52</v>
      </c>
      <c r="I13">
        <v>102</v>
      </c>
      <c r="J13">
        <v>0.51</v>
      </c>
      <c r="K13">
        <v>2</v>
      </c>
      <c r="L13">
        <v>4</v>
      </c>
      <c r="M13">
        <v>0.5</v>
      </c>
      <c r="N13" s="37">
        <f t="shared" si="5"/>
        <v>0.5</v>
      </c>
      <c r="O13">
        <v>18</v>
      </c>
      <c r="P13">
        <v>28</v>
      </c>
      <c r="Q13">
        <v>0.64300000000000002</v>
      </c>
      <c r="R13">
        <v>36</v>
      </c>
      <c r="S13">
        <v>61</v>
      </c>
      <c r="T13">
        <v>97</v>
      </c>
      <c r="U13">
        <v>6.1</v>
      </c>
      <c r="V13">
        <v>37</v>
      </c>
      <c r="W13">
        <v>16</v>
      </c>
      <c r="X13" s="37">
        <f t="shared" si="0"/>
        <v>1</v>
      </c>
      <c r="Y13">
        <v>22</v>
      </c>
      <c r="Z13" s="37">
        <f t="shared" si="1"/>
        <v>1.375</v>
      </c>
      <c r="AA13" s="37">
        <f t="shared" si="6"/>
        <v>0.72727272727272729</v>
      </c>
      <c r="AB13">
        <v>13</v>
      </c>
      <c r="AC13" s="37">
        <f t="shared" si="2"/>
        <v>0.8125</v>
      </c>
      <c r="AD13">
        <v>9</v>
      </c>
      <c r="AE13" s="37">
        <f t="shared" si="3"/>
        <v>0.5625</v>
      </c>
      <c r="AF13">
        <v>124</v>
      </c>
      <c r="AG13">
        <v>7.8</v>
      </c>
      <c r="AH13" s="37">
        <f t="shared" si="4"/>
        <v>24.816753926701569</v>
      </c>
      <c r="AI13" s="37">
        <f t="shared" si="7"/>
        <v>54.2337298810357</v>
      </c>
      <c r="AJ13" s="40">
        <f t="shared" si="8"/>
        <v>17.288880244611118</v>
      </c>
      <c r="AK13" s="37">
        <f t="shared" ref="AK13:AK19" si="14" xml:space="preserve"> 100 * (W13 / ( ( (F13 / ($F$20/5)) * $H$20 ) - H13 ) )</f>
        <v>7.0550813519760185</v>
      </c>
      <c r="AL13" s="37">
        <f t="shared" si="9"/>
        <v>8.189479324250895</v>
      </c>
      <c r="AM13" s="37">
        <f t="shared" si="10"/>
        <v>2.7901655324343064</v>
      </c>
      <c r="AN13" s="37">
        <f t="shared" si="11"/>
        <v>1.1414313541776708</v>
      </c>
      <c r="AO13" s="37">
        <f t="shared" si="12"/>
        <v>3.8573105943948258</v>
      </c>
      <c r="AP13" s="5">
        <f t="shared" si="13"/>
        <v>22</v>
      </c>
    </row>
    <row r="14" spans="1:42" x14ac:dyDescent="0.2">
      <c r="A14" s="9">
        <v>24</v>
      </c>
      <c r="B14" t="s">
        <v>260</v>
      </c>
      <c r="C14" t="s">
        <v>519</v>
      </c>
      <c r="D14">
        <v>16</v>
      </c>
      <c r="E14">
        <v>16</v>
      </c>
      <c r="F14">
        <v>405</v>
      </c>
      <c r="G14">
        <v>25.3</v>
      </c>
      <c r="H14">
        <v>35</v>
      </c>
      <c r="I14">
        <v>97</v>
      </c>
      <c r="J14">
        <v>0.36099999999999999</v>
      </c>
      <c r="K14">
        <v>3</v>
      </c>
      <c r="L14">
        <v>12</v>
      </c>
      <c r="M14">
        <v>0.25</v>
      </c>
      <c r="N14" s="37">
        <f t="shared" si="5"/>
        <v>0.33486238532110091</v>
      </c>
      <c r="O14">
        <v>25</v>
      </c>
      <c r="P14">
        <v>44</v>
      </c>
      <c r="Q14">
        <v>0.56799999999999995</v>
      </c>
      <c r="R14">
        <v>45</v>
      </c>
      <c r="S14">
        <v>72</v>
      </c>
      <c r="T14">
        <v>117</v>
      </c>
      <c r="U14">
        <v>7.3</v>
      </c>
      <c r="V14">
        <v>36</v>
      </c>
      <c r="W14">
        <v>15</v>
      </c>
      <c r="X14" s="37">
        <f t="shared" si="0"/>
        <v>0.9375</v>
      </c>
      <c r="Y14">
        <v>7</v>
      </c>
      <c r="Z14" s="37">
        <f t="shared" si="1"/>
        <v>0.4375</v>
      </c>
      <c r="AA14" s="37">
        <f t="shared" si="6"/>
        <v>2.1428571428571428</v>
      </c>
      <c r="AB14">
        <v>1</v>
      </c>
      <c r="AC14" s="37">
        <f t="shared" si="2"/>
        <v>6.25E-2</v>
      </c>
      <c r="AD14">
        <v>13</v>
      </c>
      <c r="AE14" s="37">
        <f t="shared" si="3"/>
        <v>0.8125</v>
      </c>
      <c r="AF14">
        <v>98</v>
      </c>
      <c r="AG14">
        <v>6.1</v>
      </c>
      <c r="AH14" s="37">
        <f t="shared" si="4"/>
        <v>23.407407407407405</v>
      </c>
      <c r="AI14" s="37">
        <f t="shared" si="7"/>
        <v>42.110690959092473</v>
      </c>
      <c r="AJ14" s="40">
        <f t="shared" si="8"/>
        <v>14.756725170704676</v>
      </c>
      <c r="AK14" s="37">
        <f t="shared" si="14"/>
        <v>5.7565554027223671</v>
      </c>
      <c r="AL14" s="37">
        <f t="shared" si="9"/>
        <v>9.7826047359739814</v>
      </c>
      <c r="AM14" s="37">
        <f t="shared" si="10"/>
        <v>0.83736280962169862</v>
      </c>
      <c r="AN14" s="37">
        <f t="shared" si="11"/>
        <v>1.5551023607260117</v>
      </c>
      <c r="AO14" s="37">
        <f t="shared" si="12"/>
        <v>0.27986564996368918</v>
      </c>
      <c r="AP14" s="5">
        <f t="shared" si="13"/>
        <v>14</v>
      </c>
    </row>
    <row r="15" spans="1:42" x14ac:dyDescent="0.2">
      <c r="A15" s="9">
        <v>13</v>
      </c>
      <c r="B15" t="s">
        <v>255</v>
      </c>
      <c r="C15" t="s">
        <v>518</v>
      </c>
      <c r="D15">
        <v>15</v>
      </c>
      <c r="E15">
        <v>0</v>
      </c>
      <c r="F15">
        <v>204</v>
      </c>
      <c r="G15">
        <v>13.6</v>
      </c>
      <c r="H15">
        <v>33</v>
      </c>
      <c r="I15">
        <v>80</v>
      </c>
      <c r="J15">
        <v>0.41299999999999998</v>
      </c>
      <c r="K15">
        <v>8</v>
      </c>
      <c r="L15">
        <v>24</v>
      </c>
      <c r="M15">
        <v>0.33300000000000002</v>
      </c>
      <c r="N15" s="37">
        <f t="shared" si="5"/>
        <v>0.35576923076923078</v>
      </c>
      <c r="O15">
        <v>8</v>
      </c>
      <c r="P15">
        <v>10</v>
      </c>
      <c r="Q15">
        <v>0.8</v>
      </c>
      <c r="R15">
        <v>26</v>
      </c>
      <c r="S15">
        <v>38</v>
      </c>
      <c r="T15">
        <v>64</v>
      </c>
      <c r="U15">
        <v>4.3</v>
      </c>
      <c r="V15">
        <v>32</v>
      </c>
      <c r="W15">
        <v>6</v>
      </c>
      <c r="X15" s="37">
        <f t="shared" si="0"/>
        <v>0.4</v>
      </c>
      <c r="Y15">
        <v>10</v>
      </c>
      <c r="Z15" s="37">
        <f t="shared" si="1"/>
        <v>0.66666666666666663</v>
      </c>
      <c r="AA15" s="37">
        <f t="shared" si="6"/>
        <v>0.6</v>
      </c>
      <c r="AB15">
        <v>11</v>
      </c>
      <c r="AC15" s="37">
        <f t="shared" si="2"/>
        <v>0.73333333333333328</v>
      </c>
      <c r="AD15">
        <v>8</v>
      </c>
      <c r="AE15" s="37">
        <f t="shared" si="3"/>
        <v>0.53333333333333333</v>
      </c>
      <c r="AF15">
        <v>82</v>
      </c>
      <c r="AG15">
        <v>5.5</v>
      </c>
      <c r="AH15" s="37">
        <f t="shared" si="4"/>
        <v>31.56862745098039</v>
      </c>
      <c r="AI15" s="37">
        <f t="shared" si="7"/>
        <v>48.578199052132696</v>
      </c>
      <c r="AJ15" s="40">
        <f t="shared" si="8"/>
        <v>22.418805978611196</v>
      </c>
      <c r="AK15" s="37">
        <f t="shared" si="14"/>
        <v>5.1777272078396477</v>
      </c>
      <c r="AL15" s="37">
        <f t="shared" si="9"/>
        <v>5.5311522119454244</v>
      </c>
      <c r="AM15" s="37">
        <f t="shared" si="10"/>
        <v>2.3748735146833893</v>
      </c>
      <c r="AN15" s="37">
        <f t="shared" si="11"/>
        <v>1.8998988117467113</v>
      </c>
      <c r="AO15" s="37">
        <f t="shared" si="12"/>
        <v>6.1117719146482123</v>
      </c>
      <c r="AP15" s="5">
        <f t="shared" si="13"/>
        <v>19</v>
      </c>
    </row>
    <row r="16" spans="1:42" x14ac:dyDescent="0.2">
      <c r="A16" s="9">
        <v>2</v>
      </c>
      <c r="B16" t="s">
        <v>256</v>
      </c>
      <c r="C16" t="s">
        <v>518</v>
      </c>
      <c r="D16">
        <v>9</v>
      </c>
      <c r="E16">
        <v>0</v>
      </c>
      <c r="F16">
        <v>73</v>
      </c>
      <c r="G16">
        <v>8.1</v>
      </c>
      <c r="H16">
        <v>19</v>
      </c>
      <c r="I16">
        <v>28</v>
      </c>
      <c r="J16">
        <v>0.67900000000000005</v>
      </c>
      <c r="K16">
        <v>0</v>
      </c>
      <c r="L16">
        <v>1</v>
      </c>
      <c r="M16">
        <v>0</v>
      </c>
      <c r="N16" s="37">
        <f t="shared" si="5"/>
        <v>0.65517241379310343</v>
      </c>
      <c r="O16">
        <v>6</v>
      </c>
      <c r="P16">
        <v>6</v>
      </c>
      <c r="Q16">
        <v>1</v>
      </c>
      <c r="R16">
        <v>5</v>
      </c>
      <c r="S16">
        <v>20</v>
      </c>
      <c r="T16">
        <v>25</v>
      </c>
      <c r="U16">
        <v>2.8</v>
      </c>
      <c r="V16">
        <v>11</v>
      </c>
      <c r="W16">
        <v>4</v>
      </c>
      <c r="X16" s="37">
        <f t="shared" si="0"/>
        <v>0.44444444444444442</v>
      </c>
      <c r="Y16">
        <v>7</v>
      </c>
      <c r="Z16" s="37">
        <f t="shared" si="1"/>
        <v>0.77777777777777779</v>
      </c>
      <c r="AA16" s="37">
        <f t="shared" si="6"/>
        <v>0.5714285714285714</v>
      </c>
      <c r="AB16">
        <v>6</v>
      </c>
      <c r="AC16" s="37">
        <f t="shared" si="2"/>
        <v>0.66666666666666663</v>
      </c>
      <c r="AD16">
        <v>3</v>
      </c>
      <c r="AE16" s="37">
        <f t="shared" si="3"/>
        <v>0.33333333333333331</v>
      </c>
      <c r="AF16">
        <v>44</v>
      </c>
      <c r="AG16">
        <v>4.9000000000000004</v>
      </c>
      <c r="AH16" s="37">
        <f t="shared" si="4"/>
        <v>41.095890410958908</v>
      </c>
      <c r="AI16" s="37">
        <f t="shared" si="7"/>
        <v>71.801566579634468</v>
      </c>
      <c r="AJ16" s="40">
        <f t="shared" si="8"/>
        <v>24.980285993023678</v>
      </c>
      <c r="AK16" s="37">
        <f t="shared" si="14"/>
        <v>11.669962999063149</v>
      </c>
      <c r="AL16" s="37">
        <f t="shared" si="9"/>
        <v>2.4469720191178497</v>
      </c>
      <c r="AM16" s="37">
        <f t="shared" si="10"/>
        <v>4.6456429848875072</v>
      </c>
      <c r="AN16" s="37">
        <f t="shared" si="11"/>
        <v>1.9909898506660746</v>
      </c>
      <c r="AO16" s="37">
        <f t="shared" si="12"/>
        <v>9.316075745366641</v>
      </c>
      <c r="AP16" s="5">
        <f t="shared" si="13"/>
        <v>9</v>
      </c>
    </row>
    <row r="17" spans="1:42" x14ac:dyDescent="0.2">
      <c r="A17" s="9">
        <v>5</v>
      </c>
      <c r="B17" t="s">
        <v>257</v>
      </c>
      <c r="C17" t="s">
        <v>517</v>
      </c>
      <c r="D17">
        <v>16</v>
      </c>
      <c r="E17">
        <v>0</v>
      </c>
      <c r="F17">
        <v>233</v>
      </c>
      <c r="G17">
        <v>14.6</v>
      </c>
      <c r="H17">
        <v>23</v>
      </c>
      <c r="I17">
        <v>52</v>
      </c>
      <c r="J17">
        <v>0.442</v>
      </c>
      <c r="K17">
        <v>22</v>
      </c>
      <c r="L17">
        <v>51</v>
      </c>
      <c r="M17">
        <v>0.43099999999999999</v>
      </c>
      <c r="N17" s="37">
        <f t="shared" si="5"/>
        <v>0.3300970873786408</v>
      </c>
      <c r="O17">
        <v>2</v>
      </c>
      <c r="P17">
        <v>3</v>
      </c>
      <c r="Q17">
        <v>0.66700000000000004</v>
      </c>
      <c r="R17">
        <v>2</v>
      </c>
      <c r="S17">
        <v>9</v>
      </c>
      <c r="T17">
        <v>11</v>
      </c>
      <c r="U17">
        <v>0.7</v>
      </c>
      <c r="V17">
        <v>9</v>
      </c>
      <c r="W17">
        <v>13</v>
      </c>
      <c r="X17" s="37">
        <f t="shared" si="0"/>
        <v>0.8125</v>
      </c>
      <c r="Y17">
        <v>10</v>
      </c>
      <c r="Z17" s="37">
        <f t="shared" si="1"/>
        <v>0.625</v>
      </c>
      <c r="AA17" s="37">
        <f t="shared" si="6"/>
        <v>1.3</v>
      </c>
      <c r="AB17">
        <v>0</v>
      </c>
      <c r="AC17" s="37">
        <f t="shared" si="2"/>
        <v>0</v>
      </c>
      <c r="AD17">
        <v>9</v>
      </c>
      <c r="AE17" s="37">
        <f t="shared" si="3"/>
        <v>0.5625</v>
      </c>
      <c r="AF17">
        <v>70</v>
      </c>
      <c r="AG17">
        <v>4.4000000000000004</v>
      </c>
      <c r="AH17" s="37">
        <f t="shared" si="4"/>
        <v>15.965665236051503</v>
      </c>
      <c r="AI17" s="37">
        <f t="shared" si="7"/>
        <v>65.641410352588153</v>
      </c>
      <c r="AJ17" s="40">
        <f t="shared" si="8"/>
        <v>13.166054143240109</v>
      </c>
      <c r="AK17" s="37">
        <f t="shared" si="14"/>
        <v>8.8408063687158229</v>
      </c>
      <c r="AL17" s="37">
        <f t="shared" si="9"/>
        <v>1.0358530699942827</v>
      </c>
      <c r="AM17" s="37">
        <f t="shared" si="10"/>
        <v>2.0792883991219373</v>
      </c>
      <c r="AN17" s="37">
        <f t="shared" si="11"/>
        <v>1.8713595592097436</v>
      </c>
      <c r="AO17" s="37">
        <f t="shared" si="12"/>
        <v>0</v>
      </c>
      <c r="AP17" s="5">
        <f t="shared" si="13"/>
        <v>9</v>
      </c>
    </row>
    <row r="18" spans="1:42" x14ac:dyDescent="0.2">
      <c r="A18" s="9">
        <v>0</v>
      </c>
      <c r="B18" t="s">
        <v>258</v>
      </c>
      <c r="C18" t="s">
        <v>519</v>
      </c>
      <c r="D18">
        <v>16</v>
      </c>
      <c r="E18">
        <v>0</v>
      </c>
      <c r="F18">
        <v>197</v>
      </c>
      <c r="G18">
        <v>12.3</v>
      </c>
      <c r="H18">
        <v>21</v>
      </c>
      <c r="I18">
        <v>52</v>
      </c>
      <c r="J18">
        <v>0.40400000000000003</v>
      </c>
      <c r="K18">
        <v>0</v>
      </c>
      <c r="L18">
        <v>0</v>
      </c>
      <c r="M18">
        <v>0</v>
      </c>
      <c r="N18" s="37">
        <f t="shared" si="5"/>
        <v>0.40384615384615385</v>
      </c>
      <c r="O18">
        <v>11</v>
      </c>
      <c r="P18">
        <v>17</v>
      </c>
      <c r="Q18">
        <v>0.64700000000000002</v>
      </c>
      <c r="R18">
        <v>33</v>
      </c>
      <c r="S18">
        <v>26</v>
      </c>
      <c r="T18">
        <v>59</v>
      </c>
      <c r="U18">
        <v>3.7</v>
      </c>
      <c r="V18">
        <v>28</v>
      </c>
      <c r="W18">
        <v>3</v>
      </c>
      <c r="X18" s="37">
        <f t="shared" si="0"/>
        <v>0.1875</v>
      </c>
      <c r="Y18">
        <v>15</v>
      </c>
      <c r="Z18" s="37">
        <f t="shared" si="1"/>
        <v>0.9375</v>
      </c>
      <c r="AA18" s="37">
        <f t="shared" si="6"/>
        <v>0.2</v>
      </c>
      <c r="AB18">
        <v>10</v>
      </c>
      <c r="AC18" s="37">
        <f t="shared" si="2"/>
        <v>0.625</v>
      </c>
      <c r="AD18">
        <v>12</v>
      </c>
      <c r="AE18" s="37">
        <f t="shared" si="3"/>
        <v>0.75</v>
      </c>
      <c r="AF18">
        <v>53</v>
      </c>
      <c r="AG18">
        <v>3.3</v>
      </c>
      <c r="AH18" s="37">
        <f t="shared" si="4"/>
        <v>24.771573604060912</v>
      </c>
      <c r="AI18" s="37">
        <f t="shared" si="7"/>
        <v>44.55279085406859</v>
      </c>
      <c r="AJ18" s="40">
        <f t="shared" si="8"/>
        <v>18.316567610263068</v>
      </c>
      <c r="AK18" s="37">
        <f t="shared" si="14"/>
        <v>2.4435479396682234</v>
      </c>
      <c r="AL18" s="37">
        <f t="shared" si="9"/>
        <v>4.7613911805642566</v>
      </c>
      <c r="AM18" s="37">
        <f t="shared" si="10"/>
        <v>3.6888898248381579</v>
      </c>
      <c r="AN18" s="37">
        <f t="shared" si="11"/>
        <v>2.9511118598705268</v>
      </c>
      <c r="AO18" s="37">
        <f t="shared" si="12"/>
        <v>5.7535831591519857</v>
      </c>
      <c r="AP18" s="5">
        <f t="shared" si="13"/>
        <v>22</v>
      </c>
    </row>
    <row r="19" spans="1:42" ht="17" thickBot="1" x14ac:dyDescent="0.25">
      <c r="A19" s="13">
        <v>12</v>
      </c>
      <c r="B19" s="4" t="s">
        <v>259</v>
      </c>
      <c r="C19" s="4" t="s">
        <v>517</v>
      </c>
      <c r="D19" s="4">
        <v>9</v>
      </c>
      <c r="E19" s="4">
        <v>0</v>
      </c>
      <c r="F19" s="4">
        <v>51</v>
      </c>
      <c r="G19" s="4">
        <v>5.7</v>
      </c>
      <c r="H19" s="4">
        <v>6</v>
      </c>
      <c r="I19" s="4">
        <v>18</v>
      </c>
      <c r="J19" s="4">
        <v>0.33300000000000002</v>
      </c>
      <c r="K19" s="4">
        <v>3</v>
      </c>
      <c r="L19" s="4">
        <v>10</v>
      </c>
      <c r="M19" s="4">
        <v>0.3</v>
      </c>
      <c r="N19" s="17">
        <f t="shared" si="5"/>
        <v>0.26785714285714285</v>
      </c>
      <c r="O19" s="4">
        <v>5</v>
      </c>
      <c r="P19" s="4">
        <v>5</v>
      </c>
      <c r="Q19" s="4">
        <v>1</v>
      </c>
      <c r="R19" s="4">
        <v>3</v>
      </c>
      <c r="S19" s="4">
        <v>6</v>
      </c>
      <c r="T19" s="4">
        <v>9</v>
      </c>
      <c r="U19" s="4">
        <v>1</v>
      </c>
      <c r="V19" s="4">
        <v>7</v>
      </c>
      <c r="W19" s="4">
        <v>4</v>
      </c>
      <c r="X19" s="17">
        <f t="shared" si="0"/>
        <v>0.44444444444444442</v>
      </c>
      <c r="Y19" s="4">
        <v>0</v>
      </c>
      <c r="Z19" s="17">
        <f t="shared" si="1"/>
        <v>0</v>
      </c>
      <c r="AA19" s="17">
        <v>0</v>
      </c>
      <c r="AB19" s="4">
        <v>0</v>
      </c>
      <c r="AC19" s="17">
        <f t="shared" si="2"/>
        <v>0</v>
      </c>
      <c r="AD19" s="4">
        <v>2</v>
      </c>
      <c r="AE19" s="17">
        <f t="shared" si="3"/>
        <v>0.22222222222222221</v>
      </c>
      <c r="AF19" s="4">
        <v>20</v>
      </c>
      <c r="AG19" s="4">
        <v>2.2000000000000002</v>
      </c>
      <c r="AH19" s="17">
        <f t="shared" si="4"/>
        <v>27.450980392156865</v>
      </c>
      <c r="AI19" s="17">
        <f t="shared" si="7"/>
        <v>49.504950495049506</v>
      </c>
      <c r="AJ19" s="41">
        <f t="shared" si="8"/>
        <v>19.188977998641786</v>
      </c>
      <c r="AK19" s="17">
        <f t="shared" si="14"/>
        <v>12.812201304907953</v>
      </c>
      <c r="AL19" s="17">
        <f t="shared" si="9"/>
        <v>0.83383775333921339</v>
      </c>
      <c r="AM19" s="17">
        <f t="shared" si="10"/>
        <v>0</v>
      </c>
      <c r="AN19" s="17">
        <f t="shared" si="11"/>
        <v>1.8998988117467113</v>
      </c>
      <c r="AO19" s="17">
        <f t="shared" si="12"/>
        <v>0</v>
      </c>
      <c r="AP19" s="56">
        <f t="shared" si="13"/>
        <v>2</v>
      </c>
    </row>
    <row r="20" spans="1:42" x14ac:dyDescent="0.2">
      <c r="B20" s="1" t="s">
        <v>170</v>
      </c>
      <c r="C20" s="2"/>
      <c r="D20" s="2">
        <v>16</v>
      </c>
      <c r="E20" s="2"/>
      <c r="F20" s="2">
        <v>3083</v>
      </c>
      <c r="G20" s="2">
        <v>192.7</v>
      </c>
      <c r="H20" s="2">
        <v>450</v>
      </c>
      <c r="I20" s="2">
        <v>1016</v>
      </c>
      <c r="J20" s="2">
        <v>0.443</v>
      </c>
      <c r="K20" s="2">
        <v>147</v>
      </c>
      <c r="L20" s="2">
        <v>397</v>
      </c>
      <c r="M20" s="2">
        <v>0.37</v>
      </c>
      <c r="N20" s="16">
        <f>(H20+(0.5*K20))/(L20+I20)</f>
        <v>0.37048832271762205</v>
      </c>
      <c r="O20" s="2">
        <v>170</v>
      </c>
      <c r="P20" s="2">
        <v>238</v>
      </c>
      <c r="Q20" s="2">
        <v>0.71399999999999997</v>
      </c>
      <c r="R20" s="2">
        <v>258</v>
      </c>
      <c r="S20" s="2">
        <v>385</v>
      </c>
      <c r="T20" s="2">
        <v>643</v>
      </c>
      <c r="U20" s="2">
        <v>40.200000000000003</v>
      </c>
      <c r="V20" s="2">
        <v>258</v>
      </c>
      <c r="W20" s="2">
        <v>252</v>
      </c>
      <c r="X20" s="16">
        <f>W20 / D20</f>
        <v>15.75</v>
      </c>
      <c r="Y20" s="2">
        <v>152</v>
      </c>
      <c r="Z20" s="16">
        <f t="shared" si="1"/>
        <v>9.5</v>
      </c>
      <c r="AA20" s="16">
        <f>W20/Y20</f>
        <v>1.6578947368421053</v>
      </c>
      <c r="AB20" s="2">
        <v>46</v>
      </c>
      <c r="AC20" s="2">
        <f t="shared" si="2"/>
        <v>2.875</v>
      </c>
      <c r="AD20" s="2">
        <v>146</v>
      </c>
      <c r="AE20" s="2">
        <f t="shared" si="3"/>
        <v>9.125</v>
      </c>
      <c r="AF20" s="2">
        <v>1217</v>
      </c>
      <c r="AG20" s="2">
        <v>76.06</v>
      </c>
      <c r="AH20" s="16">
        <f>SUM(AH10*F10,AH11*F11,AH12*F12,AH13*F13,AH14*F14,AH15*F15,AH16*F16,AH17*F17,AH18*F18,AH19*F19)/F20</f>
        <v>27.362958157638662</v>
      </c>
      <c r="AI20" s="16">
        <f t="shared" si="7"/>
        <v>54.295452923120848</v>
      </c>
      <c r="AJ20" s="2"/>
      <c r="AK20" s="2"/>
      <c r="AL20" s="2"/>
      <c r="AM20" s="2"/>
      <c r="AN20" s="2"/>
      <c r="AO20" s="2"/>
      <c r="AP20" s="44"/>
    </row>
    <row r="21" spans="1:42" ht="17" thickBot="1" x14ac:dyDescent="0.25">
      <c r="B21" s="3" t="s">
        <v>186</v>
      </c>
      <c r="C21" s="4"/>
      <c r="D21" s="4"/>
      <c r="E21" s="4"/>
      <c r="F21" s="4">
        <v>3114</v>
      </c>
      <c r="G21" s="4">
        <v>194.6</v>
      </c>
      <c r="H21" s="4">
        <v>321</v>
      </c>
      <c r="I21" s="4">
        <v>871</v>
      </c>
      <c r="J21" s="4">
        <v>0.36899999999999999</v>
      </c>
      <c r="K21" s="4">
        <v>89</v>
      </c>
      <c r="L21" s="4">
        <v>327</v>
      </c>
      <c r="M21" s="4">
        <v>0.27200000000000002</v>
      </c>
      <c r="N21" s="17">
        <f>(H21+(0.5*K21))/(L21+I21)</f>
        <v>0.30509181969949917</v>
      </c>
      <c r="O21" s="4">
        <v>137</v>
      </c>
      <c r="P21" s="4">
        <v>205</v>
      </c>
      <c r="Q21" s="4">
        <v>0.66800000000000004</v>
      </c>
      <c r="R21" s="4">
        <v>183</v>
      </c>
      <c r="S21" s="4">
        <v>317</v>
      </c>
      <c r="T21" s="4">
        <v>500</v>
      </c>
      <c r="U21" s="4">
        <v>31.3</v>
      </c>
      <c r="V21" s="4">
        <v>236</v>
      </c>
      <c r="W21" s="4">
        <v>176</v>
      </c>
      <c r="X21" s="17">
        <f>W21 / D20</f>
        <v>11</v>
      </c>
      <c r="Y21" s="4">
        <v>241</v>
      </c>
      <c r="Z21" s="17">
        <f>Y21/D20</f>
        <v>15.0625</v>
      </c>
      <c r="AA21" s="17">
        <f>W21/Y21</f>
        <v>0.73029045643153523</v>
      </c>
      <c r="AB21" s="4">
        <v>30</v>
      </c>
      <c r="AC21" s="17">
        <f>AB21/20</f>
        <v>1.5</v>
      </c>
      <c r="AD21" s="4">
        <v>65</v>
      </c>
      <c r="AE21" s="17">
        <f>AD21/D20</f>
        <v>4.0625</v>
      </c>
      <c r="AF21" s="4">
        <v>868</v>
      </c>
      <c r="AG21" s="4">
        <v>54.25</v>
      </c>
      <c r="AH21" s="4"/>
      <c r="AI21" s="17">
        <f t="shared" si="7"/>
        <v>45.151893466500205</v>
      </c>
      <c r="AJ21" s="4"/>
      <c r="AK21" s="4"/>
      <c r="AL21" s="4"/>
      <c r="AM21" s="4"/>
      <c r="AN21" s="4"/>
      <c r="AO21" s="4"/>
      <c r="AP21" s="56"/>
    </row>
    <row r="22" spans="1:42" x14ac:dyDescent="0.2">
      <c r="A22" t="s">
        <v>7</v>
      </c>
    </row>
    <row r="23" spans="1:42" x14ac:dyDescent="0.2">
      <c r="A23" t="s">
        <v>7</v>
      </c>
    </row>
    <row r="24" spans="1:42" x14ac:dyDescent="0.2">
      <c r="A24" t="s">
        <v>7</v>
      </c>
    </row>
    <row r="25" spans="1:42" x14ac:dyDescent="0.2">
      <c r="A25" t="s">
        <v>7</v>
      </c>
    </row>
    <row r="70" spans="1:1" x14ac:dyDescent="0.2">
      <c r="A70" t="s">
        <v>7</v>
      </c>
    </row>
    <row r="71" spans="1:1" x14ac:dyDescent="0.2">
      <c r="A71" t="s">
        <v>7</v>
      </c>
    </row>
    <row r="72" spans="1:1" x14ac:dyDescent="0.2">
      <c r="A72" t="s">
        <v>7</v>
      </c>
    </row>
    <row r="115" spans="1:1" x14ac:dyDescent="0.2">
      <c r="A115" t="s">
        <v>7</v>
      </c>
    </row>
    <row r="116" spans="1:1" x14ac:dyDescent="0.2">
      <c r="A116" t="s">
        <v>7</v>
      </c>
    </row>
    <row r="117" spans="1:1" x14ac:dyDescent="0.2">
      <c r="A117" t="s">
        <v>7</v>
      </c>
    </row>
    <row r="121" spans="1:1" x14ac:dyDescent="0.2">
      <c r="A121" t="s">
        <v>244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6472-147B-DB4D-9E5C-837E2BDEB15F}">
  <dimension ref="A1:AP74"/>
  <sheetViews>
    <sheetView zoomScale="87" zoomScaleNormal="75" workbookViewId="0">
      <selection activeCell="W5" sqref="W5"/>
    </sheetView>
  </sheetViews>
  <sheetFormatPr baseColWidth="10" defaultRowHeight="16" x14ac:dyDescent="0.2"/>
  <cols>
    <col min="1" max="1" width="19.83203125" customWidth="1"/>
    <col min="2" max="2" width="16" bestFit="1" customWidth="1"/>
    <col min="3" max="3" width="16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  <c r="V1" s="57"/>
      <c r="W1" s="57"/>
    </row>
    <row r="2" spans="1:42" ht="17" thickBot="1" x14ac:dyDescent="0.25">
      <c r="A2" s="10" t="s">
        <v>484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489</v>
      </c>
      <c r="O2">
        <v>715</v>
      </c>
      <c r="P2">
        <v>701</v>
      </c>
      <c r="Q2">
        <v>704</v>
      </c>
      <c r="R2">
        <v>635</v>
      </c>
      <c r="S2">
        <v>39</v>
      </c>
      <c r="T2" s="6">
        <f>SUM(O2:S2)</f>
        <v>2794</v>
      </c>
      <c r="U2" s="58"/>
      <c r="V2" s="63" t="s">
        <v>508</v>
      </c>
      <c r="W2" s="62">
        <v>14.243</v>
      </c>
    </row>
    <row r="3" spans="1:42" ht="17" thickBot="1" x14ac:dyDescent="0.25">
      <c r="A3" s="20"/>
      <c r="B3" s="3">
        <v>32</v>
      </c>
      <c r="C3" s="4"/>
      <c r="D3" s="7">
        <v>4</v>
      </c>
      <c r="E3" s="3">
        <v>19</v>
      </c>
      <c r="F3" s="7">
        <v>2</v>
      </c>
      <c r="G3" s="3">
        <v>15</v>
      </c>
      <c r="H3" s="7">
        <v>1</v>
      </c>
      <c r="I3" s="3">
        <v>11</v>
      </c>
      <c r="J3" s="7">
        <v>2</v>
      </c>
      <c r="K3" s="3">
        <v>6</v>
      </c>
      <c r="L3" s="22">
        <v>1</v>
      </c>
      <c r="N3" s="3" t="s">
        <v>488</v>
      </c>
      <c r="O3" s="4">
        <v>490</v>
      </c>
      <c r="P3" s="4">
        <v>468</v>
      </c>
      <c r="Q3" s="4">
        <v>555</v>
      </c>
      <c r="R3" s="4">
        <v>589</v>
      </c>
      <c r="S3" s="4">
        <v>32</v>
      </c>
      <c r="T3" s="7">
        <f>SUM(O3:S3)</f>
        <v>2134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10</v>
      </c>
      <c r="B10" s="2" t="s">
        <v>423</v>
      </c>
      <c r="C10" s="2" t="s">
        <v>517</v>
      </c>
      <c r="D10" s="2">
        <v>33</v>
      </c>
      <c r="E10" s="2">
        <v>22</v>
      </c>
      <c r="F10" s="2">
        <v>662</v>
      </c>
      <c r="G10" s="2">
        <v>20.100000000000001</v>
      </c>
      <c r="H10" s="2">
        <v>115</v>
      </c>
      <c r="I10" s="2">
        <v>275</v>
      </c>
      <c r="J10" s="2">
        <v>0.41799999999999998</v>
      </c>
      <c r="K10" s="2">
        <v>48</v>
      </c>
      <c r="L10" s="2">
        <v>138</v>
      </c>
      <c r="M10" s="2">
        <v>0.34799999999999998</v>
      </c>
      <c r="N10" s="16">
        <f>(H10+(0.5*K10))/(L10+I10)</f>
        <v>0.33656174334140437</v>
      </c>
      <c r="O10" s="2">
        <v>67</v>
      </c>
      <c r="P10" s="2">
        <v>76</v>
      </c>
      <c r="Q10" s="2">
        <v>0.88200000000000001</v>
      </c>
      <c r="R10" s="2">
        <v>7</v>
      </c>
      <c r="S10" s="2">
        <v>66</v>
      </c>
      <c r="T10" s="2">
        <v>73</v>
      </c>
      <c r="U10" s="2">
        <v>2.2000000000000002</v>
      </c>
      <c r="V10" s="2">
        <v>28</v>
      </c>
      <c r="W10" s="2">
        <v>72</v>
      </c>
      <c r="X10" s="16">
        <f t="shared" ref="X10:X27" si="0">W10/D10</f>
        <v>2.1818181818181817</v>
      </c>
      <c r="Y10" s="2">
        <v>43</v>
      </c>
      <c r="Z10" s="16">
        <f t="shared" ref="Z10:Z28" si="1">Y10/D10</f>
        <v>1.303030303030303</v>
      </c>
      <c r="AA10" s="16">
        <f>W10/Y10</f>
        <v>1.6744186046511629</v>
      </c>
      <c r="AB10" s="2">
        <v>1</v>
      </c>
      <c r="AC10" s="16">
        <f t="shared" ref="AC10:AC28" si="2">AB10/D10</f>
        <v>3.0303030303030304E-2</v>
      </c>
      <c r="AD10" s="2">
        <v>24</v>
      </c>
      <c r="AE10" s="16">
        <f t="shared" ref="AE10:AE28" si="3">AD10/D10</f>
        <v>0.72727272727272729</v>
      </c>
      <c r="AF10" s="2">
        <v>345</v>
      </c>
      <c r="AG10" s="2">
        <v>10.5</v>
      </c>
      <c r="AH10" s="16">
        <f t="shared" ref="AH10:AH27" si="4">((AF10+T10+W10+AD10+AB10-Y10)/F10)*40</f>
        <v>28.519637462235647</v>
      </c>
      <c r="AI10" s="16">
        <f xml:space="preserve"> AF10 / (2 * (I10 + 0.44 * P10)) * 100</f>
        <v>55.92659836597069</v>
      </c>
      <c r="AJ10" s="39">
        <f xml:space="preserve"> ((I10 + 0.44*P10 + Y10) * ($F$28/5)) / (F10 * ($I$28 + 0.44*$P$28 + $Y$28)) * 100</f>
        <v>26.171569604918112</v>
      </c>
      <c r="AK10" s="16">
        <f xml:space="preserve"> 100 * (W10 / ( ( (F10 / ($F$28/5)) * $H$28 ) - H10 ) )</f>
        <v>21.015664132782476</v>
      </c>
      <c r="AL10" s="16">
        <f xml:space="preserve"> (100 * (R10 * ($F$28/5)) / (F10 * $R$28+ ($F$28 - F10) * $S$29)) + (100 * (S10 * ($F$28/5)) / (F10 * $S$28 + ($F$28 - F10) * $R$29))</f>
        <v>3.7320836493334197</v>
      </c>
      <c r="AM10" s="16">
        <f xml:space="preserve"> 100 * (Y10 * ($F$28/5)) / (F10 * ($I$28 + 0.44*$P$28 + $Y$28))</f>
        <v>3.2021895430556535</v>
      </c>
      <c r="AN10" s="16">
        <f xml:space="preserve"> 100 * (AD10 * ($F$28/5)) / (F10 * ($I$28 + 0.44 * $P$28 + $Y$28))</f>
        <v>1.7872685821705971</v>
      </c>
      <c r="AO10" s="16">
        <f xml:space="preserve"> 100 * (AB10 * ($F$28/5)) / (F10 * ($I$29 - $L$29))</f>
        <v>0.15808938431086572</v>
      </c>
      <c r="AP10" s="44">
        <f>AD10+AB10</f>
        <v>25</v>
      </c>
    </row>
    <row r="11" spans="1:42" x14ac:dyDescent="0.2">
      <c r="A11" s="9">
        <v>44</v>
      </c>
      <c r="B11" t="s">
        <v>424</v>
      </c>
      <c r="C11" t="s">
        <v>518</v>
      </c>
      <c r="D11">
        <v>36</v>
      </c>
      <c r="E11">
        <v>36</v>
      </c>
      <c r="F11">
        <v>778</v>
      </c>
      <c r="G11">
        <v>21.6</v>
      </c>
      <c r="H11">
        <v>149</v>
      </c>
      <c r="I11">
        <v>250</v>
      </c>
      <c r="J11">
        <v>0.59599999999999997</v>
      </c>
      <c r="K11">
        <v>1</v>
      </c>
      <c r="L11">
        <v>2</v>
      </c>
      <c r="M11">
        <v>0.5</v>
      </c>
      <c r="N11" s="37">
        <f t="shared" ref="N11:N27" si="5">(H11+(0.5*K11))/(L11+I11)</f>
        <v>0.59325396825396826</v>
      </c>
      <c r="O11">
        <v>39</v>
      </c>
      <c r="P11">
        <v>72</v>
      </c>
      <c r="Q11">
        <v>0.54200000000000004</v>
      </c>
      <c r="R11">
        <v>87</v>
      </c>
      <c r="S11">
        <v>178</v>
      </c>
      <c r="T11">
        <v>265</v>
      </c>
      <c r="U11">
        <v>7.4</v>
      </c>
      <c r="V11">
        <v>91</v>
      </c>
      <c r="W11">
        <v>55</v>
      </c>
      <c r="X11" s="37">
        <f t="shared" si="0"/>
        <v>1.5277777777777777</v>
      </c>
      <c r="Y11">
        <v>56</v>
      </c>
      <c r="Z11" s="37">
        <f t="shared" si="1"/>
        <v>1.5555555555555556</v>
      </c>
      <c r="AA11" s="37">
        <f t="shared" ref="AA11:AA27" si="6">W11/Y11</f>
        <v>0.9821428571428571</v>
      </c>
      <c r="AB11">
        <v>71</v>
      </c>
      <c r="AC11" s="37">
        <f t="shared" si="2"/>
        <v>1.9722222222222223</v>
      </c>
      <c r="AD11">
        <v>23</v>
      </c>
      <c r="AE11" s="37">
        <f t="shared" si="3"/>
        <v>0.63888888888888884</v>
      </c>
      <c r="AF11">
        <v>338</v>
      </c>
      <c r="AG11">
        <v>9.4</v>
      </c>
      <c r="AH11" s="37">
        <f t="shared" si="4"/>
        <v>35.7840616966581</v>
      </c>
      <c r="AI11" s="37">
        <f t="shared" ref="AI11:AI29" si="7" xml:space="preserve"> AF11 / (2 * (I11 + 0.44 * P11)) * 100</f>
        <v>59.997159897756312</v>
      </c>
      <c r="AJ11" s="40">
        <f t="shared" ref="AJ11:AJ27" si="8" xml:space="preserve"> ((I11 + 0.44*P11 + Y11) * ($F$28/5)) / (F11 * ($I$28 + 0.44*$P$28 + $Y$28)) * 100</f>
        <v>21.397464326034548</v>
      </c>
      <c r="AK11" s="37">
        <f t="shared" ref="AK11:AK27" si="9" xml:space="preserve"> 100 * (W11 / ( ( (F11 / ($F$28/5)) * $H$28 ) - H11 ) )</f>
        <v>14.146616034243975</v>
      </c>
      <c r="AL11" s="37">
        <f t="shared" ref="AL11:AL27" si="10" xml:space="preserve"> (100 * (R11 * ($F$28/5)) / (F11 * $R$28+ ($F$28 - F11) * $S$29)) + (100 * (S11 * ($F$28/5)) / (F11 * $S$28 + ($F$28 - F11) * $R$29))</f>
        <v>11.642744427033263</v>
      </c>
      <c r="AM11" s="37">
        <f t="shared" ref="AM11:AM27" si="11" xml:space="preserve"> 100 * (Y11 * ($F$28/5)) / (F11 * ($I$28 + 0.44*$P$28 + $Y$28))</f>
        <v>3.5485015466060617</v>
      </c>
      <c r="AN11" s="37">
        <f t="shared" ref="AN11:AN27" si="12" xml:space="preserve"> 100 * (AD11 * ($F$28/5)) / (F11 * ($I$28 + 0.44 * $P$28 + $Y$28))</f>
        <v>1.4574202780703467</v>
      </c>
      <c r="AO11" s="37">
        <f t="shared" ref="AO11:AO26" si="13" xml:space="preserve"> 100 * (AB11 * ($F$28/5)) / (F11 * ($I$29 - $L$29))</f>
        <v>9.5507933693821467</v>
      </c>
      <c r="AP11" s="5">
        <f t="shared" ref="AP11:AP27" si="14">AD11+AB11</f>
        <v>94</v>
      </c>
    </row>
    <row r="12" spans="1:42" x14ac:dyDescent="0.2">
      <c r="A12" s="9">
        <v>23</v>
      </c>
      <c r="B12" t="s">
        <v>425</v>
      </c>
      <c r="C12" t="s">
        <v>517</v>
      </c>
      <c r="D12">
        <v>35</v>
      </c>
      <c r="E12">
        <v>22</v>
      </c>
      <c r="F12">
        <v>749</v>
      </c>
      <c r="G12">
        <v>21.4</v>
      </c>
      <c r="H12">
        <v>111</v>
      </c>
      <c r="I12">
        <v>200</v>
      </c>
      <c r="J12">
        <v>0.55500000000000005</v>
      </c>
      <c r="K12">
        <v>12</v>
      </c>
      <c r="L12">
        <v>45</v>
      </c>
      <c r="M12">
        <v>0.26700000000000002</v>
      </c>
      <c r="N12" s="37">
        <f t="shared" si="5"/>
        <v>0.47755102040816327</v>
      </c>
      <c r="O12">
        <v>77</v>
      </c>
      <c r="P12">
        <v>109</v>
      </c>
      <c r="Q12">
        <v>0.70599999999999996</v>
      </c>
      <c r="R12">
        <v>58</v>
      </c>
      <c r="S12">
        <v>99</v>
      </c>
      <c r="T12">
        <v>157</v>
      </c>
      <c r="U12">
        <v>4.5</v>
      </c>
      <c r="V12">
        <v>56</v>
      </c>
      <c r="W12">
        <v>72</v>
      </c>
      <c r="X12" s="37">
        <f t="shared" si="0"/>
        <v>2.0571428571428569</v>
      </c>
      <c r="Y12">
        <v>54</v>
      </c>
      <c r="Z12" s="37">
        <f t="shared" si="1"/>
        <v>1.5428571428571429</v>
      </c>
      <c r="AA12" s="37">
        <f t="shared" si="6"/>
        <v>1.3333333333333333</v>
      </c>
      <c r="AB12">
        <v>24</v>
      </c>
      <c r="AC12" s="37">
        <f t="shared" si="2"/>
        <v>0.68571428571428572</v>
      </c>
      <c r="AD12">
        <v>21</v>
      </c>
      <c r="AE12" s="37">
        <f t="shared" si="3"/>
        <v>0.6</v>
      </c>
      <c r="AF12">
        <v>311</v>
      </c>
      <c r="AG12">
        <v>8.9</v>
      </c>
      <c r="AH12" s="37">
        <f t="shared" si="4"/>
        <v>28.357810413885179</v>
      </c>
      <c r="AI12" s="37">
        <f t="shared" si="7"/>
        <v>62.711727698015807</v>
      </c>
      <c r="AJ12" s="40">
        <f t="shared" si="8"/>
        <v>19.87486410490758</v>
      </c>
      <c r="AK12" s="37">
        <f t="shared" si="9"/>
        <v>17.701744798900727</v>
      </c>
      <c r="AL12" s="37">
        <f t="shared" si="10"/>
        <v>6.7669588487559391</v>
      </c>
      <c r="AM12" s="37">
        <f t="shared" si="11"/>
        <v>3.5542544100709006</v>
      </c>
      <c r="AN12" s="37">
        <f t="shared" si="12"/>
        <v>1.3822100483609059</v>
      </c>
      <c r="AO12" s="37">
        <f t="shared" si="13"/>
        <v>3.3534367662630631</v>
      </c>
      <c r="AP12" s="5">
        <f t="shared" si="14"/>
        <v>45</v>
      </c>
    </row>
    <row r="13" spans="1:42" x14ac:dyDescent="0.2">
      <c r="A13" s="9">
        <v>12</v>
      </c>
      <c r="B13" t="s">
        <v>426</v>
      </c>
      <c r="C13" t="s">
        <v>517</v>
      </c>
      <c r="D13">
        <v>36</v>
      </c>
      <c r="E13">
        <v>36</v>
      </c>
      <c r="F13">
        <v>880</v>
      </c>
      <c r="G13">
        <v>24.4</v>
      </c>
      <c r="H13">
        <v>109</v>
      </c>
      <c r="I13">
        <v>306</v>
      </c>
      <c r="J13">
        <v>0.35599999999999998</v>
      </c>
      <c r="K13">
        <v>66</v>
      </c>
      <c r="L13">
        <v>210</v>
      </c>
      <c r="M13">
        <v>0.314</v>
      </c>
      <c r="N13" s="37">
        <f t="shared" si="5"/>
        <v>0.27519379844961239</v>
      </c>
      <c r="O13">
        <v>28</v>
      </c>
      <c r="P13">
        <v>36</v>
      </c>
      <c r="Q13">
        <v>0.77800000000000002</v>
      </c>
      <c r="R13">
        <v>9</v>
      </c>
      <c r="S13">
        <v>83</v>
      </c>
      <c r="T13">
        <v>92</v>
      </c>
      <c r="U13">
        <v>2.6</v>
      </c>
      <c r="V13">
        <v>46</v>
      </c>
      <c r="W13">
        <v>52</v>
      </c>
      <c r="X13" s="37">
        <f t="shared" si="0"/>
        <v>1.4444444444444444</v>
      </c>
      <c r="Y13">
        <v>42</v>
      </c>
      <c r="Z13" s="37">
        <f t="shared" si="1"/>
        <v>1.1666666666666667</v>
      </c>
      <c r="AA13" s="37">
        <f t="shared" si="6"/>
        <v>1.2380952380952381</v>
      </c>
      <c r="AB13">
        <v>13</v>
      </c>
      <c r="AC13" s="37">
        <f t="shared" si="2"/>
        <v>0.3611111111111111</v>
      </c>
      <c r="AD13">
        <v>38</v>
      </c>
      <c r="AE13" s="37">
        <f t="shared" si="3"/>
        <v>1.0555555555555556</v>
      </c>
      <c r="AF13">
        <v>312</v>
      </c>
      <c r="AG13">
        <v>8.6999999999999993</v>
      </c>
      <c r="AH13" s="37">
        <f t="shared" si="4"/>
        <v>21.136363636363637</v>
      </c>
      <c r="AI13" s="37">
        <f t="shared" si="7"/>
        <v>48.471290082028339</v>
      </c>
      <c r="AJ13" s="40">
        <f t="shared" si="8"/>
        <v>20.382823305883566</v>
      </c>
      <c r="AK13" s="37">
        <f t="shared" si="9"/>
        <v>10.414744212289555</v>
      </c>
      <c r="AL13" s="37">
        <f t="shared" si="10"/>
        <v>4.4769911786192971</v>
      </c>
      <c r="AM13" s="37">
        <f t="shared" si="11"/>
        <v>2.3528984686870871</v>
      </c>
      <c r="AN13" s="37">
        <f t="shared" si="12"/>
        <v>2.1288129002406979</v>
      </c>
      <c r="AO13" s="37">
        <f t="shared" si="13"/>
        <v>1.5460423197492161</v>
      </c>
      <c r="AP13" s="5">
        <f t="shared" si="14"/>
        <v>51</v>
      </c>
    </row>
    <row r="14" spans="1:42" x14ac:dyDescent="0.2">
      <c r="A14" s="9">
        <v>4</v>
      </c>
      <c r="B14" t="s">
        <v>427</v>
      </c>
      <c r="C14" t="s">
        <v>517</v>
      </c>
      <c r="D14">
        <v>26</v>
      </c>
      <c r="E14">
        <v>1</v>
      </c>
      <c r="F14">
        <v>420</v>
      </c>
      <c r="G14">
        <v>16.2</v>
      </c>
      <c r="H14">
        <v>88</v>
      </c>
      <c r="I14">
        <v>164</v>
      </c>
      <c r="J14">
        <v>0.53700000000000003</v>
      </c>
      <c r="K14">
        <v>0</v>
      </c>
      <c r="L14">
        <v>2</v>
      </c>
      <c r="M14">
        <v>0</v>
      </c>
      <c r="N14" s="37">
        <f t="shared" si="5"/>
        <v>0.53012048192771088</v>
      </c>
      <c r="O14">
        <v>51</v>
      </c>
      <c r="P14">
        <v>72</v>
      </c>
      <c r="Q14">
        <v>0.70799999999999996</v>
      </c>
      <c r="R14">
        <v>24</v>
      </c>
      <c r="S14">
        <v>80</v>
      </c>
      <c r="T14">
        <v>104</v>
      </c>
      <c r="U14">
        <v>4</v>
      </c>
      <c r="V14">
        <v>22</v>
      </c>
      <c r="W14">
        <v>25</v>
      </c>
      <c r="X14" s="37">
        <f t="shared" si="0"/>
        <v>0.96153846153846156</v>
      </c>
      <c r="Y14">
        <v>34</v>
      </c>
      <c r="Z14" s="37">
        <f t="shared" si="1"/>
        <v>1.3076923076923077</v>
      </c>
      <c r="AA14" s="37">
        <f t="shared" si="6"/>
        <v>0.73529411764705888</v>
      </c>
      <c r="AB14">
        <v>25</v>
      </c>
      <c r="AC14" s="37">
        <f t="shared" si="2"/>
        <v>0.96153846153846156</v>
      </c>
      <c r="AD14">
        <v>19</v>
      </c>
      <c r="AE14" s="37">
        <f t="shared" si="3"/>
        <v>0.73076923076923073</v>
      </c>
      <c r="AF14">
        <v>227</v>
      </c>
      <c r="AG14">
        <v>8.6999999999999993</v>
      </c>
      <c r="AH14" s="37">
        <f t="shared" si="4"/>
        <v>34.857142857142861</v>
      </c>
      <c r="AI14" s="37">
        <f t="shared" si="7"/>
        <v>58.002861815208504</v>
      </c>
      <c r="AJ14" s="40">
        <f t="shared" si="8"/>
        <v>26.959414617544457</v>
      </c>
      <c r="AK14" s="37">
        <f t="shared" si="9"/>
        <v>12.356586243679207</v>
      </c>
      <c r="AL14" s="37">
        <f t="shared" si="10"/>
        <v>5.1967560707951028</v>
      </c>
      <c r="AM14" s="37">
        <f t="shared" si="11"/>
        <v>3.9908572666166471</v>
      </c>
      <c r="AN14" s="37">
        <f t="shared" si="12"/>
        <v>2.2301849431093026</v>
      </c>
      <c r="AO14" s="37">
        <f t="shared" si="13"/>
        <v>6.2294745484400655</v>
      </c>
      <c r="AP14" s="5">
        <f t="shared" si="14"/>
        <v>44</v>
      </c>
    </row>
    <row r="15" spans="1:42" x14ac:dyDescent="0.2">
      <c r="A15" s="9">
        <v>14</v>
      </c>
      <c r="B15" t="s">
        <v>428</v>
      </c>
      <c r="C15" t="s">
        <v>517</v>
      </c>
      <c r="D15">
        <v>31</v>
      </c>
      <c r="E15">
        <v>23</v>
      </c>
      <c r="F15">
        <v>672</v>
      </c>
      <c r="G15">
        <v>21.7</v>
      </c>
      <c r="H15">
        <v>75</v>
      </c>
      <c r="I15">
        <v>173</v>
      </c>
      <c r="J15">
        <v>0.434</v>
      </c>
      <c r="K15">
        <v>33</v>
      </c>
      <c r="L15">
        <v>82</v>
      </c>
      <c r="M15">
        <v>0.40200000000000002</v>
      </c>
      <c r="N15" s="37">
        <f t="shared" si="5"/>
        <v>0.35882352941176471</v>
      </c>
      <c r="O15">
        <v>58</v>
      </c>
      <c r="P15">
        <v>73</v>
      </c>
      <c r="Q15">
        <v>0.79500000000000004</v>
      </c>
      <c r="R15">
        <v>8</v>
      </c>
      <c r="S15">
        <v>92</v>
      </c>
      <c r="T15">
        <v>100</v>
      </c>
      <c r="U15">
        <v>3.2</v>
      </c>
      <c r="V15">
        <v>42</v>
      </c>
      <c r="W15">
        <v>84</v>
      </c>
      <c r="X15" s="37">
        <f t="shared" si="0"/>
        <v>2.7096774193548385</v>
      </c>
      <c r="Y15">
        <v>52</v>
      </c>
      <c r="Z15" s="37">
        <f t="shared" si="1"/>
        <v>1.6774193548387097</v>
      </c>
      <c r="AA15" s="37">
        <f t="shared" si="6"/>
        <v>1.6153846153846154</v>
      </c>
      <c r="AB15">
        <v>5</v>
      </c>
      <c r="AC15" s="37">
        <f t="shared" si="2"/>
        <v>0.16129032258064516</v>
      </c>
      <c r="AD15">
        <v>33</v>
      </c>
      <c r="AE15" s="37">
        <f t="shared" si="3"/>
        <v>1.064516129032258</v>
      </c>
      <c r="AF15">
        <v>241</v>
      </c>
      <c r="AG15">
        <v>7.8</v>
      </c>
      <c r="AH15" s="37">
        <f t="shared" si="4"/>
        <v>24.464285714285715</v>
      </c>
      <c r="AI15" s="37">
        <f t="shared" si="7"/>
        <v>58.746099843993761</v>
      </c>
      <c r="AJ15" s="40">
        <f t="shared" si="8"/>
        <v>18.862669492508683</v>
      </c>
      <c r="AK15" s="37">
        <f t="shared" si="9"/>
        <v>21.565335081523461</v>
      </c>
      <c r="AL15" s="37">
        <f t="shared" si="10"/>
        <v>5.1434462407771866</v>
      </c>
      <c r="AM15" s="37">
        <f t="shared" si="11"/>
        <v>3.8147900342659127</v>
      </c>
      <c r="AN15" s="37">
        <f t="shared" si="12"/>
        <v>2.4209244448225986</v>
      </c>
      <c r="AO15" s="37">
        <f t="shared" si="13"/>
        <v>0.77868431855500819</v>
      </c>
      <c r="AP15" s="5">
        <f t="shared" si="14"/>
        <v>38</v>
      </c>
    </row>
    <row r="16" spans="1:42" x14ac:dyDescent="0.2">
      <c r="A16" s="9">
        <v>3</v>
      </c>
      <c r="B16" t="s">
        <v>429</v>
      </c>
      <c r="C16" t="s">
        <v>517</v>
      </c>
      <c r="D16">
        <v>34</v>
      </c>
      <c r="E16">
        <v>17</v>
      </c>
      <c r="F16">
        <v>609</v>
      </c>
      <c r="G16">
        <v>17.899999999999999</v>
      </c>
      <c r="H16">
        <v>87</v>
      </c>
      <c r="I16">
        <v>208</v>
      </c>
      <c r="J16">
        <v>0.41799999999999998</v>
      </c>
      <c r="K16">
        <v>61</v>
      </c>
      <c r="L16">
        <v>141</v>
      </c>
      <c r="M16">
        <v>0.433</v>
      </c>
      <c r="N16" s="37">
        <f t="shared" si="5"/>
        <v>0.33667621776504297</v>
      </c>
      <c r="O16">
        <v>29</v>
      </c>
      <c r="P16">
        <v>33</v>
      </c>
      <c r="Q16">
        <v>0.879</v>
      </c>
      <c r="R16">
        <v>11</v>
      </c>
      <c r="S16">
        <v>44</v>
      </c>
      <c r="T16">
        <v>55</v>
      </c>
      <c r="U16">
        <v>1.6</v>
      </c>
      <c r="V16">
        <v>28</v>
      </c>
      <c r="W16">
        <v>27</v>
      </c>
      <c r="X16" s="37">
        <f t="shared" si="0"/>
        <v>0.79411764705882348</v>
      </c>
      <c r="Y16">
        <v>24</v>
      </c>
      <c r="Z16" s="37">
        <f t="shared" si="1"/>
        <v>0.70588235294117652</v>
      </c>
      <c r="AA16" s="37">
        <f t="shared" si="6"/>
        <v>1.125</v>
      </c>
      <c r="AB16">
        <v>2</v>
      </c>
      <c r="AC16" s="37">
        <f t="shared" si="2"/>
        <v>5.8823529411764705E-2</v>
      </c>
      <c r="AD16">
        <v>14</v>
      </c>
      <c r="AE16" s="37">
        <f t="shared" si="3"/>
        <v>0.41176470588235292</v>
      </c>
      <c r="AF16">
        <v>264</v>
      </c>
      <c r="AG16">
        <v>7.8</v>
      </c>
      <c r="AH16" s="37">
        <f t="shared" si="4"/>
        <v>22.200328407224958</v>
      </c>
      <c r="AI16" s="37">
        <f t="shared" si="7"/>
        <v>59.320510515908673</v>
      </c>
      <c r="AJ16" s="40">
        <f t="shared" si="8"/>
        <v>19.955905342116349</v>
      </c>
      <c r="AK16" s="37">
        <f t="shared" si="9"/>
        <v>8.084659790915671</v>
      </c>
      <c r="AL16" s="37">
        <f t="shared" si="10"/>
        <v>2.6870877348971187</v>
      </c>
      <c r="AM16" s="37">
        <f t="shared" si="11"/>
        <v>1.9428108397322419</v>
      </c>
      <c r="AN16" s="37">
        <f t="shared" si="12"/>
        <v>1.1333063231771412</v>
      </c>
      <c r="AO16" s="37">
        <f t="shared" si="13"/>
        <v>0.34369514750014157</v>
      </c>
      <c r="AP16" s="5">
        <f t="shared" si="14"/>
        <v>16</v>
      </c>
    </row>
    <row r="17" spans="1:42" x14ac:dyDescent="0.2">
      <c r="A17" s="9">
        <v>2</v>
      </c>
      <c r="B17" t="s">
        <v>430</v>
      </c>
      <c r="C17" t="s">
        <v>520</v>
      </c>
      <c r="D17">
        <v>36</v>
      </c>
      <c r="E17">
        <v>3</v>
      </c>
      <c r="F17">
        <v>630</v>
      </c>
      <c r="G17">
        <v>17.5</v>
      </c>
      <c r="H17">
        <v>94</v>
      </c>
      <c r="I17">
        <v>211</v>
      </c>
      <c r="J17">
        <v>0.44500000000000001</v>
      </c>
      <c r="K17">
        <v>45</v>
      </c>
      <c r="L17">
        <v>127</v>
      </c>
      <c r="M17">
        <v>0.35399999999999998</v>
      </c>
      <c r="N17" s="37">
        <f t="shared" si="5"/>
        <v>0.34467455621301774</v>
      </c>
      <c r="O17">
        <v>31</v>
      </c>
      <c r="P17">
        <v>38</v>
      </c>
      <c r="Q17">
        <v>0.81599999999999995</v>
      </c>
      <c r="R17">
        <v>54</v>
      </c>
      <c r="S17">
        <v>118</v>
      </c>
      <c r="T17">
        <v>172</v>
      </c>
      <c r="U17">
        <v>4.8</v>
      </c>
      <c r="V17">
        <v>39</v>
      </c>
      <c r="W17">
        <v>42</v>
      </c>
      <c r="X17" s="37">
        <f t="shared" si="0"/>
        <v>1.1666666666666667</v>
      </c>
      <c r="Y17">
        <v>27</v>
      </c>
      <c r="Z17" s="37">
        <f t="shared" si="1"/>
        <v>0.75</v>
      </c>
      <c r="AA17" s="37">
        <f t="shared" si="6"/>
        <v>1.5555555555555556</v>
      </c>
      <c r="AB17">
        <v>14</v>
      </c>
      <c r="AC17" s="37">
        <f t="shared" si="2"/>
        <v>0.3888888888888889</v>
      </c>
      <c r="AD17">
        <v>22</v>
      </c>
      <c r="AE17" s="37">
        <f t="shared" si="3"/>
        <v>0.61111111111111116</v>
      </c>
      <c r="AF17">
        <v>264</v>
      </c>
      <c r="AG17">
        <v>7.3</v>
      </c>
      <c r="AH17" s="37">
        <f t="shared" si="4"/>
        <v>30.920634920634921</v>
      </c>
      <c r="AI17" s="37">
        <f t="shared" si="7"/>
        <v>57.965923063411203</v>
      </c>
      <c r="AJ17" s="40">
        <f t="shared" si="8"/>
        <v>19.932375744168475</v>
      </c>
      <c r="AK17" s="37">
        <f t="shared" si="9"/>
        <v>12.299334955941132</v>
      </c>
      <c r="AL17" s="37">
        <f t="shared" si="10"/>
        <v>7.8271658539659015</v>
      </c>
      <c r="AM17" s="37">
        <f t="shared" si="11"/>
        <v>2.1128067882088133</v>
      </c>
      <c r="AN17" s="37">
        <f t="shared" si="12"/>
        <v>1.7215462718738479</v>
      </c>
      <c r="AO17" s="37">
        <f t="shared" si="13"/>
        <v>2.3256704980842913</v>
      </c>
      <c r="AP17" s="5">
        <f t="shared" si="14"/>
        <v>36</v>
      </c>
    </row>
    <row r="18" spans="1:42" x14ac:dyDescent="0.2">
      <c r="A18" s="9">
        <v>15</v>
      </c>
      <c r="B18" t="s">
        <v>431</v>
      </c>
      <c r="C18" t="s">
        <v>517</v>
      </c>
      <c r="D18">
        <v>33</v>
      </c>
      <c r="E18">
        <v>0</v>
      </c>
      <c r="F18">
        <v>476</v>
      </c>
      <c r="G18">
        <v>14.4</v>
      </c>
      <c r="H18">
        <v>56</v>
      </c>
      <c r="I18">
        <v>118</v>
      </c>
      <c r="J18">
        <v>0.47499999999999998</v>
      </c>
      <c r="K18">
        <v>27</v>
      </c>
      <c r="L18">
        <v>69</v>
      </c>
      <c r="M18">
        <v>0.39100000000000001</v>
      </c>
      <c r="N18" s="37">
        <f t="shared" si="5"/>
        <v>0.37165775401069517</v>
      </c>
      <c r="O18">
        <v>12</v>
      </c>
      <c r="P18">
        <v>18</v>
      </c>
      <c r="Q18">
        <v>0.66700000000000004</v>
      </c>
      <c r="R18">
        <v>13</v>
      </c>
      <c r="S18">
        <v>29</v>
      </c>
      <c r="T18">
        <v>42</v>
      </c>
      <c r="U18">
        <v>1.3</v>
      </c>
      <c r="V18">
        <v>34</v>
      </c>
      <c r="W18">
        <v>39</v>
      </c>
      <c r="X18" s="37">
        <f t="shared" si="0"/>
        <v>1.1818181818181819</v>
      </c>
      <c r="Y18">
        <v>20</v>
      </c>
      <c r="Z18" s="37">
        <f t="shared" si="1"/>
        <v>0.60606060606060608</v>
      </c>
      <c r="AA18" s="37">
        <f t="shared" si="6"/>
        <v>1.95</v>
      </c>
      <c r="AB18">
        <v>2</v>
      </c>
      <c r="AC18" s="37">
        <f t="shared" si="2"/>
        <v>6.0606060606060608E-2</v>
      </c>
      <c r="AD18">
        <v>7</v>
      </c>
      <c r="AE18" s="37">
        <f t="shared" si="3"/>
        <v>0.21212121212121213</v>
      </c>
      <c r="AF18">
        <v>151</v>
      </c>
      <c r="AG18">
        <v>4.5999999999999996</v>
      </c>
      <c r="AH18" s="37">
        <f t="shared" si="4"/>
        <v>18.571428571428573</v>
      </c>
      <c r="AI18" s="37">
        <f t="shared" si="7"/>
        <v>59.958703939008892</v>
      </c>
      <c r="AJ18" s="40">
        <f t="shared" si="8"/>
        <v>15.112782673305395</v>
      </c>
      <c r="AK18" s="37">
        <f t="shared" si="9"/>
        <v>14.284105239657356</v>
      </c>
      <c r="AL18" s="37">
        <f t="shared" si="10"/>
        <v>1.9742413705445792</v>
      </c>
      <c r="AM18" s="37">
        <f t="shared" si="11"/>
        <v>2.0713792041262873</v>
      </c>
      <c r="AN18" s="37">
        <f t="shared" si="12"/>
        <v>0.72498272144420062</v>
      </c>
      <c r="AO18" s="37">
        <f t="shared" si="13"/>
        <v>0.43972761518400466</v>
      </c>
      <c r="AP18" s="5">
        <f t="shared" si="14"/>
        <v>9</v>
      </c>
    </row>
    <row r="19" spans="1:42" x14ac:dyDescent="0.2">
      <c r="A19" s="9">
        <v>5</v>
      </c>
      <c r="B19" t="s">
        <v>432</v>
      </c>
      <c r="C19" t="s">
        <v>520</v>
      </c>
      <c r="D19">
        <v>33</v>
      </c>
      <c r="E19">
        <v>11</v>
      </c>
      <c r="F19">
        <v>443</v>
      </c>
      <c r="G19">
        <v>13.4</v>
      </c>
      <c r="H19">
        <v>34</v>
      </c>
      <c r="I19">
        <v>97</v>
      </c>
      <c r="J19">
        <v>0.35099999999999998</v>
      </c>
      <c r="K19">
        <v>5</v>
      </c>
      <c r="L19">
        <v>35</v>
      </c>
      <c r="M19">
        <v>0.14299999999999999</v>
      </c>
      <c r="N19" s="37">
        <f t="shared" si="5"/>
        <v>0.27651515151515149</v>
      </c>
      <c r="O19">
        <v>20</v>
      </c>
      <c r="P19">
        <v>39</v>
      </c>
      <c r="Q19">
        <v>0.51300000000000001</v>
      </c>
      <c r="R19">
        <v>39</v>
      </c>
      <c r="S19">
        <v>63</v>
      </c>
      <c r="T19">
        <v>102</v>
      </c>
      <c r="U19">
        <v>3.1</v>
      </c>
      <c r="V19">
        <v>78</v>
      </c>
      <c r="W19">
        <v>43</v>
      </c>
      <c r="X19" s="37">
        <f t="shared" si="0"/>
        <v>1.303030303030303</v>
      </c>
      <c r="Y19">
        <v>27</v>
      </c>
      <c r="Z19" s="37">
        <f t="shared" si="1"/>
        <v>0.81818181818181823</v>
      </c>
      <c r="AA19" s="37">
        <f t="shared" si="6"/>
        <v>1.5925925925925926</v>
      </c>
      <c r="AB19">
        <v>5</v>
      </c>
      <c r="AC19" s="37">
        <f t="shared" si="2"/>
        <v>0.15151515151515152</v>
      </c>
      <c r="AD19">
        <v>23</v>
      </c>
      <c r="AE19" s="37">
        <f t="shared" si="3"/>
        <v>0.69696969696969702</v>
      </c>
      <c r="AF19">
        <v>93</v>
      </c>
      <c r="AG19">
        <v>2.8</v>
      </c>
      <c r="AH19" s="37">
        <f t="shared" si="4"/>
        <v>21.580135440180584</v>
      </c>
      <c r="AI19" s="37">
        <f t="shared" si="7"/>
        <v>40.732305536089704</v>
      </c>
      <c r="AJ19" s="40">
        <f t="shared" si="8"/>
        <v>15.708853600939745</v>
      </c>
      <c r="AK19" s="37">
        <f t="shared" si="9"/>
        <v>15.796059104853674</v>
      </c>
      <c r="AL19" s="37">
        <f t="shared" si="10"/>
        <v>4.5997231084537908</v>
      </c>
      <c r="AM19" s="37">
        <f t="shared" si="11"/>
        <v>3.0046687958725786</v>
      </c>
      <c r="AN19" s="37">
        <f t="shared" si="12"/>
        <v>2.5595326779655299</v>
      </c>
      <c r="AO19" s="37">
        <f t="shared" si="13"/>
        <v>1.1812096209231728</v>
      </c>
      <c r="AP19" s="5">
        <f t="shared" si="14"/>
        <v>28</v>
      </c>
    </row>
    <row r="20" spans="1:42" x14ac:dyDescent="0.2">
      <c r="A20" s="9">
        <v>32</v>
      </c>
      <c r="B20" t="s">
        <v>433</v>
      </c>
      <c r="C20" t="s">
        <v>517</v>
      </c>
      <c r="D20">
        <v>34</v>
      </c>
      <c r="E20">
        <v>8</v>
      </c>
      <c r="F20">
        <v>522</v>
      </c>
      <c r="G20">
        <v>15.4</v>
      </c>
      <c r="H20">
        <v>33</v>
      </c>
      <c r="I20">
        <v>90</v>
      </c>
      <c r="J20">
        <v>0.36699999999999999</v>
      </c>
      <c r="K20">
        <v>15</v>
      </c>
      <c r="L20">
        <v>41</v>
      </c>
      <c r="M20">
        <v>0.36599999999999999</v>
      </c>
      <c r="N20" s="37">
        <f t="shared" si="5"/>
        <v>0.30916030534351147</v>
      </c>
      <c r="O20">
        <v>12</v>
      </c>
      <c r="P20">
        <v>17</v>
      </c>
      <c r="Q20">
        <v>0.70599999999999996</v>
      </c>
      <c r="R20">
        <v>20</v>
      </c>
      <c r="S20">
        <v>62</v>
      </c>
      <c r="T20">
        <v>82</v>
      </c>
      <c r="U20">
        <v>2.4</v>
      </c>
      <c r="V20">
        <v>41</v>
      </c>
      <c r="W20">
        <v>55</v>
      </c>
      <c r="X20" s="37">
        <f t="shared" si="0"/>
        <v>1.6176470588235294</v>
      </c>
      <c r="Y20">
        <v>30</v>
      </c>
      <c r="Z20" s="37">
        <f t="shared" si="1"/>
        <v>0.88235294117647056</v>
      </c>
      <c r="AA20" s="37">
        <f t="shared" si="6"/>
        <v>1.8333333333333333</v>
      </c>
      <c r="AB20">
        <v>5</v>
      </c>
      <c r="AC20" s="37">
        <f t="shared" si="2"/>
        <v>0.14705882352941177</v>
      </c>
      <c r="AD20">
        <v>34</v>
      </c>
      <c r="AE20" s="37">
        <f t="shared" si="3"/>
        <v>1</v>
      </c>
      <c r="AF20">
        <v>93</v>
      </c>
      <c r="AG20">
        <v>2.7</v>
      </c>
      <c r="AH20" s="37">
        <f t="shared" si="4"/>
        <v>18.314176245210728</v>
      </c>
      <c r="AI20" s="37">
        <f t="shared" si="7"/>
        <v>47.702092736971686</v>
      </c>
      <c r="AJ20" s="40">
        <f t="shared" si="8"/>
        <v>12.039490839885165</v>
      </c>
      <c r="AK20" s="37">
        <f t="shared" si="9"/>
        <v>16.777098519283484</v>
      </c>
      <c r="AL20" s="37">
        <f t="shared" si="10"/>
        <v>3.9768440671214891</v>
      </c>
      <c r="AM20" s="37">
        <f t="shared" si="11"/>
        <v>2.833265807942853</v>
      </c>
      <c r="AN20" s="37">
        <f t="shared" si="12"/>
        <v>3.2110345823352335</v>
      </c>
      <c r="AO20" s="37">
        <f t="shared" si="13"/>
        <v>1.0024441802087463</v>
      </c>
      <c r="AP20" s="5">
        <f t="shared" si="14"/>
        <v>39</v>
      </c>
    </row>
    <row r="21" spans="1:42" x14ac:dyDescent="0.2">
      <c r="A21" s="9">
        <v>20</v>
      </c>
      <c r="B21" t="s">
        <v>434</v>
      </c>
      <c r="C21" t="s">
        <v>517</v>
      </c>
      <c r="D21">
        <v>20</v>
      </c>
      <c r="E21">
        <v>0</v>
      </c>
      <c r="F21">
        <v>70</v>
      </c>
      <c r="G21">
        <v>3.5</v>
      </c>
      <c r="H21">
        <v>16</v>
      </c>
      <c r="I21">
        <v>31</v>
      </c>
      <c r="J21">
        <v>0.51600000000000001</v>
      </c>
      <c r="K21">
        <v>10</v>
      </c>
      <c r="L21">
        <v>18</v>
      </c>
      <c r="M21">
        <v>0.55600000000000005</v>
      </c>
      <c r="N21" s="37">
        <f t="shared" si="5"/>
        <v>0.42857142857142855</v>
      </c>
      <c r="O21">
        <v>7</v>
      </c>
      <c r="P21">
        <v>11</v>
      </c>
      <c r="Q21">
        <v>0.63600000000000001</v>
      </c>
      <c r="R21">
        <v>8</v>
      </c>
      <c r="S21">
        <v>19</v>
      </c>
      <c r="T21">
        <v>27</v>
      </c>
      <c r="U21">
        <v>1.4</v>
      </c>
      <c r="V21">
        <v>9</v>
      </c>
      <c r="W21">
        <v>3</v>
      </c>
      <c r="X21" s="37">
        <f t="shared" si="0"/>
        <v>0.15</v>
      </c>
      <c r="Y21">
        <v>5</v>
      </c>
      <c r="Z21" s="37">
        <f t="shared" si="1"/>
        <v>0.25</v>
      </c>
      <c r="AA21" s="37">
        <f t="shared" si="6"/>
        <v>0.6</v>
      </c>
      <c r="AB21">
        <v>1</v>
      </c>
      <c r="AC21" s="37">
        <f t="shared" si="2"/>
        <v>0.05</v>
      </c>
      <c r="AD21">
        <v>1</v>
      </c>
      <c r="AE21" s="37">
        <f t="shared" si="3"/>
        <v>0.05</v>
      </c>
      <c r="AF21">
        <v>49</v>
      </c>
      <c r="AG21">
        <v>2.5</v>
      </c>
      <c r="AH21" s="37">
        <f t="shared" si="4"/>
        <v>43.428571428571423</v>
      </c>
      <c r="AI21" s="37">
        <f t="shared" si="7"/>
        <v>68.359374999999986</v>
      </c>
      <c r="AJ21" s="40">
        <f t="shared" si="8"/>
        <v>28.762343076815977</v>
      </c>
      <c r="AK21" s="37">
        <f t="shared" si="9"/>
        <v>9.2630115384941458</v>
      </c>
      <c r="AL21" s="37">
        <f t="shared" si="10"/>
        <v>1.3976617459808496</v>
      </c>
      <c r="AM21" s="37">
        <f t="shared" si="11"/>
        <v>3.521344647014689</v>
      </c>
      <c r="AN21" s="37">
        <f t="shared" si="12"/>
        <v>0.70426892940293773</v>
      </c>
      <c r="AO21" s="37">
        <f t="shared" si="13"/>
        <v>1.4950738916256157</v>
      </c>
      <c r="AP21" s="5">
        <f t="shared" si="14"/>
        <v>2</v>
      </c>
    </row>
    <row r="22" spans="1:42" x14ac:dyDescent="0.2">
      <c r="A22" s="9">
        <v>42</v>
      </c>
      <c r="B22" t="s">
        <v>435</v>
      </c>
      <c r="C22" t="s">
        <v>517</v>
      </c>
      <c r="D22">
        <v>28</v>
      </c>
      <c r="E22">
        <v>0</v>
      </c>
      <c r="F22">
        <v>177</v>
      </c>
      <c r="G22">
        <v>6.3</v>
      </c>
      <c r="H22">
        <v>25</v>
      </c>
      <c r="I22">
        <v>45</v>
      </c>
      <c r="J22">
        <v>0.55600000000000005</v>
      </c>
      <c r="K22">
        <v>3</v>
      </c>
      <c r="L22">
        <v>7</v>
      </c>
      <c r="M22">
        <v>0.42899999999999999</v>
      </c>
      <c r="N22" s="37">
        <f t="shared" si="5"/>
        <v>0.50961538461538458</v>
      </c>
      <c r="O22">
        <v>9</v>
      </c>
      <c r="P22">
        <v>10</v>
      </c>
      <c r="Q22">
        <v>0.9</v>
      </c>
      <c r="R22">
        <v>6</v>
      </c>
      <c r="S22">
        <v>16</v>
      </c>
      <c r="T22">
        <v>22</v>
      </c>
      <c r="U22">
        <v>0.8</v>
      </c>
      <c r="V22">
        <v>9</v>
      </c>
      <c r="W22">
        <v>13</v>
      </c>
      <c r="X22" s="37">
        <f t="shared" si="0"/>
        <v>0.4642857142857143</v>
      </c>
      <c r="Y22">
        <v>13</v>
      </c>
      <c r="Z22" s="37">
        <f t="shared" si="1"/>
        <v>0.4642857142857143</v>
      </c>
      <c r="AA22" s="37">
        <f t="shared" si="6"/>
        <v>1</v>
      </c>
      <c r="AB22">
        <v>2</v>
      </c>
      <c r="AC22" s="37">
        <f t="shared" si="2"/>
        <v>7.1428571428571425E-2</v>
      </c>
      <c r="AD22">
        <v>3</v>
      </c>
      <c r="AE22" s="37">
        <f t="shared" si="3"/>
        <v>0.10714285714285714</v>
      </c>
      <c r="AF22">
        <v>62</v>
      </c>
      <c r="AG22">
        <v>2.2000000000000002</v>
      </c>
      <c r="AH22" s="37">
        <f t="shared" si="4"/>
        <v>20.112994350282488</v>
      </c>
      <c r="AI22" s="37">
        <f t="shared" si="7"/>
        <v>62.753036437246969</v>
      </c>
      <c r="AJ22" s="40">
        <f t="shared" si="8"/>
        <v>17.379924766282663</v>
      </c>
      <c r="AK22" s="37">
        <f t="shared" si="9"/>
        <v>13.35392295813678</v>
      </c>
      <c r="AL22" s="37">
        <f t="shared" si="10"/>
        <v>1.1295532746364154</v>
      </c>
      <c r="AM22" s="37">
        <f t="shared" si="11"/>
        <v>3.6208176596422219</v>
      </c>
      <c r="AN22" s="37">
        <f t="shared" si="12"/>
        <v>0.83557330607128188</v>
      </c>
      <c r="AO22" s="37">
        <f t="shared" si="13"/>
        <v>1.182544321059809</v>
      </c>
      <c r="AP22" s="5">
        <f t="shared" si="14"/>
        <v>5</v>
      </c>
    </row>
    <row r="23" spans="1:42" x14ac:dyDescent="0.2">
      <c r="A23" s="9">
        <v>25</v>
      </c>
      <c r="B23" t="s">
        <v>436</v>
      </c>
      <c r="C23" t="s">
        <v>517</v>
      </c>
      <c r="D23">
        <v>15</v>
      </c>
      <c r="E23">
        <v>1</v>
      </c>
      <c r="F23">
        <v>59</v>
      </c>
      <c r="G23">
        <v>3.9</v>
      </c>
      <c r="H23">
        <v>7</v>
      </c>
      <c r="I23">
        <v>27</v>
      </c>
      <c r="J23">
        <v>0.25900000000000001</v>
      </c>
      <c r="K23">
        <v>5</v>
      </c>
      <c r="L23">
        <v>20</v>
      </c>
      <c r="M23">
        <v>0.25</v>
      </c>
      <c r="N23" s="37">
        <f t="shared" si="5"/>
        <v>0.20212765957446807</v>
      </c>
      <c r="O23">
        <v>5</v>
      </c>
      <c r="P23">
        <v>6</v>
      </c>
      <c r="Q23">
        <v>0.83299999999999996</v>
      </c>
      <c r="R23">
        <v>1</v>
      </c>
      <c r="S23">
        <v>4</v>
      </c>
      <c r="T23">
        <v>5</v>
      </c>
      <c r="U23">
        <v>0.3</v>
      </c>
      <c r="V23">
        <v>4</v>
      </c>
      <c r="W23">
        <v>5</v>
      </c>
      <c r="X23" s="37">
        <f t="shared" si="0"/>
        <v>0.33333333333333331</v>
      </c>
      <c r="Y23">
        <v>4</v>
      </c>
      <c r="Z23" s="37">
        <f t="shared" si="1"/>
        <v>0.26666666666666666</v>
      </c>
      <c r="AA23" s="37">
        <f t="shared" si="6"/>
        <v>1.25</v>
      </c>
      <c r="AB23">
        <v>1</v>
      </c>
      <c r="AC23" s="37">
        <f t="shared" si="2"/>
        <v>6.6666666666666666E-2</v>
      </c>
      <c r="AD23">
        <v>0</v>
      </c>
      <c r="AE23" s="37">
        <f t="shared" si="3"/>
        <v>0</v>
      </c>
      <c r="AF23">
        <v>24</v>
      </c>
      <c r="AG23">
        <v>1.6</v>
      </c>
      <c r="AH23" s="37">
        <f t="shared" si="4"/>
        <v>21.016949152542374</v>
      </c>
      <c r="AI23" s="37">
        <f t="shared" si="7"/>
        <v>40.48582995951417</v>
      </c>
      <c r="AJ23" s="40">
        <f t="shared" si="8"/>
        <v>28.108686016237932</v>
      </c>
      <c r="AK23" s="37">
        <f t="shared" si="9"/>
        <v>14.800245451626932</v>
      </c>
      <c r="AL23" s="37">
        <f t="shared" si="10"/>
        <v>0.27755925346936333</v>
      </c>
      <c r="AM23" s="37">
        <f t="shared" si="11"/>
        <v>3.3422932242851284</v>
      </c>
      <c r="AN23" s="37">
        <f xml:space="preserve"> 100 * (AD23 * ($F$28/5)) / (F23 * ($I$28 + 0.44 * $P$28 + $Y$28))</f>
        <v>0</v>
      </c>
      <c r="AO23" s="37">
        <f t="shared" si="13"/>
        <v>1.7738164815897137</v>
      </c>
      <c r="AP23" s="5">
        <f t="shared" si="14"/>
        <v>1</v>
      </c>
    </row>
    <row r="24" spans="1:42" x14ac:dyDescent="0.2">
      <c r="A24" s="9">
        <v>31</v>
      </c>
      <c r="B24" t="s">
        <v>437</v>
      </c>
      <c r="C24" t="s">
        <v>518</v>
      </c>
      <c r="D24">
        <v>2</v>
      </c>
      <c r="E24">
        <v>0</v>
      </c>
      <c r="F24">
        <v>9</v>
      </c>
      <c r="G24">
        <v>4.5</v>
      </c>
      <c r="H24">
        <v>1</v>
      </c>
      <c r="I24">
        <v>3</v>
      </c>
      <c r="J24">
        <v>0.33300000000000002</v>
      </c>
      <c r="K24">
        <v>0</v>
      </c>
      <c r="L24">
        <v>0</v>
      </c>
      <c r="M24">
        <v>0</v>
      </c>
      <c r="N24" s="37">
        <f t="shared" si="5"/>
        <v>0.33333333333333331</v>
      </c>
      <c r="O24">
        <v>0</v>
      </c>
      <c r="P24">
        <v>0</v>
      </c>
      <c r="Q24">
        <v>0</v>
      </c>
      <c r="R24">
        <v>1</v>
      </c>
      <c r="S24">
        <v>3</v>
      </c>
      <c r="T24">
        <v>4</v>
      </c>
      <c r="U24">
        <v>2</v>
      </c>
      <c r="V24">
        <v>3</v>
      </c>
      <c r="W24">
        <v>0</v>
      </c>
      <c r="X24" s="37">
        <f t="shared" si="0"/>
        <v>0</v>
      </c>
      <c r="Y24">
        <v>1</v>
      </c>
      <c r="Z24" s="37">
        <f t="shared" si="1"/>
        <v>0.5</v>
      </c>
      <c r="AA24" s="37">
        <f t="shared" si="6"/>
        <v>0</v>
      </c>
      <c r="AB24">
        <v>0</v>
      </c>
      <c r="AC24" s="37">
        <f t="shared" si="2"/>
        <v>0</v>
      </c>
      <c r="AD24">
        <v>0</v>
      </c>
      <c r="AE24" s="37">
        <f t="shared" si="3"/>
        <v>0</v>
      </c>
      <c r="AF24">
        <v>2</v>
      </c>
      <c r="AG24">
        <v>1</v>
      </c>
      <c r="AH24" s="37">
        <f t="shared" si="4"/>
        <v>22.222222222222221</v>
      </c>
      <c r="AI24" s="37">
        <f t="shared" si="7"/>
        <v>33.333333333333329</v>
      </c>
      <c r="AJ24" s="40">
        <f t="shared" si="8"/>
        <v>21.910588914758062</v>
      </c>
      <c r="AK24" s="37">
        <f t="shared" si="9"/>
        <v>0</v>
      </c>
      <c r="AL24" s="37">
        <f t="shared" si="10"/>
        <v>0.2172012849499253</v>
      </c>
      <c r="AM24" s="37">
        <f t="shared" si="11"/>
        <v>5.4776472286895155</v>
      </c>
      <c r="AN24" s="37">
        <f t="shared" si="12"/>
        <v>0</v>
      </c>
      <c r="AO24" s="37">
        <f t="shared" si="13"/>
        <v>0</v>
      </c>
      <c r="AP24" s="5">
        <f t="shared" si="14"/>
        <v>0</v>
      </c>
    </row>
    <row r="25" spans="1:42" x14ac:dyDescent="0.2">
      <c r="A25" s="9">
        <v>33</v>
      </c>
      <c r="B25" t="s">
        <v>438</v>
      </c>
      <c r="C25" t="s">
        <v>518</v>
      </c>
      <c r="D25">
        <v>20</v>
      </c>
      <c r="E25">
        <v>0</v>
      </c>
      <c r="F25">
        <v>94</v>
      </c>
      <c r="G25">
        <v>4.7</v>
      </c>
      <c r="H25">
        <v>6</v>
      </c>
      <c r="I25">
        <v>23</v>
      </c>
      <c r="J25">
        <v>0.26100000000000001</v>
      </c>
      <c r="K25">
        <v>3</v>
      </c>
      <c r="L25">
        <v>17</v>
      </c>
      <c r="M25">
        <v>0.17599999999999999</v>
      </c>
      <c r="N25" s="37">
        <f t="shared" si="5"/>
        <v>0.1875</v>
      </c>
      <c r="O25">
        <v>0</v>
      </c>
      <c r="P25">
        <v>2</v>
      </c>
      <c r="Q25">
        <v>0</v>
      </c>
      <c r="R25">
        <v>1</v>
      </c>
      <c r="S25">
        <v>10</v>
      </c>
      <c r="T25">
        <v>11</v>
      </c>
      <c r="U25">
        <v>0.6</v>
      </c>
      <c r="V25">
        <v>6</v>
      </c>
      <c r="W25">
        <v>1</v>
      </c>
      <c r="X25" s="37">
        <f t="shared" si="0"/>
        <v>0.05</v>
      </c>
      <c r="Y25">
        <v>3</v>
      </c>
      <c r="Z25" s="37">
        <f t="shared" si="1"/>
        <v>0.15</v>
      </c>
      <c r="AA25" s="37">
        <f t="shared" si="6"/>
        <v>0.33333333333333331</v>
      </c>
      <c r="AB25">
        <v>5</v>
      </c>
      <c r="AC25" s="37">
        <f t="shared" si="2"/>
        <v>0.25</v>
      </c>
      <c r="AD25">
        <v>2</v>
      </c>
      <c r="AE25" s="37">
        <f t="shared" si="3"/>
        <v>0.1</v>
      </c>
      <c r="AF25">
        <v>15</v>
      </c>
      <c r="AG25">
        <v>0.8</v>
      </c>
      <c r="AH25" s="37">
        <f t="shared" si="4"/>
        <v>13.191489361702127</v>
      </c>
      <c r="AI25" s="37">
        <f t="shared" si="7"/>
        <v>31.4070351758794</v>
      </c>
      <c r="AJ25" s="40">
        <f t="shared" si="8"/>
        <v>14.09736614430391</v>
      </c>
      <c r="AK25" s="37">
        <f t="shared" si="9"/>
        <v>1.6955859827834239</v>
      </c>
      <c r="AL25" s="37">
        <f t="shared" si="10"/>
        <v>0.64945277937579071</v>
      </c>
      <c r="AM25" s="37">
        <f t="shared" si="11"/>
        <v>1.5733667571767755</v>
      </c>
      <c r="AN25" s="37">
        <f t="shared" si="12"/>
        <v>1.0489111714511838</v>
      </c>
      <c r="AO25" s="37">
        <f t="shared" si="13"/>
        <v>5.5667644900953777</v>
      </c>
      <c r="AP25" s="5">
        <f t="shared" si="14"/>
        <v>7</v>
      </c>
    </row>
    <row r="26" spans="1:42" x14ac:dyDescent="0.2">
      <c r="A26" s="9">
        <v>1</v>
      </c>
      <c r="B26" t="s">
        <v>439</v>
      </c>
      <c r="C26" t="s">
        <v>517</v>
      </c>
      <c r="D26">
        <v>5</v>
      </c>
      <c r="E26">
        <v>0</v>
      </c>
      <c r="F26">
        <v>19</v>
      </c>
      <c r="G26">
        <v>3.8</v>
      </c>
      <c r="H26">
        <v>1</v>
      </c>
      <c r="I26">
        <v>4</v>
      </c>
      <c r="J26">
        <v>0.25</v>
      </c>
      <c r="K26">
        <v>1</v>
      </c>
      <c r="L26">
        <v>4</v>
      </c>
      <c r="M26">
        <v>0.25</v>
      </c>
      <c r="N26" s="37">
        <f t="shared" si="5"/>
        <v>0.1875</v>
      </c>
      <c r="O26">
        <v>0</v>
      </c>
      <c r="P26">
        <v>4</v>
      </c>
      <c r="Q26">
        <v>0</v>
      </c>
      <c r="R26">
        <v>1</v>
      </c>
      <c r="S26">
        <v>1</v>
      </c>
      <c r="T26">
        <v>2</v>
      </c>
      <c r="U26">
        <v>0.4</v>
      </c>
      <c r="V26">
        <v>0</v>
      </c>
      <c r="W26">
        <v>3</v>
      </c>
      <c r="X26" s="37">
        <f t="shared" si="0"/>
        <v>0.6</v>
      </c>
      <c r="Y26">
        <v>4</v>
      </c>
      <c r="Z26" s="37">
        <f t="shared" si="1"/>
        <v>0.8</v>
      </c>
      <c r="AA26" s="37">
        <f t="shared" si="6"/>
        <v>0.75</v>
      </c>
      <c r="AB26">
        <v>0</v>
      </c>
      <c r="AC26" s="37">
        <f t="shared" si="2"/>
        <v>0</v>
      </c>
      <c r="AD26">
        <v>0</v>
      </c>
      <c r="AE26" s="37">
        <f t="shared" si="3"/>
        <v>0</v>
      </c>
      <c r="AF26">
        <v>3</v>
      </c>
      <c r="AG26">
        <v>0.6</v>
      </c>
      <c r="AH26" s="37">
        <f t="shared" si="4"/>
        <v>8.4210526315789469</v>
      </c>
      <c r="AI26" s="37">
        <f t="shared" si="7"/>
        <v>26.041666666666668</v>
      </c>
      <c r="AJ26" s="40">
        <f t="shared" si="8"/>
        <v>25.324028029899313</v>
      </c>
      <c r="AK26" s="37">
        <f t="shared" si="9"/>
        <v>24.724771161222435</v>
      </c>
      <c r="AL26" s="37">
        <f t="shared" si="10"/>
        <v>8.9165815831111814E-2</v>
      </c>
      <c r="AM26" s="37">
        <f xml:space="preserve"> 100 * (Y26 * ($F$28/5)) / (F26 * ($I$28 + 0.44*$P$28 + $Y$28))</f>
        <v>10.37870001225382</v>
      </c>
      <c r="AN26" s="37">
        <f t="shared" si="12"/>
        <v>0</v>
      </c>
      <c r="AO26" s="37">
        <f t="shared" si="13"/>
        <v>0</v>
      </c>
      <c r="AP26" s="5">
        <f t="shared" si="14"/>
        <v>0</v>
      </c>
    </row>
    <row r="27" spans="1:42" ht="17" thickBot="1" x14ac:dyDescent="0.25">
      <c r="A27" s="3">
        <v>13</v>
      </c>
      <c r="B27" s="4" t="s">
        <v>440</v>
      </c>
      <c r="C27" s="4" t="s">
        <v>518</v>
      </c>
      <c r="D27" s="4">
        <v>4</v>
      </c>
      <c r="E27" s="4">
        <v>0</v>
      </c>
      <c r="F27" s="4">
        <v>15</v>
      </c>
      <c r="G27" s="4">
        <v>3.8</v>
      </c>
      <c r="H27" s="4">
        <v>0</v>
      </c>
      <c r="I27" s="4">
        <v>2</v>
      </c>
      <c r="J27" s="4">
        <v>0</v>
      </c>
      <c r="K27" s="4">
        <v>0</v>
      </c>
      <c r="L27" s="4">
        <v>1</v>
      </c>
      <c r="M27" s="4">
        <v>0</v>
      </c>
      <c r="N27" s="17">
        <f t="shared" si="5"/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3</v>
      </c>
      <c r="W27" s="4">
        <v>0</v>
      </c>
      <c r="X27" s="17">
        <f t="shared" si="0"/>
        <v>0</v>
      </c>
      <c r="Y27" s="4">
        <v>1</v>
      </c>
      <c r="Z27" s="17">
        <f t="shared" si="1"/>
        <v>0.25</v>
      </c>
      <c r="AA27" s="17">
        <f t="shared" si="6"/>
        <v>0</v>
      </c>
      <c r="AB27" s="4">
        <v>0</v>
      </c>
      <c r="AC27" s="17">
        <f t="shared" si="2"/>
        <v>0</v>
      </c>
      <c r="AD27" s="4">
        <v>2</v>
      </c>
      <c r="AE27" s="17">
        <f t="shared" si="3"/>
        <v>0.5</v>
      </c>
      <c r="AF27" s="4">
        <v>0</v>
      </c>
      <c r="AG27" s="4">
        <v>0</v>
      </c>
      <c r="AH27" s="17">
        <f t="shared" si="4"/>
        <v>2.6666666666666665</v>
      </c>
      <c r="AI27" s="17">
        <f t="shared" si="7"/>
        <v>0</v>
      </c>
      <c r="AJ27" s="41">
        <f t="shared" si="8"/>
        <v>9.8597650116411284</v>
      </c>
      <c r="AK27" s="17">
        <f t="shared" si="9"/>
        <v>0</v>
      </c>
      <c r="AL27" s="17">
        <f t="shared" si="10"/>
        <v>0</v>
      </c>
      <c r="AM27" s="17">
        <f t="shared" si="11"/>
        <v>3.2865883372137095</v>
      </c>
      <c r="AN27" s="17">
        <f t="shared" si="12"/>
        <v>6.5731766744274189</v>
      </c>
      <c r="AO27" s="17">
        <f xml:space="preserve"> 100 * (AB27 * ($F$28/5)) / (F27 * ($I$29 - $L$29))</f>
        <v>0</v>
      </c>
      <c r="AP27" s="56">
        <f t="shared" si="14"/>
        <v>2</v>
      </c>
    </row>
    <row r="28" spans="1:42" x14ac:dyDescent="0.2">
      <c r="B28" s="1" t="s">
        <v>441</v>
      </c>
      <c r="C28" s="2"/>
      <c r="D28" s="2">
        <v>36</v>
      </c>
      <c r="E28" s="2"/>
      <c r="F28" s="2">
        <v>7284</v>
      </c>
      <c r="G28" s="2">
        <v>202.3</v>
      </c>
      <c r="H28" s="2">
        <v>1007</v>
      </c>
      <c r="I28" s="2">
        <v>2227</v>
      </c>
      <c r="J28" s="2">
        <v>0.45200000000000001</v>
      </c>
      <c r="K28" s="2">
        <v>335</v>
      </c>
      <c r="L28" s="2">
        <v>959</v>
      </c>
      <c r="M28" s="2">
        <v>0.34899999999999998</v>
      </c>
      <c r="N28" s="16">
        <f>(H28+(0.5*K28))/(L28+I28)</f>
        <v>0.36864406779661019</v>
      </c>
      <c r="O28" s="2">
        <v>445</v>
      </c>
      <c r="P28" s="2">
        <v>616</v>
      </c>
      <c r="Q28" s="2">
        <v>0.72199999999999998</v>
      </c>
      <c r="R28" s="2">
        <v>355</v>
      </c>
      <c r="S28" s="2">
        <v>976</v>
      </c>
      <c r="T28" s="2">
        <v>1331</v>
      </c>
      <c r="U28" s="2">
        <v>37</v>
      </c>
      <c r="V28" s="2">
        <v>539</v>
      </c>
      <c r="W28" s="2">
        <v>591</v>
      </c>
      <c r="X28" s="16">
        <f>W28 / D28</f>
        <v>16.416666666666668</v>
      </c>
      <c r="Y28" s="2">
        <v>457</v>
      </c>
      <c r="Z28" s="16">
        <f t="shared" si="1"/>
        <v>12.694444444444445</v>
      </c>
      <c r="AA28" s="16">
        <f>W28/Y28</f>
        <v>1.2932166301969366</v>
      </c>
      <c r="AB28" s="2">
        <v>176</v>
      </c>
      <c r="AC28" s="16">
        <f t="shared" si="2"/>
        <v>4.8888888888888893</v>
      </c>
      <c r="AD28" s="2">
        <v>266</v>
      </c>
      <c r="AE28" s="16">
        <f t="shared" si="3"/>
        <v>7.3888888888888893</v>
      </c>
      <c r="AF28" s="2">
        <v>2794</v>
      </c>
      <c r="AG28" s="2">
        <v>77.61</v>
      </c>
      <c r="AH28" s="16">
        <f>SUM(AH10*F10,AH11*F11,AH12*F12,AH13*F13,AH14*F14,AH15*F15,AH16*F16,AH17*F17,AH18*F18,AH19*F19,AH20*F20,AH21*F21,AH22*F22,AH23*F23,AH24*F24,AH25*F25,AH26*F26,AH27*F27)/F28</f>
        <v>25.820977484898407</v>
      </c>
      <c r="AI28" s="16">
        <f t="shared" si="7"/>
        <v>55.923844293926436</v>
      </c>
      <c r="AJ28" s="2"/>
      <c r="AK28" s="2"/>
      <c r="AL28" s="2"/>
      <c r="AM28" s="2"/>
      <c r="AN28" s="2"/>
      <c r="AO28" s="2"/>
      <c r="AP28" s="44"/>
    </row>
    <row r="29" spans="1:42" ht="17" thickBot="1" x14ac:dyDescent="0.25">
      <c r="B29" s="3" t="s">
        <v>186</v>
      </c>
      <c r="C29" s="4"/>
      <c r="D29" s="4"/>
      <c r="E29" s="4"/>
      <c r="F29" s="4">
        <v>7259</v>
      </c>
      <c r="G29" s="4">
        <v>201.6</v>
      </c>
      <c r="H29" s="4">
        <v>766</v>
      </c>
      <c r="I29" s="4">
        <v>2164</v>
      </c>
      <c r="J29" s="4">
        <v>0.35399999999999998</v>
      </c>
      <c r="K29" s="4">
        <v>228</v>
      </c>
      <c r="L29" s="4">
        <v>772</v>
      </c>
      <c r="M29" s="4">
        <v>0.29499999999999998</v>
      </c>
      <c r="N29" s="17">
        <f>(H29+(0.5*K29))/(L29+I29)</f>
        <v>0.29972752043596729</v>
      </c>
      <c r="O29" s="4">
        <v>374</v>
      </c>
      <c r="P29" s="4">
        <v>553</v>
      </c>
      <c r="Q29" s="4">
        <v>0.67600000000000005</v>
      </c>
      <c r="R29" s="4">
        <v>312</v>
      </c>
      <c r="S29" s="4">
        <v>788</v>
      </c>
      <c r="T29" s="4">
        <v>1100</v>
      </c>
      <c r="U29" s="4">
        <v>30.6</v>
      </c>
      <c r="V29" s="4">
        <v>624</v>
      </c>
      <c r="W29" s="4">
        <v>367</v>
      </c>
      <c r="X29" s="17">
        <f>W29/D28</f>
        <v>10.194444444444445</v>
      </c>
      <c r="Y29" s="4">
        <v>492</v>
      </c>
      <c r="Z29" s="17">
        <f>Y29/D28</f>
        <v>13.666666666666666</v>
      </c>
      <c r="AA29" s="17">
        <f>W29/Y29</f>
        <v>0.74593495934959353</v>
      </c>
      <c r="AB29" s="4">
        <v>83</v>
      </c>
      <c r="AC29" s="17">
        <f>AB29/D28</f>
        <v>2.3055555555555554</v>
      </c>
      <c r="AD29" s="4">
        <v>229</v>
      </c>
      <c r="AE29" s="17">
        <f>AD29/D28</f>
        <v>6.3611111111111107</v>
      </c>
      <c r="AF29" s="4">
        <v>2134</v>
      </c>
      <c r="AG29" s="4">
        <v>59.28</v>
      </c>
      <c r="AH29" s="4"/>
      <c r="AI29" s="17">
        <f t="shared" si="7"/>
        <v>44.323147732748446</v>
      </c>
      <c r="AJ29" s="4"/>
      <c r="AK29" s="4"/>
      <c r="AL29" s="4"/>
      <c r="AM29" s="4"/>
      <c r="AN29" s="4"/>
      <c r="AO29" s="4"/>
      <c r="AP29" s="56"/>
    </row>
    <row r="74" spans="1:1" x14ac:dyDescent="0.2">
      <c r="A7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1265-2B72-FA4A-A4DF-348C5D104E02}">
  <dimension ref="A1:AQ26"/>
  <sheetViews>
    <sheetView topLeftCell="A4" zoomScale="106" workbookViewId="0">
      <selection activeCell="AQ16" sqref="AQ16"/>
    </sheetView>
  </sheetViews>
  <sheetFormatPr baseColWidth="10" defaultRowHeight="16" x14ac:dyDescent="0.2"/>
  <cols>
    <col min="1" max="1" width="17.83203125" customWidth="1"/>
    <col min="2" max="2" width="18.33203125" bestFit="1" customWidth="1"/>
    <col min="3" max="3" width="18.33203125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</row>
    <row r="2" spans="1:42" ht="17" thickBot="1" x14ac:dyDescent="0.25">
      <c r="A2" s="10" t="s">
        <v>476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1</v>
      </c>
      <c r="T2" s="6"/>
      <c r="V2" s="61" t="s">
        <v>508</v>
      </c>
      <c r="W2" s="62">
        <v>14.602</v>
      </c>
    </row>
    <row r="3" spans="1:42" ht="17" thickBot="1" x14ac:dyDescent="0.25">
      <c r="A3" s="20"/>
      <c r="B3" s="3">
        <v>33</v>
      </c>
      <c r="C3" s="4"/>
      <c r="D3" s="7">
        <v>4</v>
      </c>
      <c r="E3" s="3">
        <v>19</v>
      </c>
      <c r="F3" s="7">
        <v>3</v>
      </c>
      <c r="G3" s="3">
        <v>17</v>
      </c>
      <c r="H3" s="7">
        <v>1</v>
      </c>
      <c r="I3" s="3">
        <v>12</v>
      </c>
      <c r="J3" s="7">
        <v>3</v>
      </c>
      <c r="K3" s="3">
        <v>4</v>
      </c>
      <c r="L3" s="22">
        <v>0</v>
      </c>
      <c r="N3" s="3" t="s">
        <v>488</v>
      </c>
      <c r="O3" s="4"/>
      <c r="P3" s="4"/>
      <c r="Q3" s="4"/>
      <c r="R3" s="4"/>
      <c r="S3" s="4"/>
      <c r="T3" s="7"/>
    </row>
    <row r="6" spans="1:42" ht="17" x14ac:dyDescent="0.25">
      <c r="D6" s="47" t="s">
        <v>476</v>
      </c>
    </row>
    <row r="7" spans="1:42" ht="17" thickBot="1" x14ac:dyDescent="0.25"/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33</v>
      </c>
      <c r="B10" s="2" t="s">
        <v>453</v>
      </c>
      <c r="C10" s="2" t="s">
        <v>518</v>
      </c>
      <c r="D10" s="2">
        <v>37</v>
      </c>
      <c r="E10" s="2">
        <v>37</v>
      </c>
      <c r="F10" s="2">
        <v>919</v>
      </c>
      <c r="G10" s="2">
        <v>24.8</v>
      </c>
      <c r="H10" s="2">
        <v>187</v>
      </c>
      <c r="I10" s="2">
        <v>388</v>
      </c>
      <c r="J10" s="2">
        <v>48.2</v>
      </c>
      <c r="K10" s="2">
        <v>37</v>
      </c>
      <c r="L10" s="2">
        <v>94</v>
      </c>
      <c r="M10" s="2">
        <v>39.4</v>
      </c>
      <c r="N10" s="16">
        <f>(H10+(0.5*K10))/(L10+I10)</f>
        <v>0.42634854771784231</v>
      </c>
      <c r="O10" s="2">
        <v>72</v>
      </c>
      <c r="P10" s="2">
        <v>98</v>
      </c>
      <c r="Q10" s="2">
        <v>73.5</v>
      </c>
      <c r="R10" s="2">
        <v>62</v>
      </c>
      <c r="S10" s="2">
        <v>108</v>
      </c>
      <c r="T10" s="2">
        <f>S10+R10</f>
        <v>170</v>
      </c>
      <c r="U10" s="2">
        <v>4.5999999999999996</v>
      </c>
      <c r="V10" s="2">
        <v>65</v>
      </c>
      <c r="W10" s="2">
        <v>61</v>
      </c>
      <c r="X10" s="16">
        <f t="shared" ref="X10:X24" si="0">W10/D10</f>
        <v>1.6486486486486487</v>
      </c>
      <c r="Y10" s="2">
        <v>57</v>
      </c>
      <c r="Z10" s="16">
        <f t="shared" ref="Z10:Z25" si="1">Y10/D10</f>
        <v>1.5405405405405406</v>
      </c>
      <c r="AA10" s="16">
        <f>W10/Y10</f>
        <v>1.0701754385964912</v>
      </c>
      <c r="AB10" s="2">
        <v>14</v>
      </c>
      <c r="AC10" s="16">
        <f t="shared" ref="AC10:AC25" si="2">AB10/D10</f>
        <v>0.3783783783783784</v>
      </c>
      <c r="AD10" s="2">
        <v>63</v>
      </c>
      <c r="AE10" s="16">
        <f t="shared" ref="AE10:AE25" si="3">AD10/D10</f>
        <v>1.7027027027027026</v>
      </c>
      <c r="AF10" s="2">
        <v>483</v>
      </c>
      <c r="AG10" s="2">
        <v>13.1</v>
      </c>
      <c r="AH10" s="16">
        <f t="shared" ref="AH10:AH24" si="4">((AF10+T10+W10+AD10+AB10-Y10)/F10)*40</f>
        <v>31.947769314472254</v>
      </c>
      <c r="AI10" s="16">
        <f xml:space="preserve"> AF10 / (2 * (I10 + 0.44 * P10)) * 100</f>
        <v>56.016886249768049</v>
      </c>
      <c r="AJ10" s="39">
        <f xml:space="preserve"> ((I10 + 0.44*P10 + Y10) * ($F$25/5)) / (F10 * ($I$25 + 0.44*$P$25 + $Y$25)) * 100</f>
        <v>24.514375290309328</v>
      </c>
      <c r="AK10" s="16">
        <f xml:space="preserve"> 100 * (W10 / ( ( (F10 / ($F$25/5)) * $H$25 ) - H10 ) )</f>
        <v>14.763769943717749</v>
      </c>
      <c r="AL10" s="16">
        <f xml:space="preserve"> (100 * (R10 * ($F$25/5)) / (F10 * $R$25+ ($F$25 - F10) * $S$26)) + (100 * (S10 * ($F$25/5)) / (F10 * $S$25 + ($F$25 - F10) * $R$26))</f>
        <v>6.2785806519941314</v>
      </c>
      <c r="AM10" s="16">
        <f xml:space="preserve"> 100 * (Y10 * ($F$25/5)) / (F10 * ($I$25 + 0.44*$P$25 + $Y$25))</f>
        <v>2.8626554772343518</v>
      </c>
      <c r="AN10" s="16">
        <f xml:space="preserve"> 100 * (AD10 * ($F$25/5)) / (F10 * ($I$25 + 0.44 * $P$25 + $Y$25))</f>
        <v>3.1639876327327037</v>
      </c>
      <c r="AO10" s="16">
        <f xml:space="preserve"> 100 * (AB10 * ($F$25/5)) / (F10 * ($I$26 - $L$26))</f>
        <v>1.4703192646956682</v>
      </c>
      <c r="AP10" s="44">
        <f>AD10+AB10</f>
        <v>77</v>
      </c>
    </row>
    <row r="11" spans="1:42" x14ac:dyDescent="0.2">
      <c r="A11" s="9">
        <v>22</v>
      </c>
      <c r="B11" t="s">
        <v>454</v>
      </c>
      <c r="C11" t="s">
        <v>521</v>
      </c>
      <c r="D11">
        <v>37</v>
      </c>
      <c r="E11">
        <v>37</v>
      </c>
      <c r="F11">
        <v>869</v>
      </c>
      <c r="G11">
        <v>23.5</v>
      </c>
      <c r="H11">
        <v>146</v>
      </c>
      <c r="I11">
        <v>298</v>
      </c>
      <c r="J11">
        <v>49</v>
      </c>
      <c r="K11">
        <v>16</v>
      </c>
      <c r="L11">
        <v>55</v>
      </c>
      <c r="M11">
        <v>29.1</v>
      </c>
      <c r="N11" s="37">
        <f t="shared" ref="N11:N24" si="5">(H11+(0.5*K11))/(L11+I11)</f>
        <v>0.43626062322946174</v>
      </c>
      <c r="O11">
        <v>115</v>
      </c>
      <c r="P11">
        <v>146</v>
      </c>
      <c r="Q11">
        <v>78.8</v>
      </c>
      <c r="R11">
        <v>90</v>
      </c>
      <c r="S11">
        <v>139</v>
      </c>
      <c r="T11">
        <f t="shared" ref="T11:T24" si="6">S11+R11</f>
        <v>229</v>
      </c>
      <c r="U11">
        <v>6.2</v>
      </c>
      <c r="V11">
        <v>47</v>
      </c>
      <c r="W11">
        <v>46</v>
      </c>
      <c r="X11" s="37">
        <f t="shared" si="0"/>
        <v>1.2432432432432432</v>
      </c>
      <c r="Y11">
        <v>77</v>
      </c>
      <c r="Z11" s="37">
        <f t="shared" si="1"/>
        <v>2.0810810810810811</v>
      </c>
      <c r="AA11" s="37">
        <f t="shared" ref="AA11:AA24" si="7">W11/Y11</f>
        <v>0.59740259740259738</v>
      </c>
      <c r="AB11">
        <v>37</v>
      </c>
      <c r="AC11" s="37">
        <f t="shared" si="2"/>
        <v>1</v>
      </c>
      <c r="AD11">
        <v>19</v>
      </c>
      <c r="AE11" s="37">
        <f t="shared" si="3"/>
        <v>0.51351351351351349</v>
      </c>
      <c r="AF11">
        <v>423</v>
      </c>
      <c r="AG11">
        <v>11.4</v>
      </c>
      <c r="AH11" s="37">
        <f t="shared" si="4"/>
        <v>31.162255466052933</v>
      </c>
      <c r="AI11" s="37">
        <f t="shared" ref="AI11:AI26" si="8" xml:space="preserve"> AF11 / (2 * (I11 + 0.44 * P11)) * 100</f>
        <v>58.386704946996474</v>
      </c>
      <c r="AJ11" s="40">
        <f t="shared" ref="AJ11:AJ24" si="9" xml:space="preserve"> ((I11 + 0.44*P11 + Y11) * ($F$25/5)) / (F11 * ($I$25 + 0.44*$P$25 + $Y$25)) * 100</f>
        <v>23.328770227584901</v>
      </c>
      <c r="AK11" s="37">
        <f t="shared" ref="AK11:AK24" si="10" xml:space="preserve"> 100 * (W11 / ( ( (F11 / ($F$25/5)) * $H$25 ) - H11 ) )</f>
        <v>10.91288726648955</v>
      </c>
      <c r="AL11" s="37">
        <f t="shared" ref="AL11:AL24" si="11" xml:space="preserve"> (100 * (R11 * ($F$25/5)) / (F11 * $R$25+ ($F$25 - F11) * $S$26)) + (100 * (S11 * ($F$25/5)) / (F11 * $S$25 + ($F$25 - F11) * $R$26))</f>
        <v>8.3940853271930482</v>
      </c>
      <c r="AM11" s="37">
        <f t="shared" ref="AM11:AM24" si="12" xml:space="preserve"> 100 * (Y11 * ($F$25/5)) / (F11 * ($I$25 + 0.44*$P$25 + $Y$25))</f>
        <v>4.089598642027223</v>
      </c>
      <c r="AN11" s="37">
        <f t="shared" ref="AN11:AN24" si="13" xml:space="preserve"> 100 * (AD11 * ($F$25/5)) / (F11 * ($I$25 + 0.44 * $P$25 + $Y$25))</f>
        <v>1.0091217428378862</v>
      </c>
      <c r="AO11" s="37">
        <f t="shared" ref="AO11:AO24" si="14" xml:space="preserve"> 100 * (AB11 * ($F$25/5)) / (F11 * ($I$26 - $L$26))</f>
        <v>4.1094251156868991</v>
      </c>
      <c r="AP11" s="5">
        <f t="shared" ref="AP11:AP24" si="15">AD11+AB11</f>
        <v>56</v>
      </c>
    </row>
    <row r="12" spans="1:42" x14ac:dyDescent="0.2">
      <c r="A12" s="9">
        <v>5</v>
      </c>
      <c r="B12" t="s">
        <v>455</v>
      </c>
      <c r="C12" t="s">
        <v>517</v>
      </c>
      <c r="D12">
        <v>37</v>
      </c>
      <c r="E12">
        <v>37</v>
      </c>
      <c r="F12">
        <v>1003</v>
      </c>
      <c r="G12">
        <v>27.1</v>
      </c>
      <c r="H12">
        <v>136</v>
      </c>
      <c r="I12">
        <v>316</v>
      </c>
      <c r="J12">
        <v>43</v>
      </c>
      <c r="K12">
        <v>35</v>
      </c>
      <c r="L12">
        <v>102</v>
      </c>
      <c r="M12">
        <v>34.299999999999997</v>
      </c>
      <c r="N12" s="37">
        <f t="shared" si="5"/>
        <v>0.36722488038277512</v>
      </c>
      <c r="O12">
        <v>90</v>
      </c>
      <c r="P12">
        <v>110</v>
      </c>
      <c r="Q12">
        <v>81.8</v>
      </c>
      <c r="R12">
        <v>88</v>
      </c>
      <c r="S12">
        <v>192</v>
      </c>
      <c r="T12">
        <f t="shared" si="6"/>
        <v>280</v>
      </c>
      <c r="U12">
        <v>7.6</v>
      </c>
      <c r="V12">
        <v>63</v>
      </c>
      <c r="W12">
        <v>99</v>
      </c>
      <c r="X12" s="37">
        <f t="shared" si="0"/>
        <v>2.6756756756756759</v>
      </c>
      <c r="Y12">
        <v>73</v>
      </c>
      <c r="Z12" s="37">
        <f t="shared" si="1"/>
        <v>1.972972972972973</v>
      </c>
      <c r="AA12" s="37">
        <f t="shared" si="7"/>
        <v>1.3561643835616439</v>
      </c>
      <c r="AB12">
        <v>11</v>
      </c>
      <c r="AC12" s="37">
        <f t="shared" si="2"/>
        <v>0.29729729729729731</v>
      </c>
      <c r="AD12">
        <v>60</v>
      </c>
      <c r="AE12" s="37">
        <f t="shared" si="3"/>
        <v>1.6216216216216217</v>
      </c>
      <c r="AF12">
        <v>397</v>
      </c>
      <c r="AG12">
        <v>10.7</v>
      </c>
      <c r="AH12" s="37">
        <f t="shared" si="4"/>
        <v>30.867397806580257</v>
      </c>
      <c r="AI12" s="37">
        <f t="shared" si="8"/>
        <v>54.473106476399572</v>
      </c>
      <c r="AJ12" s="40">
        <f t="shared" si="9"/>
        <v>20.127395703716545</v>
      </c>
      <c r="AK12" s="37">
        <f t="shared" si="10"/>
        <v>19.073979887086516</v>
      </c>
      <c r="AL12" s="37">
        <f t="shared" si="11"/>
        <v>10.47074932470338</v>
      </c>
      <c r="AM12" s="37">
        <f t="shared" si="12"/>
        <v>3.3591675500029896</v>
      </c>
      <c r="AN12" s="37">
        <f t="shared" si="13"/>
        <v>2.7609596301394439</v>
      </c>
      <c r="AO12" s="37">
        <f t="shared" si="14"/>
        <v>1.0585000318194351</v>
      </c>
      <c r="AP12" s="5">
        <f t="shared" si="15"/>
        <v>71</v>
      </c>
    </row>
    <row r="13" spans="1:42" x14ac:dyDescent="0.2">
      <c r="A13" s="9">
        <v>12</v>
      </c>
      <c r="B13" t="s">
        <v>456</v>
      </c>
      <c r="C13" t="s">
        <v>518</v>
      </c>
      <c r="D13">
        <v>37</v>
      </c>
      <c r="E13">
        <v>2</v>
      </c>
      <c r="F13">
        <v>607</v>
      </c>
      <c r="G13">
        <v>16.399999999999999</v>
      </c>
      <c r="H13">
        <v>143</v>
      </c>
      <c r="I13">
        <v>293</v>
      </c>
      <c r="J13">
        <v>48.8</v>
      </c>
      <c r="K13">
        <v>0</v>
      </c>
      <c r="L13">
        <v>0</v>
      </c>
      <c r="M13">
        <v>0</v>
      </c>
      <c r="N13" s="37">
        <f t="shared" si="5"/>
        <v>0.48805460750853241</v>
      </c>
      <c r="O13">
        <v>91</v>
      </c>
      <c r="P13">
        <v>139</v>
      </c>
      <c r="Q13">
        <v>65.5</v>
      </c>
      <c r="R13">
        <v>78</v>
      </c>
      <c r="S13">
        <v>105</v>
      </c>
      <c r="T13">
        <f t="shared" si="6"/>
        <v>183</v>
      </c>
      <c r="U13">
        <v>4.9000000000000004</v>
      </c>
      <c r="V13">
        <v>101</v>
      </c>
      <c r="W13">
        <v>28</v>
      </c>
      <c r="X13" s="37">
        <f t="shared" si="0"/>
        <v>0.7567567567567568</v>
      </c>
      <c r="Y13">
        <v>59</v>
      </c>
      <c r="Z13" s="37">
        <f t="shared" si="1"/>
        <v>1.5945945945945945</v>
      </c>
      <c r="AA13" s="37">
        <f t="shared" si="7"/>
        <v>0.47457627118644069</v>
      </c>
      <c r="AB13">
        <v>19</v>
      </c>
      <c r="AC13" s="37">
        <f t="shared" si="2"/>
        <v>0.51351351351351349</v>
      </c>
      <c r="AD13">
        <v>14</v>
      </c>
      <c r="AE13" s="37">
        <f t="shared" si="3"/>
        <v>0.3783783783783784</v>
      </c>
      <c r="AF13">
        <v>377</v>
      </c>
      <c r="AG13">
        <v>10.199999999999999</v>
      </c>
      <c r="AH13" s="37">
        <f t="shared" si="4"/>
        <v>37.034596375617795</v>
      </c>
      <c r="AI13" s="37">
        <f t="shared" si="8"/>
        <v>53.224531285294773</v>
      </c>
      <c r="AJ13" s="40">
        <f t="shared" si="9"/>
        <v>31.415162960757222</v>
      </c>
      <c r="AK13" s="37">
        <f t="shared" si="10"/>
        <v>11.049070128299784</v>
      </c>
      <c r="AL13" s="37">
        <f t="shared" si="11"/>
        <v>6.8455411039173431</v>
      </c>
      <c r="AM13" s="37">
        <f t="shared" si="12"/>
        <v>4.4861424501032916</v>
      </c>
      <c r="AN13" s="37">
        <f t="shared" si="13"/>
        <v>1.0645083779906115</v>
      </c>
      <c r="AO13" s="37">
        <f t="shared" si="14"/>
        <v>3.0210925724701183</v>
      </c>
      <c r="AP13" s="5">
        <f t="shared" si="15"/>
        <v>33</v>
      </c>
    </row>
    <row r="14" spans="1:42" x14ac:dyDescent="0.2">
      <c r="A14" s="9">
        <v>10</v>
      </c>
      <c r="B14" t="s">
        <v>457</v>
      </c>
      <c r="C14" t="s">
        <v>517</v>
      </c>
      <c r="D14">
        <v>34</v>
      </c>
      <c r="E14">
        <v>31</v>
      </c>
      <c r="F14">
        <v>911</v>
      </c>
      <c r="G14">
        <v>26.8</v>
      </c>
      <c r="H14">
        <v>99</v>
      </c>
      <c r="I14">
        <v>253</v>
      </c>
      <c r="J14">
        <v>39.1</v>
      </c>
      <c r="K14">
        <v>39</v>
      </c>
      <c r="L14">
        <v>115</v>
      </c>
      <c r="M14">
        <v>33.9</v>
      </c>
      <c r="N14" s="37">
        <f t="shared" si="5"/>
        <v>0.32201086956521741</v>
      </c>
      <c r="O14">
        <v>75</v>
      </c>
      <c r="P14">
        <v>90</v>
      </c>
      <c r="Q14">
        <v>83.3</v>
      </c>
      <c r="R14">
        <v>18</v>
      </c>
      <c r="S14">
        <v>69</v>
      </c>
      <c r="T14">
        <f t="shared" si="6"/>
        <v>87</v>
      </c>
      <c r="U14">
        <v>2.6</v>
      </c>
      <c r="V14">
        <v>48</v>
      </c>
      <c r="W14">
        <v>72</v>
      </c>
      <c r="X14" s="37">
        <f t="shared" si="0"/>
        <v>2.1176470588235294</v>
      </c>
      <c r="Y14">
        <v>59</v>
      </c>
      <c r="Z14" s="37">
        <f t="shared" si="1"/>
        <v>1.7352941176470589</v>
      </c>
      <c r="AA14" s="37">
        <f t="shared" si="7"/>
        <v>1.2203389830508475</v>
      </c>
      <c r="AB14">
        <v>0</v>
      </c>
      <c r="AC14" s="37">
        <f t="shared" si="2"/>
        <v>0</v>
      </c>
      <c r="AD14">
        <v>23</v>
      </c>
      <c r="AE14" s="37">
        <f t="shared" si="3"/>
        <v>0.67647058823529416</v>
      </c>
      <c r="AF14">
        <v>312</v>
      </c>
      <c r="AG14">
        <v>9.1999999999999993</v>
      </c>
      <c r="AH14" s="37">
        <f t="shared" si="4"/>
        <v>19.099890230515918</v>
      </c>
      <c r="AI14" s="37">
        <f t="shared" si="8"/>
        <v>53.315105946684895</v>
      </c>
      <c r="AJ14" s="40">
        <f t="shared" si="9"/>
        <v>17.813129640960476</v>
      </c>
      <c r="AK14" s="37">
        <f t="shared" si="10"/>
        <v>14.517621134360004</v>
      </c>
      <c r="AL14" s="37">
        <f t="shared" si="11"/>
        <v>3.4820249066800328</v>
      </c>
      <c r="AM14" s="37">
        <f t="shared" si="12"/>
        <v>2.9891201615946192</v>
      </c>
      <c r="AN14" s="37">
        <f t="shared" si="13"/>
        <v>1.1652502324860377</v>
      </c>
      <c r="AO14" s="37">
        <f t="shared" si="14"/>
        <v>0</v>
      </c>
      <c r="AP14" s="5">
        <f t="shared" si="15"/>
        <v>23</v>
      </c>
    </row>
    <row r="15" spans="1:42" x14ac:dyDescent="0.2">
      <c r="A15" s="9">
        <v>24</v>
      </c>
      <c r="B15" t="s">
        <v>458</v>
      </c>
      <c r="C15" t="s">
        <v>520</v>
      </c>
      <c r="D15">
        <v>36</v>
      </c>
      <c r="E15">
        <v>4</v>
      </c>
      <c r="F15">
        <v>680</v>
      </c>
      <c r="G15">
        <v>18.899999999999999</v>
      </c>
      <c r="H15">
        <v>95</v>
      </c>
      <c r="I15">
        <v>228</v>
      </c>
      <c r="J15">
        <v>41.7</v>
      </c>
      <c r="K15">
        <v>39</v>
      </c>
      <c r="L15">
        <v>105</v>
      </c>
      <c r="M15">
        <v>37.1</v>
      </c>
      <c r="N15" s="37">
        <f t="shared" si="5"/>
        <v>0.34384384384384387</v>
      </c>
      <c r="O15">
        <v>62</v>
      </c>
      <c r="P15">
        <v>70</v>
      </c>
      <c r="Q15">
        <v>88.6</v>
      </c>
      <c r="R15">
        <v>22</v>
      </c>
      <c r="S15">
        <v>69</v>
      </c>
      <c r="T15">
        <f t="shared" si="6"/>
        <v>91</v>
      </c>
      <c r="U15">
        <v>2.5</v>
      </c>
      <c r="V15">
        <v>41</v>
      </c>
      <c r="W15">
        <v>39</v>
      </c>
      <c r="X15" s="37">
        <f t="shared" si="0"/>
        <v>1.0833333333333333</v>
      </c>
      <c r="Y15">
        <v>41</v>
      </c>
      <c r="Z15" s="37">
        <f t="shared" si="1"/>
        <v>1.1388888888888888</v>
      </c>
      <c r="AA15" s="37">
        <f t="shared" si="7"/>
        <v>0.95121951219512191</v>
      </c>
      <c r="AB15">
        <v>7</v>
      </c>
      <c r="AC15" s="37">
        <f t="shared" si="2"/>
        <v>0.19444444444444445</v>
      </c>
      <c r="AD15">
        <v>11</v>
      </c>
      <c r="AE15" s="37">
        <f t="shared" si="3"/>
        <v>0.30555555555555558</v>
      </c>
      <c r="AF15">
        <v>291</v>
      </c>
      <c r="AG15">
        <v>8.1</v>
      </c>
      <c r="AH15" s="37">
        <f t="shared" si="4"/>
        <v>23.411764705882355</v>
      </c>
      <c r="AI15" s="37">
        <f t="shared" si="8"/>
        <v>56.221020092735699</v>
      </c>
      <c r="AJ15" s="40">
        <f t="shared" si="9"/>
        <v>20.348502554096878</v>
      </c>
      <c r="AK15" s="37">
        <f t="shared" si="10"/>
        <v>11.171927110262107</v>
      </c>
      <c r="AL15" s="37">
        <f t="shared" si="11"/>
        <v>3.7362223713167948</v>
      </c>
      <c r="AM15" s="37">
        <f t="shared" si="12"/>
        <v>2.7828172272113809</v>
      </c>
      <c r="AN15" s="37">
        <f t="shared" si="13"/>
        <v>0.74660949998354109</v>
      </c>
      <c r="AO15" s="37">
        <f t="shared" si="14"/>
        <v>0.99354662077596989</v>
      </c>
      <c r="AP15" s="5">
        <f t="shared" si="15"/>
        <v>18</v>
      </c>
    </row>
    <row r="16" spans="1:42" x14ac:dyDescent="0.2">
      <c r="A16" s="9">
        <v>2</v>
      </c>
      <c r="B16" t="s">
        <v>459</v>
      </c>
      <c r="C16" t="s">
        <v>517</v>
      </c>
      <c r="D16">
        <v>37</v>
      </c>
      <c r="E16">
        <v>37</v>
      </c>
      <c r="F16">
        <v>1047</v>
      </c>
      <c r="G16">
        <v>28.3</v>
      </c>
      <c r="H16">
        <v>64</v>
      </c>
      <c r="I16">
        <v>172</v>
      </c>
      <c r="J16">
        <v>37.200000000000003</v>
      </c>
      <c r="K16">
        <v>31</v>
      </c>
      <c r="L16">
        <v>89</v>
      </c>
      <c r="M16">
        <v>34.799999999999997</v>
      </c>
      <c r="N16" s="37">
        <f t="shared" si="5"/>
        <v>0.3045977011494253</v>
      </c>
      <c r="O16">
        <v>54</v>
      </c>
      <c r="P16">
        <v>85</v>
      </c>
      <c r="Q16">
        <v>63.5</v>
      </c>
      <c r="R16">
        <v>28</v>
      </c>
      <c r="S16">
        <v>209</v>
      </c>
      <c r="T16">
        <f t="shared" si="6"/>
        <v>237</v>
      </c>
      <c r="U16">
        <v>6.4</v>
      </c>
      <c r="V16">
        <v>79</v>
      </c>
      <c r="W16">
        <v>178</v>
      </c>
      <c r="X16" s="37">
        <f t="shared" si="0"/>
        <v>4.8108108108108105</v>
      </c>
      <c r="Y16">
        <v>104</v>
      </c>
      <c r="Z16" s="37">
        <f t="shared" si="1"/>
        <v>2.810810810810811</v>
      </c>
      <c r="AA16" s="37">
        <f t="shared" si="7"/>
        <v>1.7115384615384615</v>
      </c>
      <c r="AB16">
        <v>5</v>
      </c>
      <c r="AC16" s="37">
        <f t="shared" si="2"/>
        <v>0.13513513513513514</v>
      </c>
      <c r="AD16">
        <v>57</v>
      </c>
      <c r="AE16" s="37">
        <f t="shared" si="3"/>
        <v>1.5405405405405406</v>
      </c>
      <c r="AF16">
        <v>213</v>
      </c>
      <c r="AG16">
        <v>5.8</v>
      </c>
      <c r="AH16" s="37">
        <f t="shared" si="4"/>
        <v>22.387774594078319</v>
      </c>
      <c r="AI16" s="37">
        <f t="shared" si="8"/>
        <v>50.859598853868192</v>
      </c>
      <c r="AJ16" s="40">
        <f t="shared" si="9"/>
        <v>13.815355019579096</v>
      </c>
      <c r="AK16" s="37">
        <f t="shared" si="10"/>
        <v>28.720476414477751</v>
      </c>
      <c r="AL16" s="37">
        <f t="shared" si="11"/>
        <v>9.6293789771946585</v>
      </c>
      <c r="AM16" s="37">
        <f t="shared" si="12"/>
        <v>4.5845466561462223</v>
      </c>
      <c r="AN16" s="37">
        <f t="shared" si="13"/>
        <v>2.512684225003218</v>
      </c>
      <c r="AO16" s="37">
        <f t="shared" si="14"/>
        <v>0.46091670222926701</v>
      </c>
      <c r="AP16" s="5">
        <f t="shared" si="15"/>
        <v>62</v>
      </c>
    </row>
    <row r="17" spans="1:43" x14ac:dyDescent="0.2">
      <c r="A17" s="9">
        <v>11</v>
      </c>
      <c r="B17" t="s">
        <v>460</v>
      </c>
      <c r="C17" t="s">
        <v>517</v>
      </c>
      <c r="D17">
        <v>33</v>
      </c>
      <c r="E17">
        <v>0</v>
      </c>
      <c r="F17">
        <v>267</v>
      </c>
      <c r="G17">
        <v>8.1</v>
      </c>
      <c r="H17">
        <v>23</v>
      </c>
      <c r="I17">
        <v>66</v>
      </c>
      <c r="J17">
        <v>34.799999999999997</v>
      </c>
      <c r="K17">
        <v>19</v>
      </c>
      <c r="L17">
        <v>52</v>
      </c>
      <c r="M17">
        <v>36.5</v>
      </c>
      <c r="N17" s="37">
        <f t="shared" si="5"/>
        <v>0.27542372881355931</v>
      </c>
      <c r="O17">
        <v>24</v>
      </c>
      <c r="P17">
        <v>26</v>
      </c>
      <c r="Q17">
        <v>92.3</v>
      </c>
      <c r="R17">
        <v>7</v>
      </c>
      <c r="S17">
        <v>19</v>
      </c>
      <c r="T17">
        <f t="shared" si="6"/>
        <v>26</v>
      </c>
      <c r="U17">
        <v>0.8</v>
      </c>
      <c r="V17">
        <v>17</v>
      </c>
      <c r="W17">
        <v>13</v>
      </c>
      <c r="X17" s="37">
        <f t="shared" si="0"/>
        <v>0.39393939393939392</v>
      </c>
      <c r="Y17">
        <v>10</v>
      </c>
      <c r="Z17" s="37">
        <f t="shared" si="1"/>
        <v>0.30303030303030304</v>
      </c>
      <c r="AA17" s="37">
        <f t="shared" si="7"/>
        <v>1.3</v>
      </c>
      <c r="AB17">
        <v>4</v>
      </c>
      <c r="AC17" s="37">
        <f t="shared" si="2"/>
        <v>0.12121212121212122</v>
      </c>
      <c r="AD17">
        <v>11</v>
      </c>
      <c r="AE17" s="37">
        <f t="shared" si="3"/>
        <v>0.33333333333333331</v>
      </c>
      <c r="AF17">
        <v>89</v>
      </c>
      <c r="AG17">
        <v>2.7</v>
      </c>
      <c r="AH17" s="37">
        <f t="shared" si="4"/>
        <v>19.925093632958802</v>
      </c>
      <c r="AI17" s="37">
        <f t="shared" si="8"/>
        <v>57.463842975206617</v>
      </c>
      <c r="AJ17" s="40">
        <f t="shared" si="9"/>
        <v>15.115016541171734</v>
      </c>
      <c r="AK17" s="37">
        <f t="shared" si="10"/>
        <v>8.5882076665277065</v>
      </c>
      <c r="AL17" s="37">
        <f t="shared" si="11"/>
        <v>1.1411224093159738</v>
      </c>
      <c r="AM17" s="37">
        <f t="shared" si="12"/>
        <v>1.7286157983956694</v>
      </c>
      <c r="AN17" s="37">
        <f t="shared" si="13"/>
        <v>1.9014773782352361</v>
      </c>
      <c r="AO17" s="37">
        <f t="shared" si="14"/>
        <v>1.4459319467686669</v>
      </c>
      <c r="AP17" s="5">
        <f t="shared" si="15"/>
        <v>15</v>
      </c>
    </row>
    <row r="18" spans="1:43" x14ac:dyDescent="0.2">
      <c r="A18" s="9">
        <v>3</v>
      </c>
      <c r="B18" t="s">
        <v>461</v>
      </c>
      <c r="C18" t="s">
        <v>517</v>
      </c>
      <c r="D18">
        <v>35</v>
      </c>
      <c r="E18">
        <v>0</v>
      </c>
      <c r="F18">
        <v>618</v>
      </c>
      <c r="G18">
        <v>17.7</v>
      </c>
      <c r="H18">
        <v>28</v>
      </c>
      <c r="I18">
        <v>108</v>
      </c>
      <c r="J18">
        <v>25.9</v>
      </c>
      <c r="K18">
        <v>3</v>
      </c>
      <c r="L18">
        <v>23</v>
      </c>
      <c r="M18">
        <v>13</v>
      </c>
      <c r="N18" s="37">
        <f t="shared" si="5"/>
        <v>0.22519083969465647</v>
      </c>
      <c r="O18">
        <v>29</v>
      </c>
      <c r="P18">
        <v>42</v>
      </c>
      <c r="Q18">
        <v>69</v>
      </c>
      <c r="R18">
        <v>5</v>
      </c>
      <c r="S18">
        <v>48</v>
      </c>
      <c r="T18">
        <f t="shared" si="6"/>
        <v>53</v>
      </c>
      <c r="U18">
        <v>1.5</v>
      </c>
      <c r="V18">
        <v>44</v>
      </c>
      <c r="W18">
        <v>59</v>
      </c>
      <c r="X18" s="37">
        <f t="shared" si="0"/>
        <v>1.6857142857142857</v>
      </c>
      <c r="Y18">
        <v>43</v>
      </c>
      <c r="Z18" s="37">
        <f t="shared" si="1"/>
        <v>1.2285714285714286</v>
      </c>
      <c r="AA18" s="37">
        <f t="shared" si="7"/>
        <v>1.3720930232558139</v>
      </c>
      <c r="AB18">
        <v>2</v>
      </c>
      <c r="AC18" s="37">
        <f t="shared" si="2"/>
        <v>5.7142857142857141E-2</v>
      </c>
      <c r="AD18">
        <v>19</v>
      </c>
      <c r="AE18" s="37">
        <f t="shared" si="3"/>
        <v>0.54285714285714282</v>
      </c>
      <c r="AF18">
        <v>88</v>
      </c>
      <c r="AG18">
        <v>2.5</v>
      </c>
      <c r="AH18" s="37">
        <f t="shared" si="4"/>
        <v>11.521035598705502</v>
      </c>
      <c r="AI18" s="37">
        <f t="shared" si="8"/>
        <v>34.788108791903852</v>
      </c>
      <c r="AJ18" s="40">
        <f t="shared" si="9"/>
        <v>12.657260529406178</v>
      </c>
      <c r="AK18" s="37">
        <f t="shared" si="10"/>
        <v>15.708250919996946</v>
      </c>
      <c r="AL18" s="37">
        <f t="shared" si="11"/>
        <v>2.3802147856869436</v>
      </c>
      <c r="AM18" s="37">
        <f t="shared" si="12"/>
        <v>3.2113653691554496</v>
      </c>
      <c r="AN18" s="37">
        <f t="shared" si="13"/>
        <v>1.4189753956733382</v>
      </c>
      <c r="AO18" s="37">
        <f t="shared" si="14"/>
        <v>0.31234937685051301</v>
      </c>
      <c r="AP18" s="5">
        <f t="shared" si="15"/>
        <v>21</v>
      </c>
    </row>
    <row r="19" spans="1:43" x14ac:dyDescent="0.2">
      <c r="A19" s="9">
        <v>25</v>
      </c>
      <c r="B19" t="s">
        <v>462</v>
      </c>
      <c r="C19" t="s">
        <v>520</v>
      </c>
      <c r="D19">
        <v>12</v>
      </c>
      <c r="E19">
        <v>0</v>
      </c>
      <c r="F19">
        <v>60</v>
      </c>
      <c r="G19">
        <v>5</v>
      </c>
      <c r="H19">
        <v>9</v>
      </c>
      <c r="I19">
        <v>18</v>
      </c>
      <c r="J19">
        <v>50</v>
      </c>
      <c r="K19">
        <v>0</v>
      </c>
      <c r="L19">
        <v>1</v>
      </c>
      <c r="M19">
        <v>0</v>
      </c>
      <c r="N19" s="37">
        <f t="shared" si="5"/>
        <v>0.47368421052631576</v>
      </c>
      <c r="O19">
        <v>4</v>
      </c>
      <c r="P19">
        <v>6</v>
      </c>
      <c r="Q19">
        <v>66.7</v>
      </c>
      <c r="R19">
        <v>3</v>
      </c>
      <c r="S19">
        <v>10</v>
      </c>
      <c r="T19">
        <f t="shared" si="6"/>
        <v>13</v>
      </c>
      <c r="U19">
        <v>1.1000000000000001</v>
      </c>
      <c r="V19">
        <v>6</v>
      </c>
      <c r="W19">
        <v>12</v>
      </c>
      <c r="X19" s="37">
        <f t="shared" si="0"/>
        <v>1</v>
      </c>
      <c r="Y19">
        <v>3</v>
      </c>
      <c r="Z19" s="37">
        <f t="shared" si="1"/>
        <v>0.25</v>
      </c>
      <c r="AA19" s="37">
        <f t="shared" si="7"/>
        <v>4</v>
      </c>
      <c r="AB19">
        <v>0</v>
      </c>
      <c r="AC19" s="37">
        <f t="shared" si="2"/>
        <v>0</v>
      </c>
      <c r="AD19">
        <v>2</v>
      </c>
      <c r="AE19" s="37">
        <f t="shared" si="3"/>
        <v>0.16666666666666666</v>
      </c>
      <c r="AF19">
        <v>22</v>
      </c>
      <c r="AG19">
        <v>1.8</v>
      </c>
      <c r="AH19" s="37">
        <f t="shared" si="4"/>
        <v>30.666666666666668</v>
      </c>
      <c r="AI19" s="37">
        <f t="shared" si="8"/>
        <v>53.29457364341085</v>
      </c>
      <c r="AJ19" s="40">
        <f t="shared" si="9"/>
        <v>18.184692475962763</v>
      </c>
      <c r="AK19" s="37">
        <f t="shared" si="10"/>
        <v>39.755703448086976</v>
      </c>
      <c r="AL19" s="37">
        <f t="shared" si="11"/>
        <v>0.61232556996439291</v>
      </c>
      <c r="AM19" s="37">
        <f t="shared" si="12"/>
        <v>2.3077020908582182</v>
      </c>
      <c r="AN19" s="37">
        <f t="shared" si="13"/>
        <v>1.5384680605721457</v>
      </c>
      <c r="AO19" s="37">
        <f t="shared" si="14"/>
        <v>0</v>
      </c>
      <c r="AP19" s="5">
        <f t="shared" si="15"/>
        <v>2</v>
      </c>
    </row>
    <row r="20" spans="1:43" x14ac:dyDescent="0.2">
      <c r="A20" s="9">
        <v>4</v>
      </c>
      <c r="B20" t="s">
        <v>463</v>
      </c>
      <c r="C20" t="s">
        <v>517</v>
      </c>
      <c r="D20">
        <v>15</v>
      </c>
      <c r="E20">
        <v>0</v>
      </c>
      <c r="F20">
        <v>69</v>
      </c>
      <c r="G20">
        <v>4.5999999999999996</v>
      </c>
      <c r="H20">
        <v>5</v>
      </c>
      <c r="I20">
        <v>10</v>
      </c>
      <c r="J20">
        <v>50</v>
      </c>
      <c r="K20">
        <v>1</v>
      </c>
      <c r="L20">
        <v>2</v>
      </c>
      <c r="M20">
        <v>50</v>
      </c>
      <c r="N20" s="37">
        <f t="shared" si="5"/>
        <v>0.45833333333333331</v>
      </c>
      <c r="O20">
        <v>11</v>
      </c>
      <c r="P20">
        <v>20</v>
      </c>
      <c r="Q20">
        <v>55</v>
      </c>
      <c r="R20">
        <v>1</v>
      </c>
      <c r="S20">
        <v>4</v>
      </c>
      <c r="T20">
        <f>S20+R20</f>
        <v>5</v>
      </c>
      <c r="U20">
        <v>0.3</v>
      </c>
      <c r="V20">
        <v>5</v>
      </c>
      <c r="W20">
        <v>4</v>
      </c>
      <c r="X20" s="37">
        <f t="shared" si="0"/>
        <v>0.26666666666666666</v>
      </c>
      <c r="Y20">
        <v>9</v>
      </c>
      <c r="Z20" s="37">
        <f t="shared" si="1"/>
        <v>0.6</v>
      </c>
      <c r="AA20" s="37">
        <f t="shared" si="7"/>
        <v>0.44444444444444442</v>
      </c>
      <c r="AB20">
        <v>0</v>
      </c>
      <c r="AC20" s="37">
        <f t="shared" si="2"/>
        <v>0</v>
      </c>
      <c r="AD20">
        <v>5</v>
      </c>
      <c r="AE20" s="37">
        <f t="shared" si="3"/>
        <v>0.33333333333333331</v>
      </c>
      <c r="AF20">
        <v>22</v>
      </c>
      <c r="AG20">
        <v>1.5</v>
      </c>
      <c r="AH20" s="37">
        <f t="shared" si="4"/>
        <v>15.652173913043478</v>
      </c>
      <c r="AI20" s="37">
        <f t="shared" si="8"/>
        <v>58.51063829787234</v>
      </c>
      <c r="AJ20" s="40">
        <f t="shared" si="9"/>
        <v>18.595396558219846</v>
      </c>
      <c r="AK20" s="37">
        <f t="shared" si="10"/>
        <v>9.9845238504660028</v>
      </c>
      <c r="AL20" s="37">
        <f t="shared" si="11"/>
        <v>0.23972411796293033</v>
      </c>
      <c r="AM20" s="37">
        <f t="shared" si="12"/>
        <v>6.0200924109344829</v>
      </c>
      <c r="AN20" s="37">
        <f t="shared" si="13"/>
        <v>3.3444957838524907</v>
      </c>
      <c r="AO20" s="37">
        <f t="shared" si="14"/>
        <v>0</v>
      </c>
      <c r="AP20" s="5">
        <f t="shared" si="15"/>
        <v>5</v>
      </c>
    </row>
    <row r="21" spans="1:43" x14ac:dyDescent="0.2">
      <c r="A21" s="9">
        <v>32</v>
      </c>
      <c r="B21" t="s">
        <v>464</v>
      </c>
      <c r="C21" t="s">
        <v>518</v>
      </c>
      <c r="D21">
        <v>15</v>
      </c>
      <c r="E21">
        <v>0</v>
      </c>
      <c r="F21">
        <v>64</v>
      </c>
      <c r="G21">
        <v>4.3</v>
      </c>
      <c r="H21">
        <v>8</v>
      </c>
      <c r="I21">
        <v>26</v>
      </c>
      <c r="J21">
        <v>30.8</v>
      </c>
      <c r="K21">
        <v>1</v>
      </c>
      <c r="L21">
        <v>7</v>
      </c>
      <c r="M21">
        <v>14.3</v>
      </c>
      <c r="N21" s="37">
        <f t="shared" si="5"/>
        <v>0.25757575757575757</v>
      </c>
      <c r="O21">
        <v>2</v>
      </c>
      <c r="P21">
        <v>4</v>
      </c>
      <c r="Q21">
        <v>50</v>
      </c>
      <c r="R21">
        <v>4</v>
      </c>
      <c r="S21">
        <v>4</v>
      </c>
      <c r="T21">
        <f t="shared" si="6"/>
        <v>8</v>
      </c>
      <c r="U21">
        <v>0.5</v>
      </c>
      <c r="V21">
        <v>5</v>
      </c>
      <c r="W21">
        <v>1</v>
      </c>
      <c r="X21" s="37">
        <f t="shared" si="0"/>
        <v>6.6666666666666666E-2</v>
      </c>
      <c r="Y21">
        <v>5</v>
      </c>
      <c r="Z21" s="37">
        <f t="shared" si="1"/>
        <v>0.33333333333333331</v>
      </c>
      <c r="AA21" s="37">
        <f t="shared" si="7"/>
        <v>0.2</v>
      </c>
      <c r="AB21">
        <v>0</v>
      </c>
      <c r="AC21" s="37">
        <f t="shared" si="2"/>
        <v>0</v>
      </c>
      <c r="AD21">
        <v>0</v>
      </c>
      <c r="AE21" s="37">
        <f t="shared" si="3"/>
        <v>0</v>
      </c>
      <c r="AF21">
        <v>19</v>
      </c>
      <c r="AG21">
        <v>1.3</v>
      </c>
      <c r="AH21" s="37">
        <f t="shared" si="4"/>
        <v>14.375</v>
      </c>
      <c r="AI21" s="37">
        <f t="shared" si="8"/>
        <v>34.221902017291065</v>
      </c>
      <c r="AJ21" s="40">
        <f t="shared" si="9"/>
        <v>23.625100155161014</v>
      </c>
      <c r="AK21" s="37">
        <f t="shared" si="10"/>
        <v>2.9588741765051205</v>
      </c>
      <c r="AL21" s="37">
        <f t="shared" si="11"/>
        <v>0.31037446214421499</v>
      </c>
      <c r="AM21" s="37">
        <f t="shared" si="12"/>
        <v>3.6057845169659664</v>
      </c>
      <c r="AN21" s="37">
        <f t="shared" si="13"/>
        <v>0</v>
      </c>
      <c r="AO21" s="37">
        <f t="shared" si="14"/>
        <v>0</v>
      </c>
      <c r="AP21" s="5">
        <f t="shared" si="15"/>
        <v>0</v>
      </c>
    </row>
    <row r="22" spans="1:43" x14ac:dyDescent="0.2">
      <c r="A22" s="9">
        <v>14</v>
      </c>
      <c r="B22" t="s">
        <v>465</v>
      </c>
      <c r="C22" t="s">
        <v>518</v>
      </c>
      <c r="D22">
        <v>13</v>
      </c>
      <c r="E22">
        <v>0</v>
      </c>
      <c r="F22">
        <v>42</v>
      </c>
      <c r="G22">
        <v>3.2</v>
      </c>
      <c r="H22">
        <v>2</v>
      </c>
      <c r="I22">
        <v>8</v>
      </c>
      <c r="J22">
        <v>25</v>
      </c>
      <c r="K22">
        <v>1</v>
      </c>
      <c r="L22">
        <v>5</v>
      </c>
      <c r="M22">
        <v>20</v>
      </c>
      <c r="N22" s="37">
        <f t="shared" si="5"/>
        <v>0.19230769230769232</v>
      </c>
      <c r="O22">
        <v>4</v>
      </c>
      <c r="P22">
        <v>4</v>
      </c>
      <c r="Q22">
        <v>100</v>
      </c>
      <c r="R22">
        <v>2</v>
      </c>
      <c r="S22">
        <v>3</v>
      </c>
      <c r="T22">
        <f t="shared" si="6"/>
        <v>5</v>
      </c>
      <c r="U22">
        <v>0.4</v>
      </c>
      <c r="V22">
        <v>2</v>
      </c>
      <c r="W22">
        <v>0</v>
      </c>
      <c r="X22" s="37">
        <f t="shared" si="0"/>
        <v>0</v>
      </c>
      <c r="Y22">
        <v>6</v>
      </c>
      <c r="Z22" s="37">
        <f t="shared" si="1"/>
        <v>0.46153846153846156</v>
      </c>
      <c r="AA22" s="37">
        <f t="shared" si="7"/>
        <v>0</v>
      </c>
      <c r="AB22">
        <v>0</v>
      </c>
      <c r="AC22" s="37">
        <f t="shared" si="2"/>
        <v>0</v>
      </c>
      <c r="AD22">
        <v>1</v>
      </c>
      <c r="AE22" s="37">
        <f t="shared" si="3"/>
        <v>7.6923076923076927E-2</v>
      </c>
      <c r="AF22">
        <v>9</v>
      </c>
      <c r="AG22">
        <v>0.7</v>
      </c>
      <c r="AH22" s="37">
        <f t="shared" si="4"/>
        <v>8.5714285714285712</v>
      </c>
      <c r="AI22" s="37">
        <f t="shared" si="8"/>
        <v>46.106557377049178</v>
      </c>
      <c r="AJ22" s="40">
        <f t="shared" si="9"/>
        <v>17.318754739012149</v>
      </c>
      <c r="AK22" s="37">
        <f t="shared" si="10"/>
        <v>0</v>
      </c>
      <c r="AL22" s="37">
        <f t="shared" si="11"/>
        <v>0.2102401272076356</v>
      </c>
      <c r="AM22" s="37">
        <f t="shared" si="12"/>
        <v>6.5934345453091945</v>
      </c>
      <c r="AN22" s="37">
        <f t="shared" si="13"/>
        <v>1.0989057575515326</v>
      </c>
      <c r="AO22" s="37">
        <f t="shared" si="14"/>
        <v>0</v>
      </c>
      <c r="AP22" s="5">
        <f t="shared" si="15"/>
        <v>1</v>
      </c>
    </row>
    <row r="23" spans="1:43" x14ac:dyDescent="0.2">
      <c r="A23" s="9">
        <v>31</v>
      </c>
      <c r="B23" t="s">
        <v>466</v>
      </c>
      <c r="C23" t="s">
        <v>517</v>
      </c>
      <c r="D23">
        <v>12</v>
      </c>
      <c r="E23">
        <v>0</v>
      </c>
      <c r="F23">
        <v>38</v>
      </c>
      <c r="G23">
        <v>3.2</v>
      </c>
      <c r="H23">
        <v>2</v>
      </c>
      <c r="I23">
        <v>7</v>
      </c>
      <c r="J23">
        <v>28.6</v>
      </c>
      <c r="K23">
        <v>0</v>
      </c>
      <c r="L23">
        <v>2</v>
      </c>
      <c r="M23">
        <v>0</v>
      </c>
      <c r="N23" s="37">
        <f t="shared" si="5"/>
        <v>0.22222222222222221</v>
      </c>
      <c r="O23">
        <v>0</v>
      </c>
      <c r="P23">
        <v>0</v>
      </c>
      <c r="Q23">
        <v>0</v>
      </c>
      <c r="R23">
        <v>2</v>
      </c>
      <c r="S23">
        <v>3</v>
      </c>
      <c r="T23">
        <f t="shared" si="6"/>
        <v>5</v>
      </c>
      <c r="U23">
        <v>0.4</v>
      </c>
      <c r="V23">
        <v>3</v>
      </c>
      <c r="W23">
        <v>3</v>
      </c>
      <c r="X23" s="37">
        <f t="shared" si="0"/>
        <v>0.25</v>
      </c>
      <c r="Y23">
        <v>7</v>
      </c>
      <c r="Z23" s="37">
        <f t="shared" si="1"/>
        <v>0.58333333333333337</v>
      </c>
      <c r="AA23" s="37">
        <f t="shared" si="7"/>
        <v>0.42857142857142855</v>
      </c>
      <c r="AB23">
        <v>0</v>
      </c>
      <c r="AC23" s="37">
        <f t="shared" si="2"/>
        <v>0</v>
      </c>
      <c r="AD23">
        <v>1</v>
      </c>
      <c r="AE23" s="37">
        <f t="shared" si="3"/>
        <v>8.3333333333333329E-2</v>
      </c>
      <c r="AF23">
        <v>4</v>
      </c>
      <c r="AG23">
        <v>0.3</v>
      </c>
      <c r="AH23" s="37">
        <f t="shared" si="4"/>
        <v>6.3157894736842106</v>
      </c>
      <c r="AI23" s="37">
        <f t="shared" si="8"/>
        <v>28.571428571428569</v>
      </c>
      <c r="AJ23" s="40">
        <f t="shared" si="9"/>
        <v>17.004120669481608</v>
      </c>
      <c r="AK23" s="37">
        <f t="shared" si="10"/>
        <v>13.14823313446535</v>
      </c>
      <c r="AL23" s="37">
        <f t="shared" si="11"/>
        <v>0.21040756789700482</v>
      </c>
      <c r="AM23" s="37">
        <f t="shared" si="12"/>
        <v>8.5020603347408041</v>
      </c>
      <c r="AN23" s="37">
        <f t="shared" si="13"/>
        <v>1.214580047820115</v>
      </c>
      <c r="AO23" s="37">
        <f t="shared" si="14"/>
        <v>0</v>
      </c>
      <c r="AP23" s="5">
        <f t="shared" si="15"/>
        <v>1</v>
      </c>
    </row>
    <row r="24" spans="1:43" ht="17" thickBot="1" x14ac:dyDescent="0.25">
      <c r="A24" s="3">
        <v>23</v>
      </c>
      <c r="B24" s="4" t="s">
        <v>467</v>
      </c>
      <c r="C24" s="4" t="s">
        <v>517</v>
      </c>
      <c r="D24" s="4">
        <v>17</v>
      </c>
      <c r="E24" s="4">
        <v>0</v>
      </c>
      <c r="F24" s="4">
        <v>61</v>
      </c>
      <c r="G24" s="4">
        <v>3.6</v>
      </c>
      <c r="H24" s="4">
        <v>1</v>
      </c>
      <c r="I24" s="4">
        <v>7</v>
      </c>
      <c r="J24" s="4">
        <v>14.3</v>
      </c>
      <c r="K24" s="4">
        <v>0</v>
      </c>
      <c r="L24" s="4">
        <v>2</v>
      </c>
      <c r="M24" s="4">
        <v>0</v>
      </c>
      <c r="N24" s="17">
        <f t="shared" si="5"/>
        <v>0.1111111111111111</v>
      </c>
      <c r="O24" s="4">
        <v>3</v>
      </c>
      <c r="P24" s="4">
        <v>8</v>
      </c>
      <c r="Q24" s="4">
        <v>37.5</v>
      </c>
      <c r="R24" s="4">
        <v>4</v>
      </c>
      <c r="S24" s="4">
        <v>6</v>
      </c>
      <c r="T24" s="4">
        <f t="shared" si="6"/>
        <v>10</v>
      </c>
      <c r="U24" s="4">
        <v>0.6</v>
      </c>
      <c r="V24" s="4">
        <v>3</v>
      </c>
      <c r="W24" s="4">
        <v>4</v>
      </c>
      <c r="X24" s="17">
        <f t="shared" si="0"/>
        <v>0.23529411764705882</v>
      </c>
      <c r="Y24" s="4">
        <v>3</v>
      </c>
      <c r="Z24" s="17">
        <f t="shared" si="1"/>
        <v>0.17647058823529413</v>
      </c>
      <c r="AA24" s="17">
        <f t="shared" si="7"/>
        <v>1.3333333333333333</v>
      </c>
      <c r="AB24" s="4">
        <v>0</v>
      </c>
      <c r="AC24" s="17">
        <f t="shared" si="2"/>
        <v>0</v>
      </c>
      <c r="AD24" s="4">
        <v>0</v>
      </c>
      <c r="AE24" s="17">
        <f t="shared" si="3"/>
        <v>0</v>
      </c>
      <c r="AF24" s="4">
        <v>5</v>
      </c>
      <c r="AG24" s="4">
        <v>0.3</v>
      </c>
      <c r="AH24" s="17">
        <f t="shared" si="4"/>
        <v>10.491803278688526</v>
      </c>
      <c r="AI24" s="17">
        <f t="shared" si="8"/>
        <v>23.764258555133079</v>
      </c>
      <c r="AJ24" s="41">
        <f t="shared" si="9"/>
        <v>10.229551563410855</v>
      </c>
      <c r="AK24" s="17">
        <f t="shared" si="10"/>
        <v>10.299345116041463</v>
      </c>
      <c r="AL24" s="17">
        <f t="shared" si="11"/>
        <v>0.41890032754108641</v>
      </c>
      <c r="AM24" s="17">
        <f t="shared" si="12"/>
        <v>2.2698709090408702</v>
      </c>
      <c r="AN24" s="17">
        <f t="shared" si="13"/>
        <v>0</v>
      </c>
      <c r="AO24" s="17">
        <f t="shared" si="14"/>
        <v>0</v>
      </c>
      <c r="AP24" s="56">
        <f t="shared" si="15"/>
        <v>0</v>
      </c>
    </row>
    <row r="25" spans="1:43" x14ac:dyDescent="0.2">
      <c r="B25" s="1" t="s">
        <v>441</v>
      </c>
      <c r="C25" s="2"/>
      <c r="D25" s="2">
        <v>37</v>
      </c>
      <c r="E25" s="2">
        <v>37</v>
      </c>
      <c r="F25" s="2">
        <v>7258</v>
      </c>
      <c r="G25" s="29">
        <f>F25/D25</f>
        <v>196.16216216216216</v>
      </c>
      <c r="H25" s="2">
        <f>SUM(H10:H24)</f>
        <v>948</v>
      </c>
      <c r="I25" s="2">
        <f>SUM(I10:I24)</f>
        <v>2198</v>
      </c>
      <c r="J25" s="2">
        <v>43.1</v>
      </c>
      <c r="K25" s="2">
        <f>SUM(K10:K24)</f>
        <v>222</v>
      </c>
      <c r="L25" s="2">
        <f>SUM(L10:L24)</f>
        <v>654</v>
      </c>
      <c r="M25" s="2">
        <v>33.9</v>
      </c>
      <c r="N25" s="16">
        <f>(H25+(0.5*K25))/(L25+I25)</f>
        <v>0.37131837307152876</v>
      </c>
      <c r="O25" s="2">
        <f>SUM(O10:O24)</f>
        <v>636</v>
      </c>
      <c r="P25" s="2">
        <f>SUM(P10:P24)</f>
        <v>848</v>
      </c>
      <c r="Q25" s="2">
        <v>75</v>
      </c>
      <c r="R25" s="2">
        <v>483</v>
      </c>
      <c r="S25" s="2">
        <v>1091</v>
      </c>
      <c r="T25" s="2">
        <v>1574</v>
      </c>
      <c r="U25" s="2">
        <v>42.5</v>
      </c>
      <c r="V25" s="2">
        <v>530</v>
      </c>
      <c r="W25" s="2">
        <v>619</v>
      </c>
      <c r="X25" s="16">
        <f>W25 / D25</f>
        <v>16.72972972972973</v>
      </c>
      <c r="Y25" s="2">
        <v>574</v>
      </c>
      <c r="Z25" s="16">
        <f t="shared" si="1"/>
        <v>15.513513513513514</v>
      </c>
      <c r="AA25" s="16">
        <f>W25/Y25</f>
        <v>1.0783972125435539</v>
      </c>
      <c r="AB25" s="2">
        <v>99</v>
      </c>
      <c r="AC25" s="16">
        <f t="shared" si="2"/>
        <v>2.6756756756756759</v>
      </c>
      <c r="AD25" s="2">
        <f>SUM(AD10:AD24)</f>
        <v>286</v>
      </c>
      <c r="AE25" s="16">
        <f t="shared" si="3"/>
        <v>7.7297297297297298</v>
      </c>
      <c r="AF25" s="2">
        <f>SUM(AF10:AF24)</f>
        <v>2754</v>
      </c>
      <c r="AG25" s="2">
        <v>74.400000000000006</v>
      </c>
      <c r="AH25" s="16">
        <f>SUM(AH10*F10,AH11*F11,AH12*F12,AH13*F13,AH14*F14,AH15*F15,AH16*F16,AH17*F17,AH18*F18,AH19*F19,AH20*F20,AH21*F21,AH22*F22,AH23*F23,AH24*F24)/F25</f>
        <v>25.373381096720859</v>
      </c>
      <c r="AI25" s="16">
        <f t="shared" si="8"/>
        <v>53.55642677121255</v>
      </c>
      <c r="AJ25" s="2"/>
      <c r="AK25" s="2"/>
      <c r="AL25" s="2"/>
      <c r="AM25" s="2"/>
      <c r="AN25" s="2"/>
      <c r="AO25" s="2"/>
      <c r="AP25" s="44"/>
      <c r="AQ25" t="s">
        <v>476</v>
      </c>
    </row>
    <row r="26" spans="1:43" ht="17" thickBot="1" x14ac:dyDescent="0.25">
      <c r="B26" s="3" t="s">
        <v>186</v>
      </c>
      <c r="C26" s="4"/>
      <c r="D26" s="4">
        <v>37</v>
      </c>
      <c r="E26" s="4">
        <v>37</v>
      </c>
      <c r="F26" s="4">
        <v>7258</v>
      </c>
      <c r="G26" s="30">
        <f>F26/D26</f>
        <v>196.16216216216216</v>
      </c>
      <c r="H26" s="4">
        <v>824</v>
      </c>
      <c r="I26" s="4">
        <v>2221</v>
      </c>
      <c r="J26" s="4">
        <v>37.1</v>
      </c>
      <c r="K26" s="4">
        <v>220</v>
      </c>
      <c r="L26" s="4">
        <v>717</v>
      </c>
      <c r="M26" s="4">
        <v>30.7</v>
      </c>
      <c r="N26" s="17">
        <f>(H26+(0.5*K26))/(L26+I26)</f>
        <v>0.31790333560245065</v>
      </c>
      <c r="O26" s="4">
        <v>361</v>
      </c>
      <c r="P26" s="4">
        <v>502</v>
      </c>
      <c r="Q26" s="4">
        <v>71.900000000000006</v>
      </c>
      <c r="R26" s="4">
        <v>363</v>
      </c>
      <c r="S26" s="4">
        <v>856</v>
      </c>
      <c r="T26" s="4">
        <v>1219</v>
      </c>
      <c r="U26" s="4">
        <v>32.9</v>
      </c>
      <c r="V26" s="4">
        <v>777</v>
      </c>
      <c r="W26" s="4">
        <v>410</v>
      </c>
      <c r="X26" s="17">
        <f>W26/D25</f>
        <v>11.081081081081081</v>
      </c>
      <c r="Y26" s="4">
        <v>558</v>
      </c>
      <c r="Z26" s="17">
        <f>Y26/D25</f>
        <v>15.081081081081081</v>
      </c>
      <c r="AA26" s="17">
        <f>W26/Y26</f>
        <v>0.73476702508960579</v>
      </c>
      <c r="AB26" s="4">
        <v>110</v>
      </c>
      <c r="AC26" s="17">
        <f>AB26/D25</f>
        <v>2.9729729729729728</v>
      </c>
      <c r="AD26" s="4">
        <v>277</v>
      </c>
      <c r="AE26" s="17">
        <f>AD26/D25</f>
        <v>7.4864864864864868</v>
      </c>
      <c r="AF26" s="4">
        <v>2237</v>
      </c>
      <c r="AG26" s="4">
        <v>60.5</v>
      </c>
      <c r="AH26" s="4"/>
      <c r="AI26" s="17">
        <f t="shared" si="8"/>
        <v>45.804871656264844</v>
      </c>
      <c r="AJ26" s="4"/>
      <c r="AK26" s="4"/>
      <c r="AL26" s="4"/>
      <c r="AM26" s="4"/>
      <c r="AN26" s="4"/>
      <c r="AO26" s="4"/>
      <c r="AP26" s="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C4A8-2576-F841-8B30-C740E815A2C9}">
  <dimension ref="A1:AP77"/>
  <sheetViews>
    <sheetView topLeftCell="A6" zoomScale="116" workbookViewId="0">
      <selection activeCell="H16" sqref="H16"/>
    </sheetView>
  </sheetViews>
  <sheetFormatPr baseColWidth="10" defaultRowHeight="16" x14ac:dyDescent="0.2"/>
  <cols>
    <col min="1" max="1" width="18.33203125" bestFit="1" customWidth="1"/>
    <col min="2" max="2" width="18.5" bestFit="1" customWidth="1"/>
    <col min="3" max="3" width="18.5" customWidth="1"/>
    <col min="4" max="4" width="11.1640625" bestFit="1" customWidth="1"/>
    <col min="5" max="5" width="17.83203125" bestFit="1" customWidth="1"/>
    <col min="6" max="6" width="12" style="69" customWidth="1"/>
    <col min="7" max="7" width="12.33203125" customWidth="1"/>
    <col min="8" max="8" width="25.83203125" customWidth="1"/>
    <col min="9" max="9" width="13" customWidth="1"/>
    <col min="10" max="10" width="12.5" customWidth="1"/>
    <col min="11" max="13" width="12.1640625" bestFit="1" customWidth="1"/>
    <col min="14" max="14" width="12.1640625" customWidth="1"/>
    <col min="15" max="17" width="12.1640625" bestFit="1" customWidth="1"/>
    <col min="18" max="18" width="12.1640625" style="36" bestFit="1" customWidth="1"/>
    <col min="19" max="23" width="12.1640625" bestFit="1" customWidth="1"/>
    <col min="24" max="24" width="12.1640625" customWidth="1"/>
    <col min="25" max="25" width="12.1640625" bestFit="1" customWidth="1"/>
    <col min="26" max="27" width="12.1640625" customWidth="1"/>
    <col min="46" max="46" width="19.33203125" bestFit="1" customWidth="1"/>
    <col min="47" max="47" width="11" bestFit="1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66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2" t="s">
        <v>170</v>
      </c>
    </row>
    <row r="2" spans="1:42" ht="17" thickBot="1" x14ac:dyDescent="0.25">
      <c r="A2" s="10" t="s">
        <v>484</v>
      </c>
      <c r="B2" s="9" t="s">
        <v>204</v>
      </c>
      <c r="D2" s="6" t="s">
        <v>205</v>
      </c>
      <c r="E2" s="9" t="s">
        <v>204</v>
      </c>
      <c r="F2" s="67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1" t="s">
        <v>408</v>
      </c>
      <c r="O2" s="2" t="s">
        <v>409</v>
      </c>
      <c r="P2" s="2" t="s">
        <v>410</v>
      </c>
      <c r="Q2" s="2" t="s">
        <v>411</v>
      </c>
      <c r="R2" s="2" t="s">
        <v>412</v>
      </c>
      <c r="S2" s="8" t="s">
        <v>392</v>
      </c>
      <c r="T2" t="s">
        <v>7</v>
      </c>
      <c r="U2" t="s">
        <v>7</v>
      </c>
      <c r="V2" s="61" t="s">
        <v>525</v>
      </c>
      <c r="W2" s="62">
        <v>15.106999999999999</v>
      </c>
      <c r="Y2" t="s">
        <v>7</v>
      </c>
    </row>
    <row r="3" spans="1:42" ht="17" thickBot="1" x14ac:dyDescent="0.25">
      <c r="A3" s="20"/>
      <c r="B3" s="3">
        <v>35</v>
      </c>
      <c r="C3" s="4"/>
      <c r="D3" s="7">
        <v>2</v>
      </c>
      <c r="E3" s="3">
        <v>21</v>
      </c>
      <c r="F3" s="68">
        <v>1</v>
      </c>
      <c r="G3" s="3">
        <v>16</v>
      </c>
      <c r="H3" s="7">
        <v>0</v>
      </c>
      <c r="I3" s="3">
        <v>11</v>
      </c>
      <c r="J3" s="7">
        <v>2</v>
      </c>
      <c r="K3" s="3">
        <v>8</v>
      </c>
      <c r="L3" s="22">
        <v>0</v>
      </c>
      <c r="M3" t="s">
        <v>7</v>
      </c>
      <c r="N3" s="3" t="s">
        <v>186</v>
      </c>
      <c r="O3" s="4" t="s">
        <v>413</v>
      </c>
      <c r="P3" s="4" t="s">
        <v>414</v>
      </c>
      <c r="Q3" s="4" t="s">
        <v>415</v>
      </c>
      <c r="R3" s="4" t="s">
        <v>23</v>
      </c>
      <c r="S3" s="7" t="s">
        <v>406</v>
      </c>
      <c r="T3" t="s">
        <v>7</v>
      </c>
      <c r="U3" t="s">
        <v>7</v>
      </c>
      <c r="V3" t="s">
        <v>7</v>
      </c>
      <c r="W3" t="s">
        <v>7</v>
      </c>
      <c r="Y3" t="s">
        <v>7</v>
      </c>
    </row>
    <row r="4" spans="1:42" x14ac:dyDescent="0.2">
      <c r="T4" t="s">
        <v>7</v>
      </c>
      <c r="U4" t="s">
        <v>7</v>
      </c>
      <c r="V4" t="s">
        <v>7</v>
      </c>
      <c r="W4" t="s">
        <v>7</v>
      </c>
      <c r="Y4" t="s">
        <v>7</v>
      </c>
    </row>
    <row r="7" spans="1:42" ht="17" thickBot="1" x14ac:dyDescent="0.25"/>
    <row r="8" spans="1:42" ht="17" thickBot="1" x14ac:dyDescent="0.25">
      <c r="A8" t="s">
        <v>7</v>
      </c>
      <c r="B8" t="s">
        <v>7</v>
      </c>
      <c r="D8" t="s">
        <v>7</v>
      </c>
      <c r="F8" s="69" t="s">
        <v>7</v>
      </c>
      <c r="G8" t="s">
        <v>7</v>
      </c>
      <c r="H8" s="1" t="s">
        <v>8</v>
      </c>
      <c r="I8" s="2"/>
      <c r="J8" s="2" t="s">
        <v>7</v>
      </c>
      <c r="K8" s="2" t="s">
        <v>9</v>
      </c>
      <c r="L8" s="2"/>
      <c r="M8" s="2" t="s">
        <v>7</v>
      </c>
      <c r="N8" s="2"/>
      <c r="O8" s="2" t="s">
        <v>4</v>
      </c>
      <c r="P8" s="2"/>
      <c r="Q8" s="2" t="s">
        <v>7</v>
      </c>
      <c r="R8" s="34" t="s">
        <v>7</v>
      </c>
      <c r="S8" s="2" t="s">
        <v>10</v>
      </c>
      <c r="T8" s="2" t="s">
        <v>7</v>
      </c>
      <c r="U8" s="2" t="s">
        <v>7</v>
      </c>
      <c r="V8" s="2" t="s">
        <v>7</v>
      </c>
      <c r="W8" s="2" t="s">
        <v>7</v>
      </c>
      <c r="X8" s="2"/>
      <c r="Y8" s="2" t="s">
        <v>7</v>
      </c>
      <c r="Z8" s="2"/>
      <c r="AA8" s="2"/>
      <c r="AB8" s="2" t="s">
        <v>7</v>
      </c>
      <c r="AC8" s="2"/>
      <c r="AD8" s="2" t="s">
        <v>7</v>
      </c>
      <c r="AE8" s="2"/>
      <c r="AF8" s="2" t="s">
        <v>7</v>
      </c>
      <c r="AG8" s="8" t="s">
        <v>7</v>
      </c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70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 t="s">
        <v>40</v>
      </c>
      <c r="B10" s="2" t="s">
        <v>278</v>
      </c>
      <c r="C10" s="2" t="s">
        <v>517</v>
      </c>
      <c r="D10" s="2">
        <v>37</v>
      </c>
      <c r="E10" s="2">
        <v>35</v>
      </c>
      <c r="F10" s="71" t="s">
        <v>279</v>
      </c>
      <c r="G10" s="2" t="s">
        <v>280</v>
      </c>
      <c r="H10" s="2">
        <v>176</v>
      </c>
      <c r="I10" s="2">
        <v>345</v>
      </c>
      <c r="J10" s="2" t="s">
        <v>281</v>
      </c>
      <c r="K10" s="2">
        <v>39</v>
      </c>
      <c r="L10" s="2">
        <v>104</v>
      </c>
      <c r="M10" s="2" t="s">
        <v>233</v>
      </c>
      <c r="N10" s="16">
        <f>(H10+(0.5*K10))/(L10+I10)</f>
        <v>0.43541202672605789</v>
      </c>
      <c r="O10" s="2">
        <v>77</v>
      </c>
      <c r="P10" s="2">
        <v>99</v>
      </c>
      <c r="Q10" s="2" t="s">
        <v>282</v>
      </c>
      <c r="R10" s="34" t="s">
        <v>37</v>
      </c>
      <c r="S10" s="2" t="s">
        <v>283</v>
      </c>
      <c r="T10" s="2" t="s">
        <v>284</v>
      </c>
      <c r="U10" s="2" t="s">
        <v>236</v>
      </c>
      <c r="V10" s="2" t="s">
        <v>96</v>
      </c>
      <c r="W10" s="2" t="s">
        <v>285</v>
      </c>
      <c r="X10" s="16">
        <f t="shared" ref="X10:X27" si="0">W10/D10</f>
        <v>6.8378378378378377</v>
      </c>
      <c r="Y10" s="2" t="s">
        <v>286</v>
      </c>
      <c r="Z10" s="16">
        <f t="shared" ref="Z10:Z27" si="1">Y10/D10</f>
        <v>2.7297297297297298</v>
      </c>
      <c r="AA10" s="16">
        <f>W10/Y10</f>
        <v>2.504950495049505</v>
      </c>
      <c r="AB10" s="2" t="s">
        <v>144</v>
      </c>
      <c r="AC10" s="16">
        <f t="shared" ref="AC10:AC27" si="2">AB10/D10</f>
        <v>0.40540540540540543</v>
      </c>
      <c r="AD10" s="2" t="s">
        <v>287</v>
      </c>
      <c r="AE10" s="16">
        <f t="shared" ref="AE10:AE27" si="3">AD10/D10</f>
        <v>2.7027027027027026</v>
      </c>
      <c r="AF10" s="2" t="s">
        <v>288</v>
      </c>
      <c r="AG10" s="2" t="s">
        <v>225</v>
      </c>
      <c r="AH10" s="16">
        <f t="shared" ref="AH10:AH27" si="4">((AF10+T10+W10+AD10+AB10-Y10)/F10)*40</f>
        <v>39.151515151515149</v>
      </c>
      <c r="AI10" s="16">
        <f xml:space="preserve"> AF10 / (2 * (I10 + 0.44 * P10)) * 100</f>
        <v>60.222359481161213</v>
      </c>
      <c r="AJ10" s="39">
        <f t="shared" ref="AJ10:AJ27" si="5" xml:space="preserve"> ((I10 + 0.44*P10 + Y10) * ($F$28/5)) / (F10 * ($I$28 + 0.44*$P$28 + $Y$28)) * 100</f>
        <v>22.145602125784759</v>
      </c>
      <c r="AK10" s="16">
        <f t="shared" ref="AK10:AK27" si="6" xml:space="preserve"> 100 * (W10 / ( ( (F10 / ($F$28/5)) * $H$28 ) - H10 ) )</f>
        <v>42.99958938900069</v>
      </c>
      <c r="AL10" s="16">
        <f t="shared" ref="AL10:AL27" si="7" xml:space="preserve"> (100 * (R10 * ($F$28/5)) / (F10 * $R$28+ ($F$28- F10) * $S$29)) + (100 * (S10 * ($F$28/5)) / (F10 * $S$28 + ($F$28 - F10) * $R$29))</f>
        <v>9.8050927665427654</v>
      </c>
      <c r="AM10" s="16">
        <f t="shared" ref="AM10:AM27" si="8" xml:space="preserve"> 100 * (Y10 * ($F$28/5)) / (F10 * ($I$28 + 0.44*$P$28 + $Y$28))</f>
        <v>4.5688083477086794</v>
      </c>
      <c r="AN10" s="16">
        <f t="shared" ref="AN10:AN27" si="9" xml:space="preserve"> 100 * (AD10 * ($F$28/5)) / (F10 * ($I$28 + 0.44 * $P$28 + $Y$28))</f>
        <v>4.5235726214937406</v>
      </c>
      <c r="AO10" s="16">
        <f t="shared" ref="AO10:AO27" si="10" xml:space="preserve"> 100 * (AB10 * ($F$28/5)) / (F10 * ($I$29 - $L$29))</f>
        <v>1.4861379754996775</v>
      </c>
      <c r="AP10" s="44">
        <f>AD10+AB10</f>
        <v>115</v>
      </c>
    </row>
    <row r="11" spans="1:42" x14ac:dyDescent="0.2">
      <c r="A11" s="9" t="s">
        <v>50</v>
      </c>
      <c r="B11" t="s">
        <v>289</v>
      </c>
      <c r="C11" t="s">
        <v>518</v>
      </c>
      <c r="D11">
        <v>37</v>
      </c>
      <c r="E11">
        <v>36</v>
      </c>
      <c r="F11" s="69" t="s">
        <v>290</v>
      </c>
      <c r="G11" t="s">
        <v>291</v>
      </c>
      <c r="H11">
        <v>164</v>
      </c>
      <c r="I11">
        <v>299</v>
      </c>
      <c r="J11" t="s">
        <v>292</v>
      </c>
      <c r="K11">
        <v>1</v>
      </c>
      <c r="L11">
        <v>6</v>
      </c>
      <c r="M11" t="s">
        <v>163</v>
      </c>
      <c r="N11" s="37">
        <f t="shared" ref="N11:N26" si="11">(H11+(0.5*K11))/(L11+I11)</f>
        <v>0.53934426229508192</v>
      </c>
      <c r="O11">
        <v>131</v>
      </c>
      <c r="P11">
        <v>164</v>
      </c>
      <c r="Q11" t="s">
        <v>293</v>
      </c>
      <c r="R11" s="36" t="s">
        <v>219</v>
      </c>
      <c r="S11" t="s">
        <v>294</v>
      </c>
      <c r="T11" t="s">
        <v>295</v>
      </c>
      <c r="U11" t="s">
        <v>111</v>
      </c>
      <c r="V11" t="s">
        <v>229</v>
      </c>
      <c r="W11" t="s">
        <v>231</v>
      </c>
      <c r="X11" s="37">
        <f t="shared" si="0"/>
        <v>2.2162162162162162</v>
      </c>
      <c r="Y11" t="s">
        <v>93</v>
      </c>
      <c r="Z11" s="37">
        <f t="shared" si="1"/>
        <v>2.2432432432432434</v>
      </c>
      <c r="AA11" s="37">
        <f t="shared" ref="AA11:AA26" si="12">W11/Y11</f>
        <v>0.98795180722891562</v>
      </c>
      <c r="AB11" t="s">
        <v>40</v>
      </c>
      <c r="AC11" s="37">
        <f t="shared" si="2"/>
        <v>0.27027027027027029</v>
      </c>
      <c r="AD11" t="s">
        <v>98</v>
      </c>
      <c r="AE11" s="37">
        <f t="shared" si="3"/>
        <v>1</v>
      </c>
      <c r="AF11" t="s">
        <v>296</v>
      </c>
      <c r="AG11" t="s">
        <v>155</v>
      </c>
      <c r="AH11" s="37">
        <f t="shared" si="4"/>
        <v>36.424314660309889</v>
      </c>
      <c r="AI11" s="37">
        <f t="shared" ref="AI11:AI29" si="13" xml:space="preserve"> AF11 / (2 * (I11 + 0.44 * P11)) * 100</f>
        <v>61.967884470309308</v>
      </c>
      <c r="AJ11" s="40">
        <f t="shared" si="5"/>
        <v>24.241734020975219</v>
      </c>
      <c r="AK11" s="37">
        <f t="shared" si="6"/>
        <v>16.949474574471036</v>
      </c>
      <c r="AL11" s="37">
        <f t="shared" si="7"/>
        <v>10.596207987384972</v>
      </c>
      <c r="AM11" s="37">
        <f t="shared" si="8"/>
        <v>4.4302975245308778</v>
      </c>
      <c r="AN11" s="37">
        <f t="shared" si="9"/>
        <v>1.9749519085258129</v>
      </c>
      <c r="AO11" s="37">
        <f t="shared" si="10"/>
        <v>1.1690715897852053</v>
      </c>
      <c r="AP11" s="5">
        <f t="shared" ref="AP11:AP27" si="14">AD11+AB11</f>
        <v>47</v>
      </c>
    </row>
    <row r="12" spans="1:42" x14ac:dyDescent="0.2">
      <c r="A12" s="9" t="s">
        <v>137</v>
      </c>
      <c r="B12" t="s">
        <v>297</v>
      </c>
      <c r="C12" t="s">
        <v>517</v>
      </c>
      <c r="D12">
        <v>37</v>
      </c>
      <c r="E12">
        <v>36</v>
      </c>
      <c r="F12" s="69" t="s">
        <v>298</v>
      </c>
      <c r="G12" t="s">
        <v>299</v>
      </c>
      <c r="H12">
        <v>160</v>
      </c>
      <c r="I12">
        <v>474</v>
      </c>
      <c r="J12" t="s">
        <v>240</v>
      </c>
      <c r="K12">
        <v>53</v>
      </c>
      <c r="L12">
        <v>178</v>
      </c>
      <c r="M12" t="s">
        <v>300</v>
      </c>
      <c r="N12" s="37">
        <f t="shared" si="11"/>
        <v>0.28604294478527609</v>
      </c>
      <c r="O12">
        <v>83</v>
      </c>
      <c r="P12">
        <v>99</v>
      </c>
      <c r="Q12" t="s">
        <v>301</v>
      </c>
      <c r="R12" s="36" t="s">
        <v>144</v>
      </c>
      <c r="S12" t="s">
        <v>227</v>
      </c>
      <c r="T12" t="s">
        <v>302</v>
      </c>
      <c r="U12" t="s">
        <v>126</v>
      </c>
      <c r="V12" t="s">
        <v>221</v>
      </c>
      <c r="W12" t="s">
        <v>160</v>
      </c>
      <c r="X12" s="37">
        <f t="shared" si="0"/>
        <v>0.91891891891891897</v>
      </c>
      <c r="Y12" t="s">
        <v>199</v>
      </c>
      <c r="Z12" s="37">
        <f t="shared" si="1"/>
        <v>1.2432432432432432</v>
      </c>
      <c r="AA12" s="37">
        <f t="shared" si="12"/>
        <v>0.73913043478260865</v>
      </c>
      <c r="AB12" t="s">
        <v>113</v>
      </c>
      <c r="AC12" s="37">
        <f t="shared" si="2"/>
        <v>0.13513513513513514</v>
      </c>
      <c r="AD12" t="s">
        <v>47</v>
      </c>
      <c r="AE12" s="37">
        <f t="shared" si="3"/>
        <v>0.48648648648648651</v>
      </c>
      <c r="AF12" t="s">
        <v>303</v>
      </c>
      <c r="AG12" t="s">
        <v>304</v>
      </c>
      <c r="AH12" s="37">
        <f t="shared" si="4"/>
        <v>22.929936305732483</v>
      </c>
      <c r="AI12" s="37">
        <f t="shared" si="13"/>
        <v>44.052863436123353</v>
      </c>
      <c r="AJ12" s="40">
        <f t="shared" si="5"/>
        <v>26.792054572222106</v>
      </c>
      <c r="AK12" s="37">
        <f t="shared" si="6"/>
        <v>5.9931222861348825</v>
      </c>
      <c r="AL12" s="37">
        <f t="shared" si="7"/>
        <v>3.0226371628008408</v>
      </c>
      <c r="AM12" s="37">
        <f t="shared" si="8"/>
        <v>2.1868736431297764</v>
      </c>
      <c r="AN12" s="37">
        <f t="shared" si="9"/>
        <v>0.85573316470295602</v>
      </c>
      <c r="AO12" s="37">
        <f t="shared" si="10"/>
        <v>0.52062158377377243</v>
      </c>
      <c r="AP12" s="5">
        <f t="shared" si="14"/>
        <v>23</v>
      </c>
    </row>
    <row r="13" spans="1:42" x14ac:dyDescent="0.2">
      <c r="A13" s="9" t="s">
        <v>35</v>
      </c>
      <c r="B13" t="s">
        <v>305</v>
      </c>
      <c r="C13" t="s">
        <v>517</v>
      </c>
      <c r="D13">
        <v>30</v>
      </c>
      <c r="E13">
        <v>1</v>
      </c>
      <c r="F13" s="69" t="s">
        <v>306</v>
      </c>
      <c r="G13" t="s">
        <v>141</v>
      </c>
      <c r="H13">
        <v>146</v>
      </c>
      <c r="I13">
        <v>216</v>
      </c>
      <c r="J13" t="s">
        <v>307</v>
      </c>
      <c r="K13">
        <v>0</v>
      </c>
      <c r="L13">
        <v>1</v>
      </c>
      <c r="M13" t="s">
        <v>33</v>
      </c>
      <c r="N13" s="37">
        <f t="shared" si="11"/>
        <v>0.67281105990783407</v>
      </c>
      <c r="O13">
        <v>73</v>
      </c>
      <c r="P13">
        <v>106</v>
      </c>
      <c r="Q13" t="s">
        <v>308</v>
      </c>
      <c r="R13" s="36" t="s">
        <v>309</v>
      </c>
      <c r="S13" t="s">
        <v>232</v>
      </c>
      <c r="T13" t="s">
        <v>310</v>
      </c>
      <c r="U13" t="s">
        <v>146</v>
      </c>
      <c r="V13" t="s">
        <v>96</v>
      </c>
      <c r="W13" t="s">
        <v>311</v>
      </c>
      <c r="X13" s="37">
        <f t="shared" si="0"/>
        <v>1.9</v>
      </c>
      <c r="Y13" t="s">
        <v>312</v>
      </c>
      <c r="Z13" s="37">
        <f t="shared" si="1"/>
        <v>1.8333333333333333</v>
      </c>
      <c r="AA13" s="37">
        <f t="shared" si="12"/>
        <v>1.0363636363636364</v>
      </c>
      <c r="AB13" t="s">
        <v>84</v>
      </c>
      <c r="AC13" s="37">
        <f t="shared" si="2"/>
        <v>0.3</v>
      </c>
      <c r="AD13" t="s">
        <v>224</v>
      </c>
      <c r="AE13" s="37">
        <f t="shared" si="3"/>
        <v>1.6333333333333333</v>
      </c>
      <c r="AF13" t="s">
        <v>313</v>
      </c>
      <c r="AG13" t="s">
        <v>242</v>
      </c>
      <c r="AH13" s="37">
        <f t="shared" si="4"/>
        <v>45.383022774327124</v>
      </c>
      <c r="AI13" s="37">
        <f t="shared" si="13"/>
        <v>69.486749923850141</v>
      </c>
      <c r="AJ13" s="40">
        <f t="shared" si="5"/>
        <v>29.45132363180868</v>
      </c>
      <c r="AK13" s="37">
        <f t="shared" si="6"/>
        <v>25.118578267631104</v>
      </c>
      <c r="AL13" s="37">
        <f t="shared" si="7"/>
        <v>4.6137501125612665</v>
      </c>
      <c r="AM13" s="37">
        <f t="shared" si="8"/>
        <v>5.0995554708143729</v>
      </c>
      <c r="AN13" s="37">
        <f t="shared" si="9"/>
        <v>4.543240328543714</v>
      </c>
      <c r="AO13" s="37">
        <f t="shared" si="10"/>
        <v>1.8276727897449452</v>
      </c>
      <c r="AP13" s="5">
        <f t="shared" si="14"/>
        <v>58</v>
      </c>
    </row>
    <row r="14" spans="1:42" x14ac:dyDescent="0.2">
      <c r="A14" s="9" t="s">
        <v>32</v>
      </c>
      <c r="B14" t="s">
        <v>314</v>
      </c>
      <c r="C14" t="s">
        <v>518</v>
      </c>
      <c r="D14">
        <v>37</v>
      </c>
      <c r="E14">
        <v>36</v>
      </c>
      <c r="F14" s="69" t="s">
        <v>315</v>
      </c>
      <c r="G14" t="s">
        <v>316</v>
      </c>
      <c r="H14">
        <v>173</v>
      </c>
      <c r="I14">
        <v>272</v>
      </c>
      <c r="J14" t="s">
        <v>317</v>
      </c>
      <c r="K14">
        <v>0</v>
      </c>
      <c r="L14">
        <v>1</v>
      </c>
      <c r="M14" t="s">
        <v>33</v>
      </c>
      <c r="N14" s="37">
        <f t="shared" si="11"/>
        <v>0.63369963369963367</v>
      </c>
      <c r="O14">
        <v>78</v>
      </c>
      <c r="P14">
        <v>99</v>
      </c>
      <c r="Q14" t="s">
        <v>318</v>
      </c>
      <c r="R14" s="36" t="s">
        <v>319</v>
      </c>
      <c r="S14" t="s">
        <v>320</v>
      </c>
      <c r="T14" t="s">
        <v>321</v>
      </c>
      <c r="U14" t="s">
        <v>322</v>
      </c>
      <c r="V14" t="s">
        <v>226</v>
      </c>
      <c r="W14" t="s">
        <v>224</v>
      </c>
      <c r="X14" s="37">
        <f t="shared" si="0"/>
        <v>1.3243243243243243</v>
      </c>
      <c r="Y14" t="s">
        <v>229</v>
      </c>
      <c r="Z14" s="37">
        <f t="shared" si="1"/>
        <v>1.9459459459459461</v>
      </c>
      <c r="AA14" s="37">
        <f t="shared" si="12"/>
        <v>0.68055555555555558</v>
      </c>
      <c r="AB14" t="s">
        <v>57</v>
      </c>
      <c r="AC14" s="37">
        <f t="shared" si="2"/>
        <v>0.29729729729729731</v>
      </c>
      <c r="AD14" t="s">
        <v>160</v>
      </c>
      <c r="AE14" s="37">
        <f t="shared" si="3"/>
        <v>0.91891891891891897</v>
      </c>
      <c r="AF14" t="s">
        <v>323</v>
      </c>
      <c r="AG14" t="s">
        <v>324</v>
      </c>
      <c r="AH14" s="37">
        <f t="shared" si="4"/>
        <v>34.197120708748614</v>
      </c>
      <c r="AI14" s="37">
        <f t="shared" si="13"/>
        <v>67.182152364051205</v>
      </c>
      <c r="AJ14" s="40">
        <f t="shared" si="5"/>
        <v>19.220645040246435</v>
      </c>
      <c r="AK14" s="37">
        <f t="shared" si="6"/>
        <v>9.3474858768970783</v>
      </c>
      <c r="AL14" s="37">
        <f t="shared" si="7"/>
        <v>12.68445447302231</v>
      </c>
      <c r="AM14" s="37">
        <f t="shared" si="8"/>
        <v>3.5707669596907405</v>
      </c>
      <c r="AN14" s="37">
        <f t="shared" si="9"/>
        <v>1.6861955087428495</v>
      </c>
      <c r="AO14" s="37">
        <f t="shared" si="10"/>
        <v>1.1948351829598738</v>
      </c>
      <c r="AP14" s="5">
        <f t="shared" si="14"/>
        <v>45</v>
      </c>
    </row>
    <row r="15" spans="1:42" x14ac:dyDescent="0.2">
      <c r="A15" s="9" t="s">
        <v>68</v>
      </c>
      <c r="B15" t="s">
        <v>325</v>
      </c>
      <c r="C15" t="s">
        <v>517</v>
      </c>
      <c r="D15">
        <v>37</v>
      </c>
      <c r="E15">
        <v>36</v>
      </c>
      <c r="F15" s="69" t="s">
        <v>326</v>
      </c>
      <c r="G15" t="s">
        <v>327</v>
      </c>
      <c r="H15">
        <v>73</v>
      </c>
      <c r="I15">
        <v>196</v>
      </c>
      <c r="J15" t="s">
        <v>328</v>
      </c>
      <c r="K15">
        <v>42</v>
      </c>
      <c r="L15">
        <v>122</v>
      </c>
      <c r="M15" t="s">
        <v>329</v>
      </c>
      <c r="N15" s="37">
        <f t="shared" si="11"/>
        <v>0.29559748427672955</v>
      </c>
      <c r="O15">
        <v>18</v>
      </c>
      <c r="P15">
        <v>22</v>
      </c>
      <c r="Q15" t="s">
        <v>330</v>
      </c>
      <c r="R15" s="36" t="s">
        <v>34</v>
      </c>
      <c r="S15" t="s">
        <v>199</v>
      </c>
      <c r="T15" t="s">
        <v>331</v>
      </c>
      <c r="U15" t="s">
        <v>125</v>
      </c>
      <c r="V15" t="s">
        <v>332</v>
      </c>
      <c r="W15" t="s">
        <v>124</v>
      </c>
      <c r="X15" s="37">
        <f t="shared" si="0"/>
        <v>1.0540540540540539</v>
      </c>
      <c r="Y15" t="s">
        <v>160</v>
      </c>
      <c r="Z15" s="37">
        <f t="shared" si="1"/>
        <v>0.91891891891891897</v>
      </c>
      <c r="AA15" s="37">
        <f t="shared" si="12"/>
        <v>1.1470588235294117</v>
      </c>
      <c r="AB15" t="s">
        <v>85</v>
      </c>
      <c r="AC15" s="37">
        <f t="shared" si="2"/>
        <v>0.64864864864864868</v>
      </c>
      <c r="AD15" t="s">
        <v>79</v>
      </c>
      <c r="AE15" s="37">
        <f t="shared" si="3"/>
        <v>0.70270270270270274</v>
      </c>
      <c r="AF15" t="s">
        <v>333</v>
      </c>
      <c r="AG15" t="s">
        <v>334</v>
      </c>
      <c r="AH15" s="37">
        <f t="shared" si="4"/>
        <v>15.869311551925321</v>
      </c>
      <c r="AI15" s="37">
        <f t="shared" si="13"/>
        <v>50.077790742901598</v>
      </c>
      <c r="AJ15" s="40">
        <f t="shared" si="5"/>
        <v>12.524711634310663</v>
      </c>
      <c r="AK15" s="37">
        <f t="shared" si="6"/>
        <v>6.6248948969489199</v>
      </c>
      <c r="AL15" s="37">
        <f t="shared" si="7"/>
        <v>2.9511532599471284</v>
      </c>
      <c r="AM15" s="37">
        <f t="shared" si="8"/>
        <v>1.7767030856415322</v>
      </c>
      <c r="AN15" s="37">
        <f t="shared" si="9"/>
        <v>1.3586553007847013</v>
      </c>
      <c r="AO15" s="37">
        <f t="shared" si="10"/>
        <v>2.7468407855209915</v>
      </c>
      <c r="AP15" s="5">
        <f t="shared" si="14"/>
        <v>50</v>
      </c>
    </row>
    <row r="16" spans="1:42" x14ac:dyDescent="0.2">
      <c r="A16" s="9" t="s">
        <v>113</v>
      </c>
      <c r="B16" t="s">
        <v>335</v>
      </c>
      <c r="C16" t="s">
        <v>517</v>
      </c>
      <c r="D16">
        <v>23</v>
      </c>
      <c r="E16">
        <v>2</v>
      </c>
      <c r="F16" s="69" t="s">
        <v>336</v>
      </c>
      <c r="G16" t="s">
        <v>337</v>
      </c>
      <c r="H16">
        <v>44</v>
      </c>
      <c r="I16">
        <v>117</v>
      </c>
      <c r="J16" t="s">
        <v>338</v>
      </c>
      <c r="K16">
        <v>30</v>
      </c>
      <c r="L16">
        <v>85</v>
      </c>
      <c r="M16" t="s">
        <v>339</v>
      </c>
      <c r="N16" s="37">
        <f t="shared" si="11"/>
        <v>0.29207920792079206</v>
      </c>
      <c r="O16">
        <v>11</v>
      </c>
      <c r="P16">
        <v>18</v>
      </c>
      <c r="Q16" t="s">
        <v>340</v>
      </c>
      <c r="R16" s="36" t="s">
        <v>85</v>
      </c>
      <c r="S16" t="s">
        <v>224</v>
      </c>
      <c r="T16" t="s">
        <v>302</v>
      </c>
      <c r="U16" t="s">
        <v>234</v>
      </c>
      <c r="V16" t="s">
        <v>85</v>
      </c>
      <c r="W16" t="s">
        <v>99</v>
      </c>
      <c r="X16" s="37">
        <f t="shared" si="0"/>
        <v>1.9565217391304348</v>
      </c>
      <c r="Y16" t="s">
        <v>138</v>
      </c>
      <c r="Z16" s="37">
        <f t="shared" si="1"/>
        <v>0.95652173913043481</v>
      </c>
      <c r="AA16" s="37">
        <f t="shared" si="12"/>
        <v>2.0454545454545454</v>
      </c>
      <c r="AB16" t="s">
        <v>97</v>
      </c>
      <c r="AC16" s="37">
        <f t="shared" si="2"/>
        <v>4.3478260869565216E-2</v>
      </c>
      <c r="AD16" t="s">
        <v>57</v>
      </c>
      <c r="AE16" s="37">
        <f t="shared" si="3"/>
        <v>0.47826086956521741</v>
      </c>
      <c r="AF16" t="s">
        <v>341</v>
      </c>
      <c r="AG16" t="s">
        <v>334</v>
      </c>
      <c r="AH16" s="37">
        <f t="shared" si="4"/>
        <v>22.517814726840854</v>
      </c>
      <c r="AI16" s="37">
        <f t="shared" si="13"/>
        <v>51.633045148895299</v>
      </c>
      <c r="AJ16" s="40">
        <f t="shared" si="5"/>
        <v>15.628438400341139</v>
      </c>
      <c r="AK16" s="37">
        <f t="shared" si="6"/>
        <v>16.011183516469206</v>
      </c>
      <c r="AL16" s="37">
        <f t="shared" si="7"/>
        <v>3.1358999701985915</v>
      </c>
      <c r="AM16" s="37">
        <f t="shared" si="8"/>
        <v>2.3402235557276407</v>
      </c>
      <c r="AN16" s="37">
        <f t="shared" si="9"/>
        <v>1.1701117778638204</v>
      </c>
      <c r="AO16" s="37">
        <f t="shared" si="10"/>
        <v>0.23298125031586395</v>
      </c>
      <c r="AP16" s="5">
        <f t="shared" si="14"/>
        <v>12</v>
      </c>
    </row>
    <row r="17" spans="1:42" x14ac:dyDescent="0.2">
      <c r="A17" s="9" t="s">
        <v>116</v>
      </c>
      <c r="B17" t="s">
        <v>342</v>
      </c>
      <c r="C17" t="s">
        <v>517</v>
      </c>
      <c r="D17">
        <v>37</v>
      </c>
      <c r="E17">
        <v>1</v>
      </c>
      <c r="F17" s="69" t="s">
        <v>343</v>
      </c>
      <c r="G17" t="s">
        <v>344</v>
      </c>
      <c r="H17">
        <v>46</v>
      </c>
      <c r="I17">
        <v>140</v>
      </c>
      <c r="J17" t="s">
        <v>142</v>
      </c>
      <c r="K17">
        <v>40</v>
      </c>
      <c r="L17">
        <v>120</v>
      </c>
      <c r="M17" t="s">
        <v>26</v>
      </c>
      <c r="N17" s="37">
        <f t="shared" si="11"/>
        <v>0.25384615384615383</v>
      </c>
      <c r="O17">
        <v>6</v>
      </c>
      <c r="P17">
        <v>10</v>
      </c>
      <c r="Q17" t="s">
        <v>167</v>
      </c>
      <c r="R17" s="36" t="s">
        <v>64</v>
      </c>
      <c r="S17" t="s">
        <v>47</v>
      </c>
      <c r="T17" t="s">
        <v>85</v>
      </c>
      <c r="U17" t="s">
        <v>167</v>
      </c>
      <c r="V17" t="s">
        <v>160</v>
      </c>
      <c r="W17" t="s">
        <v>47</v>
      </c>
      <c r="X17" s="37">
        <f t="shared" si="0"/>
        <v>0.48648648648648651</v>
      </c>
      <c r="Y17" t="s">
        <v>57</v>
      </c>
      <c r="Z17" s="37">
        <f t="shared" si="1"/>
        <v>0.29729729729729731</v>
      </c>
      <c r="AA17" s="37">
        <f t="shared" si="12"/>
        <v>1.6363636363636365</v>
      </c>
      <c r="AB17" t="s">
        <v>33</v>
      </c>
      <c r="AC17" s="37">
        <f t="shared" si="2"/>
        <v>0</v>
      </c>
      <c r="AD17" t="s">
        <v>65</v>
      </c>
      <c r="AE17" s="37">
        <f t="shared" si="3"/>
        <v>0.78378378378378377</v>
      </c>
      <c r="AF17" t="s">
        <v>345</v>
      </c>
      <c r="AG17" t="s">
        <v>223</v>
      </c>
      <c r="AH17" s="37">
        <f t="shared" si="4"/>
        <v>13.75</v>
      </c>
      <c r="AI17" s="37">
        <f t="shared" si="13"/>
        <v>47.78393351800554</v>
      </c>
      <c r="AJ17" s="40">
        <f t="shared" si="5"/>
        <v>12.082179748720938</v>
      </c>
      <c r="AK17" s="37">
        <f t="shared" si="6"/>
        <v>4.5143460236978683</v>
      </c>
      <c r="AL17" s="37">
        <f t="shared" si="7"/>
        <v>1.0478691659558383</v>
      </c>
      <c r="AM17" s="37">
        <f t="shared" si="8"/>
        <v>0.85523794875116033</v>
      </c>
      <c r="AN17" s="37">
        <f t="shared" si="9"/>
        <v>2.2547182285257863</v>
      </c>
      <c r="AO17" s="37">
        <f t="shared" si="10"/>
        <v>0</v>
      </c>
      <c r="AP17" s="5">
        <f t="shared" si="14"/>
        <v>29</v>
      </c>
    </row>
    <row r="18" spans="1:42" x14ac:dyDescent="0.2">
      <c r="A18" s="9" t="s">
        <v>57</v>
      </c>
      <c r="B18" t="s">
        <v>346</v>
      </c>
      <c r="C18" t="s">
        <v>518</v>
      </c>
      <c r="D18">
        <v>37</v>
      </c>
      <c r="E18">
        <v>1</v>
      </c>
      <c r="F18" s="69" t="s">
        <v>347</v>
      </c>
      <c r="G18" t="s">
        <v>324</v>
      </c>
      <c r="H18">
        <v>53</v>
      </c>
      <c r="I18">
        <v>120</v>
      </c>
      <c r="J18" t="s">
        <v>348</v>
      </c>
      <c r="K18">
        <v>0</v>
      </c>
      <c r="L18">
        <v>3</v>
      </c>
      <c r="M18" t="s">
        <v>33</v>
      </c>
      <c r="N18" s="37">
        <f t="shared" si="11"/>
        <v>0.43089430894308944</v>
      </c>
      <c r="O18">
        <v>20</v>
      </c>
      <c r="P18">
        <v>29</v>
      </c>
      <c r="Q18" t="s">
        <v>349</v>
      </c>
      <c r="R18" s="36" t="s">
        <v>222</v>
      </c>
      <c r="S18" t="s">
        <v>231</v>
      </c>
      <c r="T18" t="s">
        <v>350</v>
      </c>
      <c r="U18" t="s">
        <v>351</v>
      </c>
      <c r="V18" t="s">
        <v>352</v>
      </c>
      <c r="W18" t="s">
        <v>164</v>
      </c>
      <c r="X18" s="37">
        <f t="shared" si="0"/>
        <v>0.67567567567567566</v>
      </c>
      <c r="Y18" t="s">
        <v>164</v>
      </c>
      <c r="Z18" s="37">
        <f t="shared" si="1"/>
        <v>0.67567567567567566</v>
      </c>
      <c r="AA18" s="37">
        <f t="shared" si="12"/>
        <v>1</v>
      </c>
      <c r="AB18" t="s">
        <v>53</v>
      </c>
      <c r="AC18" s="37">
        <f t="shared" si="2"/>
        <v>0.10810810810810811</v>
      </c>
      <c r="AD18" t="s">
        <v>84</v>
      </c>
      <c r="AE18" s="37">
        <f t="shared" si="3"/>
        <v>0.24324324324324326</v>
      </c>
      <c r="AF18" t="s">
        <v>353</v>
      </c>
      <c r="AG18" t="s">
        <v>354</v>
      </c>
      <c r="AH18" s="37">
        <f t="shared" si="4"/>
        <v>25.258215962441316</v>
      </c>
      <c r="AI18" s="37">
        <f t="shared" si="13"/>
        <v>47.454052425429353</v>
      </c>
      <c r="AJ18" s="40">
        <f t="shared" si="5"/>
        <v>16.584564051624039</v>
      </c>
      <c r="AK18" s="37">
        <f t="shared" si="6"/>
        <v>9.0607928095435124</v>
      </c>
      <c r="AL18" s="37">
        <f t="shared" si="7"/>
        <v>5.4273024199264093</v>
      </c>
      <c r="AM18" s="37">
        <f t="shared" si="8"/>
        <v>2.6281319807974195</v>
      </c>
      <c r="AN18" s="37">
        <f t="shared" si="9"/>
        <v>0.94612751308707099</v>
      </c>
      <c r="AO18" s="37">
        <f t="shared" si="10"/>
        <v>0.92098691439416647</v>
      </c>
      <c r="AP18" s="5">
        <f t="shared" si="14"/>
        <v>13</v>
      </c>
    </row>
    <row r="19" spans="1:42" x14ac:dyDescent="0.2">
      <c r="A19" s="9" t="s">
        <v>144</v>
      </c>
      <c r="B19" t="s">
        <v>355</v>
      </c>
      <c r="C19" t="s">
        <v>517</v>
      </c>
      <c r="D19">
        <v>21</v>
      </c>
      <c r="E19">
        <v>0</v>
      </c>
      <c r="F19" s="69">
        <v>160</v>
      </c>
      <c r="G19">
        <v>7.6</v>
      </c>
      <c r="H19">
        <v>24</v>
      </c>
      <c r="I19">
        <v>53</v>
      </c>
      <c r="J19">
        <v>0.45300000000000001</v>
      </c>
      <c r="K19">
        <v>10</v>
      </c>
      <c r="L19">
        <v>22</v>
      </c>
      <c r="M19">
        <v>0.45500000000000002</v>
      </c>
      <c r="N19" s="37">
        <f t="shared" si="11"/>
        <v>0.38666666666666666</v>
      </c>
      <c r="O19">
        <v>12</v>
      </c>
      <c r="P19">
        <v>15</v>
      </c>
      <c r="Q19" s="37">
        <v>0.8</v>
      </c>
      <c r="R19" s="48">
        <v>7</v>
      </c>
      <c r="S19">
        <v>19</v>
      </c>
      <c r="T19">
        <v>26</v>
      </c>
      <c r="U19">
        <v>1.2</v>
      </c>
      <c r="V19">
        <v>22</v>
      </c>
      <c r="W19">
        <v>8</v>
      </c>
      <c r="X19" s="37">
        <v>0.4</v>
      </c>
      <c r="Y19">
        <v>12</v>
      </c>
      <c r="Z19" s="37">
        <f>Y19/D19</f>
        <v>0.5714285714285714</v>
      </c>
      <c r="AA19" s="37">
        <f>W19/Y19</f>
        <v>0.66666666666666663</v>
      </c>
      <c r="AB19">
        <v>0</v>
      </c>
      <c r="AC19" s="37">
        <f t="shared" si="2"/>
        <v>0</v>
      </c>
      <c r="AD19">
        <v>8</v>
      </c>
      <c r="AE19" s="37">
        <f t="shared" si="3"/>
        <v>0.38095238095238093</v>
      </c>
      <c r="AF19">
        <v>70</v>
      </c>
      <c r="AG19">
        <v>3.3</v>
      </c>
      <c r="AH19" s="37">
        <f t="shared" si="4"/>
        <v>25</v>
      </c>
      <c r="AI19" s="37">
        <f xml:space="preserve"> AF19 / (2 * (I19 + 0.44 * P19)) * 100</f>
        <v>58.724832214765101</v>
      </c>
      <c r="AJ19" s="40">
        <f t="shared" si="5"/>
        <v>20.040557606372641</v>
      </c>
      <c r="AK19" s="37">
        <f t="shared" si="6"/>
        <v>8.0373098548576909</v>
      </c>
      <c r="AL19" s="37">
        <f t="shared" si="7"/>
        <v>1.2366748904833087</v>
      </c>
      <c r="AM19" s="37">
        <f t="shared" si="8"/>
        <v>3.3587526714591025</v>
      </c>
      <c r="AN19" s="37">
        <f t="shared" si="9"/>
        <v>2.2391684476394014</v>
      </c>
      <c r="AO19" s="37">
        <f t="shared" si="10"/>
        <v>0</v>
      </c>
      <c r="AP19" s="5">
        <f t="shared" si="14"/>
        <v>8</v>
      </c>
    </row>
    <row r="20" spans="1:42" x14ac:dyDescent="0.2">
      <c r="A20" s="9" t="s">
        <v>164</v>
      </c>
      <c r="B20" t="s">
        <v>356</v>
      </c>
      <c r="C20" t="s">
        <v>518</v>
      </c>
      <c r="D20">
        <v>28</v>
      </c>
      <c r="E20">
        <v>0</v>
      </c>
      <c r="F20" s="69" t="s">
        <v>357</v>
      </c>
      <c r="G20" t="s">
        <v>358</v>
      </c>
      <c r="H20">
        <v>25</v>
      </c>
      <c r="I20">
        <v>61</v>
      </c>
      <c r="J20" t="s">
        <v>359</v>
      </c>
      <c r="K20">
        <v>3</v>
      </c>
      <c r="L20">
        <v>15</v>
      </c>
      <c r="M20" t="s">
        <v>238</v>
      </c>
      <c r="N20" s="37">
        <f t="shared" si="11"/>
        <v>0.34868421052631576</v>
      </c>
      <c r="O20">
        <v>13</v>
      </c>
      <c r="P20">
        <v>23</v>
      </c>
      <c r="Q20" t="s">
        <v>360</v>
      </c>
      <c r="R20" s="36" t="s">
        <v>159</v>
      </c>
      <c r="S20" t="s">
        <v>220</v>
      </c>
      <c r="T20" t="s">
        <v>222</v>
      </c>
      <c r="U20" t="s">
        <v>237</v>
      </c>
      <c r="V20" t="s">
        <v>144</v>
      </c>
      <c r="W20" t="s">
        <v>84</v>
      </c>
      <c r="X20" s="37">
        <f t="shared" si="0"/>
        <v>0.32142857142857145</v>
      </c>
      <c r="Y20" t="s">
        <v>84</v>
      </c>
      <c r="Z20" s="37">
        <f t="shared" si="1"/>
        <v>0.32142857142857145</v>
      </c>
      <c r="AA20" s="37">
        <f t="shared" si="12"/>
        <v>1</v>
      </c>
      <c r="AB20" t="s">
        <v>111</v>
      </c>
      <c r="AC20" s="37">
        <f t="shared" si="2"/>
        <v>0.25</v>
      </c>
      <c r="AD20" t="s">
        <v>64</v>
      </c>
      <c r="AE20" s="37">
        <f t="shared" si="3"/>
        <v>0.21428571428571427</v>
      </c>
      <c r="AF20" t="s">
        <v>361</v>
      </c>
      <c r="AG20" t="s">
        <v>362</v>
      </c>
      <c r="AH20" s="37">
        <f t="shared" si="4"/>
        <v>31.75</v>
      </c>
      <c r="AI20" s="37">
        <f t="shared" si="13"/>
        <v>46.400449943757025</v>
      </c>
      <c r="AJ20" s="40">
        <f t="shared" si="5"/>
        <v>22.425272003108606</v>
      </c>
      <c r="AK20" s="37">
        <f t="shared" si="6"/>
        <v>9.1337369290038524</v>
      </c>
      <c r="AL20" s="37">
        <f t="shared" si="7"/>
        <v>2.1475781894160009</v>
      </c>
      <c r="AM20" s="37">
        <f t="shared" si="8"/>
        <v>2.5190645035943264</v>
      </c>
      <c r="AN20" s="37">
        <f t="shared" si="9"/>
        <v>1.6793763357295513</v>
      </c>
      <c r="AO20" s="37">
        <f t="shared" si="10"/>
        <v>4.2912234042553195</v>
      </c>
      <c r="AP20" s="5">
        <f t="shared" si="14"/>
        <v>13</v>
      </c>
    </row>
    <row r="21" spans="1:42" x14ac:dyDescent="0.2">
      <c r="A21" s="9" t="s">
        <v>126</v>
      </c>
      <c r="B21" t="s">
        <v>363</v>
      </c>
      <c r="C21" t="s">
        <v>517</v>
      </c>
      <c r="D21">
        <v>23</v>
      </c>
      <c r="E21">
        <v>0</v>
      </c>
      <c r="F21" s="69" t="s">
        <v>364</v>
      </c>
      <c r="G21" t="s">
        <v>365</v>
      </c>
      <c r="H21">
        <v>10</v>
      </c>
      <c r="I21">
        <v>28</v>
      </c>
      <c r="J21" t="s">
        <v>366</v>
      </c>
      <c r="K21">
        <v>7</v>
      </c>
      <c r="L21">
        <v>20</v>
      </c>
      <c r="M21" t="s">
        <v>367</v>
      </c>
      <c r="N21" s="37">
        <f t="shared" si="11"/>
        <v>0.28125</v>
      </c>
      <c r="O21">
        <v>0</v>
      </c>
      <c r="P21">
        <v>0</v>
      </c>
      <c r="Q21" t="s">
        <v>33</v>
      </c>
      <c r="R21" s="36" t="s">
        <v>113</v>
      </c>
      <c r="S21" t="s">
        <v>40</v>
      </c>
      <c r="T21" t="s">
        <v>144</v>
      </c>
      <c r="U21" t="s">
        <v>134</v>
      </c>
      <c r="V21" t="s">
        <v>36</v>
      </c>
      <c r="W21" t="s">
        <v>84</v>
      </c>
      <c r="X21" s="37">
        <f t="shared" si="0"/>
        <v>0.39130434782608697</v>
      </c>
      <c r="Y21" t="s">
        <v>123</v>
      </c>
      <c r="Z21" s="37">
        <f t="shared" si="1"/>
        <v>0.52173913043478259</v>
      </c>
      <c r="AA21" s="37">
        <f t="shared" si="12"/>
        <v>0.75</v>
      </c>
      <c r="AB21" t="s">
        <v>97</v>
      </c>
      <c r="AC21" s="37">
        <f t="shared" si="2"/>
        <v>4.3478260869565216E-2</v>
      </c>
      <c r="AD21" t="s">
        <v>127</v>
      </c>
      <c r="AE21" s="37">
        <f t="shared" si="3"/>
        <v>0.34782608695652173</v>
      </c>
      <c r="AF21" t="s">
        <v>89</v>
      </c>
      <c r="AG21" t="s">
        <v>368</v>
      </c>
      <c r="AH21" s="37">
        <f t="shared" si="4"/>
        <v>14.117647058823531</v>
      </c>
      <c r="AI21" s="37">
        <f t="shared" si="13"/>
        <v>48.214285714285715</v>
      </c>
      <c r="AJ21" s="40">
        <f t="shared" si="5"/>
        <v>13.171579103761186</v>
      </c>
      <c r="AK21" s="37">
        <f t="shared" si="6"/>
        <v>9.4731434442605185</v>
      </c>
      <c r="AL21" s="37">
        <f t="shared" si="7"/>
        <v>0.68542651291185042</v>
      </c>
      <c r="AM21" s="37">
        <f t="shared" si="8"/>
        <v>3.9514737311283561</v>
      </c>
      <c r="AN21" s="37">
        <f t="shared" si="9"/>
        <v>2.6343158207522372</v>
      </c>
      <c r="AO21" s="37">
        <f t="shared" si="10"/>
        <v>0.7212140175219024</v>
      </c>
      <c r="AP21" s="5">
        <f t="shared" si="14"/>
        <v>9</v>
      </c>
    </row>
    <row r="22" spans="1:42" x14ac:dyDescent="0.2">
      <c r="A22" s="9" t="s">
        <v>54</v>
      </c>
      <c r="B22" t="s">
        <v>369</v>
      </c>
      <c r="C22" t="s">
        <v>517</v>
      </c>
      <c r="D22">
        <v>22</v>
      </c>
      <c r="E22">
        <v>0</v>
      </c>
      <c r="F22" s="69" t="s">
        <v>370</v>
      </c>
      <c r="G22" t="s">
        <v>146</v>
      </c>
      <c r="H22">
        <v>8</v>
      </c>
      <c r="I22">
        <v>20</v>
      </c>
      <c r="J22" t="s">
        <v>228</v>
      </c>
      <c r="K22">
        <v>3</v>
      </c>
      <c r="L22">
        <v>11</v>
      </c>
      <c r="M22" t="s">
        <v>371</v>
      </c>
      <c r="N22" s="37">
        <f t="shared" si="11"/>
        <v>0.30645161290322581</v>
      </c>
      <c r="O22">
        <v>5</v>
      </c>
      <c r="P22">
        <v>6</v>
      </c>
      <c r="Q22" t="s">
        <v>372</v>
      </c>
      <c r="R22" s="36" t="s">
        <v>113</v>
      </c>
      <c r="S22" t="s">
        <v>64</v>
      </c>
      <c r="T22" t="s">
        <v>57</v>
      </c>
      <c r="U22" t="s">
        <v>157</v>
      </c>
      <c r="V22" t="s">
        <v>53</v>
      </c>
      <c r="W22" t="s">
        <v>84</v>
      </c>
      <c r="X22" s="37">
        <f t="shared" si="0"/>
        <v>0.40909090909090912</v>
      </c>
      <c r="Y22" t="s">
        <v>127</v>
      </c>
      <c r="Z22" s="37">
        <f t="shared" si="1"/>
        <v>0.36363636363636365</v>
      </c>
      <c r="AA22" s="37">
        <f t="shared" si="12"/>
        <v>1.125</v>
      </c>
      <c r="AB22" t="s">
        <v>33</v>
      </c>
      <c r="AC22" s="37">
        <f t="shared" si="2"/>
        <v>0</v>
      </c>
      <c r="AD22" t="s">
        <v>97</v>
      </c>
      <c r="AE22" s="37">
        <f t="shared" si="3"/>
        <v>4.5454545454545456E-2</v>
      </c>
      <c r="AF22" t="s">
        <v>85</v>
      </c>
      <c r="AG22" t="s">
        <v>373</v>
      </c>
      <c r="AH22" s="37">
        <f t="shared" si="4"/>
        <v>16.263736263736263</v>
      </c>
      <c r="AI22" s="37">
        <f t="shared" si="13"/>
        <v>53.003533568904594</v>
      </c>
      <c r="AJ22" s="40">
        <f t="shared" si="5"/>
        <v>15.078707963883797</v>
      </c>
      <c r="AK22" s="37">
        <f t="shared" si="6"/>
        <v>14.455281260003005</v>
      </c>
      <c r="AL22" s="37">
        <f t="shared" si="7"/>
        <v>0.46213388243393594</v>
      </c>
      <c r="AM22" s="37">
        <f t="shared" si="8"/>
        <v>3.9369994683769702</v>
      </c>
      <c r="AN22" s="37">
        <f t="shared" si="9"/>
        <v>0.49212493354712128</v>
      </c>
      <c r="AO22" s="37">
        <f t="shared" si="10"/>
        <v>0</v>
      </c>
      <c r="AP22" s="5">
        <f t="shared" si="14"/>
        <v>1</v>
      </c>
    </row>
    <row r="23" spans="1:42" x14ac:dyDescent="0.2">
      <c r="A23" s="9" t="s">
        <v>34</v>
      </c>
      <c r="B23" t="s">
        <v>374</v>
      </c>
      <c r="C23" t="s">
        <v>518</v>
      </c>
      <c r="D23">
        <v>8</v>
      </c>
      <c r="E23">
        <v>0</v>
      </c>
      <c r="F23" s="69" t="s">
        <v>47</v>
      </c>
      <c r="G23" t="s">
        <v>158</v>
      </c>
      <c r="H23">
        <v>3</v>
      </c>
      <c r="I23">
        <v>10</v>
      </c>
      <c r="J23" t="s">
        <v>239</v>
      </c>
      <c r="K23">
        <v>0</v>
      </c>
      <c r="L23">
        <v>0</v>
      </c>
      <c r="M23" t="s">
        <v>33</v>
      </c>
      <c r="N23" s="37">
        <f t="shared" si="11"/>
        <v>0.3</v>
      </c>
      <c r="O23">
        <v>2</v>
      </c>
      <c r="P23">
        <v>4</v>
      </c>
      <c r="Q23" t="s">
        <v>157</v>
      </c>
      <c r="R23" s="36" t="s">
        <v>113</v>
      </c>
      <c r="S23" t="s">
        <v>33</v>
      </c>
      <c r="T23" t="s">
        <v>113</v>
      </c>
      <c r="U23" t="s">
        <v>167</v>
      </c>
      <c r="V23" t="s">
        <v>126</v>
      </c>
      <c r="W23" t="s">
        <v>97</v>
      </c>
      <c r="X23" s="37">
        <f t="shared" si="0"/>
        <v>0.125</v>
      </c>
      <c r="Y23" t="s">
        <v>33</v>
      </c>
      <c r="Z23" s="37">
        <f t="shared" si="1"/>
        <v>0</v>
      </c>
      <c r="AA23" s="37">
        <v>0</v>
      </c>
      <c r="AB23" t="s">
        <v>97</v>
      </c>
      <c r="AC23" s="37">
        <f t="shared" si="2"/>
        <v>0.125</v>
      </c>
      <c r="AD23" t="s">
        <v>97</v>
      </c>
      <c r="AE23" s="37">
        <f t="shared" si="3"/>
        <v>0.125</v>
      </c>
      <c r="AF23" t="s">
        <v>127</v>
      </c>
      <c r="AG23" t="s">
        <v>97</v>
      </c>
      <c r="AH23" s="37">
        <f t="shared" si="4"/>
        <v>35.555555555555557</v>
      </c>
      <c r="AI23" s="37">
        <f t="shared" si="13"/>
        <v>34.013605442176868</v>
      </c>
      <c r="AJ23" s="40">
        <f t="shared" si="5"/>
        <v>29.258467715821514</v>
      </c>
      <c r="AK23" s="37">
        <f t="shared" si="6"/>
        <v>9.1761837227239926</v>
      </c>
      <c r="AL23" s="37">
        <f t="shared" si="7"/>
        <v>0.11545529394454515</v>
      </c>
      <c r="AM23" s="37">
        <f t="shared" si="8"/>
        <v>0</v>
      </c>
      <c r="AN23" s="37">
        <f t="shared" si="9"/>
        <v>2.487964941821557</v>
      </c>
      <c r="AO23" s="37">
        <f t="shared" si="10"/>
        <v>5.4491725768321517</v>
      </c>
      <c r="AP23" s="5">
        <f t="shared" si="14"/>
        <v>2</v>
      </c>
    </row>
    <row r="24" spans="1:42" x14ac:dyDescent="0.2">
      <c r="A24" s="9" t="s">
        <v>109</v>
      </c>
      <c r="B24" t="s">
        <v>375</v>
      </c>
      <c r="C24" t="s">
        <v>518</v>
      </c>
      <c r="D24">
        <v>15</v>
      </c>
      <c r="E24">
        <v>0</v>
      </c>
      <c r="F24" s="69" t="s">
        <v>70</v>
      </c>
      <c r="G24" t="s">
        <v>376</v>
      </c>
      <c r="H24">
        <v>6</v>
      </c>
      <c r="I24">
        <v>12</v>
      </c>
      <c r="J24" t="s">
        <v>157</v>
      </c>
      <c r="K24">
        <v>0</v>
      </c>
      <c r="L24">
        <v>0</v>
      </c>
      <c r="M24" t="s">
        <v>33</v>
      </c>
      <c r="N24" s="37">
        <f t="shared" si="11"/>
        <v>0.5</v>
      </c>
      <c r="O24">
        <v>2</v>
      </c>
      <c r="P24">
        <v>5</v>
      </c>
      <c r="Q24" t="s">
        <v>228</v>
      </c>
      <c r="R24" s="36" t="s">
        <v>53</v>
      </c>
      <c r="S24" t="s">
        <v>111</v>
      </c>
      <c r="T24" t="s">
        <v>57</v>
      </c>
      <c r="U24" t="s">
        <v>134</v>
      </c>
      <c r="V24" t="s">
        <v>64</v>
      </c>
      <c r="W24" t="s">
        <v>126</v>
      </c>
      <c r="X24" s="37">
        <f t="shared" si="0"/>
        <v>0.13333333333333333</v>
      </c>
      <c r="Y24" t="s">
        <v>64</v>
      </c>
      <c r="Z24" s="37">
        <f t="shared" si="1"/>
        <v>0.4</v>
      </c>
      <c r="AA24" s="37">
        <f t="shared" si="12"/>
        <v>0.33333333333333331</v>
      </c>
      <c r="AB24" t="s">
        <v>97</v>
      </c>
      <c r="AC24" s="37">
        <f t="shared" si="2"/>
        <v>6.6666666666666666E-2</v>
      </c>
      <c r="AD24" t="s">
        <v>97</v>
      </c>
      <c r="AE24" s="37">
        <f t="shared" si="3"/>
        <v>6.6666666666666666E-2</v>
      </c>
      <c r="AF24" t="s">
        <v>108</v>
      </c>
      <c r="AG24" t="s">
        <v>145</v>
      </c>
      <c r="AH24" s="37">
        <f t="shared" si="4"/>
        <v>21.395348837209301</v>
      </c>
      <c r="AI24" s="37">
        <f t="shared" si="13"/>
        <v>49.295774647887328</v>
      </c>
      <c r="AJ24" s="40">
        <f t="shared" si="5"/>
        <v>21.03776867084461</v>
      </c>
      <c r="AK24" s="37">
        <f t="shared" si="6"/>
        <v>7.3528752074725006</v>
      </c>
      <c r="AL24" s="37">
        <f t="shared" si="7"/>
        <v>0.50239880543300841</v>
      </c>
      <c r="AM24" s="37">
        <f t="shared" si="8"/>
        <v>6.2488421794587961</v>
      </c>
      <c r="AN24" s="37">
        <f t="shared" si="9"/>
        <v>1.0414736965764659</v>
      </c>
      <c r="AO24" s="37">
        <f t="shared" si="10"/>
        <v>2.2810489856506679</v>
      </c>
      <c r="AP24" s="5">
        <f t="shared" si="14"/>
        <v>2</v>
      </c>
    </row>
    <row r="25" spans="1:42" x14ac:dyDescent="0.2">
      <c r="A25" s="9" t="s">
        <v>123</v>
      </c>
      <c r="B25" t="s">
        <v>377</v>
      </c>
      <c r="C25" t="s">
        <v>517</v>
      </c>
      <c r="D25">
        <v>23</v>
      </c>
      <c r="E25">
        <v>0</v>
      </c>
      <c r="F25" s="69" t="s">
        <v>378</v>
      </c>
      <c r="G25" t="s">
        <v>113</v>
      </c>
      <c r="H25">
        <v>8</v>
      </c>
      <c r="I25">
        <v>24</v>
      </c>
      <c r="J25" t="s">
        <v>26</v>
      </c>
      <c r="K25">
        <v>0</v>
      </c>
      <c r="L25">
        <v>4</v>
      </c>
      <c r="M25" t="s">
        <v>33</v>
      </c>
      <c r="N25" s="37">
        <f t="shared" si="11"/>
        <v>0.2857142857142857</v>
      </c>
      <c r="O25">
        <v>2</v>
      </c>
      <c r="P25">
        <v>5</v>
      </c>
      <c r="Q25" t="s">
        <v>228</v>
      </c>
      <c r="R25" s="36" t="s">
        <v>57</v>
      </c>
      <c r="S25" t="s">
        <v>64</v>
      </c>
      <c r="T25" t="s">
        <v>159</v>
      </c>
      <c r="U25" t="s">
        <v>134</v>
      </c>
      <c r="V25" t="s">
        <v>137</v>
      </c>
      <c r="W25" t="s">
        <v>113</v>
      </c>
      <c r="X25" s="37">
        <f t="shared" si="0"/>
        <v>0.21739130434782608</v>
      </c>
      <c r="Y25" t="s">
        <v>84</v>
      </c>
      <c r="Z25" s="37">
        <f t="shared" si="1"/>
        <v>0.39130434782608697</v>
      </c>
      <c r="AA25" s="37">
        <f t="shared" si="12"/>
        <v>0.55555555555555558</v>
      </c>
      <c r="AB25" t="s">
        <v>97</v>
      </c>
      <c r="AC25" s="37">
        <f t="shared" si="2"/>
        <v>4.3478260869565216E-2</v>
      </c>
      <c r="AD25" t="s">
        <v>53</v>
      </c>
      <c r="AE25" s="37">
        <f t="shared" si="3"/>
        <v>0.17391304347826086</v>
      </c>
      <c r="AF25" t="s">
        <v>47</v>
      </c>
      <c r="AG25" t="s">
        <v>122</v>
      </c>
      <c r="AH25" s="37">
        <f t="shared" si="4"/>
        <v>12.521739130434783</v>
      </c>
      <c r="AI25" s="37">
        <f t="shared" si="13"/>
        <v>34.351145038167942</v>
      </c>
      <c r="AJ25" s="40">
        <f t="shared" si="5"/>
        <v>13.707605105549034</v>
      </c>
      <c r="AK25" s="37">
        <f t="shared" si="6"/>
        <v>6.1887813235735845</v>
      </c>
      <c r="AL25" s="37">
        <f t="shared" si="7"/>
        <v>0.59907053046178627</v>
      </c>
      <c r="AM25" s="37">
        <f t="shared" si="8"/>
        <v>3.5047853963051501</v>
      </c>
      <c r="AN25" s="37">
        <f t="shared" si="9"/>
        <v>1.5576823983578445</v>
      </c>
      <c r="AO25" s="37">
        <f t="shared" si="10"/>
        <v>0.85291396854764112</v>
      </c>
      <c r="AP25" s="5">
        <f t="shared" si="14"/>
        <v>5</v>
      </c>
    </row>
    <row r="26" spans="1:42" x14ac:dyDescent="0.2">
      <c r="A26" s="9" t="s">
        <v>138</v>
      </c>
      <c r="B26" t="s">
        <v>379</v>
      </c>
      <c r="C26" t="s">
        <v>517</v>
      </c>
      <c r="D26">
        <v>23</v>
      </c>
      <c r="E26">
        <v>0</v>
      </c>
      <c r="F26" s="69" t="s">
        <v>81</v>
      </c>
      <c r="G26" t="s">
        <v>380</v>
      </c>
      <c r="H26">
        <v>6</v>
      </c>
      <c r="I26">
        <v>27</v>
      </c>
      <c r="J26" t="s">
        <v>230</v>
      </c>
      <c r="K26">
        <v>3</v>
      </c>
      <c r="L26">
        <v>12</v>
      </c>
      <c r="M26" t="s">
        <v>106</v>
      </c>
      <c r="N26" s="37">
        <f t="shared" si="11"/>
        <v>0.19230769230769232</v>
      </c>
      <c r="O26">
        <v>1</v>
      </c>
      <c r="P26">
        <v>2</v>
      </c>
      <c r="Q26" t="s">
        <v>157</v>
      </c>
      <c r="R26" s="36" t="s">
        <v>97</v>
      </c>
      <c r="S26" t="s">
        <v>164</v>
      </c>
      <c r="T26" t="s">
        <v>79</v>
      </c>
      <c r="U26" t="s">
        <v>373</v>
      </c>
      <c r="V26" t="s">
        <v>116</v>
      </c>
      <c r="W26" t="s">
        <v>123</v>
      </c>
      <c r="X26" s="37">
        <f t="shared" si="0"/>
        <v>0.52173913043478259</v>
      </c>
      <c r="Y26" t="s">
        <v>40</v>
      </c>
      <c r="Z26" s="37">
        <f t="shared" si="1"/>
        <v>0.43478260869565216</v>
      </c>
      <c r="AA26" s="37">
        <f t="shared" si="12"/>
        <v>1.2</v>
      </c>
      <c r="AB26" t="s">
        <v>53</v>
      </c>
      <c r="AC26" s="37">
        <f t="shared" si="2"/>
        <v>0.17391304347826086</v>
      </c>
      <c r="AD26" t="s">
        <v>126</v>
      </c>
      <c r="AE26" s="37">
        <f t="shared" si="3"/>
        <v>8.6956521739130432E-2</v>
      </c>
      <c r="AF26" t="s">
        <v>36</v>
      </c>
      <c r="AG26" t="s">
        <v>134</v>
      </c>
      <c r="AH26" s="37">
        <f t="shared" si="4"/>
        <v>18.867924528301888</v>
      </c>
      <c r="AI26" s="37">
        <f t="shared" si="13"/>
        <v>28.694404591104732</v>
      </c>
      <c r="AJ26" s="40">
        <f t="shared" si="5"/>
        <v>16.003717131430289</v>
      </c>
      <c r="AK26" s="37">
        <f t="shared" si="6"/>
        <v>15.822271162323432</v>
      </c>
      <c r="AL26" s="37">
        <f t="shared" si="7"/>
        <v>1.4591813523019832</v>
      </c>
      <c r="AM26" s="37">
        <f t="shared" si="8"/>
        <v>4.2248461276215128</v>
      </c>
      <c r="AN26" s="37">
        <f t="shared" si="9"/>
        <v>0.84496922552430254</v>
      </c>
      <c r="AO26" s="37">
        <f t="shared" si="10"/>
        <v>3.7013247691690085</v>
      </c>
      <c r="AP26" s="5">
        <f t="shared" si="14"/>
        <v>6</v>
      </c>
    </row>
    <row r="27" spans="1:42" ht="17" thickBot="1" x14ac:dyDescent="0.25">
      <c r="A27" s="3" t="s">
        <v>352</v>
      </c>
      <c r="B27" s="4" t="s">
        <v>381</v>
      </c>
      <c r="C27" s="4" t="s">
        <v>518</v>
      </c>
      <c r="D27" s="4">
        <v>2</v>
      </c>
      <c r="E27" s="4">
        <v>0</v>
      </c>
      <c r="F27" s="72" t="s">
        <v>116</v>
      </c>
      <c r="G27" s="4" t="s">
        <v>235</v>
      </c>
      <c r="H27" s="4">
        <v>0</v>
      </c>
      <c r="I27" s="4">
        <v>0</v>
      </c>
      <c r="J27" s="4" t="s">
        <v>33</v>
      </c>
      <c r="K27" s="4">
        <v>0</v>
      </c>
      <c r="L27" s="4">
        <v>0</v>
      </c>
      <c r="M27" s="4" t="s">
        <v>33</v>
      </c>
      <c r="N27" s="17">
        <v>0</v>
      </c>
      <c r="O27" s="4">
        <v>0</v>
      </c>
      <c r="P27" s="4">
        <v>0</v>
      </c>
      <c r="Q27" s="4" t="s">
        <v>33</v>
      </c>
      <c r="R27" s="35" t="s">
        <v>33</v>
      </c>
      <c r="S27" s="4" t="s">
        <v>97</v>
      </c>
      <c r="T27" s="4" t="s">
        <v>97</v>
      </c>
      <c r="U27" s="4" t="s">
        <v>157</v>
      </c>
      <c r="V27" s="4" t="s">
        <v>33</v>
      </c>
      <c r="W27" s="4" t="s">
        <v>33</v>
      </c>
      <c r="X27" s="17">
        <f t="shared" si="0"/>
        <v>0</v>
      </c>
      <c r="Y27" s="4" t="s">
        <v>33</v>
      </c>
      <c r="Z27" s="17">
        <f t="shared" si="1"/>
        <v>0</v>
      </c>
      <c r="AA27" s="17">
        <v>0</v>
      </c>
      <c r="AB27" s="4" t="s">
        <v>33</v>
      </c>
      <c r="AC27" s="17">
        <f t="shared" si="2"/>
        <v>0</v>
      </c>
      <c r="AD27" s="4" t="s">
        <v>33</v>
      </c>
      <c r="AE27" s="17">
        <f t="shared" si="3"/>
        <v>0</v>
      </c>
      <c r="AF27" s="4" t="s">
        <v>33</v>
      </c>
      <c r="AG27" s="4" t="s">
        <v>33</v>
      </c>
      <c r="AH27" s="17">
        <f t="shared" si="4"/>
        <v>13.333333333333332</v>
      </c>
      <c r="AI27" s="17">
        <v>0</v>
      </c>
      <c r="AJ27" s="41">
        <f t="shared" si="5"/>
        <v>0</v>
      </c>
      <c r="AK27" s="17">
        <f t="shared" si="6"/>
        <v>0</v>
      </c>
      <c r="AL27" s="17">
        <f t="shared" si="7"/>
        <v>5.9291436784404163E-2</v>
      </c>
      <c r="AM27" s="17">
        <f t="shared" si="8"/>
        <v>0</v>
      </c>
      <c r="AN27" s="17">
        <f t="shared" si="9"/>
        <v>0</v>
      </c>
      <c r="AO27" s="17">
        <f t="shared" si="10"/>
        <v>0</v>
      </c>
      <c r="AP27" s="56">
        <f t="shared" si="14"/>
        <v>0</v>
      </c>
    </row>
    <row r="28" spans="1:42" x14ac:dyDescent="0.2">
      <c r="B28" s="1" t="s">
        <v>170</v>
      </c>
      <c r="C28" s="2"/>
      <c r="D28" s="2" t="s">
        <v>98</v>
      </c>
      <c r="E28" s="2"/>
      <c r="F28" s="71" t="s">
        <v>382</v>
      </c>
      <c r="G28" s="2" t="s">
        <v>383</v>
      </c>
      <c r="H28" s="2">
        <v>1139</v>
      </c>
      <c r="I28" s="2">
        <v>2450</v>
      </c>
      <c r="J28" s="2" t="s">
        <v>384</v>
      </c>
      <c r="K28" s="2">
        <v>237</v>
      </c>
      <c r="L28" s="2">
        <v>721</v>
      </c>
      <c r="M28" s="2" t="s">
        <v>142</v>
      </c>
      <c r="N28" s="16">
        <f>(H28+(0.5*K28))/(L28+I28)</f>
        <v>0.3965625985493535</v>
      </c>
      <c r="O28" s="2">
        <v>534</v>
      </c>
      <c r="P28" s="2">
        <v>707</v>
      </c>
      <c r="Q28" s="2" t="s">
        <v>385</v>
      </c>
      <c r="R28" s="34" t="s">
        <v>386</v>
      </c>
      <c r="S28" s="34">
        <v>1116</v>
      </c>
      <c r="T28" s="2">
        <v>1629</v>
      </c>
      <c r="U28" s="2" t="s">
        <v>387</v>
      </c>
      <c r="V28" s="2" t="s">
        <v>388</v>
      </c>
      <c r="W28" s="2" t="s">
        <v>389</v>
      </c>
      <c r="X28" s="16">
        <f>W28 / D28</f>
        <v>17.918918918918919</v>
      </c>
      <c r="Y28" s="2" t="s">
        <v>390</v>
      </c>
      <c r="Z28" s="16">
        <f>Dordt_2023_24[[#This Row],[Column23]]/D28</f>
        <v>14.405405405405405</v>
      </c>
      <c r="AA28" s="16">
        <f>Dordt_2023_24[[#This Row],[Column22]]/Dordt_2023_24[[#This Row],[Column23]]</f>
        <v>1.2439024390243902</v>
      </c>
      <c r="AB28" s="2" t="s">
        <v>391</v>
      </c>
      <c r="AC28" s="16">
        <f>Dordt_2023_24[[#This Row],[Column24]]/D28</f>
        <v>2.5675675675675675</v>
      </c>
      <c r="AD28" s="2" t="s">
        <v>118</v>
      </c>
      <c r="AE28" s="16">
        <f>Dordt_2023_24[[#This Row],[Column25]]/D28</f>
        <v>9.5405405405405403</v>
      </c>
      <c r="AF28" s="2" t="s">
        <v>392</v>
      </c>
      <c r="AG28" s="2" t="s">
        <v>393</v>
      </c>
      <c r="AH28" s="16">
        <f>SUM(AH10*F10,AH11*F11,AH12*F12,AH13*F13,AH14*F14,AH15*F15,AH16*F16,AH17*F17,AH18*F18,AH19*F19,AH20*F20,AH21*F21,AH22*F22,AH23*F23,AH24*F24,AH25*F25,AH26*F26,AH27*F27)/F28</f>
        <v>27.521691973969631</v>
      </c>
      <c r="AI28" s="16">
        <f t="shared" si="13"/>
        <v>55.213901806539468</v>
      </c>
      <c r="AJ28" s="2"/>
      <c r="AK28" s="2"/>
      <c r="AL28" s="2"/>
      <c r="AM28" s="2"/>
      <c r="AN28" s="2"/>
      <c r="AO28" s="2"/>
      <c r="AP28" s="44"/>
    </row>
    <row r="29" spans="1:42" ht="17" thickBot="1" x14ac:dyDescent="0.25">
      <c r="B29" s="3" t="s">
        <v>186</v>
      </c>
      <c r="C29" s="4"/>
      <c r="D29" s="4" t="s">
        <v>98</v>
      </c>
      <c r="E29" s="4"/>
      <c r="F29" s="72" t="s">
        <v>394</v>
      </c>
      <c r="G29" s="4" t="s">
        <v>395</v>
      </c>
      <c r="H29" s="4">
        <v>839</v>
      </c>
      <c r="I29" s="4">
        <v>2232</v>
      </c>
      <c r="J29" s="4" t="s">
        <v>338</v>
      </c>
      <c r="K29" s="4">
        <v>205</v>
      </c>
      <c r="L29" s="4">
        <v>728</v>
      </c>
      <c r="M29" s="4" t="s">
        <v>396</v>
      </c>
      <c r="N29" s="17">
        <f>(H29+(0.5*K29))/(L29+I29)</f>
        <v>0.31807432432432431</v>
      </c>
      <c r="O29" s="4">
        <v>452</v>
      </c>
      <c r="P29" s="4">
        <v>612</v>
      </c>
      <c r="Q29" s="4" t="s">
        <v>397</v>
      </c>
      <c r="R29" s="35" t="s">
        <v>398</v>
      </c>
      <c r="S29" s="35" t="s">
        <v>399</v>
      </c>
      <c r="T29" s="4" t="s">
        <v>400</v>
      </c>
      <c r="U29" s="4" t="s">
        <v>401</v>
      </c>
      <c r="V29" s="4" t="s">
        <v>402</v>
      </c>
      <c r="W29" s="4" t="s">
        <v>403</v>
      </c>
      <c r="X29" s="17">
        <f>Dordt_2023_24[[#This Row],[Column22]]/D28</f>
        <v>9.7567567567567561</v>
      </c>
      <c r="Y29" s="4" t="s">
        <v>404</v>
      </c>
      <c r="Z29" s="17">
        <f>Dordt_2023_24[[#This Row],[Column23]]/D28</f>
        <v>16.918918918918919</v>
      </c>
      <c r="AA29" s="17">
        <f>Dordt_2023_24[[#This Row],[Column22]]/Dordt_2023_24[[#This Row],[Column23]]</f>
        <v>0.57667731629392971</v>
      </c>
      <c r="AB29" s="4" t="s">
        <v>405</v>
      </c>
      <c r="AC29" s="17">
        <f>Dordt_2023_24[[#This Row],[Column24]]/D28</f>
        <v>2.6486486486486487</v>
      </c>
      <c r="AD29" s="4" t="s">
        <v>241</v>
      </c>
      <c r="AE29" s="17">
        <f>Dordt_2023_24[[#This Row],[Column25]]/D28</f>
        <v>7.1891891891891895</v>
      </c>
      <c r="AF29" s="4" t="s">
        <v>406</v>
      </c>
      <c r="AG29" s="4" t="s">
        <v>407</v>
      </c>
      <c r="AH29" s="4"/>
      <c r="AI29" s="17">
        <f t="shared" si="13"/>
        <v>46.676101835860031</v>
      </c>
      <c r="AJ29" s="4"/>
      <c r="AK29" s="4"/>
      <c r="AL29" s="4"/>
      <c r="AM29" s="4"/>
      <c r="AN29" s="4"/>
      <c r="AO29" s="4"/>
      <c r="AP29" s="56"/>
    </row>
    <row r="37" spans="13:25" x14ac:dyDescent="0.2">
      <c r="O37" t="s">
        <v>7</v>
      </c>
      <c r="P37" t="s">
        <v>7</v>
      </c>
      <c r="Q37" t="s">
        <v>7</v>
      </c>
      <c r="R37" s="36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Y37" t="s">
        <v>7</v>
      </c>
    </row>
    <row r="38" spans="13:25" x14ac:dyDescent="0.2">
      <c r="M38" t="s">
        <v>7</v>
      </c>
      <c r="O38" t="s">
        <v>7</v>
      </c>
      <c r="P38" t="s">
        <v>7</v>
      </c>
      <c r="Q38" t="s">
        <v>7</v>
      </c>
      <c r="R38" s="36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Y38" t="s">
        <v>7</v>
      </c>
    </row>
    <row r="39" spans="13:25" x14ac:dyDescent="0.2">
      <c r="M39" t="s">
        <v>7</v>
      </c>
      <c r="O39" t="s">
        <v>7</v>
      </c>
      <c r="P39" t="s">
        <v>7</v>
      </c>
      <c r="Q39" t="s">
        <v>7</v>
      </c>
      <c r="R39" s="36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Y39" t="s">
        <v>7</v>
      </c>
    </row>
    <row r="40" spans="13:25" x14ac:dyDescent="0.2">
      <c r="M40" t="s">
        <v>7</v>
      </c>
      <c r="O40" t="s">
        <v>7</v>
      </c>
      <c r="P40" t="s">
        <v>7</v>
      </c>
      <c r="Q40" t="s">
        <v>7</v>
      </c>
      <c r="R40" s="36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Y40" t="s">
        <v>7</v>
      </c>
    </row>
    <row r="41" spans="13:25" x14ac:dyDescent="0.2">
      <c r="M41" t="s">
        <v>7</v>
      </c>
      <c r="O41" t="s">
        <v>7</v>
      </c>
      <c r="P41" t="s">
        <v>7</v>
      </c>
      <c r="Q41" t="s">
        <v>7</v>
      </c>
      <c r="R41" s="36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Y41" t="s">
        <v>7</v>
      </c>
    </row>
    <row r="42" spans="13:25" x14ac:dyDescent="0.2">
      <c r="M42" t="s">
        <v>7</v>
      </c>
      <c r="O42" t="s">
        <v>7</v>
      </c>
      <c r="P42" t="s">
        <v>7</v>
      </c>
      <c r="Q42" t="s">
        <v>7</v>
      </c>
      <c r="R42" s="36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Y42" t="s">
        <v>7</v>
      </c>
    </row>
    <row r="43" spans="13:25" x14ac:dyDescent="0.2">
      <c r="M43" t="s">
        <v>7</v>
      </c>
      <c r="O43" t="s">
        <v>7</v>
      </c>
      <c r="P43" t="s">
        <v>7</v>
      </c>
      <c r="Q43" t="s">
        <v>7</v>
      </c>
      <c r="R43" s="36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Y43" t="s">
        <v>7</v>
      </c>
    </row>
    <row r="44" spans="13:25" x14ac:dyDescent="0.2">
      <c r="O44" t="s">
        <v>7</v>
      </c>
      <c r="P44" t="s">
        <v>7</v>
      </c>
      <c r="Q44" t="s">
        <v>7</v>
      </c>
      <c r="R44" s="36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Y44" t="s">
        <v>7</v>
      </c>
    </row>
    <row r="45" spans="13:25" x14ac:dyDescent="0.2">
      <c r="O45" t="s">
        <v>7</v>
      </c>
      <c r="P45" t="s">
        <v>7</v>
      </c>
      <c r="Q45" t="s">
        <v>7</v>
      </c>
      <c r="R45" s="36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Y45" t="s">
        <v>7</v>
      </c>
    </row>
    <row r="46" spans="13:25" x14ac:dyDescent="0.2">
      <c r="M46" t="s">
        <v>7</v>
      </c>
      <c r="O46" t="s">
        <v>7</v>
      </c>
      <c r="P46" t="s">
        <v>7</v>
      </c>
      <c r="Q46" t="s">
        <v>7</v>
      </c>
      <c r="R46" s="3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Y46" t="s">
        <v>7</v>
      </c>
    </row>
    <row r="47" spans="13:25" x14ac:dyDescent="0.2">
      <c r="O47" t="s">
        <v>7</v>
      </c>
      <c r="P47" t="s">
        <v>7</v>
      </c>
      <c r="Q47" t="s">
        <v>7</v>
      </c>
      <c r="R47" s="36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Y47" t="s">
        <v>7</v>
      </c>
    </row>
    <row r="48" spans="13:25" x14ac:dyDescent="0.2">
      <c r="O48" t="s">
        <v>7</v>
      </c>
      <c r="P48" t="s">
        <v>7</v>
      </c>
      <c r="Q48" t="s">
        <v>7</v>
      </c>
      <c r="R48" s="36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Y48" t="s">
        <v>7</v>
      </c>
    </row>
    <row r="49" spans="13:25" x14ac:dyDescent="0.2">
      <c r="O49" t="s">
        <v>7</v>
      </c>
      <c r="P49" t="s">
        <v>7</v>
      </c>
      <c r="Q49" t="s">
        <v>7</v>
      </c>
      <c r="R49" s="36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Y49" t="s">
        <v>7</v>
      </c>
    </row>
    <row r="50" spans="13:25" x14ac:dyDescent="0.2">
      <c r="M50" t="s">
        <v>7</v>
      </c>
      <c r="O50" t="s">
        <v>7</v>
      </c>
      <c r="P50" t="s">
        <v>7</v>
      </c>
      <c r="Q50" t="s">
        <v>7</v>
      </c>
      <c r="R50" s="36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Y50" t="s">
        <v>7</v>
      </c>
    </row>
    <row r="51" spans="13:25" x14ac:dyDescent="0.2">
      <c r="O51" t="s">
        <v>7</v>
      </c>
      <c r="P51" t="s">
        <v>7</v>
      </c>
      <c r="Q51" t="s">
        <v>7</v>
      </c>
      <c r="R51" s="36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Y51" t="s">
        <v>7</v>
      </c>
    </row>
    <row r="52" spans="13:25" x14ac:dyDescent="0.2">
      <c r="O52" t="s">
        <v>7</v>
      </c>
      <c r="P52" t="s">
        <v>7</v>
      </c>
      <c r="Q52" t="s">
        <v>7</v>
      </c>
      <c r="R52" s="36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Y52" t="s">
        <v>7</v>
      </c>
    </row>
    <row r="53" spans="13:25" x14ac:dyDescent="0.2">
      <c r="O53" t="s">
        <v>7</v>
      </c>
      <c r="P53" t="s">
        <v>7</v>
      </c>
      <c r="Q53" t="s">
        <v>7</v>
      </c>
      <c r="R53" s="36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Y53" t="s">
        <v>7</v>
      </c>
    </row>
    <row r="54" spans="13:25" x14ac:dyDescent="0.2">
      <c r="O54" t="s">
        <v>7</v>
      </c>
      <c r="P54" t="s">
        <v>7</v>
      </c>
      <c r="Q54" t="s">
        <v>7</v>
      </c>
      <c r="R54" s="36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Y54" t="s">
        <v>7</v>
      </c>
    </row>
    <row r="55" spans="13:25" x14ac:dyDescent="0.2">
      <c r="O55" t="s">
        <v>7</v>
      </c>
      <c r="P55" t="s">
        <v>7</v>
      </c>
      <c r="Q55" t="s">
        <v>7</v>
      </c>
      <c r="R55" s="36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Y55" t="s">
        <v>7</v>
      </c>
    </row>
    <row r="56" spans="13:25" x14ac:dyDescent="0.2">
      <c r="O56" t="s">
        <v>7</v>
      </c>
      <c r="P56" t="s">
        <v>7</v>
      </c>
      <c r="Q56" t="s">
        <v>7</v>
      </c>
      <c r="R56" s="3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Y56" t="s">
        <v>7</v>
      </c>
    </row>
    <row r="57" spans="13:25" x14ac:dyDescent="0.2">
      <c r="O57" t="s">
        <v>7</v>
      </c>
      <c r="P57" t="s">
        <v>7</v>
      </c>
      <c r="Q57" t="s">
        <v>7</v>
      </c>
      <c r="R57" s="36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Y57" t="s">
        <v>7</v>
      </c>
    </row>
    <row r="58" spans="13:25" x14ac:dyDescent="0.2">
      <c r="O58" t="s">
        <v>7</v>
      </c>
      <c r="P58" t="s">
        <v>7</v>
      </c>
      <c r="Q58" t="s">
        <v>7</v>
      </c>
      <c r="R58" s="36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Y58" t="s">
        <v>7</v>
      </c>
    </row>
    <row r="59" spans="13:25" x14ac:dyDescent="0.2">
      <c r="O59" t="s">
        <v>7</v>
      </c>
      <c r="P59" t="s">
        <v>7</v>
      </c>
      <c r="Q59" t="s">
        <v>7</v>
      </c>
      <c r="R59" s="36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Y59" t="s">
        <v>7</v>
      </c>
    </row>
    <row r="60" spans="13:25" x14ac:dyDescent="0.2">
      <c r="O60" t="s">
        <v>7</v>
      </c>
      <c r="P60" t="s">
        <v>7</v>
      </c>
      <c r="Q60" t="s">
        <v>7</v>
      </c>
      <c r="R60" s="36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Y60" t="s">
        <v>7</v>
      </c>
    </row>
    <row r="61" spans="13:25" x14ac:dyDescent="0.2">
      <c r="O61" t="s">
        <v>7</v>
      </c>
      <c r="P61" t="s">
        <v>7</v>
      </c>
      <c r="Q61" t="s">
        <v>7</v>
      </c>
      <c r="R61" s="36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Y61" t="s">
        <v>7</v>
      </c>
    </row>
    <row r="62" spans="13:25" x14ac:dyDescent="0.2">
      <c r="M62" t="s">
        <v>7</v>
      </c>
      <c r="O62" t="s">
        <v>7</v>
      </c>
      <c r="P62" t="s">
        <v>7</v>
      </c>
      <c r="Q62" t="s">
        <v>7</v>
      </c>
      <c r="R62" s="36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Y62" t="s">
        <v>7</v>
      </c>
    </row>
    <row r="63" spans="13:25" x14ac:dyDescent="0.2">
      <c r="M63" t="s">
        <v>7</v>
      </c>
      <c r="O63" t="s">
        <v>7</v>
      </c>
      <c r="P63" t="s">
        <v>7</v>
      </c>
      <c r="Q63" t="s">
        <v>7</v>
      </c>
      <c r="R63" s="36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Y63" t="s">
        <v>7</v>
      </c>
    </row>
    <row r="64" spans="13:25" x14ac:dyDescent="0.2">
      <c r="M64" t="s">
        <v>7</v>
      </c>
      <c r="O64" t="s">
        <v>7</v>
      </c>
      <c r="P64" t="s">
        <v>7</v>
      </c>
      <c r="Q64" t="s">
        <v>7</v>
      </c>
      <c r="R64" s="36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Y64" t="s">
        <v>7</v>
      </c>
    </row>
    <row r="65" spans="1:25" x14ac:dyDescent="0.2">
      <c r="M65" t="s">
        <v>7</v>
      </c>
      <c r="O65" t="s">
        <v>7</v>
      </c>
      <c r="P65" t="s">
        <v>7</v>
      </c>
      <c r="Q65" t="s">
        <v>7</v>
      </c>
      <c r="R65" s="36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Y65" t="s">
        <v>7</v>
      </c>
    </row>
    <row r="66" spans="1:25" x14ac:dyDescent="0.2">
      <c r="M66" t="s">
        <v>7</v>
      </c>
      <c r="O66" t="s">
        <v>7</v>
      </c>
      <c r="P66" t="s">
        <v>7</v>
      </c>
      <c r="Q66" t="s">
        <v>7</v>
      </c>
      <c r="R66" s="3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Y66" t="s">
        <v>7</v>
      </c>
    </row>
    <row r="67" spans="1:25" x14ac:dyDescent="0.2">
      <c r="M67" t="s">
        <v>7</v>
      </c>
      <c r="O67" t="s">
        <v>7</v>
      </c>
      <c r="P67" t="s">
        <v>7</v>
      </c>
      <c r="Q67" t="s">
        <v>7</v>
      </c>
      <c r="R67" s="36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Y67" t="s">
        <v>7</v>
      </c>
    </row>
    <row r="68" spans="1:25" x14ac:dyDescent="0.2">
      <c r="L68" t="s">
        <v>7</v>
      </c>
      <c r="M68" t="s">
        <v>7</v>
      </c>
      <c r="O68" t="s">
        <v>7</v>
      </c>
      <c r="P68" t="s">
        <v>7</v>
      </c>
      <c r="Q68" t="s">
        <v>7</v>
      </c>
      <c r="R68" s="36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Y68" t="s">
        <v>7</v>
      </c>
    </row>
    <row r="69" spans="1:25" x14ac:dyDescent="0.2">
      <c r="M69" t="s">
        <v>7</v>
      </c>
      <c r="O69" t="s">
        <v>7</v>
      </c>
      <c r="P69" t="s">
        <v>7</v>
      </c>
      <c r="Q69" t="s">
        <v>7</v>
      </c>
      <c r="R69" s="36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Y69" t="s">
        <v>7</v>
      </c>
    </row>
    <row r="70" spans="1:25" x14ac:dyDescent="0.2">
      <c r="M70" t="s">
        <v>7</v>
      </c>
      <c r="O70" t="s">
        <v>7</v>
      </c>
      <c r="P70" t="s">
        <v>7</v>
      </c>
      <c r="Q70" t="s">
        <v>7</v>
      </c>
      <c r="R70" s="36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Y70" t="s">
        <v>7</v>
      </c>
    </row>
    <row r="71" spans="1:25" x14ac:dyDescent="0.2">
      <c r="M71" t="s">
        <v>7</v>
      </c>
      <c r="O71" t="s">
        <v>7</v>
      </c>
      <c r="P71" t="s">
        <v>7</v>
      </c>
      <c r="Q71" t="s">
        <v>7</v>
      </c>
      <c r="R71" s="36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Y71" t="s">
        <v>7</v>
      </c>
    </row>
    <row r="72" spans="1:25" x14ac:dyDescent="0.2">
      <c r="M72" t="s">
        <v>7</v>
      </c>
      <c r="O72" t="s">
        <v>7</v>
      </c>
      <c r="P72" t="s">
        <v>7</v>
      </c>
      <c r="Q72" t="s">
        <v>7</v>
      </c>
      <c r="R72" s="36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Y72" t="s">
        <v>7</v>
      </c>
    </row>
    <row r="73" spans="1:25" x14ac:dyDescent="0.2">
      <c r="M73" t="s">
        <v>7</v>
      </c>
      <c r="O73" t="s">
        <v>7</v>
      </c>
      <c r="P73" t="s">
        <v>7</v>
      </c>
      <c r="Q73" t="s">
        <v>7</v>
      </c>
      <c r="R73" s="36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Y73" t="s">
        <v>7</v>
      </c>
    </row>
    <row r="74" spans="1:25" x14ac:dyDescent="0.2">
      <c r="M74" t="s">
        <v>7</v>
      </c>
      <c r="O74" t="s">
        <v>7</v>
      </c>
      <c r="P74" t="s">
        <v>7</v>
      </c>
      <c r="Q74" t="s">
        <v>7</v>
      </c>
      <c r="R74" s="36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Y74" t="s">
        <v>7</v>
      </c>
    </row>
    <row r="75" spans="1:25" x14ac:dyDescent="0.2">
      <c r="A75" t="s">
        <v>7</v>
      </c>
      <c r="B75" t="s">
        <v>7</v>
      </c>
      <c r="D75" t="s">
        <v>7</v>
      </c>
      <c r="E75" t="s">
        <v>7</v>
      </c>
      <c r="F75" s="69" t="s">
        <v>7</v>
      </c>
      <c r="M75" t="s">
        <v>7</v>
      </c>
      <c r="O75" t="s">
        <v>7</v>
      </c>
      <c r="P75" t="s">
        <v>7</v>
      </c>
      <c r="Q75" t="s">
        <v>7</v>
      </c>
      <c r="R75" s="36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Y75" t="s">
        <v>7</v>
      </c>
    </row>
    <row r="76" spans="1:25" x14ac:dyDescent="0.2">
      <c r="A76" t="s">
        <v>7</v>
      </c>
      <c r="B76" t="s">
        <v>7</v>
      </c>
      <c r="D76" t="s">
        <v>7</v>
      </c>
      <c r="E76" t="s">
        <v>7</v>
      </c>
      <c r="F76" s="69" t="s">
        <v>7</v>
      </c>
      <c r="G76" t="s">
        <v>7</v>
      </c>
      <c r="M76" t="s">
        <v>7</v>
      </c>
      <c r="O76" t="s">
        <v>7</v>
      </c>
      <c r="P76" t="s">
        <v>7</v>
      </c>
      <c r="Q76" t="s">
        <v>7</v>
      </c>
      <c r="R76" s="3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Y76" t="s">
        <v>7</v>
      </c>
    </row>
    <row r="77" spans="1:25" x14ac:dyDescent="0.2">
      <c r="A77" t="s">
        <v>7</v>
      </c>
      <c r="B77" t="s">
        <v>7</v>
      </c>
      <c r="D77" t="s">
        <v>7</v>
      </c>
      <c r="E77" t="s">
        <v>7</v>
      </c>
      <c r="F77" s="69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t="s">
        <v>7</v>
      </c>
      <c r="O77" t="s">
        <v>7</v>
      </c>
      <c r="P77" t="s">
        <v>7</v>
      </c>
      <c r="Q77" t="s">
        <v>7</v>
      </c>
      <c r="R77" s="36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Y77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C55B-B1C0-5B45-858B-085B7AAE9056}">
  <dimension ref="A1:AP28"/>
  <sheetViews>
    <sheetView topLeftCell="A3" zoomScale="125" workbookViewId="0">
      <selection activeCell="AR13" sqref="AR13"/>
    </sheetView>
  </sheetViews>
  <sheetFormatPr baseColWidth="10" defaultRowHeight="16" x14ac:dyDescent="0.2"/>
  <cols>
    <col min="1" max="1" width="19.83203125" customWidth="1"/>
    <col min="2" max="2" width="18.5" bestFit="1" customWidth="1"/>
    <col min="3" max="3" width="18.5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</row>
    <row r="2" spans="1:42" ht="17" thickBot="1" x14ac:dyDescent="0.25">
      <c r="A2" s="10" t="s">
        <v>484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490</v>
      </c>
      <c r="O2">
        <v>760</v>
      </c>
      <c r="P2">
        <v>771</v>
      </c>
      <c r="Q2">
        <v>784</v>
      </c>
      <c r="R2">
        <v>711</v>
      </c>
      <c r="S2">
        <v>53</v>
      </c>
      <c r="T2" s="6">
        <f>SUM(O2:S2)</f>
        <v>3079</v>
      </c>
      <c r="V2" s="61" t="s">
        <v>508</v>
      </c>
      <c r="W2" s="62">
        <v>14.798999999999999</v>
      </c>
    </row>
    <row r="3" spans="1:42" ht="17" thickBot="1" x14ac:dyDescent="0.25">
      <c r="A3" s="20"/>
      <c r="B3" s="3">
        <v>35</v>
      </c>
      <c r="C3" s="4"/>
      <c r="D3" s="7">
        <v>2</v>
      </c>
      <c r="E3" s="3">
        <v>20</v>
      </c>
      <c r="F3" s="7">
        <v>2</v>
      </c>
      <c r="G3" s="3">
        <v>17</v>
      </c>
      <c r="H3" s="7">
        <v>0</v>
      </c>
      <c r="I3" s="3">
        <v>10</v>
      </c>
      <c r="J3" s="7">
        <v>2</v>
      </c>
      <c r="K3" s="3">
        <v>8</v>
      </c>
      <c r="L3" s="22">
        <v>0</v>
      </c>
      <c r="N3" s="3" t="s">
        <v>488</v>
      </c>
      <c r="O3" s="4">
        <v>538</v>
      </c>
      <c r="P3" s="4">
        <v>500</v>
      </c>
      <c r="Q3" s="4">
        <v>583</v>
      </c>
      <c r="R3" s="4">
        <v>628</v>
      </c>
      <c r="S3" s="4">
        <v>37</v>
      </c>
      <c r="T3" s="7">
        <f>SUM(O3:S3)</f>
        <v>2286</v>
      </c>
    </row>
    <row r="7" spans="1:42" ht="17" thickBot="1" x14ac:dyDescent="0.25">
      <c r="A7" t="s">
        <v>7</v>
      </c>
    </row>
    <row r="8" spans="1:42" ht="17" thickBot="1" x14ac:dyDescent="0.25">
      <c r="H8" s="1" t="s">
        <v>422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516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35</v>
      </c>
      <c r="B10" s="2" t="s">
        <v>416</v>
      </c>
      <c r="C10" s="2" t="s">
        <v>518</v>
      </c>
      <c r="D10" s="2">
        <v>37</v>
      </c>
      <c r="E10" s="2">
        <v>37</v>
      </c>
      <c r="F10" s="2">
        <v>1044</v>
      </c>
      <c r="G10" s="2">
        <v>28.2</v>
      </c>
      <c r="H10" s="2">
        <v>218</v>
      </c>
      <c r="I10" s="2">
        <v>386</v>
      </c>
      <c r="J10" s="2">
        <v>0.56499999999999995</v>
      </c>
      <c r="K10" s="2">
        <v>1</v>
      </c>
      <c r="L10" s="2">
        <v>2</v>
      </c>
      <c r="M10" s="2">
        <v>0.5</v>
      </c>
      <c r="N10" s="16">
        <f>(H10+(0.5*K10))/(L10+I10)</f>
        <v>0.56314432989690721</v>
      </c>
      <c r="O10" s="2">
        <v>167</v>
      </c>
      <c r="P10" s="2">
        <v>197</v>
      </c>
      <c r="Q10" s="2">
        <v>0.84799999999999998</v>
      </c>
      <c r="R10" s="2">
        <v>92</v>
      </c>
      <c r="S10" s="2">
        <v>287</v>
      </c>
      <c r="T10" s="2">
        <v>379</v>
      </c>
      <c r="U10" s="2">
        <v>10.199999999999999</v>
      </c>
      <c r="V10" s="2">
        <v>72</v>
      </c>
      <c r="W10" s="2">
        <v>66</v>
      </c>
      <c r="X10" s="16">
        <f t="shared" ref="X10:X26" si="0">W10/D10</f>
        <v>1.7837837837837838</v>
      </c>
      <c r="Y10" s="2">
        <v>72</v>
      </c>
      <c r="Z10" s="16">
        <f t="shared" ref="Z10:Z27" si="1">Y10/D10</f>
        <v>1.9459459459459461</v>
      </c>
      <c r="AA10" s="16">
        <f>W10/Y10</f>
        <v>0.91666666666666663</v>
      </c>
      <c r="AB10" s="2">
        <v>13</v>
      </c>
      <c r="AC10" s="16">
        <f t="shared" ref="AC10:AC27" si="2">AB10/D10</f>
        <v>0.35135135135135137</v>
      </c>
      <c r="AD10" s="2">
        <v>58</v>
      </c>
      <c r="AE10" s="16">
        <f t="shared" ref="AE10:AE27" si="3">AD10/D10</f>
        <v>1.5675675675675675</v>
      </c>
      <c r="AF10" s="2">
        <v>604</v>
      </c>
      <c r="AG10" s="2">
        <v>16.3</v>
      </c>
      <c r="AH10" s="16">
        <f t="shared" ref="AH10:AH26" si="4">((AF10+T10+W10+AD10+AB10-Y10)/F10)*40</f>
        <v>40.153256704980848</v>
      </c>
      <c r="AI10" s="16">
        <f xml:space="preserve"> AF10 / (2 * (I10 + 0.44 * P10)) * 100</f>
        <v>63.891004485063888</v>
      </c>
      <c r="AJ10" s="39">
        <f xml:space="preserve"> ((I10 + 0.44*P10 + Y10) * ($F$27/5)) / (F10 * ($I$27 + 0.44*$P$27 + $Y$27)) * 100</f>
        <v>23.968014529677372</v>
      </c>
      <c r="AK10" s="16">
        <f xml:space="preserve"> 100 * (W10 / ( ( (F10 / ($F$27/5)) * $H$27 ) - H10 ) )</f>
        <v>11.672829579729695</v>
      </c>
      <c r="AL10" s="16">
        <f xml:space="preserve"> (100 * (R10 * ($F$27/5)) / (F10 * $R$27+ ($F$27- F10) * $S$28)) + (100 * (S10 * ($F$27/5)) / (F10 * $S$27 + ($F$27 - F10) * $R$28))</f>
        <v>15.105300148179289</v>
      </c>
      <c r="AM10" s="16">
        <f xml:space="preserve"> 100 * (Y10 * ($F$27/5)) / (F10 * ($I$27+ 0.44*$P$27 + $Y$27))</f>
        <v>3.1682768710743381</v>
      </c>
      <c r="AN10" s="16">
        <f xml:space="preserve"> 100 * (AD10 * ($F$27/5)) / (F10 * ($I$27+ 0.44 * $P$27+ $Y$27))</f>
        <v>2.5522230350321058</v>
      </c>
      <c r="AO10" s="16">
        <f xml:space="preserve"> 100 * (AB10 * ($F$27/5)) / (F10 * ($I$28 - $L$28))</f>
        <v>1.2854668556132893</v>
      </c>
      <c r="AP10" s="44">
        <f>AD10+AB10</f>
        <v>71</v>
      </c>
    </row>
    <row r="11" spans="1:42" x14ac:dyDescent="0.2">
      <c r="A11" s="9">
        <v>10</v>
      </c>
      <c r="B11" t="s">
        <v>278</v>
      </c>
      <c r="C11" t="s">
        <v>517</v>
      </c>
      <c r="D11">
        <v>37</v>
      </c>
      <c r="E11">
        <v>37</v>
      </c>
      <c r="F11">
        <v>1191</v>
      </c>
      <c r="G11">
        <v>32.200000000000003</v>
      </c>
      <c r="H11">
        <v>193</v>
      </c>
      <c r="I11">
        <v>434</v>
      </c>
      <c r="J11">
        <v>0.44500000000000001</v>
      </c>
      <c r="K11">
        <v>64</v>
      </c>
      <c r="L11">
        <v>163</v>
      </c>
      <c r="M11">
        <v>0.39300000000000002</v>
      </c>
      <c r="N11" s="37">
        <f t="shared" ref="N11:N26" si="5">(H11+(0.5*K11))/(L11+I11)</f>
        <v>0.37688442211055279</v>
      </c>
      <c r="O11">
        <v>127</v>
      </c>
      <c r="P11">
        <v>151</v>
      </c>
      <c r="Q11">
        <v>0.84099999999999997</v>
      </c>
      <c r="R11">
        <v>40</v>
      </c>
      <c r="S11">
        <v>242</v>
      </c>
      <c r="T11">
        <v>282</v>
      </c>
      <c r="U11">
        <v>7.6</v>
      </c>
      <c r="V11">
        <v>62</v>
      </c>
      <c r="W11">
        <v>290</v>
      </c>
      <c r="X11" s="37">
        <f t="shared" si="0"/>
        <v>7.8378378378378377</v>
      </c>
      <c r="Y11">
        <v>129</v>
      </c>
      <c r="Z11" s="37">
        <f t="shared" si="1"/>
        <v>3.4864864864864864</v>
      </c>
      <c r="AA11" s="37">
        <f t="shared" ref="AA11:AA26" si="6">W11/Y11</f>
        <v>2.248062015503876</v>
      </c>
      <c r="AB11">
        <v>15</v>
      </c>
      <c r="AC11" s="37">
        <f t="shared" si="2"/>
        <v>0.40540540540540543</v>
      </c>
      <c r="AD11">
        <v>109</v>
      </c>
      <c r="AE11" s="37">
        <f t="shared" si="3"/>
        <v>2.9459459459459461</v>
      </c>
      <c r="AF11">
        <v>577</v>
      </c>
      <c r="AG11">
        <v>15.6</v>
      </c>
      <c r="AH11" s="37">
        <f t="shared" si="4"/>
        <v>38.421494542401348</v>
      </c>
      <c r="AI11" s="37">
        <f t="shared" ref="AI11:AI28" si="7" xml:space="preserve"> AF11 / (2 * (I11 + 0.44 * P11)) * 100</f>
        <v>57.649268643593643</v>
      </c>
      <c r="AJ11" s="40">
        <f t="shared" ref="AJ11:AJ26" si="8" xml:space="preserve"> ((I11 + 0.44*P11 + Y11) * ($F$27/5)) / (F11 * ($I$27 + 0.44*$P$27 + $Y$27)) * 100</f>
        <v>24.279162728019276</v>
      </c>
      <c r="AK11" s="37">
        <f t="shared" ref="AK11:AK26" si="9" xml:space="preserve"> 100 * (W11 / ( ( (F11 / ($F$27/5)) * $H$27 ) - H11 ) )</f>
        <v>41.385759385621903</v>
      </c>
      <c r="AL11" s="37">
        <f t="shared" ref="AL11:AL26" si="10" xml:space="preserve"> (100 * (R11 * ($F$27/5)) / (F11 * $R$27+ ($F$27- F11) * $S$28)) + (100 * (S11 * ($F$27/5)) / (F11 * $S$27 + ($F$27 - F11) * $R$28))</f>
        <v>11.401073679841673</v>
      </c>
      <c r="AM11" s="37">
        <f t="shared" ref="AM11:AM26" si="11" xml:space="preserve"> 100 * (Y11 * ($F$27/5)) / (F11 * ($I$27+ 0.44*$P$27 + $Y$27))</f>
        <v>4.9758706023044077</v>
      </c>
      <c r="AN11" s="37">
        <f t="shared" ref="AN11:AN26" si="12" xml:space="preserve"> 100 * (AD11 * ($F$27/5)) / (F11 * ($I$27+ 0.44 * $P$27+ $Y$27))</f>
        <v>4.2044177957455853</v>
      </c>
      <c r="AO11" s="37">
        <f t="shared" ref="AO11:AO26" si="13" xml:space="preserve"> 100 * (AB11 * ($F$27/5)) / (F11 * ($I$28 - $L$28))</f>
        <v>1.3001621752182464</v>
      </c>
      <c r="AP11" s="5">
        <f t="shared" ref="AP11:AP26" si="14">AD11+AB11</f>
        <v>124</v>
      </c>
    </row>
    <row r="12" spans="1:42" x14ac:dyDescent="0.2">
      <c r="A12" s="9">
        <v>20</v>
      </c>
      <c r="B12" t="s">
        <v>305</v>
      </c>
      <c r="C12" t="s">
        <v>517</v>
      </c>
      <c r="D12">
        <v>27</v>
      </c>
      <c r="E12">
        <v>0</v>
      </c>
      <c r="F12">
        <v>563</v>
      </c>
      <c r="G12">
        <v>20.9</v>
      </c>
      <c r="H12">
        <v>122</v>
      </c>
      <c r="I12">
        <v>244</v>
      </c>
      <c r="J12">
        <v>0.5</v>
      </c>
      <c r="K12">
        <v>4</v>
      </c>
      <c r="L12">
        <v>28</v>
      </c>
      <c r="M12">
        <v>0.14299999999999999</v>
      </c>
      <c r="N12" s="37">
        <f t="shared" si="5"/>
        <v>0.45588235294117646</v>
      </c>
      <c r="O12">
        <v>57</v>
      </c>
      <c r="P12">
        <v>77</v>
      </c>
      <c r="Q12">
        <v>0.74</v>
      </c>
      <c r="R12">
        <v>41</v>
      </c>
      <c r="S12">
        <v>51</v>
      </c>
      <c r="T12">
        <v>92</v>
      </c>
      <c r="U12">
        <v>3.4</v>
      </c>
      <c r="V12">
        <v>65</v>
      </c>
      <c r="W12">
        <v>74</v>
      </c>
      <c r="X12" s="37">
        <f t="shared" si="0"/>
        <v>2.7407407407407409</v>
      </c>
      <c r="Y12">
        <v>61</v>
      </c>
      <c r="Z12" s="37">
        <f t="shared" si="1"/>
        <v>2.2592592592592591</v>
      </c>
      <c r="AA12" s="37">
        <f t="shared" si="6"/>
        <v>1.2131147540983607</v>
      </c>
      <c r="AB12">
        <v>20</v>
      </c>
      <c r="AC12" s="37">
        <f t="shared" si="2"/>
        <v>0.7407407407407407</v>
      </c>
      <c r="AD12">
        <v>55</v>
      </c>
      <c r="AE12" s="37">
        <f t="shared" si="3"/>
        <v>2.0370370370370372</v>
      </c>
      <c r="AF12">
        <v>305</v>
      </c>
      <c r="AG12">
        <v>11.3</v>
      </c>
      <c r="AH12" s="37">
        <f t="shared" si="4"/>
        <v>34.458259325044402</v>
      </c>
      <c r="AI12" s="37">
        <f t="shared" si="7"/>
        <v>54.879804232042609</v>
      </c>
      <c r="AJ12" s="40">
        <f t="shared" si="8"/>
        <v>27.652135271776622</v>
      </c>
      <c r="AK12" s="37">
        <f t="shared" si="9"/>
        <v>24.627744633945024</v>
      </c>
      <c r="AL12" s="37">
        <f t="shared" si="10"/>
        <v>3.5874403674664848</v>
      </c>
      <c r="AM12" s="37">
        <f t="shared" si="11"/>
        <v>4.977514906687837</v>
      </c>
      <c r="AN12" s="37">
        <f t="shared" si="12"/>
        <v>4.48792327652182</v>
      </c>
      <c r="AO12" s="37">
        <f t="shared" si="13"/>
        <v>3.6672425119832601</v>
      </c>
      <c r="AP12" s="5">
        <f t="shared" si="14"/>
        <v>75</v>
      </c>
    </row>
    <row r="13" spans="1:42" x14ac:dyDescent="0.2">
      <c r="A13" s="9">
        <v>15</v>
      </c>
      <c r="B13" t="s">
        <v>355</v>
      </c>
      <c r="C13" t="s">
        <v>517</v>
      </c>
      <c r="D13">
        <v>37</v>
      </c>
      <c r="E13">
        <v>37</v>
      </c>
      <c r="F13">
        <v>937</v>
      </c>
      <c r="G13">
        <v>25.3</v>
      </c>
      <c r="H13">
        <v>157</v>
      </c>
      <c r="I13">
        <v>313</v>
      </c>
      <c r="J13">
        <v>0.502</v>
      </c>
      <c r="K13">
        <v>46</v>
      </c>
      <c r="L13">
        <v>102</v>
      </c>
      <c r="M13">
        <v>0.45100000000000001</v>
      </c>
      <c r="N13" s="37">
        <f t="shared" si="5"/>
        <v>0.43373493975903615</v>
      </c>
      <c r="O13">
        <v>39</v>
      </c>
      <c r="P13">
        <v>46</v>
      </c>
      <c r="Q13">
        <v>0.84799999999999998</v>
      </c>
      <c r="R13">
        <v>30</v>
      </c>
      <c r="S13">
        <v>58</v>
      </c>
      <c r="T13">
        <v>88</v>
      </c>
      <c r="U13">
        <v>2.4</v>
      </c>
      <c r="V13">
        <v>76</v>
      </c>
      <c r="W13">
        <v>75</v>
      </c>
      <c r="X13" s="37">
        <f t="shared" si="0"/>
        <v>2.0270270270270272</v>
      </c>
      <c r="Y13">
        <v>100</v>
      </c>
      <c r="Z13" s="37">
        <f t="shared" si="1"/>
        <v>2.7027027027027026</v>
      </c>
      <c r="AA13" s="37">
        <f t="shared" si="6"/>
        <v>0.75</v>
      </c>
      <c r="AB13">
        <v>2</v>
      </c>
      <c r="AC13" s="37">
        <f t="shared" si="2"/>
        <v>5.4054054054054057E-2</v>
      </c>
      <c r="AD13">
        <v>40</v>
      </c>
      <c r="AE13" s="37">
        <f t="shared" si="3"/>
        <v>1.0810810810810811</v>
      </c>
      <c r="AF13">
        <v>399</v>
      </c>
      <c r="AG13">
        <v>10.8</v>
      </c>
      <c r="AH13" s="37">
        <f t="shared" si="4"/>
        <v>21.515474919957313</v>
      </c>
      <c r="AI13" s="37">
        <f t="shared" si="7"/>
        <v>59.8667626935542</v>
      </c>
      <c r="AJ13" s="40">
        <f t="shared" si="8"/>
        <v>21.241250734846929</v>
      </c>
      <c r="AK13" s="37">
        <f t="shared" si="9"/>
        <v>13.733169759910076</v>
      </c>
      <c r="AL13" s="37">
        <f t="shared" si="10"/>
        <v>3.4162510737972647</v>
      </c>
      <c r="AM13" s="37">
        <f t="shared" si="11"/>
        <v>4.9028830982473757</v>
      </c>
      <c r="AN13" s="37">
        <f t="shared" si="12"/>
        <v>1.9611532392989501</v>
      </c>
      <c r="AO13" s="37">
        <f t="shared" si="13"/>
        <v>0.22034765573602724</v>
      </c>
      <c r="AP13" s="5">
        <f t="shared" si="14"/>
        <v>42</v>
      </c>
    </row>
    <row r="14" spans="1:42" x14ac:dyDescent="0.2">
      <c r="A14" s="9">
        <v>2</v>
      </c>
      <c r="B14" t="s">
        <v>363</v>
      </c>
      <c r="C14" t="s">
        <v>517</v>
      </c>
      <c r="D14">
        <v>37</v>
      </c>
      <c r="E14">
        <v>37</v>
      </c>
      <c r="F14">
        <v>1039</v>
      </c>
      <c r="G14">
        <v>28.1</v>
      </c>
      <c r="H14">
        <v>109</v>
      </c>
      <c r="I14">
        <v>252</v>
      </c>
      <c r="J14">
        <v>0.433</v>
      </c>
      <c r="K14">
        <v>94</v>
      </c>
      <c r="L14">
        <v>212</v>
      </c>
      <c r="M14">
        <v>0.443</v>
      </c>
      <c r="N14" s="37">
        <f t="shared" si="5"/>
        <v>0.33620689655172414</v>
      </c>
      <c r="O14">
        <v>16</v>
      </c>
      <c r="P14">
        <v>24</v>
      </c>
      <c r="Q14">
        <v>0.66700000000000004</v>
      </c>
      <c r="R14">
        <v>30</v>
      </c>
      <c r="S14">
        <v>55</v>
      </c>
      <c r="T14">
        <v>85</v>
      </c>
      <c r="U14">
        <v>2.2999999999999998</v>
      </c>
      <c r="V14">
        <v>57</v>
      </c>
      <c r="W14">
        <v>50</v>
      </c>
      <c r="X14" s="37">
        <f t="shared" si="0"/>
        <v>1.3513513513513513</v>
      </c>
      <c r="Y14">
        <v>46</v>
      </c>
      <c r="Z14" s="37">
        <f t="shared" si="1"/>
        <v>1.2432432432432432</v>
      </c>
      <c r="AA14" s="37">
        <f t="shared" si="6"/>
        <v>1.0869565217391304</v>
      </c>
      <c r="AB14">
        <v>10</v>
      </c>
      <c r="AC14" s="37">
        <f t="shared" si="2"/>
        <v>0.27027027027027029</v>
      </c>
      <c r="AD14">
        <v>31</v>
      </c>
      <c r="AE14" s="37">
        <f t="shared" si="3"/>
        <v>0.83783783783783783</v>
      </c>
      <c r="AF14">
        <v>328</v>
      </c>
      <c r="AG14">
        <v>8.9</v>
      </c>
      <c r="AH14" s="37">
        <f t="shared" si="4"/>
        <v>17.632338787295478</v>
      </c>
      <c r="AI14" s="37">
        <f t="shared" si="7"/>
        <v>62.46191346739792</v>
      </c>
      <c r="AJ14" s="40">
        <f t="shared" si="8"/>
        <v>13.643167386343716</v>
      </c>
      <c r="AK14" s="37">
        <f t="shared" si="9"/>
        <v>7.4553023166639658</v>
      </c>
      <c r="AL14" s="37">
        <f t="shared" si="10"/>
        <v>3.2288175538322523</v>
      </c>
      <c r="AM14" s="37">
        <f t="shared" si="11"/>
        <v>2.0339178758484926</v>
      </c>
      <c r="AN14" s="37">
        <f t="shared" si="12"/>
        <v>1.3706837858978971</v>
      </c>
      <c r="AO14" s="37">
        <f t="shared" si="13"/>
        <v>0.99357917913694671</v>
      </c>
      <c r="AP14" s="5">
        <f t="shared" si="14"/>
        <v>41</v>
      </c>
    </row>
    <row r="15" spans="1:42" x14ac:dyDescent="0.2">
      <c r="A15" s="9">
        <v>23</v>
      </c>
      <c r="B15" t="s">
        <v>375</v>
      </c>
      <c r="C15" t="s">
        <v>518</v>
      </c>
      <c r="D15">
        <v>37</v>
      </c>
      <c r="E15">
        <v>37</v>
      </c>
      <c r="F15">
        <v>820</v>
      </c>
      <c r="G15">
        <v>22.2</v>
      </c>
      <c r="H15">
        <v>99</v>
      </c>
      <c r="I15">
        <v>169</v>
      </c>
      <c r="J15">
        <v>0.58599999999999997</v>
      </c>
      <c r="K15">
        <v>0</v>
      </c>
      <c r="L15">
        <v>0</v>
      </c>
      <c r="M15">
        <v>0</v>
      </c>
      <c r="N15" s="37">
        <f t="shared" si="5"/>
        <v>0.58579881656804733</v>
      </c>
      <c r="O15">
        <v>56</v>
      </c>
      <c r="P15">
        <v>88</v>
      </c>
      <c r="Q15">
        <v>0.63600000000000001</v>
      </c>
      <c r="R15">
        <v>63</v>
      </c>
      <c r="S15">
        <v>83</v>
      </c>
      <c r="T15">
        <v>146</v>
      </c>
      <c r="U15">
        <v>3.9</v>
      </c>
      <c r="V15">
        <v>118</v>
      </c>
      <c r="W15">
        <v>25</v>
      </c>
      <c r="X15" s="37">
        <f t="shared" si="0"/>
        <v>0.67567567567567566</v>
      </c>
      <c r="Y15">
        <v>41</v>
      </c>
      <c r="Z15" s="37">
        <f t="shared" si="1"/>
        <v>1.1081081081081081</v>
      </c>
      <c r="AA15" s="37">
        <f t="shared" si="6"/>
        <v>0.6097560975609756</v>
      </c>
      <c r="AB15">
        <v>20</v>
      </c>
      <c r="AC15" s="37">
        <f t="shared" si="2"/>
        <v>0.54054054054054057</v>
      </c>
      <c r="AD15">
        <v>28</v>
      </c>
      <c r="AE15" s="37">
        <f t="shared" si="3"/>
        <v>0.7567567567567568</v>
      </c>
      <c r="AF15">
        <v>254</v>
      </c>
      <c r="AG15">
        <v>6.9</v>
      </c>
      <c r="AH15" s="37">
        <f t="shared" si="4"/>
        <v>21.073170731707318</v>
      </c>
      <c r="AI15" s="37">
        <f t="shared" si="7"/>
        <v>61.139996148661659</v>
      </c>
      <c r="AJ15" s="40">
        <f t="shared" si="8"/>
        <v>13.934390779167483</v>
      </c>
      <c r="AK15" s="37">
        <f t="shared" si="9"/>
        <v>4.8418981474342573</v>
      </c>
      <c r="AL15" s="37">
        <f t="shared" si="10"/>
        <v>5.5164126675285132</v>
      </c>
      <c r="AM15" s="37">
        <f t="shared" si="11"/>
        <v>2.2970007315288954</v>
      </c>
      <c r="AN15" s="37">
        <f t="shared" si="12"/>
        <v>1.5686834264099774</v>
      </c>
      <c r="AO15" s="37">
        <f t="shared" si="13"/>
        <v>2.5178750417641163</v>
      </c>
      <c r="AP15" s="5">
        <f t="shared" si="14"/>
        <v>48</v>
      </c>
    </row>
    <row r="16" spans="1:42" x14ac:dyDescent="0.2">
      <c r="A16" s="9">
        <v>40</v>
      </c>
      <c r="B16" t="s">
        <v>417</v>
      </c>
      <c r="C16" t="s">
        <v>518</v>
      </c>
      <c r="D16">
        <v>37</v>
      </c>
      <c r="E16">
        <v>0</v>
      </c>
      <c r="F16">
        <v>629</v>
      </c>
      <c r="G16">
        <v>17</v>
      </c>
      <c r="H16">
        <v>107</v>
      </c>
      <c r="I16">
        <v>205</v>
      </c>
      <c r="J16">
        <v>0.52200000000000002</v>
      </c>
      <c r="K16">
        <v>0</v>
      </c>
      <c r="L16">
        <v>0</v>
      </c>
      <c r="M16">
        <v>0</v>
      </c>
      <c r="N16" s="37">
        <f t="shared" si="5"/>
        <v>0.52195121951219514</v>
      </c>
      <c r="O16">
        <v>31</v>
      </c>
      <c r="P16">
        <v>73</v>
      </c>
      <c r="Q16">
        <v>0.42499999999999999</v>
      </c>
      <c r="R16">
        <v>80</v>
      </c>
      <c r="S16">
        <v>98</v>
      </c>
      <c r="T16">
        <v>178</v>
      </c>
      <c r="U16">
        <v>4.8</v>
      </c>
      <c r="V16">
        <v>73</v>
      </c>
      <c r="W16">
        <v>27</v>
      </c>
      <c r="X16" s="37">
        <f t="shared" si="0"/>
        <v>0.72972972972972971</v>
      </c>
      <c r="Y16">
        <v>48</v>
      </c>
      <c r="Z16" s="37">
        <f t="shared" si="1"/>
        <v>1.2972972972972974</v>
      </c>
      <c r="AA16" s="37">
        <f t="shared" si="6"/>
        <v>0.5625</v>
      </c>
      <c r="AB16">
        <v>16</v>
      </c>
      <c r="AC16" s="37">
        <f t="shared" si="2"/>
        <v>0.43243243243243246</v>
      </c>
      <c r="AD16">
        <v>29</v>
      </c>
      <c r="AE16" s="37">
        <f t="shared" si="3"/>
        <v>0.78378378378378377</v>
      </c>
      <c r="AF16">
        <v>245</v>
      </c>
      <c r="AG16">
        <v>6.6</v>
      </c>
      <c r="AH16" s="37">
        <f t="shared" si="4"/>
        <v>28.426073131955484</v>
      </c>
      <c r="AI16" s="37">
        <f t="shared" si="7"/>
        <v>51.661605937921728</v>
      </c>
      <c r="AJ16" s="40">
        <f t="shared" si="8"/>
        <v>20.824192323482308</v>
      </c>
      <c r="AK16" s="37">
        <f t="shared" si="9"/>
        <v>7.3972522061205321</v>
      </c>
      <c r="AL16" s="37">
        <f t="shared" si="10"/>
        <v>6.8542245212116386</v>
      </c>
      <c r="AM16" s="37">
        <f t="shared" si="11"/>
        <v>3.5057562834145304</v>
      </c>
      <c r="AN16" s="37">
        <f t="shared" si="12"/>
        <v>2.1180610878962787</v>
      </c>
      <c r="AO16" s="37">
        <f t="shared" si="13"/>
        <v>2.6259555284535141</v>
      </c>
      <c r="AP16" s="5">
        <f t="shared" si="14"/>
        <v>45</v>
      </c>
    </row>
    <row r="17" spans="1:42" x14ac:dyDescent="0.2">
      <c r="A17" s="9">
        <v>12</v>
      </c>
      <c r="B17" t="s">
        <v>418</v>
      </c>
      <c r="C17" t="s">
        <v>517</v>
      </c>
      <c r="D17">
        <v>27</v>
      </c>
      <c r="E17">
        <v>0</v>
      </c>
      <c r="F17">
        <v>149</v>
      </c>
      <c r="G17">
        <v>5.5</v>
      </c>
      <c r="H17">
        <v>27</v>
      </c>
      <c r="I17">
        <v>71</v>
      </c>
      <c r="J17">
        <v>0.38</v>
      </c>
      <c r="K17">
        <v>22</v>
      </c>
      <c r="L17">
        <v>59</v>
      </c>
      <c r="M17">
        <v>0.373</v>
      </c>
      <c r="N17" s="37">
        <f t="shared" si="5"/>
        <v>0.29230769230769232</v>
      </c>
      <c r="O17">
        <v>4</v>
      </c>
      <c r="P17">
        <v>5</v>
      </c>
      <c r="Q17">
        <v>0.8</v>
      </c>
      <c r="R17">
        <v>3</v>
      </c>
      <c r="S17">
        <v>12</v>
      </c>
      <c r="T17">
        <v>15</v>
      </c>
      <c r="U17">
        <v>0.6</v>
      </c>
      <c r="V17">
        <v>3</v>
      </c>
      <c r="W17">
        <v>6</v>
      </c>
      <c r="X17" s="37">
        <f t="shared" si="0"/>
        <v>0.22222222222222221</v>
      </c>
      <c r="Y17">
        <v>7</v>
      </c>
      <c r="Z17" s="37">
        <f t="shared" si="1"/>
        <v>0.25925925925925924</v>
      </c>
      <c r="AA17" s="37">
        <f t="shared" si="6"/>
        <v>0.8571428571428571</v>
      </c>
      <c r="AB17">
        <v>0</v>
      </c>
      <c r="AC17" s="37">
        <f t="shared" si="2"/>
        <v>0</v>
      </c>
      <c r="AD17">
        <v>5</v>
      </c>
      <c r="AE17" s="37">
        <f t="shared" si="3"/>
        <v>0.18518518518518517</v>
      </c>
      <c r="AF17">
        <v>80</v>
      </c>
      <c r="AG17">
        <v>3</v>
      </c>
      <c r="AH17" s="37">
        <f t="shared" si="4"/>
        <v>26.577181208053695</v>
      </c>
      <c r="AI17" s="37">
        <f t="shared" si="7"/>
        <v>54.644808743169392</v>
      </c>
      <c r="AJ17" s="40">
        <f t="shared" si="8"/>
        <v>24.727444116592942</v>
      </c>
      <c r="AK17" s="37">
        <f t="shared" si="9"/>
        <v>7.0746945423650853</v>
      </c>
      <c r="AL17" s="37">
        <f t="shared" si="10"/>
        <v>0.73630633612538254</v>
      </c>
      <c r="AM17" s="37">
        <f t="shared" si="11"/>
        <v>2.1582557208996334</v>
      </c>
      <c r="AN17" s="37">
        <f t="shared" si="12"/>
        <v>1.5416112292140238</v>
      </c>
      <c r="AO17" s="37">
        <f t="shared" si="13"/>
        <v>0</v>
      </c>
      <c r="AP17" s="5">
        <f t="shared" si="14"/>
        <v>5</v>
      </c>
    </row>
    <row r="18" spans="1:42" x14ac:dyDescent="0.2">
      <c r="A18" s="9">
        <v>25</v>
      </c>
      <c r="B18" t="s">
        <v>356</v>
      </c>
      <c r="C18" t="s">
        <v>518</v>
      </c>
      <c r="D18">
        <v>26</v>
      </c>
      <c r="E18">
        <v>0</v>
      </c>
      <c r="F18">
        <v>206</v>
      </c>
      <c r="G18">
        <v>7.9</v>
      </c>
      <c r="H18">
        <v>20</v>
      </c>
      <c r="I18">
        <v>58</v>
      </c>
      <c r="J18">
        <v>0.34499999999999997</v>
      </c>
      <c r="K18">
        <v>3</v>
      </c>
      <c r="L18">
        <v>21</v>
      </c>
      <c r="M18">
        <v>0.14299999999999999</v>
      </c>
      <c r="N18" s="37">
        <f t="shared" si="5"/>
        <v>0.27215189873417722</v>
      </c>
      <c r="O18">
        <v>7</v>
      </c>
      <c r="P18">
        <v>12</v>
      </c>
      <c r="Q18">
        <v>0.58299999999999996</v>
      </c>
      <c r="R18">
        <v>18</v>
      </c>
      <c r="S18">
        <v>38</v>
      </c>
      <c r="T18">
        <v>56</v>
      </c>
      <c r="U18">
        <v>2.2000000000000002</v>
      </c>
      <c r="V18">
        <v>19</v>
      </c>
      <c r="W18">
        <v>11</v>
      </c>
      <c r="X18" s="37">
        <f t="shared" si="0"/>
        <v>0.42307692307692307</v>
      </c>
      <c r="Y18">
        <v>17</v>
      </c>
      <c r="Z18" s="37">
        <f t="shared" si="1"/>
        <v>0.65384615384615385</v>
      </c>
      <c r="AA18" s="37">
        <f t="shared" si="6"/>
        <v>0.6470588235294118</v>
      </c>
      <c r="AB18">
        <v>10</v>
      </c>
      <c r="AC18" s="37">
        <f t="shared" si="2"/>
        <v>0.38461538461538464</v>
      </c>
      <c r="AD18">
        <v>4</v>
      </c>
      <c r="AE18" s="37">
        <f t="shared" si="3"/>
        <v>0.15384615384615385</v>
      </c>
      <c r="AF18">
        <v>50</v>
      </c>
      <c r="AG18">
        <v>1.9</v>
      </c>
      <c r="AH18" s="37">
        <f t="shared" si="4"/>
        <v>22.135922330097088</v>
      </c>
      <c r="AI18" s="37">
        <f t="shared" si="7"/>
        <v>39.506953223767383</v>
      </c>
      <c r="AJ18" s="40">
        <f t="shared" si="8"/>
        <v>17.90322511913978</v>
      </c>
      <c r="AK18" s="37">
        <f t="shared" si="9"/>
        <v>8.1734552015854707</v>
      </c>
      <c r="AL18" s="37">
        <f t="shared" si="10"/>
        <v>2.5185866252147422</v>
      </c>
      <c r="AM18" s="37">
        <f t="shared" si="11"/>
        <v>3.7911662559214774</v>
      </c>
      <c r="AN18" s="37">
        <f t="shared" si="12"/>
        <v>0.89203911904034772</v>
      </c>
      <c r="AO18" s="37">
        <f t="shared" si="13"/>
        <v>5.0113046947732407</v>
      </c>
      <c r="AP18" s="5">
        <f t="shared" si="14"/>
        <v>14</v>
      </c>
    </row>
    <row r="19" spans="1:42" x14ac:dyDescent="0.2">
      <c r="A19" s="9">
        <v>3</v>
      </c>
      <c r="B19" t="s">
        <v>419</v>
      </c>
      <c r="C19" t="s">
        <v>517</v>
      </c>
      <c r="D19">
        <v>20</v>
      </c>
      <c r="E19">
        <v>0</v>
      </c>
      <c r="F19">
        <v>137</v>
      </c>
      <c r="G19">
        <v>6.9</v>
      </c>
      <c r="H19">
        <v>10</v>
      </c>
      <c r="I19">
        <v>35</v>
      </c>
      <c r="J19">
        <v>0.28599999999999998</v>
      </c>
      <c r="K19">
        <v>10</v>
      </c>
      <c r="L19">
        <v>30</v>
      </c>
      <c r="M19">
        <v>0.33300000000000002</v>
      </c>
      <c r="N19" s="37">
        <f t="shared" si="5"/>
        <v>0.23076923076923078</v>
      </c>
      <c r="O19">
        <v>6</v>
      </c>
      <c r="P19">
        <v>10</v>
      </c>
      <c r="Q19">
        <v>0.6</v>
      </c>
      <c r="R19">
        <v>1</v>
      </c>
      <c r="S19">
        <v>14</v>
      </c>
      <c r="T19">
        <v>15</v>
      </c>
      <c r="U19">
        <v>0.8</v>
      </c>
      <c r="V19">
        <v>8</v>
      </c>
      <c r="W19">
        <v>17</v>
      </c>
      <c r="X19" s="37">
        <f t="shared" si="0"/>
        <v>0.85</v>
      </c>
      <c r="Y19">
        <v>9</v>
      </c>
      <c r="Z19" s="37">
        <f t="shared" si="1"/>
        <v>0.45</v>
      </c>
      <c r="AA19" s="37">
        <f t="shared" si="6"/>
        <v>1.8888888888888888</v>
      </c>
      <c r="AB19">
        <v>0</v>
      </c>
      <c r="AC19" s="37">
        <f t="shared" si="2"/>
        <v>0</v>
      </c>
      <c r="AD19">
        <v>6</v>
      </c>
      <c r="AE19" s="37">
        <f t="shared" si="3"/>
        <v>0.3</v>
      </c>
      <c r="AF19">
        <v>36</v>
      </c>
      <c r="AG19">
        <v>1.8</v>
      </c>
      <c r="AH19" s="37">
        <f t="shared" si="4"/>
        <v>18.978102189781019</v>
      </c>
      <c r="AI19" s="37">
        <f t="shared" si="7"/>
        <v>45.685279187817265</v>
      </c>
      <c r="AJ19" s="40">
        <f t="shared" si="8"/>
        <v>16.229902978977886</v>
      </c>
      <c r="AK19" s="37">
        <f t="shared" si="9"/>
        <v>18.318069705093833</v>
      </c>
      <c r="AL19" s="37">
        <f t="shared" si="10"/>
        <v>0.79742356820334614</v>
      </c>
      <c r="AM19" s="37">
        <f t="shared" si="11"/>
        <v>3.0179571655124171</v>
      </c>
      <c r="AN19" s="37">
        <f t="shared" si="12"/>
        <v>2.0119714436749452</v>
      </c>
      <c r="AO19" s="37">
        <f t="shared" si="13"/>
        <v>0</v>
      </c>
      <c r="AP19" s="5">
        <f t="shared" si="14"/>
        <v>6</v>
      </c>
    </row>
    <row r="20" spans="1:42" x14ac:dyDescent="0.2">
      <c r="A20" s="9">
        <v>11</v>
      </c>
      <c r="B20" t="s">
        <v>420</v>
      </c>
      <c r="C20" t="s">
        <v>517</v>
      </c>
      <c r="D20">
        <v>10</v>
      </c>
      <c r="E20">
        <v>0</v>
      </c>
      <c r="F20">
        <v>32</v>
      </c>
      <c r="G20">
        <v>3.2</v>
      </c>
      <c r="H20">
        <v>6</v>
      </c>
      <c r="I20">
        <v>11</v>
      </c>
      <c r="J20">
        <v>0.54500000000000004</v>
      </c>
      <c r="K20">
        <v>4</v>
      </c>
      <c r="L20">
        <v>6</v>
      </c>
      <c r="M20">
        <v>0.66700000000000004</v>
      </c>
      <c r="N20" s="37">
        <f t="shared" si="5"/>
        <v>0.47058823529411764</v>
      </c>
      <c r="O20">
        <v>2</v>
      </c>
      <c r="P20">
        <v>2</v>
      </c>
      <c r="Q20">
        <v>1</v>
      </c>
      <c r="R20">
        <v>0</v>
      </c>
      <c r="S20">
        <v>4</v>
      </c>
      <c r="T20">
        <v>4</v>
      </c>
      <c r="U20">
        <v>0.4</v>
      </c>
      <c r="V20">
        <v>2</v>
      </c>
      <c r="W20">
        <v>3</v>
      </c>
      <c r="X20" s="37">
        <f t="shared" si="0"/>
        <v>0.3</v>
      </c>
      <c r="Y20">
        <v>1</v>
      </c>
      <c r="Z20" s="37">
        <f t="shared" si="1"/>
        <v>0.1</v>
      </c>
      <c r="AA20" s="37">
        <f t="shared" si="6"/>
        <v>3</v>
      </c>
      <c r="AB20">
        <v>1</v>
      </c>
      <c r="AC20" s="37">
        <f t="shared" si="2"/>
        <v>0.1</v>
      </c>
      <c r="AD20">
        <v>0</v>
      </c>
      <c r="AE20" s="37">
        <f t="shared" si="3"/>
        <v>0</v>
      </c>
      <c r="AF20">
        <v>18</v>
      </c>
      <c r="AG20">
        <v>1.8</v>
      </c>
      <c r="AH20" s="37">
        <f t="shared" si="4"/>
        <v>31.25</v>
      </c>
      <c r="AI20" s="37">
        <f t="shared" si="7"/>
        <v>75.757575757575751</v>
      </c>
      <c r="AJ20" s="40">
        <f t="shared" si="8"/>
        <v>18.490855888807609</v>
      </c>
      <c r="AK20" s="37">
        <f t="shared" si="9"/>
        <v>16.654879773691654</v>
      </c>
      <c r="AL20" s="37">
        <f t="shared" si="10"/>
        <v>0.22712888117325811</v>
      </c>
      <c r="AM20" s="37">
        <f t="shared" si="11"/>
        <v>1.4356254572055596</v>
      </c>
      <c r="AN20" s="37">
        <f t="shared" si="12"/>
        <v>0</v>
      </c>
      <c r="AO20" s="37">
        <f t="shared" si="13"/>
        <v>3.2260273972602738</v>
      </c>
      <c r="AP20" s="5">
        <f t="shared" si="14"/>
        <v>1</v>
      </c>
    </row>
    <row r="21" spans="1:42" x14ac:dyDescent="0.2">
      <c r="A21" s="9">
        <v>32</v>
      </c>
      <c r="B21" t="s">
        <v>381</v>
      </c>
      <c r="C21" t="s">
        <v>518</v>
      </c>
      <c r="D21">
        <v>14</v>
      </c>
      <c r="E21">
        <v>0</v>
      </c>
      <c r="F21">
        <v>62</v>
      </c>
      <c r="G21">
        <v>4.4000000000000004</v>
      </c>
      <c r="H21">
        <v>9</v>
      </c>
      <c r="I21">
        <v>19</v>
      </c>
      <c r="J21">
        <v>0.47399999999999998</v>
      </c>
      <c r="K21">
        <v>4</v>
      </c>
      <c r="L21">
        <v>10</v>
      </c>
      <c r="M21">
        <v>0.4</v>
      </c>
      <c r="N21" s="37">
        <f t="shared" si="5"/>
        <v>0.37931034482758619</v>
      </c>
      <c r="O21">
        <v>2</v>
      </c>
      <c r="P21">
        <v>2</v>
      </c>
      <c r="Q21">
        <v>1</v>
      </c>
      <c r="R21">
        <v>8</v>
      </c>
      <c r="S21">
        <v>12</v>
      </c>
      <c r="T21">
        <v>20</v>
      </c>
      <c r="U21">
        <v>1.4</v>
      </c>
      <c r="V21">
        <v>1</v>
      </c>
      <c r="W21">
        <v>2</v>
      </c>
      <c r="X21" s="37">
        <f t="shared" si="0"/>
        <v>0.14285714285714285</v>
      </c>
      <c r="Y21">
        <v>5</v>
      </c>
      <c r="Z21" s="37">
        <f t="shared" si="1"/>
        <v>0.35714285714285715</v>
      </c>
      <c r="AA21" s="37">
        <f t="shared" si="6"/>
        <v>0.4</v>
      </c>
      <c r="AB21">
        <v>0</v>
      </c>
      <c r="AC21" s="37">
        <f t="shared" si="2"/>
        <v>0</v>
      </c>
      <c r="AD21">
        <v>2</v>
      </c>
      <c r="AE21" s="37">
        <f t="shared" si="3"/>
        <v>0.14285714285714285</v>
      </c>
      <c r="AF21">
        <v>24</v>
      </c>
      <c r="AG21">
        <v>1.7</v>
      </c>
      <c r="AH21" s="37">
        <f t="shared" si="4"/>
        <v>27.741935483870968</v>
      </c>
      <c r="AI21" s="37">
        <f t="shared" si="7"/>
        <v>60.362173038229386</v>
      </c>
      <c r="AJ21" s="40">
        <f t="shared" si="8"/>
        <v>18.435283290464167</v>
      </c>
      <c r="AK21" s="37">
        <f t="shared" si="9"/>
        <v>5.3298253803229301</v>
      </c>
      <c r="AL21" s="37">
        <f t="shared" si="10"/>
        <v>0.88001486270514806</v>
      </c>
      <c r="AM21" s="37">
        <f t="shared" si="11"/>
        <v>3.7048398895627344</v>
      </c>
      <c r="AN21" s="37">
        <f t="shared" si="12"/>
        <v>1.4819359558250937</v>
      </c>
      <c r="AO21" s="37">
        <f t="shared" si="13"/>
        <v>0</v>
      </c>
      <c r="AP21" s="5">
        <f t="shared" si="14"/>
        <v>2</v>
      </c>
    </row>
    <row r="22" spans="1:42" x14ac:dyDescent="0.2">
      <c r="A22" s="9">
        <v>22</v>
      </c>
      <c r="B22" t="s">
        <v>379</v>
      </c>
      <c r="C22" t="s">
        <v>517</v>
      </c>
      <c r="D22">
        <v>37</v>
      </c>
      <c r="E22">
        <v>0</v>
      </c>
      <c r="F22">
        <v>368</v>
      </c>
      <c r="G22">
        <v>9.9</v>
      </c>
      <c r="H22">
        <v>24</v>
      </c>
      <c r="I22">
        <v>68</v>
      </c>
      <c r="J22">
        <v>0.35299999999999998</v>
      </c>
      <c r="K22">
        <v>14</v>
      </c>
      <c r="L22">
        <v>42</v>
      </c>
      <c r="M22">
        <v>0.33300000000000002</v>
      </c>
      <c r="N22" s="37">
        <f t="shared" si="5"/>
        <v>0.2818181818181818</v>
      </c>
      <c r="O22">
        <v>0</v>
      </c>
      <c r="P22">
        <v>0</v>
      </c>
      <c r="Q22">
        <v>0</v>
      </c>
      <c r="R22">
        <v>11</v>
      </c>
      <c r="S22">
        <v>42</v>
      </c>
      <c r="T22">
        <v>53</v>
      </c>
      <c r="U22">
        <v>1.4</v>
      </c>
      <c r="V22">
        <v>21</v>
      </c>
      <c r="W22">
        <v>27</v>
      </c>
      <c r="X22" s="37">
        <f t="shared" si="0"/>
        <v>0.72972972972972971</v>
      </c>
      <c r="Y22">
        <v>19</v>
      </c>
      <c r="Z22" s="37">
        <f t="shared" si="1"/>
        <v>0.51351351351351349</v>
      </c>
      <c r="AA22" s="37">
        <f t="shared" si="6"/>
        <v>1.4210526315789473</v>
      </c>
      <c r="AB22">
        <v>17</v>
      </c>
      <c r="AC22" s="37">
        <f t="shared" si="2"/>
        <v>0.45945945945945948</v>
      </c>
      <c r="AD22">
        <v>20</v>
      </c>
      <c r="AE22" s="37">
        <f t="shared" si="3"/>
        <v>0.54054054054054057</v>
      </c>
      <c r="AF22">
        <v>62</v>
      </c>
      <c r="AG22">
        <v>1.7</v>
      </c>
      <c r="AH22" s="37">
        <f t="shared" si="4"/>
        <v>17.391304347826086</v>
      </c>
      <c r="AI22" s="37">
        <f t="shared" si="7"/>
        <v>45.588235294117645</v>
      </c>
      <c r="AJ22" s="40">
        <f t="shared" si="8"/>
        <v>10.860818676250753</v>
      </c>
      <c r="AK22" s="37">
        <f t="shared" si="9"/>
        <v>10.708060727006339</v>
      </c>
      <c r="AL22" s="37">
        <f t="shared" si="10"/>
        <v>2.4610475822293636</v>
      </c>
      <c r="AM22" s="37">
        <f t="shared" si="11"/>
        <v>2.3719029292961418</v>
      </c>
      <c r="AN22" s="37">
        <f t="shared" si="12"/>
        <v>2.4967399255748859</v>
      </c>
      <c r="AO22" s="37">
        <f t="shared" si="13"/>
        <v>4.7689100655151879</v>
      </c>
      <c r="AP22" s="5">
        <f t="shared" si="14"/>
        <v>37</v>
      </c>
    </row>
    <row r="23" spans="1:42" x14ac:dyDescent="0.2">
      <c r="A23" s="9">
        <v>21</v>
      </c>
      <c r="B23" t="s">
        <v>369</v>
      </c>
      <c r="C23" t="s">
        <v>517</v>
      </c>
      <c r="D23">
        <v>27</v>
      </c>
      <c r="E23">
        <v>0</v>
      </c>
      <c r="F23">
        <v>157</v>
      </c>
      <c r="G23">
        <v>5.8</v>
      </c>
      <c r="H23">
        <v>14</v>
      </c>
      <c r="I23">
        <v>38</v>
      </c>
      <c r="J23">
        <v>0.36799999999999999</v>
      </c>
      <c r="K23">
        <v>11</v>
      </c>
      <c r="L23">
        <v>30</v>
      </c>
      <c r="M23">
        <v>0.36699999999999999</v>
      </c>
      <c r="N23" s="37">
        <f t="shared" si="5"/>
        <v>0.28676470588235292</v>
      </c>
      <c r="O23">
        <v>4</v>
      </c>
      <c r="P23">
        <v>6</v>
      </c>
      <c r="Q23">
        <v>0.66700000000000004</v>
      </c>
      <c r="R23">
        <v>5</v>
      </c>
      <c r="S23">
        <v>11</v>
      </c>
      <c r="T23">
        <v>16</v>
      </c>
      <c r="U23">
        <v>0.6</v>
      </c>
      <c r="V23">
        <v>15</v>
      </c>
      <c r="W23">
        <v>9</v>
      </c>
      <c r="X23" s="37">
        <f t="shared" si="0"/>
        <v>0.33333333333333331</v>
      </c>
      <c r="Y23">
        <v>8</v>
      </c>
      <c r="Z23" s="37">
        <f t="shared" si="1"/>
        <v>0.29629629629629628</v>
      </c>
      <c r="AA23" s="37">
        <f t="shared" si="6"/>
        <v>1.125</v>
      </c>
      <c r="AB23">
        <v>0</v>
      </c>
      <c r="AC23" s="37">
        <f t="shared" si="2"/>
        <v>0</v>
      </c>
      <c r="AD23">
        <v>4</v>
      </c>
      <c r="AE23" s="37">
        <f t="shared" si="3"/>
        <v>0.14814814814814814</v>
      </c>
      <c r="AF23">
        <v>43</v>
      </c>
      <c r="AG23">
        <v>1.6</v>
      </c>
      <c r="AH23" s="37">
        <f t="shared" si="4"/>
        <v>16.305732484076433</v>
      </c>
      <c r="AI23" s="37">
        <f t="shared" si="7"/>
        <v>52.903543307086608</v>
      </c>
      <c r="AJ23" s="40">
        <f t="shared" si="8"/>
        <v>14.232626188734454</v>
      </c>
      <c r="AK23" s="37">
        <f t="shared" si="9"/>
        <v>8.6694762191450945</v>
      </c>
      <c r="AL23" s="37">
        <f t="shared" si="10"/>
        <v>0.73139518942739756</v>
      </c>
      <c r="AM23" s="37">
        <f t="shared" si="11"/>
        <v>2.3408924652523773</v>
      </c>
      <c r="AN23" s="37">
        <f t="shared" si="12"/>
        <v>1.1704462326261886</v>
      </c>
      <c r="AO23" s="37">
        <f t="shared" si="13"/>
        <v>0</v>
      </c>
      <c r="AP23" s="5">
        <f t="shared" si="14"/>
        <v>4</v>
      </c>
    </row>
    <row r="24" spans="1:42" x14ac:dyDescent="0.2">
      <c r="A24" s="9">
        <v>33</v>
      </c>
      <c r="B24" t="s">
        <v>374</v>
      </c>
      <c r="C24" t="s">
        <v>518</v>
      </c>
      <c r="D24">
        <v>21</v>
      </c>
      <c r="E24">
        <v>0</v>
      </c>
      <c r="F24">
        <v>101</v>
      </c>
      <c r="G24">
        <v>4.8</v>
      </c>
      <c r="H24">
        <v>9</v>
      </c>
      <c r="I24">
        <v>27</v>
      </c>
      <c r="J24">
        <v>0.33300000000000002</v>
      </c>
      <c r="K24">
        <v>1</v>
      </c>
      <c r="L24">
        <v>3</v>
      </c>
      <c r="M24">
        <v>0.33300000000000002</v>
      </c>
      <c r="N24" s="37">
        <f t="shared" si="5"/>
        <v>0.31666666666666665</v>
      </c>
      <c r="O24">
        <v>11</v>
      </c>
      <c r="P24">
        <v>15</v>
      </c>
      <c r="Q24">
        <v>0.73299999999999998</v>
      </c>
      <c r="R24">
        <v>10</v>
      </c>
      <c r="S24">
        <v>22</v>
      </c>
      <c r="T24">
        <v>32</v>
      </c>
      <c r="U24">
        <v>1.5</v>
      </c>
      <c r="V24">
        <v>15</v>
      </c>
      <c r="W24">
        <v>5</v>
      </c>
      <c r="X24" s="37">
        <f t="shared" si="0"/>
        <v>0.23809523809523808</v>
      </c>
      <c r="Y24">
        <v>7</v>
      </c>
      <c r="Z24" s="37">
        <f t="shared" si="1"/>
        <v>0.33333333333333331</v>
      </c>
      <c r="AA24" s="37">
        <f t="shared" si="6"/>
        <v>0.7142857142857143</v>
      </c>
      <c r="AB24">
        <v>1</v>
      </c>
      <c r="AC24" s="37">
        <f t="shared" si="2"/>
        <v>4.7619047619047616E-2</v>
      </c>
      <c r="AD24">
        <v>4</v>
      </c>
      <c r="AE24" s="37">
        <f t="shared" si="3"/>
        <v>0.19047619047619047</v>
      </c>
      <c r="AF24">
        <v>30</v>
      </c>
      <c r="AG24">
        <v>1.4</v>
      </c>
      <c r="AH24" s="37">
        <f t="shared" si="4"/>
        <v>25.742574257425744</v>
      </c>
      <c r="AI24" s="37">
        <f t="shared" si="7"/>
        <v>44.642857142857139</v>
      </c>
      <c r="AJ24" s="40">
        <f t="shared" si="8"/>
        <v>18.466976178232308</v>
      </c>
      <c r="AK24" s="37">
        <f t="shared" si="9"/>
        <v>7.486127419133731</v>
      </c>
      <c r="AL24" s="37">
        <f t="shared" si="10"/>
        <v>1.4810438043415064</v>
      </c>
      <c r="AM24" s="37">
        <f t="shared" si="11"/>
        <v>3.1839614100400526</v>
      </c>
      <c r="AN24" s="37">
        <f t="shared" si="12"/>
        <v>1.8194065200228873</v>
      </c>
      <c r="AO24" s="37">
        <f t="shared" si="13"/>
        <v>1.0221076902210768</v>
      </c>
      <c r="AP24" s="5">
        <f t="shared" si="14"/>
        <v>5</v>
      </c>
    </row>
    <row r="25" spans="1:42" x14ac:dyDescent="0.2">
      <c r="A25" s="9">
        <v>30</v>
      </c>
      <c r="B25" t="s">
        <v>421</v>
      </c>
      <c r="C25" t="s">
        <v>518</v>
      </c>
      <c r="D25">
        <v>10</v>
      </c>
      <c r="E25">
        <v>0</v>
      </c>
      <c r="F25">
        <v>42</v>
      </c>
      <c r="G25">
        <v>4.2</v>
      </c>
      <c r="H25">
        <v>5</v>
      </c>
      <c r="I25">
        <v>12</v>
      </c>
      <c r="J25">
        <v>0.41699999999999998</v>
      </c>
      <c r="K25">
        <v>0</v>
      </c>
      <c r="L25">
        <v>0</v>
      </c>
      <c r="M25">
        <v>0</v>
      </c>
      <c r="N25" s="37">
        <f t="shared" si="5"/>
        <v>0.41666666666666669</v>
      </c>
      <c r="O25">
        <v>4</v>
      </c>
      <c r="P25">
        <v>8</v>
      </c>
      <c r="Q25">
        <v>0.5</v>
      </c>
      <c r="R25">
        <v>5</v>
      </c>
      <c r="S25">
        <v>11</v>
      </c>
      <c r="T25">
        <v>16</v>
      </c>
      <c r="U25">
        <v>1.6</v>
      </c>
      <c r="V25">
        <v>4</v>
      </c>
      <c r="W25">
        <v>3</v>
      </c>
      <c r="X25" s="37">
        <f t="shared" si="0"/>
        <v>0.3</v>
      </c>
      <c r="Y25">
        <v>9</v>
      </c>
      <c r="Z25" s="37">
        <f t="shared" si="1"/>
        <v>0.9</v>
      </c>
      <c r="AA25" s="37">
        <f t="shared" si="6"/>
        <v>0.33333333333333331</v>
      </c>
      <c r="AB25">
        <v>1</v>
      </c>
      <c r="AC25" s="37">
        <f t="shared" si="2"/>
        <v>0.1</v>
      </c>
      <c r="AD25">
        <v>4</v>
      </c>
      <c r="AE25" s="37">
        <f t="shared" si="3"/>
        <v>0.4</v>
      </c>
      <c r="AF25">
        <v>14</v>
      </c>
      <c r="AG25">
        <v>1.4</v>
      </c>
      <c r="AH25" s="37">
        <f t="shared" si="4"/>
        <v>27.61904761904762</v>
      </c>
      <c r="AI25" s="37">
        <f t="shared" si="7"/>
        <v>45.103092783505154</v>
      </c>
      <c r="AJ25" s="40">
        <f t="shared" si="8"/>
        <v>26.820218065280244</v>
      </c>
      <c r="AK25" s="37">
        <f t="shared" si="9"/>
        <v>11.313616574087975</v>
      </c>
      <c r="AL25" s="37">
        <f t="shared" si="10"/>
        <v>0.7504666719675509</v>
      </c>
      <c r="AM25" s="37">
        <f t="shared" si="11"/>
        <v>9.8442888494095513</v>
      </c>
      <c r="AN25" s="37">
        <f t="shared" si="12"/>
        <v>4.3752394886264669</v>
      </c>
      <c r="AO25" s="37">
        <f t="shared" si="13"/>
        <v>2.4579256360078277</v>
      </c>
      <c r="AP25" s="5">
        <f t="shared" si="14"/>
        <v>5</v>
      </c>
    </row>
    <row r="26" spans="1:42" ht="17" thickBot="1" x14ac:dyDescent="0.25">
      <c r="A26" s="3">
        <v>5</v>
      </c>
      <c r="B26" s="4" t="s">
        <v>335</v>
      </c>
      <c r="C26" s="4" t="s">
        <v>517</v>
      </c>
      <c r="D26" s="4">
        <v>12</v>
      </c>
      <c r="E26" s="4">
        <v>0</v>
      </c>
      <c r="F26" s="4">
        <v>59</v>
      </c>
      <c r="G26" s="4">
        <v>4.9000000000000004</v>
      </c>
      <c r="H26" s="4">
        <v>2</v>
      </c>
      <c r="I26" s="4">
        <v>16</v>
      </c>
      <c r="J26" s="4">
        <v>0.125</v>
      </c>
      <c r="K26" s="4">
        <v>2</v>
      </c>
      <c r="L26" s="4">
        <v>13</v>
      </c>
      <c r="M26" s="4">
        <v>0.154</v>
      </c>
      <c r="N26" s="17">
        <f t="shared" si="5"/>
        <v>0.10344827586206896</v>
      </c>
      <c r="O26" s="4">
        <v>4</v>
      </c>
      <c r="P26" s="4">
        <v>4</v>
      </c>
      <c r="Q26" s="4">
        <v>1</v>
      </c>
      <c r="R26" s="4">
        <v>2</v>
      </c>
      <c r="S26" s="4">
        <v>3</v>
      </c>
      <c r="T26" s="4">
        <v>5</v>
      </c>
      <c r="U26" s="4">
        <v>0.4</v>
      </c>
      <c r="V26" s="4">
        <v>3</v>
      </c>
      <c r="W26" s="4">
        <v>4</v>
      </c>
      <c r="X26" s="17">
        <f t="shared" si="0"/>
        <v>0.33333333333333331</v>
      </c>
      <c r="Y26" s="4">
        <v>5</v>
      </c>
      <c r="Z26" s="17">
        <f t="shared" si="1"/>
        <v>0.41666666666666669</v>
      </c>
      <c r="AA26" s="17">
        <f t="shared" si="6"/>
        <v>0.8</v>
      </c>
      <c r="AB26" s="4">
        <v>0</v>
      </c>
      <c r="AC26" s="17">
        <f t="shared" si="2"/>
        <v>0</v>
      </c>
      <c r="AD26" s="4">
        <v>2</v>
      </c>
      <c r="AE26" s="17">
        <f t="shared" si="3"/>
        <v>0.16666666666666666</v>
      </c>
      <c r="AF26" s="4">
        <v>10</v>
      </c>
      <c r="AG26" s="4">
        <v>0.8</v>
      </c>
      <c r="AH26" s="17">
        <f t="shared" si="4"/>
        <v>10.847457627118644</v>
      </c>
      <c r="AI26" s="17">
        <f t="shared" si="7"/>
        <v>28.153153153153148</v>
      </c>
      <c r="AJ26" s="41">
        <f t="shared" si="8"/>
        <v>17.721944626982257</v>
      </c>
      <c r="AK26" s="17">
        <f t="shared" si="9"/>
        <v>9.4621954779595274</v>
      </c>
      <c r="AL26" s="17">
        <f t="shared" si="10"/>
        <v>0.22014018923791853</v>
      </c>
      <c r="AM26" s="17">
        <f t="shared" si="11"/>
        <v>3.8932215788625344</v>
      </c>
      <c r="AN26" s="17">
        <f t="shared" si="12"/>
        <v>1.5572886315450136</v>
      </c>
      <c r="AO26" s="17">
        <f t="shared" si="13"/>
        <v>0</v>
      </c>
      <c r="AP26" s="56">
        <f t="shared" si="14"/>
        <v>2</v>
      </c>
    </row>
    <row r="27" spans="1:42" x14ac:dyDescent="0.2">
      <c r="B27" s="1" t="s">
        <v>170</v>
      </c>
      <c r="C27" s="2"/>
      <c r="D27" s="2" t="s">
        <v>98</v>
      </c>
      <c r="E27" s="2"/>
      <c r="F27" s="2">
        <v>7536</v>
      </c>
      <c r="G27" s="2">
        <v>203.7</v>
      </c>
      <c r="H27" s="2">
        <v>1131</v>
      </c>
      <c r="I27" s="2">
        <v>2358</v>
      </c>
      <c r="J27" s="2">
        <v>0.48</v>
      </c>
      <c r="K27" s="2">
        <v>280</v>
      </c>
      <c r="L27" s="2">
        <v>721</v>
      </c>
      <c r="M27" s="2">
        <v>0.38800000000000001</v>
      </c>
      <c r="N27" s="16">
        <f>(H27+(0.5*K27))/(L27+I27)</f>
        <v>0.41279636245534262</v>
      </c>
      <c r="O27" s="2">
        <v>537</v>
      </c>
      <c r="P27" s="2">
        <v>720</v>
      </c>
      <c r="Q27" s="2">
        <v>0.746</v>
      </c>
      <c r="R27" s="2">
        <v>504</v>
      </c>
      <c r="S27" s="2">
        <v>1108</v>
      </c>
      <c r="T27" s="2">
        <v>1612</v>
      </c>
      <c r="U27" s="2">
        <v>43.6</v>
      </c>
      <c r="V27" s="2">
        <v>614</v>
      </c>
      <c r="W27" s="2">
        <v>694</v>
      </c>
      <c r="X27" s="16">
        <f>W27 / D27</f>
        <v>18.756756756756758</v>
      </c>
      <c r="Y27" s="2">
        <v>606</v>
      </c>
      <c r="Z27" s="16">
        <f t="shared" si="1"/>
        <v>16.378378378378379</v>
      </c>
      <c r="AA27" s="16">
        <f>W27/Y27</f>
        <v>1.1452145214521452</v>
      </c>
      <c r="AB27" s="2">
        <v>126</v>
      </c>
      <c r="AC27" s="16">
        <f t="shared" si="2"/>
        <v>3.4054054054054053</v>
      </c>
      <c r="AD27" s="2">
        <v>401</v>
      </c>
      <c r="AE27" s="16">
        <f t="shared" si="3"/>
        <v>10.837837837837839</v>
      </c>
      <c r="AF27" s="2">
        <v>3079</v>
      </c>
      <c r="AG27" s="2">
        <v>83.22</v>
      </c>
      <c r="AH27" s="16">
        <f>SUM(AH10*F10,AH11*F11,AH12*F12,AH13*F13,AH14*F14,AH15*F15,AH16*F16,AH17*F17,AH18*F18,AH19*F19,AH20*F20,AH21*F21,AH22*F22,AH23*F23,AH24*F24,AH25*F25,AH26*F26)/F27</f>
        <v>27.590233545647557</v>
      </c>
      <c r="AI27" s="16">
        <f t="shared" si="7"/>
        <v>57.555705099446683</v>
      </c>
      <c r="AJ27" s="2"/>
      <c r="AK27" s="2"/>
      <c r="AL27" s="2"/>
      <c r="AM27" s="2"/>
      <c r="AN27" s="2"/>
      <c r="AO27" s="2"/>
      <c r="AP27" s="44"/>
    </row>
    <row r="28" spans="1:42" ht="17" thickBot="1" x14ac:dyDescent="0.25">
      <c r="B28" s="3" t="s">
        <v>186</v>
      </c>
      <c r="C28" s="4"/>
      <c r="D28" s="4" t="s">
        <v>98</v>
      </c>
      <c r="E28" s="4"/>
      <c r="F28" s="4">
        <v>7439</v>
      </c>
      <c r="G28" s="4">
        <v>201.1</v>
      </c>
      <c r="H28" s="4">
        <v>820</v>
      </c>
      <c r="I28" s="4">
        <v>2217</v>
      </c>
      <c r="J28" s="4">
        <v>0.37</v>
      </c>
      <c r="K28" s="4">
        <v>210</v>
      </c>
      <c r="L28" s="4">
        <v>757</v>
      </c>
      <c r="M28" s="4">
        <v>0.27700000000000002</v>
      </c>
      <c r="N28" s="17">
        <f>(H28+(0.5*K28))/(L28+I28)</f>
        <v>0.31102891728312038</v>
      </c>
      <c r="O28" s="4">
        <v>436</v>
      </c>
      <c r="P28" s="4">
        <v>606</v>
      </c>
      <c r="Q28" s="4">
        <v>0.71899999999999997</v>
      </c>
      <c r="R28" s="4">
        <v>349</v>
      </c>
      <c r="S28" s="4">
        <v>785</v>
      </c>
      <c r="T28" s="4">
        <v>1134</v>
      </c>
      <c r="U28" s="4">
        <v>30.6</v>
      </c>
      <c r="V28" s="4">
        <v>614</v>
      </c>
      <c r="W28" s="4">
        <v>376</v>
      </c>
      <c r="X28" s="17">
        <f>W28/D27</f>
        <v>10.162162162162161</v>
      </c>
      <c r="Y28" s="4">
        <v>665</v>
      </c>
      <c r="Z28" s="17">
        <f>Y28/D27</f>
        <v>17.972972972972972</v>
      </c>
      <c r="AA28" s="17">
        <f>W28/Y28</f>
        <v>0.56541353383458648</v>
      </c>
      <c r="AB28" s="4">
        <v>107</v>
      </c>
      <c r="AC28" s="17">
        <f>AB28/D27</f>
        <v>2.8918918918918921</v>
      </c>
      <c r="AD28" s="4">
        <v>310</v>
      </c>
      <c r="AE28" s="17">
        <f>AD28/D27</f>
        <v>8.378378378378379</v>
      </c>
      <c r="AF28" s="4">
        <v>2286</v>
      </c>
      <c r="AG28" s="4">
        <v>61.78</v>
      </c>
      <c r="AH28" s="4"/>
      <c r="AI28" s="17">
        <f t="shared" si="7"/>
        <v>46.021162487317</v>
      </c>
      <c r="AJ28" s="4"/>
      <c r="AK28" s="4"/>
      <c r="AL28" s="4"/>
      <c r="AM28" s="4"/>
      <c r="AN28" s="4"/>
      <c r="AO28" s="4"/>
      <c r="AP28" s="5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5E8A-62CA-044E-9579-1454A0E9DFB8}">
  <dimension ref="A1:AP27"/>
  <sheetViews>
    <sheetView topLeftCell="A2" zoomScale="117" workbookViewId="0">
      <selection activeCell="J11" sqref="J11"/>
    </sheetView>
  </sheetViews>
  <sheetFormatPr baseColWidth="10" defaultRowHeight="16" x14ac:dyDescent="0.2"/>
  <cols>
    <col min="1" max="1" width="18.1640625" customWidth="1"/>
    <col min="2" max="2" width="16.33203125" bestFit="1" customWidth="1"/>
    <col min="3" max="3" width="16.33203125" customWidth="1"/>
  </cols>
  <sheetData>
    <row r="1" spans="1:42" ht="17" thickBot="1" x14ac:dyDescent="0.25">
      <c r="B1" s="10" t="s">
        <v>481</v>
      </c>
      <c r="C1" s="11"/>
      <c r="D1" s="12"/>
      <c r="E1" s="10" t="s">
        <v>483</v>
      </c>
      <c r="F1" s="12"/>
      <c r="G1" s="10" t="s">
        <v>485</v>
      </c>
      <c r="H1" s="12"/>
      <c r="I1" s="10" t="s">
        <v>482</v>
      </c>
      <c r="J1" s="12"/>
      <c r="K1" s="10" t="s">
        <v>486</v>
      </c>
      <c r="L1" s="12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</row>
    <row r="2" spans="1:42" ht="17" thickBot="1" x14ac:dyDescent="0.25">
      <c r="A2" s="10" t="s">
        <v>484</v>
      </c>
      <c r="B2" s="9" t="s">
        <v>204</v>
      </c>
      <c r="D2" s="6" t="s">
        <v>205</v>
      </c>
      <c r="E2" s="9" t="s">
        <v>204</v>
      </c>
      <c r="F2" s="6" t="s">
        <v>205</v>
      </c>
      <c r="G2" s="24" t="s">
        <v>204</v>
      </c>
      <c r="H2" s="25" t="s">
        <v>205</v>
      </c>
      <c r="I2" s="24" t="s">
        <v>204</v>
      </c>
      <c r="J2" s="25" t="s">
        <v>205</v>
      </c>
      <c r="K2" s="9" t="s">
        <v>204</v>
      </c>
      <c r="L2" s="6" t="s">
        <v>205</v>
      </c>
      <c r="N2" s="9" t="s">
        <v>2</v>
      </c>
      <c r="T2" s="6"/>
      <c r="V2" s="61" t="s">
        <v>508</v>
      </c>
      <c r="W2" s="62">
        <v>14.763999999999999</v>
      </c>
    </row>
    <row r="3" spans="1:42" ht="17" thickBot="1" x14ac:dyDescent="0.25">
      <c r="A3" s="20"/>
      <c r="B3" s="4">
        <v>20</v>
      </c>
      <c r="C3" s="4"/>
      <c r="D3" s="4">
        <v>12</v>
      </c>
      <c r="E3" s="4">
        <v>9</v>
      </c>
      <c r="F3" s="4">
        <v>5</v>
      </c>
      <c r="G3" s="4">
        <v>13</v>
      </c>
      <c r="H3" s="4">
        <v>4</v>
      </c>
      <c r="I3" s="4">
        <v>4</v>
      </c>
      <c r="J3" s="4">
        <v>8</v>
      </c>
      <c r="K3" s="4">
        <v>3</v>
      </c>
      <c r="L3" s="4">
        <v>0</v>
      </c>
      <c r="N3" s="3" t="s">
        <v>488</v>
      </c>
      <c r="O3" s="4"/>
      <c r="P3" s="4"/>
      <c r="Q3" s="4"/>
      <c r="R3" s="4"/>
      <c r="S3" s="4"/>
      <c r="T3" s="7"/>
    </row>
    <row r="7" spans="1:42" ht="17" thickBot="1" x14ac:dyDescent="0.25"/>
    <row r="8" spans="1:42" ht="17" thickBot="1" x14ac:dyDescent="0.25">
      <c r="A8" t="s">
        <v>7</v>
      </c>
      <c r="B8" t="s">
        <v>7</v>
      </c>
      <c r="D8" t="s">
        <v>7</v>
      </c>
      <c r="E8" t="s">
        <v>7</v>
      </c>
      <c r="F8" t="s">
        <v>7</v>
      </c>
      <c r="G8" t="s">
        <v>7</v>
      </c>
      <c r="H8" s="10" t="s">
        <v>8</v>
      </c>
      <c r="I8" s="11"/>
      <c r="J8" s="11"/>
      <c r="K8" s="11" t="s">
        <v>9</v>
      </c>
      <c r="L8" s="11" t="s">
        <v>7</v>
      </c>
      <c r="M8" s="11" t="s">
        <v>4</v>
      </c>
      <c r="N8" s="11" t="s">
        <v>7</v>
      </c>
      <c r="O8" s="2" t="s">
        <v>7</v>
      </c>
      <c r="P8" s="2"/>
      <c r="Q8" s="2" t="s">
        <v>10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/>
      <c r="Y8" s="2" t="s">
        <v>7</v>
      </c>
      <c r="Z8" s="2"/>
      <c r="AA8" s="2"/>
      <c r="AB8" s="2" t="s">
        <v>7</v>
      </c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522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10</v>
      </c>
      <c r="B10" s="2" t="s">
        <v>41</v>
      </c>
      <c r="C10" s="2" t="s">
        <v>524</v>
      </c>
      <c r="D10" s="2">
        <v>32</v>
      </c>
      <c r="E10" s="2">
        <v>23</v>
      </c>
      <c r="F10" s="2">
        <v>838</v>
      </c>
      <c r="G10" s="29">
        <f>F10/D10</f>
        <v>26.1875</v>
      </c>
      <c r="H10" s="2">
        <v>136</v>
      </c>
      <c r="I10" s="2">
        <v>353</v>
      </c>
      <c r="J10" s="16">
        <f>H10/I10</f>
        <v>0.38526912181303113</v>
      </c>
      <c r="K10" s="2">
        <v>52</v>
      </c>
      <c r="L10" s="2">
        <v>161</v>
      </c>
      <c r="M10" s="16">
        <f>K10/L10</f>
        <v>0.32298136645962733</v>
      </c>
      <c r="N10" s="16">
        <f>(H10+(0.5*K10))/(L10+I10)</f>
        <v>0.31517509727626458</v>
      </c>
      <c r="O10" s="2">
        <v>77</v>
      </c>
      <c r="P10" s="2">
        <v>100</v>
      </c>
      <c r="Q10" s="16">
        <v>0.77</v>
      </c>
      <c r="R10" s="2">
        <v>26</v>
      </c>
      <c r="S10" s="2">
        <v>84</v>
      </c>
      <c r="T10" s="2">
        <f>R10+S10</f>
        <v>110</v>
      </c>
      <c r="U10" s="29">
        <f>T10/D10</f>
        <v>3.4375</v>
      </c>
      <c r="V10" s="2">
        <v>60</v>
      </c>
      <c r="W10" s="2">
        <v>70</v>
      </c>
      <c r="X10" s="16">
        <f t="shared" ref="X10:X27" si="0">W10/D10</f>
        <v>2.1875</v>
      </c>
      <c r="Y10" s="2">
        <v>76</v>
      </c>
      <c r="Z10" s="2">
        <f t="shared" ref="Z10:Z25" si="1">Y10/D10</f>
        <v>2.375</v>
      </c>
      <c r="AA10" s="16">
        <f>W10/Y10</f>
        <v>0.92105263157894735</v>
      </c>
      <c r="AB10" s="2">
        <v>5</v>
      </c>
      <c r="AC10" s="16">
        <f t="shared" ref="AC10:AC27" si="2">AB10/D10</f>
        <v>0.15625</v>
      </c>
      <c r="AD10" s="2">
        <v>35</v>
      </c>
      <c r="AE10" s="16">
        <f t="shared" ref="AE10:AE27" si="3">AD10/D10</f>
        <v>1.09375</v>
      </c>
      <c r="AF10" s="2">
        <v>401</v>
      </c>
      <c r="AG10" s="29">
        <f t="shared" ref="AG10:AG27" si="4">AF10/D10</f>
        <v>12.53125</v>
      </c>
      <c r="AH10" s="16">
        <f>((AF10+T10+W10+AD10+AB10-Y10)/F10)*40</f>
        <v>26.014319809069214</v>
      </c>
      <c r="AI10" s="16">
        <f xml:space="preserve"> AF10 / (2 * (I10 + 0.44 * P10)) * 100</f>
        <v>50.503778337531493</v>
      </c>
      <c r="AJ10" s="39">
        <f xml:space="preserve"> ((I10 + 0.44*P10 + Y10) * ($F$26/5)) / (F10 * ($I$26+ 0.44*$P$26 + $Y$26)) * 100</f>
        <v>25.788125134353418</v>
      </c>
      <c r="AK10" s="16">
        <f xml:space="preserve"> 100 * (W10 / ( ( (F10 / ($F$26/5)) * $H$26 ) - H10 ) )</f>
        <v>17.239189984112084</v>
      </c>
      <c r="AL10" s="16">
        <f xml:space="preserve"> (100 * (R10 * ($F$26/5)) / (F10 * $R$26+ ($F$26- F10) * $S$27)) + (100 * (S10 * ($F$26/5)) / (F10 * $S$26 + ($F$26- F10) * $R$27))</f>
        <v>4.3936527600071891</v>
      </c>
      <c r="AM10" s="16">
        <f xml:space="preserve"> 100 * (Y10 * ($F$26/5)) / (F10 * ($I$26+ 0.44*$P$26 + $Y$26))</f>
        <v>4.143546533215348</v>
      </c>
      <c r="AN10" s="16">
        <f xml:space="preserve"> 100 * (AD10 * ($F$26/5)) / (F10 * ($I$26+ 0.44 * $P$26+ $Y$26))</f>
        <v>1.9082122192439104</v>
      </c>
      <c r="AO10" s="16">
        <f xml:space="preserve"> 100 * (AB10 * ($F$26/5)) / (F10 * ($I$27 - $L$27))</f>
        <v>0.54844902805530993</v>
      </c>
      <c r="AP10" s="44">
        <f>AD10+AB10</f>
        <v>40</v>
      </c>
    </row>
    <row r="11" spans="1:42" x14ac:dyDescent="0.2">
      <c r="A11" s="9">
        <v>52</v>
      </c>
      <c r="B11" t="s">
        <v>492</v>
      </c>
      <c r="C11" t="s">
        <v>520</v>
      </c>
      <c r="D11">
        <v>32</v>
      </c>
      <c r="E11">
        <v>17</v>
      </c>
      <c r="F11">
        <v>742</v>
      </c>
      <c r="G11" s="38">
        <f t="shared" ref="G11:G25" si="5">F11/D11</f>
        <v>23.1875</v>
      </c>
      <c r="H11">
        <v>144</v>
      </c>
      <c r="I11">
        <v>238</v>
      </c>
      <c r="J11" s="37">
        <f>H11/I11</f>
        <v>0.60504201680672265</v>
      </c>
      <c r="K11">
        <v>4</v>
      </c>
      <c r="L11">
        <v>18</v>
      </c>
      <c r="M11" s="37">
        <f t="shared" ref="M11:M27" si="6">K11/L11</f>
        <v>0.22222222222222221</v>
      </c>
      <c r="N11" s="37">
        <f t="shared" ref="N11:N24" si="7">(H11+(0.5*K11))/(L11+I11)</f>
        <v>0.5703125</v>
      </c>
      <c r="O11">
        <v>89</v>
      </c>
      <c r="P11">
        <v>125</v>
      </c>
      <c r="Q11">
        <f>O11/P11</f>
        <v>0.71199999999999997</v>
      </c>
      <c r="R11">
        <v>115</v>
      </c>
      <c r="S11">
        <v>121</v>
      </c>
      <c r="T11">
        <f t="shared" ref="T11:T24" si="8">R11+S11</f>
        <v>236</v>
      </c>
      <c r="U11" s="38">
        <f t="shared" ref="U11:U24" si="9">T11/D11</f>
        <v>7.375</v>
      </c>
      <c r="V11">
        <v>53</v>
      </c>
      <c r="W11">
        <v>24</v>
      </c>
      <c r="X11">
        <f t="shared" si="0"/>
        <v>0.75</v>
      </c>
      <c r="Y11">
        <v>50</v>
      </c>
      <c r="Z11" s="37">
        <f t="shared" si="1"/>
        <v>1.5625</v>
      </c>
      <c r="AA11" s="37">
        <f t="shared" ref="AA11:AA24" si="10">W11/Y11</f>
        <v>0.48</v>
      </c>
      <c r="AB11">
        <v>6</v>
      </c>
      <c r="AC11" s="37">
        <f t="shared" si="2"/>
        <v>0.1875</v>
      </c>
      <c r="AD11">
        <v>56</v>
      </c>
      <c r="AE11" s="37">
        <f t="shared" si="3"/>
        <v>1.75</v>
      </c>
      <c r="AF11">
        <v>381</v>
      </c>
      <c r="AG11" s="38">
        <f t="shared" si="4"/>
        <v>11.90625</v>
      </c>
      <c r="AH11" s="37">
        <f t="shared" ref="AH11:AH25" si="11">((AF11+T11+W11+AD11+AB11-Y11)/F11)*40</f>
        <v>35.202156334231802</v>
      </c>
      <c r="AI11" s="37">
        <f t="shared" ref="AI11:AI27" si="12" xml:space="preserve"> AF11 / (2 * (I11 + 0.44 * P11)) * 100</f>
        <v>65.017064846416389</v>
      </c>
      <c r="AJ11" s="40">
        <f t="shared" ref="AJ11:AJ25" si="13" xml:space="preserve"> ((I11 + 0.44*P11 + Y11) * ($F$26/5)) / (F11 * ($I$26+ 0.44*$P$26 + $Y$26)) * 100</f>
        <v>21.119948826575051</v>
      </c>
      <c r="AK11" s="37">
        <f t="shared" ref="AK11:AK25" si="14" xml:space="preserve"> 100 * (W11 / ( ( (F11 / ($F$26/5)) * $H$26 ) - H11 ) )</f>
        <v>7.1438147127376217</v>
      </c>
      <c r="AL11" s="37">
        <f t="shared" ref="AL11:AL25" si="15" xml:space="preserve"> (100 * (R11 * ($F$26/5)) / (F11 * $R$26+ ($F$26- F11) * $S$27)) + (100 * (S11 * ($F$26/5)) / (F11 * $S$26 + ($F$26- F11) * $R$27))</f>
        <v>8.5906110466199443</v>
      </c>
      <c r="AM11" s="37">
        <f t="shared" ref="AM11:AM25" si="16" xml:space="preserve"> 100 * (Y11 * ($F$26/5)) / (F11 * ($I$26+ 0.44*$P$26 + $Y$26))</f>
        <v>3.0787097414832441</v>
      </c>
      <c r="AN11" s="37">
        <f t="shared" ref="AN11:AN25" si="17" xml:space="preserve"> 100 * (AD11 * ($F$26/5)) / (F11 * ($I$26+ 0.44 * $P$26+ $Y$26))</f>
        <v>3.4481549104612332</v>
      </c>
      <c r="AO11" s="37">
        <f t="shared" ref="AO11:AO25" si="18" xml:space="preserve"> 100 * (AB11 * ($F$26/5)) / (F11 * ($I$27 - $L$27))</f>
        <v>0.74328887144530942</v>
      </c>
      <c r="AP11" s="5">
        <f t="shared" ref="AP11:AP25" si="19">AD11+AB11</f>
        <v>62</v>
      </c>
    </row>
    <row r="12" spans="1:42" x14ac:dyDescent="0.2">
      <c r="A12" s="9">
        <v>23</v>
      </c>
      <c r="B12" t="s">
        <v>493</v>
      </c>
      <c r="C12" t="s">
        <v>518</v>
      </c>
      <c r="D12">
        <v>32</v>
      </c>
      <c r="E12">
        <v>30</v>
      </c>
      <c r="F12">
        <v>887</v>
      </c>
      <c r="G12" s="38">
        <f t="shared" si="5"/>
        <v>27.71875</v>
      </c>
      <c r="H12">
        <v>123</v>
      </c>
      <c r="I12">
        <v>246</v>
      </c>
      <c r="J12" s="37">
        <f t="shared" ref="J12:J24" si="20">H12/I12</f>
        <v>0.5</v>
      </c>
      <c r="K12">
        <v>5</v>
      </c>
      <c r="L12">
        <v>20</v>
      </c>
      <c r="M12" s="37">
        <f t="shared" si="6"/>
        <v>0.25</v>
      </c>
      <c r="N12" s="37">
        <f t="shared" si="7"/>
        <v>0.4718045112781955</v>
      </c>
      <c r="O12">
        <v>57</v>
      </c>
      <c r="P12">
        <v>100</v>
      </c>
      <c r="Q12" s="37">
        <f t="shared" ref="Q12:Q27" si="21">O12/P12</f>
        <v>0.56999999999999995</v>
      </c>
      <c r="R12">
        <v>58</v>
      </c>
      <c r="S12">
        <v>133</v>
      </c>
      <c r="T12">
        <f t="shared" si="8"/>
        <v>191</v>
      </c>
      <c r="U12" s="38">
        <f t="shared" si="9"/>
        <v>5.96875</v>
      </c>
      <c r="V12">
        <v>70</v>
      </c>
      <c r="W12">
        <v>80</v>
      </c>
      <c r="X12">
        <f t="shared" si="0"/>
        <v>2.5</v>
      </c>
      <c r="Y12">
        <v>49</v>
      </c>
      <c r="Z12" s="37">
        <f t="shared" si="1"/>
        <v>1.53125</v>
      </c>
      <c r="AA12" s="37">
        <f t="shared" si="10"/>
        <v>1.6326530612244898</v>
      </c>
      <c r="AB12">
        <v>16</v>
      </c>
      <c r="AC12" s="37">
        <f t="shared" si="2"/>
        <v>0.5</v>
      </c>
      <c r="AD12">
        <v>67</v>
      </c>
      <c r="AE12" s="37">
        <f t="shared" si="3"/>
        <v>2.09375</v>
      </c>
      <c r="AF12">
        <v>308</v>
      </c>
      <c r="AG12" s="38">
        <f t="shared" si="4"/>
        <v>9.625</v>
      </c>
      <c r="AH12" s="37">
        <f t="shared" si="11"/>
        <v>27.643742953776776</v>
      </c>
      <c r="AI12" s="37">
        <f t="shared" si="12"/>
        <v>53.103448275862064</v>
      </c>
      <c r="AJ12" s="40">
        <f t="shared" si="13"/>
        <v>17.461386492744357</v>
      </c>
      <c r="AK12" s="37">
        <f t="shared" si="14"/>
        <v>17.748327394484072</v>
      </c>
      <c r="AL12" s="37">
        <f t="shared" si="15"/>
        <v>7.4042519241006994</v>
      </c>
      <c r="AM12" s="37">
        <f t="shared" si="16"/>
        <v>2.5239172216651138</v>
      </c>
      <c r="AN12" s="37">
        <f t="shared" si="17"/>
        <v>3.451070486766584</v>
      </c>
      <c r="AO12" s="37">
        <f t="shared" si="18"/>
        <v>1.6580844573090407</v>
      </c>
      <c r="AP12" s="5">
        <f t="shared" si="19"/>
        <v>83</v>
      </c>
    </row>
    <row r="13" spans="1:42" x14ac:dyDescent="0.2">
      <c r="A13" s="9">
        <v>14</v>
      </c>
      <c r="B13" t="s">
        <v>494</v>
      </c>
      <c r="C13" t="s">
        <v>517</v>
      </c>
      <c r="D13">
        <v>28</v>
      </c>
      <c r="E13">
        <v>18</v>
      </c>
      <c r="F13">
        <v>713</v>
      </c>
      <c r="G13" s="38">
        <f t="shared" si="5"/>
        <v>25.464285714285715</v>
      </c>
      <c r="H13">
        <v>82</v>
      </c>
      <c r="I13">
        <v>228</v>
      </c>
      <c r="J13" s="37">
        <f t="shared" si="20"/>
        <v>0.35964912280701755</v>
      </c>
      <c r="K13">
        <v>37</v>
      </c>
      <c r="L13">
        <v>118</v>
      </c>
      <c r="M13" s="37">
        <f t="shared" si="6"/>
        <v>0.3135593220338983</v>
      </c>
      <c r="N13" s="37">
        <f t="shared" si="7"/>
        <v>0.29046242774566472</v>
      </c>
      <c r="O13">
        <v>64</v>
      </c>
      <c r="P13">
        <v>75</v>
      </c>
      <c r="Q13" s="37">
        <f t="shared" si="21"/>
        <v>0.85333333333333339</v>
      </c>
      <c r="R13">
        <v>26</v>
      </c>
      <c r="S13">
        <v>60</v>
      </c>
      <c r="T13">
        <f t="shared" si="8"/>
        <v>86</v>
      </c>
      <c r="U13" s="38">
        <f t="shared" si="9"/>
        <v>3.0714285714285716</v>
      </c>
      <c r="V13">
        <v>65</v>
      </c>
      <c r="W13">
        <v>37</v>
      </c>
      <c r="X13" s="37">
        <f t="shared" si="0"/>
        <v>1.3214285714285714</v>
      </c>
      <c r="Y13">
        <v>60</v>
      </c>
      <c r="Z13" s="37">
        <f t="shared" si="1"/>
        <v>2.1428571428571428</v>
      </c>
      <c r="AA13" s="37">
        <f t="shared" si="10"/>
        <v>0.6166666666666667</v>
      </c>
      <c r="AB13">
        <v>10</v>
      </c>
      <c r="AC13" s="37">
        <f t="shared" si="2"/>
        <v>0.35714285714285715</v>
      </c>
      <c r="AD13">
        <v>24</v>
      </c>
      <c r="AE13" s="37">
        <f t="shared" si="3"/>
        <v>0.8571428571428571</v>
      </c>
      <c r="AF13">
        <v>265</v>
      </c>
      <c r="AG13" s="38">
        <f t="shared" si="4"/>
        <v>9.4642857142857135</v>
      </c>
      <c r="AH13" s="37">
        <f t="shared" si="11"/>
        <v>20.308555399719495</v>
      </c>
      <c r="AI13" s="37">
        <f t="shared" si="12"/>
        <v>50.76628352490421</v>
      </c>
      <c r="AJ13" s="40">
        <f t="shared" si="13"/>
        <v>20.569235445889536</v>
      </c>
      <c r="AK13" s="37">
        <f t="shared" si="14"/>
        <v>9.7574710840674346</v>
      </c>
      <c r="AL13" s="37">
        <f t="shared" si="15"/>
        <v>3.3891144484002269</v>
      </c>
      <c r="AM13" s="37">
        <f t="shared" si="16"/>
        <v>3.8447169057737454</v>
      </c>
      <c r="AN13" s="37">
        <f t="shared" si="17"/>
        <v>1.5378867623094978</v>
      </c>
      <c r="AO13" s="37">
        <f t="shared" si="18"/>
        <v>1.2892013618803639</v>
      </c>
      <c r="AP13" s="5">
        <f t="shared" si="19"/>
        <v>34</v>
      </c>
    </row>
    <row r="14" spans="1:42" x14ac:dyDescent="0.2">
      <c r="A14" s="9">
        <v>33</v>
      </c>
      <c r="B14" t="s">
        <v>495</v>
      </c>
      <c r="C14" t="s">
        <v>523</v>
      </c>
      <c r="D14">
        <v>28</v>
      </c>
      <c r="E14">
        <v>15</v>
      </c>
      <c r="F14">
        <v>498</v>
      </c>
      <c r="G14" s="38">
        <f t="shared" si="5"/>
        <v>17.785714285714285</v>
      </c>
      <c r="H14">
        <v>92</v>
      </c>
      <c r="I14">
        <v>173</v>
      </c>
      <c r="J14" s="37">
        <f t="shared" si="20"/>
        <v>0.53179190751445082</v>
      </c>
      <c r="K14">
        <v>0</v>
      </c>
      <c r="L14">
        <v>0</v>
      </c>
      <c r="M14" s="37">
        <v>0</v>
      </c>
      <c r="N14" s="37">
        <f t="shared" si="7"/>
        <v>0.53179190751445082</v>
      </c>
      <c r="O14">
        <v>19</v>
      </c>
      <c r="P14">
        <v>41</v>
      </c>
      <c r="Q14" s="37">
        <f t="shared" si="21"/>
        <v>0.46341463414634149</v>
      </c>
      <c r="R14">
        <v>52</v>
      </c>
      <c r="S14">
        <v>52</v>
      </c>
      <c r="T14">
        <f t="shared" si="8"/>
        <v>104</v>
      </c>
      <c r="U14" s="38">
        <f t="shared" si="9"/>
        <v>3.7142857142857144</v>
      </c>
      <c r="V14">
        <v>75</v>
      </c>
      <c r="W14">
        <v>26</v>
      </c>
      <c r="X14" s="37">
        <f t="shared" si="0"/>
        <v>0.9285714285714286</v>
      </c>
      <c r="Y14">
        <v>47</v>
      </c>
      <c r="Z14" s="37">
        <f t="shared" si="1"/>
        <v>1.6785714285714286</v>
      </c>
      <c r="AA14" s="37">
        <f t="shared" si="10"/>
        <v>0.55319148936170215</v>
      </c>
      <c r="AB14">
        <v>21</v>
      </c>
      <c r="AC14" s="37">
        <f t="shared" si="2"/>
        <v>0.75</v>
      </c>
      <c r="AD14">
        <v>13</v>
      </c>
      <c r="AE14" s="37">
        <f t="shared" si="3"/>
        <v>0.4642857142857143</v>
      </c>
      <c r="AF14">
        <v>203</v>
      </c>
      <c r="AG14" s="38">
        <f t="shared" si="4"/>
        <v>7.25</v>
      </c>
      <c r="AH14" s="37">
        <f t="shared" si="11"/>
        <v>25.70281124497992</v>
      </c>
      <c r="AI14" s="37">
        <f t="shared" si="12"/>
        <v>53.130234505862653</v>
      </c>
      <c r="AJ14" s="40">
        <f t="shared" si="13"/>
        <v>21.838522153096466</v>
      </c>
      <c r="AK14" s="37">
        <f t="shared" si="14"/>
        <v>11.29815316962954</v>
      </c>
      <c r="AL14" s="37">
        <f t="shared" si="15"/>
        <v>3.8211898487490794</v>
      </c>
      <c r="AM14" s="37">
        <f t="shared" si="16"/>
        <v>4.3119246395376161</v>
      </c>
      <c r="AN14" s="37">
        <f t="shared" si="17"/>
        <v>1.1926600066806172</v>
      </c>
      <c r="AO14" s="37">
        <f t="shared" si="18"/>
        <v>3.8761469862318654</v>
      </c>
      <c r="AP14" s="5">
        <f t="shared" si="19"/>
        <v>34</v>
      </c>
    </row>
    <row r="15" spans="1:42" x14ac:dyDescent="0.2">
      <c r="A15" s="9">
        <v>11</v>
      </c>
      <c r="B15" t="s">
        <v>58</v>
      </c>
      <c r="C15" t="s">
        <v>517</v>
      </c>
      <c r="D15">
        <v>31</v>
      </c>
      <c r="E15">
        <v>13</v>
      </c>
      <c r="F15">
        <v>577</v>
      </c>
      <c r="G15" s="38">
        <f t="shared" si="5"/>
        <v>18.612903225806452</v>
      </c>
      <c r="H15">
        <v>72</v>
      </c>
      <c r="I15">
        <v>215</v>
      </c>
      <c r="J15" s="37">
        <f t="shared" si="20"/>
        <v>0.33488372093023255</v>
      </c>
      <c r="K15">
        <v>23</v>
      </c>
      <c r="L15">
        <v>97</v>
      </c>
      <c r="M15" s="37">
        <f t="shared" si="6"/>
        <v>0.23711340206185566</v>
      </c>
      <c r="N15" s="37">
        <f t="shared" si="7"/>
        <v>0.26762820512820512</v>
      </c>
      <c r="O15">
        <v>39</v>
      </c>
      <c r="P15">
        <v>52</v>
      </c>
      <c r="Q15" s="37">
        <f t="shared" si="21"/>
        <v>0.75</v>
      </c>
      <c r="R15">
        <v>6</v>
      </c>
      <c r="S15">
        <v>29</v>
      </c>
      <c r="T15">
        <f t="shared" si="8"/>
        <v>35</v>
      </c>
      <c r="U15" s="38">
        <f t="shared" si="9"/>
        <v>1.1290322580645162</v>
      </c>
      <c r="V15">
        <v>37</v>
      </c>
      <c r="W15">
        <v>31</v>
      </c>
      <c r="X15">
        <f t="shared" si="0"/>
        <v>1</v>
      </c>
      <c r="Y15">
        <v>65</v>
      </c>
      <c r="Z15" s="37">
        <f t="shared" si="1"/>
        <v>2.096774193548387</v>
      </c>
      <c r="AA15" s="37">
        <f t="shared" si="10"/>
        <v>0.47692307692307695</v>
      </c>
      <c r="AB15">
        <v>0</v>
      </c>
      <c r="AC15" s="37">
        <f t="shared" si="2"/>
        <v>0</v>
      </c>
      <c r="AD15">
        <v>37</v>
      </c>
      <c r="AE15" s="37">
        <f t="shared" si="3"/>
        <v>1.1935483870967742</v>
      </c>
      <c r="AF15">
        <v>206</v>
      </c>
      <c r="AG15" s="38">
        <f t="shared" si="4"/>
        <v>6.645161290322581</v>
      </c>
      <c r="AH15" s="37">
        <f t="shared" si="11"/>
        <v>16.915077989601386</v>
      </c>
      <c r="AI15" s="37">
        <f t="shared" si="12"/>
        <v>43.299142424751977</v>
      </c>
      <c r="AJ15" s="40">
        <f t="shared" si="13"/>
        <v>23.982664402888393</v>
      </c>
      <c r="AK15" s="37">
        <f t="shared" si="14"/>
        <v>10.291261535257066</v>
      </c>
      <c r="AL15" s="37">
        <f t="shared" si="15"/>
        <v>1.4751285635831981</v>
      </c>
      <c r="AM15" s="37">
        <f t="shared" si="16"/>
        <v>5.1468343442543105</v>
      </c>
      <c r="AN15" s="37">
        <f t="shared" si="17"/>
        <v>2.9297364728832229</v>
      </c>
      <c r="AO15" s="37">
        <f t="shared" si="18"/>
        <v>0</v>
      </c>
      <c r="AP15" s="5">
        <f t="shared" si="19"/>
        <v>37</v>
      </c>
    </row>
    <row r="16" spans="1:42" x14ac:dyDescent="0.2">
      <c r="A16" s="9">
        <v>24</v>
      </c>
      <c r="B16" t="s">
        <v>496</v>
      </c>
      <c r="C16" t="s">
        <v>518</v>
      </c>
      <c r="D16">
        <v>29</v>
      </c>
      <c r="E16">
        <v>14</v>
      </c>
      <c r="F16">
        <v>542</v>
      </c>
      <c r="G16" s="38">
        <f t="shared" si="5"/>
        <v>18.689655172413794</v>
      </c>
      <c r="H16">
        <v>63</v>
      </c>
      <c r="I16">
        <v>172</v>
      </c>
      <c r="J16" s="37">
        <f t="shared" si="20"/>
        <v>0.36627906976744184</v>
      </c>
      <c r="K16">
        <v>9</v>
      </c>
      <c r="L16">
        <v>41</v>
      </c>
      <c r="M16" s="37">
        <f t="shared" si="6"/>
        <v>0.21951219512195122</v>
      </c>
      <c r="N16" s="37">
        <f t="shared" si="7"/>
        <v>0.31690140845070425</v>
      </c>
      <c r="O16">
        <v>54</v>
      </c>
      <c r="P16">
        <v>72</v>
      </c>
      <c r="Q16" s="37">
        <f t="shared" si="21"/>
        <v>0.75</v>
      </c>
      <c r="R16">
        <v>29</v>
      </c>
      <c r="S16">
        <v>58</v>
      </c>
      <c r="T16">
        <f t="shared" si="8"/>
        <v>87</v>
      </c>
      <c r="U16" s="38">
        <f t="shared" si="9"/>
        <v>3</v>
      </c>
      <c r="V16">
        <v>33</v>
      </c>
      <c r="W16">
        <v>27</v>
      </c>
      <c r="X16" s="37">
        <f t="shared" si="0"/>
        <v>0.93103448275862066</v>
      </c>
      <c r="Y16">
        <v>57</v>
      </c>
      <c r="Z16" s="37">
        <f t="shared" si="1"/>
        <v>1.9655172413793103</v>
      </c>
      <c r="AA16" s="37">
        <f t="shared" si="10"/>
        <v>0.47368421052631576</v>
      </c>
      <c r="AB16">
        <v>11</v>
      </c>
      <c r="AC16" s="37">
        <f t="shared" si="2"/>
        <v>0.37931034482758619</v>
      </c>
      <c r="AD16">
        <v>26</v>
      </c>
      <c r="AE16" s="37">
        <f t="shared" si="3"/>
        <v>0.89655172413793105</v>
      </c>
      <c r="AF16">
        <v>189</v>
      </c>
      <c r="AG16" s="38">
        <f t="shared" si="4"/>
        <v>6.5172413793103452</v>
      </c>
      <c r="AH16" s="37">
        <f t="shared" si="11"/>
        <v>20.885608856088563</v>
      </c>
      <c r="AI16" s="37">
        <f t="shared" si="12"/>
        <v>46.396307934014139</v>
      </c>
      <c r="AJ16" s="40">
        <f t="shared" si="13"/>
        <v>21.97409878649853</v>
      </c>
      <c r="AK16" s="37">
        <f t="shared" si="14"/>
        <v>9.3884617607017695</v>
      </c>
      <c r="AL16" s="37">
        <f t="shared" si="15"/>
        <v>3.4383381851081478</v>
      </c>
      <c r="AM16" s="37">
        <f t="shared" si="16"/>
        <v>4.8048320961731479</v>
      </c>
      <c r="AN16" s="37">
        <f t="shared" si="17"/>
        <v>2.1916777982544184</v>
      </c>
      <c r="AO16" s="37">
        <f t="shared" si="18"/>
        <v>1.865536214248652</v>
      </c>
      <c r="AP16" s="5">
        <f t="shared" si="19"/>
        <v>37</v>
      </c>
    </row>
    <row r="17" spans="1:42" x14ac:dyDescent="0.2">
      <c r="A17" s="9">
        <v>30</v>
      </c>
      <c r="B17" t="s">
        <v>73</v>
      </c>
      <c r="C17" t="s">
        <v>517</v>
      </c>
      <c r="D17">
        <v>32</v>
      </c>
      <c r="E17">
        <v>15</v>
      </c>
      <c r="F17">
        <v>717</v>
      </c>
      <c r="G17" s="38">
        <f t="shared" si="5"/>
        <v>22.40625</v>
      </c>
      <c r="H17">
        <v>53</v>
      </c>
      <c r="I17">
        <v>141</v>
      </c>
      <c r="J17" s="37">
        <f t="shared" si="20"/>
        <v>0.37588652482269502</v>
      </c>
      <c r="K17">
        <v>14</v>
      </c>
      <c r="L17">
        <v>51</v>
      </c>
      <c r="M17" s="37">
        <f t="shared" si="6"/>
        <v>0.27450980392156865</v>
      </c>
      <c r="N17" s="37">
        <f t="shared" si="7"/>
        <v>0.3125</v>
      </c>
      <c r="O17">
        <v>26</v>
      </c>
      <c r="P17">
        <v>33</v>
      </c>
      <c r="Q17" s="37">
        <f t="shared" si="21"/>
        <v>0.78787878787878785</v>
      </c>
      <c r="R17">
        <v>23</v>
      </c>
      <c r="S17">
        <v>86</v>
      </c>
      <c r="T17">
        <f t="shared" si="8"/>
        <v>109</v>
      </c>
      <c r="U17" s="38">
        <f t="shared" si="9"/>
        <v>3.40625</v>
      </c>
      <c r="V17">
        <v>42</v>
      </c>
      <c r="W17">
        <v>67</v>
      </c>
      <c r="X17" s="37">
        <f t="shared" si="0"/>
        <v>2.09375</v>
      </c>
      <c r="Y17">
        <v>75</v>
      </c>
      <c r="Z17" s="37">
        <f t="shared" si="1"/>
        <v>2.34375</v>
      </c>
      <c r="AA17" s="37">
        <f t="shared" si="10"/>
        <v>0.89333333333333331</v>
      </c>
      <c r="AB17">
        <v>10</v>
      </c>
      <c r="AC17">
        <f t="shared" si="2"/>
        <v>0.3125</v>
      </c>
      <c r="AD17">
        <v>25</v>
      </c>
      <c r="AE17" s="37">
        <f t="shared" si="3"/>
        <v>0.78125</v>
      </c>
      <c r="AF17">
        <v>146</v>
      </c>
      <c r="AG17" s="38">
        <f t="shared" si="4"/>
        <v>4.5625</v>
      </c>
      <c r="AH17" s="37">
        <f t="shared" si="11"/>
        <v>15.732217573221758</v>
      </c>
      <c r="AI17" s="37">
        <f t="shared" si="12"/>
        <v>46.93930041152263</v>
      </c>
      <c r="AJ17" s="40">
        <f t="shared" si="13"/>
        <v>14.688995644300817</v>
      </c>
      <c r="AK17" s="37">
        <f t="shared" si="14"/>
        <v>16.310276071648119</v>
      </c>
      <c r="AL17" s="37">
        <f t="shared" si="15"/>
        <v>4.4519733503159644</v>
      </c>
      <c r="AM17" s="37">
        <f t="shared" si="16"/>
        <v>4.7790849961936548</v>
      </c>
      <c r="AN17" s="37">
        <f t="shared" si="17"/>
        <v>1.5930283320645515</v>
      </c>
      <c r="AO17" s="37">
        <f t="shared" si="18"/>
        <v>1.2820091646034861</v>
      </c>
      <c r="AP17" s="5">
        <f t="shared" si="19"/>
        <v>35</v>
      </c>
    </row>
    <row r="18" spans="1:42" x14ac:dyDescent="0.2">
      <c r="A18" s="9">
        <v>54</v>
      </c>
      <c r="B18" t="s">
        <v>497</v>
      </c>
      <c r="C18" t="s">
        <v>523</v>
      </c>
      <c r="D18">
        <v>22</v>
      </c>
      <c r="E18">
        <v>9</v>
      </c>
      <c r="F18">
        <v>379</v>
      </c>
      <c r="G18" s="38">
        <f t="shared" si="5"/>
        <v>17.227272727272727</v>
      </c>
      <c r="H18">
        <v>23</v>
      </c>
      <c r="I18">
        <v>48</v>
      </c>
      <c r="J18" s="37">
        <f t="shared" si="20"/>
        <v>0.47916666666666669</v>
      </c>
      <c r="K18">
        <v>1</v>
      </c>
      <c r="L18">
        <v>3</v>
      </c>
      <c r="M18" s="37">
        <f t="shared" si="6"/>
        <v>0.33333333333333331</v>
      </c>
      <c r="N18" s="37">
        <f t="shared" si="7"/>
        <v>0.46078431372549017</v>
      </c>
      <c r="O18">
        <v>15</v>
      </c>
      <c r="P18">
        <v>21</v>
      </c>
      <c r="Q18" s="37">
        <f t="shared" si="21"/>
        <v>0.7142857142857143</v>
      </c>
      <c r="R18">
        <v>20</v>
      </c>
      <c r="S18">
        <v>52</v>
      </c>
      <c r="T18">
        <f t="shared" si="8"/>
        <v>72</v>
      </c>
      <c r="U18" s="38">
        <f t="shared" si="9"/>
        <v>3.2727272727272729</v>
      </c>
      <c r="V18">
        <v>35</v>
      </c>
      <c r="W18">
        <v>32</v>
      </c>
      <c r="X18" s="37">
        <f t="shared" si="0"/>
        <v>1.4545454545454546</v>
      </c>
      <c r="Y18">
        <v>29</v>
      </c>
      <c r="Z18" s="37">
        <f t="shared" si="1"/>
        <v>1.3181818181818181</v>
      </c>
      <c r="AA18" s="37">
        <f t="shared" si="10"/>
        <v>1.103448275862069</v>
      </c>
      <c r="AB18">
        <v>35</v>
      </c>
      <c r="AC18" s="37">
        <f t="shared" si="2"/>
        <v>1.5909090909090908</v>
      </c>
      <c r="AD18">
        <v>11</v>
      </c>
      <c r="AE18" s="37">
        <f t="shared" si="3"/>
        <v>0.5</v>
      </c>
      <c r="AF18">
        <v>62</v>
      </c>
      <c r="AG18" s="38">
        <f t="shared" si="4"/>
        <v>2.8181818181818183</v>
      </c>
      <c r="AH18" s="37">
        <f t="shared" si="11"/>
        <v>19.313984168865435</v>
      </c>
      <c r="AI18" s="37">
        <f t="shared" si="12"/>
        <v>54.157931516422074</v>
      </c>
      <c r="AJ18" s="40">
        <f t="shared" si="13"/>
        <v>10.396141564870295</v>
      </c>
      <c r="AK18" s="37">
        <f t="shared" si="14"/>
        <v>14.404539029304312</v>
      </c>
      <c r="AL18" s="37">
        <f t="shared" si="15"/>
        <v>2.9641565354687009</v>
      </c>
      <c r="AM18" s="37">
        <f t="shared" si="16"/>
        <v>3.4959195893000756</v>
      </c>
      <c r="AN18" s="37">
        <f t="shared" si="17"/>
        <v>1.3260384649069255</v>
      </c>
      <c r="AO18" s="37">
        <f t="shared" si="18"/>
        <v>8.4886596268402332</v>
      </c>
      <c r="AP18" s="5">
        <f t="shared" si="19"/>
        <v>46</v>
      </c>
    </row>
    <row r="19" spans="1:42" x14ac:dyDescent="0.2">
      <c r="A19" s="9">
        <v>12</v>
      </c>
      <c r="B19" t="s">
        <v>498</v>
      </c>
      <c r="C19" t="s">
        <v>517</v>
      </c>
      <c r="D19">
        <v>7</v>
      </c>
      <c r="E19">
        <v>0</v>
      </c>
      <c r="F19">
        <v>46</v>
      </c>
      <c r="G19" s="38">
        <f t="shared" si="5"/>
        <v>6.5714285714285712</v>
      </c>
      <c r="H19">
        <v>5</v>
      </c>
      <c r="I19">
        <v>26</v>
      </c>
      <c r="J19" s="37">
        <f t="shared" si="20"/>
        <v>0.19230769230769232</v>
      </c>
      <c r="K19">
        <v>2</v>
      </c>
      <c r="L19">
        <v>14</v>
      </c>
      <c r="M19" s="37">
        <f t="shared" si="6"/>
        <v>0.14285714285714285</v>
      </c>
      <c r="N19" s="37">
        <f t="shared" si="7"/>
        <v>0.15</v>
      </c>
      <c r="O19">
        <v>2</v>
      </c>
      <c r="P19">
        <v>2</v>
      </c>
      <c r="Q19" s="37">
        <f t="shared" si="21"/>
        <v>1</v>
      </c>
      <c r="R19">
        <v>2</v>
      </c>
      <c r="S19">
        <v>7</v>
      </c>
      <c r="T19">
        <f t="shared" si="8"/>
        <v>9</v>
      </c>
      <c r="U19" s="38">
        <f t="shared" si="9"/>
        <v>1.2857142857142858</v>
      </c>
      <c r="V19">
        <v>8</v>
      </c>
      <c r="W19">
        <v>2</v>
      </c>
      <c r="X19" s="37">
        <f t="shared" si="0"/>
        <v>0.2857142857142857</v>
      </c>
      <c r="Y19">
        <v>7</v>
      </c>
      <c r="Z19" s="37">
        <f t="shared" si="1"/>
        <v>1</v>
      </c>
      <c r="AA19" s="37">
        <f t="shared" si="10"/>
        <v>0.2857142857142857</v>
      </c>
      <c r="AB19">
        <v>0</v>
      </c>
      <c r="AC19" s="37">
        <f t="shared" si="2"/>
        <v>0</v>
      </c>
      <c r="AD19">
        <v>2</v>
      </c>
      <c r="AE19" s="37">
        <f t="shared" si="3"/>
        <v>0.2857142857142857</v>
      </c>
      <c r="AF19">
        <v>14</v>
      </c>
      <c r="AG19" s="38">
        <f t="shared" si="4"/>
        <v>2</v>
      </c>
      <c r="AH19" s="37">
        <f t="shared" si="11"/>
        <v>17.391304347826086</v>
      </c>
      <c r="AI19" s="37">
        <f t="shared" si="12"/>
        <v>26.041666666666668</v>
      </c>
      <c r="AJ19" s="40">
        <f t="shared" si="13"/>
        <v>33.650243931633732</v>
      </c>
      <c r="AK19" s="37">
        <f t="shared" si="14"/>
        <v>8.0792998525675213</v>
      </c>
      <c r="AL19" s="37">
        <f t="shared" si="15"/>
        <v>0.39503162221077298</v>
      </c>
      <c r="AM19" s="37">
        <f t="shared" si="16"/>
        <v>6.9525297379408553</v>
      </c>
      <c r="AN19" s="37">
        <f t="shared" si="17"/>
        <v>1.9864370679831016</v>
      </c>
      <c r="AO19" s="37">
        <f t="shared" si="18"/>
        <v>0</v>
      </c>
      <c r="AP19" s="5">
        <f t="shared" si="19"/>
        <v>2</v>
      </c>
    </row>
    <row r="20" spans="1:42" x14ac:dyDescent="0.2">
      <c r="A20" s="9">
        <v>1</v>
      </c>
      <c r="B20" t="s">
        <v>499</v>
      </c>
      <c r="C20" t="s">
        <v>520</v>
      </c>
      <c r="D20">
        <v>20</v>
      </c>
      <c r="E20">
        <v>2</v>
      </c>
      <c r="F20">
        <v>120</v>
      </c>
      <c r="G20" s="38">
        <f t="shared" si="5"/>
        <v>6</v>
      </c>
      <c r="H20">
        <v>11</v>
      </c>
      <c r="I20">
        <v>33</v>
      </c>
      <c r="J20" s="37">
        <f t="shared" si="20"/>
        <v>0.33333333333333331</v>
      </c>
      <c r="K20">
        <v>0</v>
      </c>
      <c r="L20">
        <v>0</v>
      </c>
      <c r="M20" s="37">
        <v>0</v>
      </c>
      <c r="N20" s="37">
        <f t="shared" si="7"/>
        <v>0.33333333333333331</v>
      </c>
      <c r="O20">
        <v>11</v>
      </c>
      <c r="P20">
        <v>16</v>
      </c>
      <c r="Q20" s="37">
        <f t="shared" si="21"/>
        <v>0.6875</v>
      </c>
      <c r="R20">
        <v>17</v>
      </c>
      <c r="S20">
        <v>9</v>
      </c>
      <c r="T20">
        <f t="shared" si="8"/>
        <v>26</v>
      </c>
      <c r="U20" s="38">
        <f t="shared" si="9"/>
        <v>1.3</v>
      </c>
      <c r="V20">
        <v>17</v>
      </c>
      <c r="W20">
        <v>4</v>
      </c>
      <c r="X20">
        <f t="shared" si="0"/>
        <v>0.2</v>
      </c>
      <c r="Y20">
        <v>20</v>
      </c>
      <c r="Z20" s="37">
        <f t="shared" si="1"/>
        <v>1</v>
      </c>
      <c r="AA20" s="37">
        <f t="shared" si="10"/>
        <v>0.2</v>
      </c>
      <c r="AB20">
        <v>0</v>
      </c>
      <c r="AC20" s="37">
        <f t="shared" si="2"/>
        <v>0</v>
      </c>
      <c r="AD20">
        <v>4</v>
      </c>
      <c r="AE20" s="37">
        <f t="shared" si="3"/>
        <v>0.2</v>
      </c>
      <c r="AF20">
        <v>33</v>
      </c>
      <c r="AG20" s="38">
        <f t="shared" si="4"/>
        <v>1.65</v>
      </c>
      <c r="AH20" s="37">
        <f t="shared" si="11"/>
        <v>15.666666666666666</v>
      </c>
      <c r="AI20" s="37">
        <f t="shared" si="12"/>
        <v>41.208791208791212</v>
      </c>
      <c r="AJ20" s="40">
        <f t="shared" si="13"/>
        <v>22.859255632660208</v>
      </c>
      <c r="AK20" s="37">
        <f t="shared" si="14"/>
        <v>6.0041354776896343</v>
      </c>
      <c r="AL20" s="37">
        <f t="shared" si="15"/>
        <v>0.89676640400318075</v>
      </c>
      <c r="AM20" s="37">
        <f t="shared" si="16"/>
        <v>7.6146754272685566</v>
      </c>
      <c r="AN20" s="37">
        <f t="shared" si="17"/>
        <v>1.5229350854537114</v>
      </c>
      <c r="AO20" s="37">
        <f t="shared" si="18"/>
        <v>0</v>
      </c>
      <c r="AP20" s="5">
        <f t="shared" si="19"/>
        <v>4</v>
      </c>
    </row>
    <row r="21" spans="1:42" x14ac:dyDescent="0.2">
      <c r="A21" s="9">
        <v>2</v>
      </c>
      <c r="B21" t="s">
        <v>500</v>
      </c>
      <c r="C21" t="s">
        <v>517</v>
      </c>
      <c r="D21">
        <v>12</v>
      </c>
      <c r="E21">
        <v>0</v>
      </c>
      <c r="F21">
        <v>98</v>
      </c>
      <c r="G21" s="38">
        <f t="shared" si="5"/>
        <v>8.1666666666666661</v>
      </c>
      <c r="H21">
        <v>7</v>
      </c>
      <c r="I21">
        <v>36</v>
      </c>
      <c r="J21" s="37">
        <f t="shared" si="20"/>
        <v>0.19444444444444445</v>
      </c>
      <c r="K21">
        <v>5</v>
      </c>
      <c r="L21">
        <v>24</v>
      </c>
      <c r="M21" s="37">
        <f t="shared" si="6"/>
        <v>0.20833333333333334</v>
      </c>
      <c r="N21" s="37">
        <f t="shared" si="7"/>
        <v>0.15833333333333333</v>
      </c>
      <c r="O21">
        <v>0</v>
      </c>
      <c r="P21">
        <v>0</v>
      </c>
      <c r="Q21" s="37">
        <v>0</v>
      </c>
      <c r="R21">
        <v>4</v>
      </c>
      <c r="S21">
        <v>8</v>
      </c>
      <c r="T21">
        <f t="shared" si="8"/>
        <v>12</v>
      </c>
      <c r="U21" s="38">
        <f t="shared" si="9"/>
        <v>1</v>
      </c>
      <c r="V21">
        <v>11</v>
      </c>
      <c r="W21">
        <v>1</v>
      </c>
      <c r="X21" s="37">
        <f t="shared" si="0"/>
        <v>8.3333333333333329E-2</v>
      </c>
      <c r="Y21">
        <v>6</v>
      </c>
      <c r="Z21" s="37">
        <f t="shared" si="1"/>
        <v>0.5</v>
      </c>
      <c r="AA21" s="37">
        <f t="shared" si="10"/>
        <v>0.16666666666666666</v>
      </c>
      <c r="AB21">
        <v>3</v>
      </c>
      <c r="AC21" s="37">
        <f t="shared" si="2"/>
        <v>0.25</v>
      </c>
      <c r="AD21">
        <v>4</v>
      </c>
      <c r="AE21" s="37">
        <f t="shared" si="3"/>
        <v>0.33333333333333331</v>
      </c>
      <c r="AF21">
        <v>19</v>
      </c>
      <c r="AG21" s="38">
        <f t="shared" si="4"/>
        <v>1.5833333333333333</v>
      </c>
      <c r="AH21" s="37">
        <f t="shared" si="11"/>
        <v>13.469387755102041</v>
      </c>
      <c r="AI21" s="37">
        <f t="shared" si="12"/>
        <v>26.388888888888889</v>
      </c>
      <c r="AJ21" s="40">
        <f t="shared" si="13"/>
        <v>19.580593955833432</v>
      </c>
      <c r="AK21" s="37">
        <f t="shared" si="14"/>
        <v>1.7733553292921727</v>
      </c>
      <c r="AL21" s="37">
        <f t="shared" si="15"/>
        <v>0.49530299916723886</v>
      </c>
      <c r="AM21" s="37">
        <f t="shared" si="16"/>
        <v>2.7972277079762042</v>
      </c>
      <c r="AN21" s="37">
        <f t="shared" si="17"/>
        <v>1.8648184719841365</v>
      </c>
      <c r="AO21" s="37">
        <f t="shared" si="18"/>
        <v>2.8138792990429571</v>
      </c>
      <c r="AP21" s="5">
        <f t="shared" si="19"/>
        <v>7</v>
      </c>
    </row>
    <row r="22" spans="1:42" x14ac:dyDescent="0.2">
      <c r="A22" s="9">
        <v>35</v>
      </c>
      <c r="B22" t="s">
        <v>147</v>
      </c>
      <c r="C22" t="s">
        <v>518</v>
      </c>
      <c r="D22">
        <v>18</v>
      </c>
      <c r="E22">
        <v>0</v>
      </c>
      <c r="F22">
        <v>97</v>
      </c>
      <c r="G22" s="38">
        <f t="shared" si="5"/>
        <v>5.3888888888888893</v>
      </c>
      <c r="H22">
        <v>12</v>
      </c>
      <c r="I22">
        <v>22</v>
      </c>
      <c r="J22" s="37">
        <f t="shared" si="20"/>
        <v>0.54545454545454541</v>
      </c>
      <c r="K22">
        <v>0</v>
      </c>
      <c r="L22">
        <v>1</v>
      </c>
      <c r="M22" s="37">
        <f t="shared" si="6"/>
        <v>0</v>
      </c>
      <c r="N22" s="37">
        <f t="shared" si="7"/>
        <v>0.52173913043478259</v>
      </c>
      <c r="O22">
        <v>1</v>
      </c>
      <c r="P22">
        <v>6</v>
      </c>
      <c r="Q22" s="37">
        <f t="shared" si="21"/>
        <v>0.16666666666666666</v>
      </c>
      <c r="R22">
        <v>2</v>
      </c>
      <c r="S22">
        <v>16</v>
      </c>
      <c r="T22">
        <f t="shared" si="8"/>
        <v>18</v>
      </c>
      <c r="U22" s="38">
        <f t="shared" si="9"/>
        <v>1</v>
      </c>
      <c r="V22">
        <v>19</v>
      </c>
      <c r="W22">
        <v>0</v>
      </c>
      <c r="X22">
        <f t="shared" si="0"/>
        <v>0</v>
      </c>
      <c r="Y22">
        <v>12</v>
      </c>
      <c r="Z22" s="37">
        <f t="shared" si="1"/>
        <v>0.66666666666666663</v>
      </c>
      <c r="AA22">
        <f t="shared" si="10"/>
        <v>0</v>
      </c>
      <c r="AB22">
        <v>3</v>
      </c>
      <c r="AC22" s="37">
        <f t="shared" si="2"/>
        <v>0.16666666666666666</v>
      </c>
      <c r="AD22">
        <v>0</v>
      </c>
      <c r="AE22" s="37">
        <f t="shared" si="3"/>
        <v>0</v>
      </c>
      <c r="AF22">
        <v>25</v>
      </c>
      <c r="AG22" s="38">
        <f t="shared" si="4"/>
        <v>1.3888888888888888</v>
      </c>
      <c r="AH22" s="37">
        <f t="shared" si="11"/>
        <v>14.020618556701031</v>
      </c>
      <c r="AI22" s="37">
        <f t="shared" si="12"/>
        <v>50.730519480519476</v>
      </c>
      <c r="AJ22" s="40">
        <f t="shared" si="13"/>
        <v>17.257837586914633</v>
      </c>
      <c r="AK22" s="37">
        <f t="shared" si="14"/>
        <v>0</v>
      </c>
      <c r="AL22" s="37">
        <f t="shared" si="15"/>
        <v>0.82735116163032707</v>
      </c>
      <c r="AM22" s="37">
        <f t="shared" si="16"/>
        <v>5.6521302140550107</v>
      </c>
      <c r="AN22" s="37">
        <f t="shared" si="17"/>
        <v>0</v>
      </c>
      <c r="AO22" s="37">
        <f t="shared" si="18"/>
        <v>2.8428883639815443</v>
      </c>
      <c r="AP22" s="5">
        <f t="shared" si="19"/>
        <v>3</v>
      </c>
    </row>
    <row r="23" spans="1:42" x14ac:dyDescent="0.2">
      <c r="A23" s="9">
        <v>3</v>
      </c>
      <c r="B23" t="s">
        <v>117</v>
      </c>
      <c r="C23" t="s">
        <v>517</v>
      </c>
      <c r="D23">
        <v>10</v>
      </c>
      <c r="E23">
        <v>4</v>
      </c>
      <c r="F23">
        <v>105</v>
      </c>
      <c r="G23" s="38">
        <f t="shared" si="5"/>
        <v>10.5</v>
      </c>
      <c r="H23">
        <v>4</v>
      </c>
      <c r="I23">
        <v>20</v>
      </c>
      <c r="J23" s="37">
        <f t="shared" si="20"/>
        <v>0.2</v>
      </c>
      <c r="K23">
        <v>2</v>
      </c>
      <c r="L23">
        <v>11</v>
      </c>
      <c r="M23" s="37">
        <f t="shared" si="6"/>
        <v>0.18181818181818182</v>
      </c>
      <c r="N23" s="37">
        <f t="shared" si="7"/>
        <v>0.16129032258064516</v>
      </c>
      <c r="O23">
        <v>1</v>
      </c>
      <c r="P23">
        <v>1</v>
      </c>
      <c r="Q23" s="37">
        <f t="shared" si="21"/>
        <v>1</v>
      </c>
      <c r="R23">
        <v>5</v>
      </c>
      <c r="S23">
        <v>7</v>
      </c>
      <c r="T23">
        <f t="shared" si="8"/>
        <v>12</v>
      </c>
      <c r="U23" s="38">
        <f t="shared" si="9"/>
        <v>1.2</v>
      </c>
      <c r="V23">
        <v>7</v>
      </c>
      <c r="W23">
        <v>7</v>
      </c>
      <c r="X23">
        <f t="shared" si="0"/>
        <v>0.7</v>
      </c>
      <c r="Y23">
        <v>4</v>
      </c>
      <c r="Z23" s="37">
        <f t="shared" si="1"/>
        <v>0.4</v>
      </c>
      <c r="AA23">
        <f t="shared" si="10"/>
        <v>1.75</v>
      </c>
      <c r="AB23">
        <v>2</v>
      </c>
      <c r="AC23" s="37">
        <f t="shared" si="2"/>
        <v>0.2</v>
      </c>
      <c r="AD23">
        <v>2</v>
      </c>
      <c r="AE23" s="37">
        <f t="shared" si="3"/>
        <v>0.2</v>
      </c>
      <c r="AF23">
        <v>11</v>
      </c>
      <c r="AG23" s="38">
        <f t="shared" si="4"/>
        <v>1.1000000000000001</v>
      </c>
      <c r="AH23" s="37">
        <f t="shared" si="11"/>
        <v>11.428571428571427</v>
      </c>
      <c r="AI23" s="37">
        <f t="shared" si="12"/>
        <v>26.908023483365945</v>
      </c>
      <c r="AJ23" s="40">
        <f t="shared" si="13"/>
        <v>10.634438139568203</v>
      </c>
      <c r="AK23" s="37">
        <f t="shared" si="14"/>
        <v>10.951505093921067</v>
      </c>
      <c r="AL23" s="37">
        <f t="shared" si="15"/>
        <v>0.47393636726589961</v>
      </c>
      <c r="AM23" s="37">
        <f t="shared" si="16"/>
        <v>1.7404972405185273</v>
      </c>
      <c r="AN23" s="37">
        <f t="shared" si="17"/>
        <v>0.87024862025926364</v>
      </c>
      <c r="AO23" s="37">
        <f t="shared" si="18"/>
        <v>1.7508582305156182</v>
      </c>
      <c r="AP23" s="5">
        <f t="shared" si="19"/>
        <v>4</v>
      </c>
    </row>
    <row r="24" spans="1:42" x14ac:dyDescent="0.2">
      <c r="A24" s="9">
        <v>22</v>
      </c>
      <c r="B24" t="s">
        <v>168</v>
      </c>
      <c r="C24" t="s">
        <v>517</v>
      </c>
      <c r="D24">
        <v>12</v>
      </c>
      <c r="E24">
        <v>0</v>
      </c>
      <c r="F24">
        <v>77</v>
      </c>
      <c r="G24" s="38">
        <f t="shared" si="5"/>
        <v>6.416666666666667</v>
      </c>
      <c r="H24">
        <v>6</v>
      </c>
      <c r="I24">
        <v>10</v>
      </c>
      <c r="J24" s="37">
        <f t="shared" si="20"/>
        <v>0.6</v>
      </c>
      <c r="K24">
        <v>0</v>
      </c>
      <c r="L24">
        <v>0</v>
      </c>
      <c r="M24" s="37">
        <v>0</v>
      </c>
      <c r="N24" s="37">
        <f t="shared" si="7"/>
        <v>0.6</v>
      </c>
      <c r="O24">
        <v>0</v>
      </c>
      <c r="P24">
        <v>3</v>
      </c>
      <c r="Q24" s="37">
        <v>0</v>
      </c>
      <c r="R24">
        <v>7</v>
      </c>
      <c r="S24">
        <v>8</v>
      </c>
      <c r="T24">
        <f t="shared" si="8"/>
        <v>15</v>
      </c>
      <c r="U24" s="38">
        <f t="shared" si="9"/>
        <v>1.25</v>
      </c>
      <c r="V24">
        <v>5</v>
      </c>
      <c r="W24">
        <v>3</v>
      </c>
      <c r="X24">
        <f t="shared" si="0"/>
        <v>0.25</v>
      </c>
      <c r="Y24">
        <v>6</v>
      </c>
      <c r="Z24" s="37">
        <f t="shared" si="1"/>
        <v>0.5</v>
      </c>
      <c r="AA24" s="37">
        <f t="shared" si="10"/>
        <v>0.5</v>
      </c>
      <c r="AB24">
        <v>1</v>
      </c>
      <c r="AC24" s="37">
        <f t="shared" si="2"/>
        <v>8.3333333333333329E-2</v>
      </c>
      <c r="AD24">
        <v>3</v>
      </c>
      <c r="AE24" s="37">
        <f t="shared" si="3"/>
        <v>0.25</v>
      </c>
      <c r="AF24">
        <v>12</v>
      </c>
      <c r="AG24" s="38">
        <f t="shared" si="4"/>
        <v>1</v>
      </c>
      <c r="AH24" s="37">
        <f t="shared" si="11"/>
        <v>14.545454545454547</v>
      </c>
      <c r="AI24" s="37">
        <f t="shared" si="12"/>
        <v>53.003533568904594</v>
      </c>
      <c r="AJ24" s="40">
        <f t="shared" si="13"/>
        <v>10.276845070152577</v>
      </c>
      <c r="AK24" s="37">
        <f t="shared" si="14"/>
        <v>6.8482757887198611</v>
      </c>
      <c r="AL24" s="37">
        <f t="shared" si="15"/>
        <v>0.57796021958516031</v>
      </c>
      <c r="AM24" s="37">
        <f t="shared" si="16"/>
        <v>3.5601079919697143</v>
      </c>
      <c r="AN24" s="37">
        <f t="shared" si="17"/>
        <v>1.7800539959848571</v>
      </c>
      <c r="AO24" s="37">
        <f t="shared" si="18"/>
        <v>1.1937669753515578</v>
      </c>
      <c r="AP24" s="5">
        <f t="shared" si="19"/>
        <v>4</v>
      </c>
    </row>
    <row r="25" spans="1:42" ht="17" thickBot="1" x14ac:dyDescent="0.25">
      <c r="A25" s="3">
        <v>0</v>
      </c>
      <c r="B25" s="4" t="s">
        <v>501</v>
      </c>
      <c r="C25" s="4" t="s">
        <v>517</v>
      </c>
      <c r="D25" s="4">
        <v>1</v>
      </c>
      <c r="E25" s="4">
        <v>0</v>
      </c>
      <c r="F25" s="4">
        <v>3</v>
      </c>
      <c r="G25" s="30">
        <f t="shared" si="5"/>
        <v>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17">
        <v>0</v>
      </c>
      <c r="N25" s="17">
        <v>0</v>
      </c>
      <c r="O25" s="4">
        <v>0</v>
      </c>
      <c r="P25" s="4">
        <v>0</v>
      </c>
      <c r="Q25" s="17">
        <v>0</v>
      </c>
      <c r="R25" s="4">
        <v>0</v>
      </c>
      <c r="S25" s="4">
        <v>0</v>
      </c>
      <c r="T25" s="4">
        <v>0</v>
      </c>
      <c r="U25" s="30">
        <v>0</v>
      </c>
      <c r="V25" s="4">
        <v>0</v>
      </c>
      <c r="W25" s="4">
        <v>0</v>
      </c>
      <c r="X25" s="17">
        <f t="shared" si="0"/>
        <v>0</v>
      </c>
      <c r="Y25" s="4">
        <v>0</v>
      </c>
      <c r="Z25" s="17">
        <f t="shared" si="1"/>
        <v>0</v>
      </c>
      <c r="AA25" s="17">
        <v>0</v>
      </c>
      <c r="AB25" s="4">
        <v>0</v>
      </c>
      <c r="AC25" s="17">
        <f t="shared" si="2"/>
        <v>0</v>
      </c>
      <c r="AD25" s="4">
        <v>0</v>
      </c>
      <c r="AE25" s="17">
        <f t="shared" si="3"/>
        <v>0</v>
      </c>
      <c r="AF25" s="4">
        <v>0</v>
      </c>
      <c r="AG25" s="30">
        <f t="shared" si="4"/>
        <v>0</v>
      </c>
      <c r="AH25" s="17">
        <f t="shared" si="11"/>
        <v>0</v>
      </c>
      <c r="AI25" s="17">
        <v>0</v>
      </c>
      <c r="AJ25" s="41">
        <f t="shared" si="13"/>
        <v>0</v>
      </c>
      <c r="AK25" s="17">
        <f t="shared" si="14"/>
        <v>0</v>
      </c>
      <c r="AL25" s="17">
        <f t="shared" si="15"/>
        <v>0</v>
      </c>
      <c r="AM25" s="17">
        <f t="shared" si="16"/>
        <v>0</v>
      </c>
      <c r="AN25" s="17">
        <f t="shared" si="17"/>
        <v>0</v>
      </c>
      <c r="AO25" s="17">
        <f t="shared" si="18"/>
        <v>0</v>
      </c>
      <c r="AP25" s="56">
        <f t="shared" si="19"/>
        <v>0</v>
      </c>
    </row>
    <row r="26" spans="1:42" x14ac:dyDescent="0.2">
      <c r="B26" s="1" t="s">
        <v>170</v>
      </c>
      <c r="C26" s="2"/>
      <c r="D26" s="2">
        <v>32</v>
      </c>
      <c r="E26" s="2"/>
      <c r="F26" s="2">
        <f>SUM(F10:F25)</f>
        <v>6439</v>
      </c>
      <c r="G26" s="29">
        <v>201.2</v>
      </c>
      <c r="H26" s="2">
        <f>SUM(H10:H25)</f>
        <v>833</v>
      </c>
      <c r="I26" s="2">
        <f>SUM(I10:I25)</f>
        <v>1961</v>
      </c>
      <c r="J26" s="16">
        <f>H26/I26</f>
        <v>0.42478327383987763</v>
      </c>
      <c r="K26" s="2">
        <f>SUM(K10:K25)</f>
        <v>154</v>
      </c>
      <c r="L26" s="2">
        <f>SUM(L10:L25)</f>
        <v>559</v>
      </c>
      <c r="M26" s="16">
        <f t="shared" si="6"/>
        <v>0.27549194991055453</v>
      </c>
      <c r="N26" s="16">
        <f>(H26+(0.5*K26))/(L26+I26)</f>
        <v>0.3611111111111111</v>
      </c>
      <c r="O26" s="2">
        <f>SUM(O10:O25)</f>
        <v>455</v>
      </c>
      <c r="P26" s="2">
        <f>SUM(P10:P25)</f>
        <v>647</v>
      </c>
      <c r="Q26" s="16">
        <f t="shared" si="21"/>
        <v>0.7032457496136012</v>
      </c>
      <c r="R26" s="2">
        <v>446</v>
      </c>
      <c r="S26" s="2">
        <v>808</v>
      </c>
      <c r="T26" s="2">
        <f>R26+S26</f>
        <v>1254</v>
      </c>
      <c r="U26" s="29">
        <f>T26/D26</f>
        <v>39.1875</v>
      </c>
      <c r="V26" s="2">
        <f>SUM(V10:V25)</f>
        <v>537</v>
      </c>
      <c r="W26" s="2">
        <f>SUM(W10:W25)</f>
        <v>411</v>
      </c>
      <c r="X26" s="16">
        <f t="shared" si="0"/>
        <v>12.84375</v>
      </c>
      <c r="Y26" s="2">
        <v>573</v>
      </c>
      <c r="Z26" s="16">
        <f>Y26/D10</f>
        <v>17.90625</v>
      </c>
      <c r="AA26" s="16">
        <f>W26/Y26</f>
        <v>0.7172774869109948</v>
      </c>
      <c r="AB26" s="2">
        <f>SUM(AB10:AB25)</f>
        <v>123</v>
      </c>
      <c r="AC26" s="16">
        <f t="shared" si="2"/>
        <v>3.84375</v>
      </c>
      <c r="AD26" s="2">
        <f>SUM(AD10:AD25)</f>
        <v>309</v>
      </c>
      <c r="AE26" s="16">
        <f t="shared" si="3"/>
        <v>9.65625</v>
      </c>
      <c r="AF26" s="2">
        <f>SUM(AF10:AF25)</f>
        <v>2275</v>
      </c>
      <c r="AG26" s="34">
        <f t="shared" si="4"/>
        <v>71.09375</v>
      </c>
      <c r="AH26" s="16">
        <f>SUM( AH10*F10,AH11*F11,AH12*F12,AH13*F13,AH14*F14,AH15*F15,AH16*F16,AH17*F17,AH18*F18,AH19*F19,AH20*F20,AH21*F21,AH22*F22,AH23*F23,AH24*F24,AH25*F25)/F26</f>
        <v>22.842056219909924</v>
      </c>
      <c r="AI26" s="16">
        <f t="shared" si="12"/>
        <v>50.652808948737139</v>
      </c>
      <c r="AJ26" s="2"/>
      <c r="AK26" s="2"/>
      <c r="AL26" s="2"/>
      <c r="AM26" s="2"/>
      <c r="AN26" s="2"/>
      <c r="AO26" s="2"/>
      <c r="AP26" s="44"/>
    </row>
    <row r="27" spans="1:42" ht="17" thickBot="1" x14ac:dyDescent="0.25">
      <c r="B27" s="3" t="s">
        <v>186</v>
      </c>
      <c r="C27" s="4"/>
      <c r="D27" s="4">
        <v>32</v>
      </c>
      <c r="E27" s="4" t="s">
        <v>7</v>
      </c>
      <c r="F27" s="4">
        <v>6426</v>
      </c>
      <c r="G27" s="4">
        <v>200.8</v>
      </c>
      <c r="H27" s="4">
        <v>796</v>
      </c>
      <c r="I27" s="4">
        <v>1975</v>
      </c>
      <c r="J27" s="17">
        <f>H27/I27</f>
        <v>0.4030379746835443</v>
      </c>
      <c r="K27" s="4">
        <v>172</v>
      </c>
      <c r="L27" s="4">
        <v>574</v>
      </c>
      <c r="M27" s="17">
        <f t="shared" si="6"/>
        <v>0.29965156794425085</v>
      </c>
      <c r="N27" s="17">
        <f>(H27+(0.5*K27))/(L27+I27)</f>
        <v>0.34601804629266381</v>
      </c>
      <c r="O27" s="4">
        <v>396</v>
      </c>
      <c r="P27" s="4">
        <v>551</v>
      </c>
      <c r="Q27" s="17">
        <f t="shared" si="21"/>
        <v>0.7186932849364791</v>
      </c>
      <c r="R27" s="4">
        <v>408</v>
      </c>
      <c r="S27" s="4">
        <v>739</v>
      </c>
      <c r="T27" s="4">
        <v>1147</v>
      </c>
      <c r="U27" s="30">
        <f>T27/D27</f>
        <v>35.84375</v>
      </c>
      <c r="V27" s="4">
        <v>570</v>
      </c>
      <c r="W27" s="4">
        <v>326</v>
      </c>
      <c r="X27" s="17">
        <f t="shared" si="0"/>
        <v>10.1875</v>
      </c>
      <c r="Y27" s="4">
        <v>571</v>
      </c>
      <c r="Z27" s="17">
        <f>Y27/D11</f>
        <v>17.84375</v>
      </c>
      <c r="AA27" s="17">
        <f>W27/Y27</f>
        <v>0.57092819614711032</v>
      </c>
      <c r="AB27" s="4">
        <v>68</v>
      </c>
      <c r="AC27" s="17">
        <f t="shared" si="2"/>
        <v>2.125</v>
      </c>
      <c r="AD27" s="4">
        <v>266</v>
      </c>
      <c r="AE27" s="17">
        <f t="shared" si="3"/>
        <v>8.3125</v>
      </c>
      <c r="AF27" s="4">
        <v>2160</v>
      </c>
      <c r="AG27" s="35">
        <f t="shared" si="4"/>
        <v>67.5</v>
      </c>
      <c r="AH27" s="4"/>
      <c r="AI27" s="17">
        <f t="shared" si="12"/>
        <v>48.704812757053176</v>
      </c>
      <c r="AJ27" s="4"/>
      <c r="AK27" s="4"/>
      <c r="AL27" s="4"/>
      <c r="AM27" s="4"/>
      <c r="AN27" s="4"/>
      <c r="AO27" s="4"/>
      <c r="AP27" s="56"/>
    </row>
  </sheetData>
  <pageMargins left="0.7" right="0.7" top="0.75" bottom="0.75" header="0.3" footer="0.3"/>
  <ignoredErrors>
    <ignoredError sqref="J26 AE26 AC26" formula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AC84-64BB-D148-AA68-522B85647A66}">
  <dimension ref="A1:AP60"/>
  <sheetViews>
    <sheetView topLeftCell="Y2" zoomScale="176" zoomScaleNormal="125" workbookViewId="0">
      <selection activeCell="D27" sqref="D27"/>
    </sheetView>
  </sheetViews>
  <sheetFormatPr baseColWidth="10" defaultRowHeight="16" x14ac:dyDescent="0.2"/>
  <cols>
    <col min="1" max="1" width="16.5" bestFit="1" customWidth="1"/>
    <col min="2" max="2" width="18.33203125" bestFit="1" customWidth="1"/>
    <col min="3" max="3" width="18.33203125" customWidth="1"/>
    <col min="4" max="5" width="11.1640625" bestFit="1" customWidth="1"/>
    <col min="6" max="6" width="17.83203125" bestFit="1" customWidth="1"/>
    <col min="7" max="7" width="16.33203125" customWidth="1"/>
    <col min="8" max="8" width="17.1640625" customWidth="1"/>
    <col min="9" max="9" width="23.33203125" customWidth="1"/>
    <col min="10" max="10" width="14.83203125" customWidth="1"/>
    <col min="11" max="11" width="13.6640625" customWidth="1"/>
    <col min="12" max="13" width="12.1640625" bestFit="1" customWidth="1"/>
    <col min="14" max="14" width="12.1640625" customWidth="1"/>
    <col min="15" max="23" width="12.1640625" bestFit="1" customWidth="1"/>
    <col min="24" max="24" width="12.1640625" customWidth="1"/>
    <col min="25" max="25" width="12.1640625" bestFit="1" customWidth="1"/>
    <col min="26" max="27" width="12.1640625" customWidth="1"/>
    <col min="28" max="28" width="12.1640625" bestFit="1" customWidth="1"/>
    <col min="29" max="29" width="12.1640625" customWidth="1"/>
  </cols>
  <sheetData>
    <row r="1" spans="1:42" ht="17" thickBot="1" x14ac:dyDescent="0.25">
      <c r="A1" s="23"/>
      <c r="B1" s="26" t="s">
        <v>481</v>
      </c>
      <c r="C1" s="28"/>
      <c r="D1" s="27"/>
      <c r="E1" s="28" t="s">
        <v>483</v>
      </c>
      <c r="F1" s="27"/>
      <c r="G1" s="28" t="s">
        <v>485</v>
      </c>
      <c r="H1" s="27"/>
      <c r="I1" s="28" t="s">
        <v>482</v>
      </c>
      <c r="J1" s="27"/>
      <c r="K1" s="28" t="s">
        <v>486</v>
      </c>
      <c r="L1" s="27"/>
      <c r="N1" s="10" t="s">
        <v>206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211</v>
      </c>
      <c r="T1" s="12" t="s">
        <v>170</v>
      </c>
    </row>
    <row r="2" spans="1:42" ht="17" thickBot="1" x14ac:dyDescent="0.25">
      <c r="A2" s="26" t="s">
        <v>484</v>
      </c>
      <c r="B2" s="24" t="s">
        <v>204</v>
      </c>
      <c r="C2" s="23"/>
      <c r="D2" s="25" t="s">
        <v>205</v>
      </c>
      <c r="E2" s="23" t="s">
        <v>204</v>
      </c>
      <c r="F2" s="25" t="s">
        <v>205</v>
      </c>
      <c r="G2" s="23" t="s">
        <v>204</v>
      </c>
      <c r="H2" s="25" t="s">
        <v>205</v>
      </c>
      <c r="I2" s="23" t="s">
        <v>204</v>
      </c>
      <c r="J2" s="25" t="s">
        <v>205</v>
      </c>
      <c r="K2" s="23" t="s">
        <v>204</v>
      </c>
      <c r="L2" s="25" t="s">
        <v>205</v>
      </c>
      <c r="M2" t="s">
        <v>7</v>
      </c>
      <c r="N2" s="1" t="s">
        <v>2</v>
      </c>
      <c r="O2" s="2" t="s">
        <v>212</v>
      </c>
      <c r="P2" s="2" t="s">
        <v>213</v>
      </c>
      <c r="Q2" s="2" t="s">
        <v>214</v>
      </c>
      <c r="R2" s="2" t="s">
        <v>215</v>
      </c>
      <c r="S2" s="2" t="s">
        <v>144</v>
      </c>
      <c r="T2" s="8" t="s">
        <v>203</v>
      </c>
      <c r="U2" t="s">
        <v>7</v>
      </c>
      <c r="V2" s="61" t="s">
        <v>508</v>
      </c>
      <c r="W2" s="62">
        <v>14.515000000000001</v>
      </c>
      <c r="Y2" t="s">
        <v>7</v>
      </c>
      <c r="AB2" t="s">
        <v>7</v>
      </c>
    </row>
    <row r="3" spans="1:42" ht="17" thickBot="1" x14ac:dyDescent="0.25">
      <c r="A3" s="20"/>
      <c r="B3" s="20">
        <v>14</v>
      </c>
      <c r="C3" s="21"/>
      <c r="D3" s="22">
        <v>9</v>
      </c>
      <c r="E3" s="21">
        <v>10</v>
      </c>
      <c r="F3" s="22">
        <v>8</v>
      </c>
      <c r="G3" s="21">
        <v>8</v>
      </c>
      <c r="H3" s="22">
        <v>2</v>
      </c>
      <c r="I3" s="21">
        <v>6</v>
      </c>
      <c r="J3" s="22">
        <v>6</v>
      </c>
      <c r="K3" s="21">
        <v>0</v>
      </c>
      <c r="L3" s="22">
        <v>1</v>
      </c>
      <c r="M3" t="s">
        <v>7</v>
      </c>
      <c r="N3" s="3" t="s">
        <v>186</v>
      </c>
      <c r="O3" s="4" t="s">
        <v>196</v>
      </c>
      <c r="P3" s="4" t="s">
        <v>216</v>
      </c>
      <c r="Q3" s="4" t="s">
        <v>217</v>
      </c>
      <c r="R3" s="4" t="s">
        <v>218</v>
      </c>
      <c r="S3" s="4" t="s">
        <v>127</v>
      </c>
      <c r="T3" s="7" t="s">
        <v>201</v>
      </c>
      <c r="U3" t="s">
        <v>7</v>
      </c>
      <c r="V3" t="s">
        <v>7</v>
      </c>
      <c r="W3" t="s">
        <v>7</v>
      </c>
      <c r="Y3" t="s">
        <v>7</v>
      </c>
      <c r="AB3" t="s">
        <v>7</v>
      </c>
    </row>
    <row r="4" spans="1:42" x14ac:dyDescent="0.2">
      <c r="U4" t="s">
        <v>7</v>
      </c>
      <c r="V4" t="s">
        <v>7</v>
      </c>
      <c r="W4" t="s">
        <v>7</v>
      </c>
      <c r="Y4" t="s">
        <v>7</v>
      </c>
      <c r="AB4" t="s">
        <v>7</v>
      </c>
    </row>
    <row r="6" spans="1:42" ht="17" customHeight="1" x14ac:dyDescent="0.2"/>
    <row r="7" spans="1:42" ht="17" thickBot="1" x14ac:dyDescent="0.25"/>
    <row r="8" spans="1:42" ht="17" thickBot="1" x14ac:dyDescent="0.25">
      <c r="A8" t="s">
        <v>7</v>
      </c>
      <c r="B8" t="s">
        <v>7</v>
      </c>
      <c r="D8" t="s">
        <v>7</v>
      </c>
      <c r="E8" t="s">
        <v>7</v>
      </c>
      <c r="F8" t="s">
        <v>7</v>
      </c>
      <c r="G8" t="s">
        <v>7</v>
      </c>
      <c r="H8" s="1" t="s">
        <v>8</v>
      </c>
      <c r="I8" s="2" t="s">
        <v>9</v>
      </c>
      <c r="J8" s="2" t="s">
        <v>7</v>
      </c>
      <c r="K8" s="2" t="s">
        <v>4</v>
      </c>
      <c r="L8" s="2" t="s">
        <v>7</v>
      </c>
      <c r="M8" s="2" t="s">
        <v>7</v>
      </c>
      <c r="N8" s="2"/>
      <c r="O8" s="2" t="s">
        <v>10</v>
      </c>
      <c r="P8" s="2" t="s">
        <v>7</v>
      </c>
      <c r="Q8" s="2" t="s">
        <v>7</v>
      </c>
      <c r="R8" s="2" t="s">
        <v>7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7</v>
      </c>
      <c r="X8" s="2"/>
      <c r="Y8" s="2" t="s">
        <v>7</v>
      </c>
      <c r="Z8" s="2"/>
      <c r="AA8" s="2"/>
      <c r="AB8" s="2" t="s">
        <v>7</v>
      </c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515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42" t="s">
        <v>21</v>
      </c>
      <c r="B10" s="43" t="s">
        <v>22</v>
      </c>
      <c r="C10" s="43" t="s">
        <v>523</v>
      </c>
      <c r="D10" s="43">
        <v>21</v>
      </c>
      <c r="E10" s="43">
        <v>21</v>
      </c>
      <c r="F10" s="43" t="s">
        <v>23</v>
      </c>
      <c r="G10" s="18" t="s">
        <v>24</v>
      </c>
      <c r="H10" s="2">
        <v>141</v>
      </c>
      <c r="I10" s="2">
        <v>231</v>
      </c>
      <c r="J10" s="2" t="s">
        <v>25</v>
      </c>
      <c r="K10" s="44">
        <v>7</v>
      </c>
      <c r="L10" s="43">
        <v>21</v>
      </c>
      <c r="M10" s="18" t="s">
        <v>26</v>
      </c>
      <c r="N10" s="16">
        <f>(H10+(0.5*K10))/(L10+I10)</f>
        <v>0.57341269841269837</v>
      </c>
      <c r="O10" s="2">
        <v>45</v>
      </c>
      <c r="P10" s="2">
        <v>64</v>
      </c>
      <c r="Q10" s="2" t="s">
        <v>27</v>
      </c>
      <c r="R10" s="2" t="s">
        <v>28</v>
      </c>
      <c r="S10" s="2" t="s">
        <v>29</v>
      </c>
      <c r="T10" s="2" t="s">
        <v>30</v>
      </c>
      <c r="U10" s="2" t="s">
        <v>31</v>
      </c>
      <c r="V10" s="2" t="s">
        <v>32</v>
      </c>
      <c r="W10" s="2" t="s">
        <v>34</v>
      </c>
      <c r="X10" s="45">
        <f t="shared" ref="X10:X24" si="0">W10/D10</f>
        <v>1.5714285714285714</v>
      </c>
      <c r="Y10" s="18" t="s">
        <v>35</v>
      </c>
      <c r="Z10" s="16">
        <f t="shared" ref="Z10:Z24" si="1">Y10/D10</f>
        <v>0.95238095238095233</v>
      </c>
      <c r="AA10" s="2">
        <f>_2020_21[[#This Row],[Column22]]/_2020_21[[#This Row],[Column23]]</f>
        <v>1.65</v>
      </c>
      <c r="AB10" s="18" t="s">
        <v>36</v>
      </c>
      <c r="AC10" s="16">
        <f t="shared" ref="AC10:AC24" si="2">AB10/D10</f>
        <v>0.76190476190476186</v>
      </c>
      <c r="AD10" s="2" t="s">
        <v>37</v>
      </c>
      <c r="AE10" s="16">
        <f t="shared" ref="AE10:AE25" si="3">AD10/D10</f>
        <v>1.8095238095238095</v>
      </c>
      <c r="AF10" s="2" t="s">
        <v>38</v>
      </c>
      <c r="AG10" s="2" t="s">
        <v>39</v>
      </c>
      <c r="AH10" s="16">
        <f>((_2020_21[[#This Row],[Column26]]+_2020_21[[#This Row],[Column18]]+_2020_21[[#This Row],[Column22]]+_2020_21[[#This Row],[Column25]]+_2020_21[[#This Row],[Column24]]-_2020_21[[#This Row],[Column23]])/_2020_21[[#This Row],[Column5]])*40</f>
        <v>40.710823909531506</v>
      </c>
      <c r="AI10" s="16">
        <f t="shared" ref="AI10:AI26" si="4" xml:space="preserve"> AF10 / (2 * (I10 + 0.44 * P10)) * 100</f>
        <v>64.438956629109427</v>
      </c>
      <c r="AJ10" s="39">
        <f t="shared" ref="AJ10:AJ24" si="5" xml:space="preserve"> ((I10 + 0.44*P10 + Y10) * ($F$25/5)) / (F10 * ($I$25+ 0.44*$P$25 + $Y$25)) * 100</f>
        <v>20.708062883435197</v>
      </c>
      <c r="AK10" s="16">
        <f t="shared" ref="AK10:AK24" si="6" xml:space="preserve"> 100 * (W10 / ( ( (F10 / ($F$25/5)) * $H$25 ) - H10 ) )</f>
        <v>12.139330249832954</v>
      </c>
      <c r="AL10" s="16">
        <f t="shared" ref="AL10:AL24" si="7" xml:space="preserve"> (100 * (R10 * ($F$25/5)) / (F10 * $R$25+ ($F$25- F10) * $S$26)) + (100 * (S10 * ($F$25/5)) / (F10 * $S$25+ ($F$25- F10) * $R$26))</f>
        <v>12.562727098700908</v>
      </c>
      <c r="AM10" s="16">
        <f t="shared" ref="AM10:AM24" si="8" xml:space="preserve"> 100 * (Y10 * ($F$25/5)) / (F10 * ($I$25+ 0.44*$P$25 + $Y$25))</f>
        <v>1.483598143246539</v>
      </c>
      <c r="AN10" s="16">
        <f t="shared" ref="AN10:AN24" si="9" xml:space="preserve"> 100 * (AD10 * ($F$25/5)) / (F10 * ($I$25+ 0.44 * $P$25+ $Y$25))</f>
        <v>2.8188364721684245</v>
      </c>
      <c r="AO10" s="16">
        <f t="shared" ref="AO10:AO24" si="10" xml:space="preserve"> 100 * (AB10 * ($F$25/5)) / (F10 * ($I$26 - $L$26))</f>
        <v>2.2034714243944795</v>
      </c>
      <c r="AP10" s="44">
        <f>AD10+AB10</f>
        <v>54</v>
      </c>
    </row>
    <row r="11" spans="1:42" x14ac:dyDescent="0.2">
      <c r="A11" s="9" t="s">
        <v>40</v>
      </c>
      <c r="B11" t="s">
        <v>41</v>
      </c>
      <c r="C11" t="s">
        <v>517</v>
      </c>
      <c r="D11">
        <v>18</v>
      </c>
      <c r="E11">
        <v>15</v>
      </c>
      <c r="F11" t="s">
        <v>42</v>
      </c>
      <c r="G11" t="s">
        <v>43</v>
      </c>
      <c r="H11">
        <v>86</v>
      </c>
      <c r="I11" s="73">
        <v>212</v>
      </c>
      <c r="J11" s="73" t="s">
        <v>44</v>
      </c>
      <c r="K11" s="73">
        <v>26</v>
      </c>
      <c r="L11">
        <v>92</v>
      </c>
      <c r="M11" t="s">
        <v>45</v>
      </c>
      <c r="N11" s="37">
        <f t="shared" ref="N11:N24" si="11">(H11+(0.5*K11))/(L11+I11)</f>
        <v>0.32565789473684209</v>
      </c>
      <c r="O11">
        <v>50</v>
      </c>
      <c r="P11">
        <v>68</v>
      </c>
      <c r="Q11" t="s">
        <v>46</v>
      </c>
      <c r="R11" t="s">
        <v>47</v>
      </c>
      <c r="S11" t="s">
        <v>21</v>
      </c>
      <c r="T11" t="s">
        <v>48</v>
      </c>
      <c r="U11" t="s">
        <v>49</v>
      </c>
      <c r="V11" t="s">
        <v>50</v>
      </c>
      <c r="W11" t="s">
        <v>51</v>
      </c>
      <c r="X11" s="19">
        <f t="shared" si="0"/>
        <v>1.5555555555555556</v>
      </c>
      <c r="Y11" s="14" t="s">
        <v>52</v>
      </c>
      <c r="Z11" s="37">
        <f t="shared" si="1"/>
        <v>3.6111111111111112</v>
      </c>
      <c r="AA11" s="37">
        <f>_2020_21[[#This Row],[Column22]]/_2020_21[[#This Row],[Column23]]</f>
        <v>0.43076923076923079</v>
      </c>
      <c r="AB11" t="s">
        <v>53</v>
      </c>
      <c r="AC11" s="37">
        <f t="shared" si="2"/>
        <v>0.22222222222222221</v>
      </c>
      <c r="AD11" t="s">
        <v>54</v>
      </c>
      <c r="AE11" s="37">
        <f t="shared" si="3"/>
        <v>1.1666666666666667</v>
      </c>
      <c r="AF11" t="s">
        <v>55</v>
      </c>
      <c r="AG11" t="s">
        <v>56</v>
      </c>
      <c r="AH11" s="37">
        <f>((_2020_21[[#This Row],[Column26]]+_2020_21[[#This Row],[Column18]]+_2020_21[[#This Row],[Column22]]+_2020_21[[#This Row],[Column25]]+_2020_21[[#This Row],[Column24]]-_2020_21[[#This Row],[Column23]])/_2020_21[[#This Row],[Column5]])*40</f>
        <v>24.627766599597585</v>
      </c>
      <c r="AI11" s="37">
        <f t="shared" si="4"/>
        <v>51.256613756613753</v>
      </c>
      <c r="AJ11" s="40">
        <f t="shared" si="5"/>
        <v>28.356050118261166</v>
      </c>
      <c r="AK11" s="37">
        <f t="shared" si="6"/>
        <v>11.406436191960527</v>
      </c>
      <c r="AL11" s="37">
        <f t="shared" si="7"/>
        <v>4.0902470802493989</v>
      </c>
      <c r="AM11" s="37">
        <f t="shared" si="8"/>
        <v>6.0052888625276157</v>
      </c>
      <c r="AN11" s="37">
        <f t="shared" si="9"/>
        <v>1.9401702478935376</v>
      </c>
      <c r="AO11" s="37">
        <f t="shared" si="10"/>
        <v>0.6860909515594481</v>
      </c>
      <c r="AP11" s="5">
        <f t="shared" ref="AP11:AP24" si="12">AD11+AB11</f>
        <v>25</v>
      </c>
    </row>
    <row r="12" spans="1:42" x14ac:dyDescent="0.2">
      <c r="A12" s="9" t="s">
        <v>57</v>
      </c>
      <c r="B12" t="s">
        <v>58</v>
      </c>
      <c r="C12" t="s">
        <v>517</v>
      </c>
      <c r="D12">
        <v>22</v>
      </c>
      <c r="E12">
        <v>11</v>
      </c>
      <c r="F12" t="s">
        <v>59</v>
      </c>
      <c r="G12" t="s">
        <v>60</v>
      </c>
      <c r="H12">
        <v>96</v>
      </c>
      <c r="I12">
        <v>233</v>
      </c>
      <c r="J12" t="s">
        <v>61</v>
      </c>
      <c r="K12">
        <v>40</v>
      </c>
      <c r="L12">
        <v>87</v>
      </c>
      <c r="M12" t="s">
        <v>62</v>
      </c>
      <c r="N12" s="37">
        <f t="shared" si="11"/>
        <v>0.36249999999999999</v>
      </c>
      <c r="O12">
        <v>52</v>
      </c>
      <c r="P12">
        <v>61</v>
      </c>
      <c r="Q12" t="s">
        <v>63</v>
      </c>
      <c r="R12" t="s">
        <v>64</v>
      </c>
      <c r="S12" t="s">
        <v>65</v>
      </c>
      <c r="T12" t="s">
        <v>32</v>
      </c>
      <c r="U12" t="s">
        <v>66</v>
      </c>
      <c r="V12" t="s">
        <v>67</v>
      </c>
      <c r="W12" t="s">
        <v>68</v>
      </c>
      <c r="X12" s="19">
        <f t="shared" si="0"/>
        <v>1.4545454545454546</v>
      </c>
      <c r="Y12" s="14" t="s">
        <v>69</v>
      </c>
      <c r="Z12" s="37">
        <f t="shared" si="1"/>
        <v>2.8636363636363638</v>
      </c>
      <c r="AA12" s="37">
        <f>_2020_21[[#This Row],[Column22]]/_2020_21[[#This Row],[Column23]]</f>
        <v>0.50793650793650791</v>
      </c>
      <c r="AB12" t="s">
        <v>33</v>
      </c>
      <c r="AC12" s="37">
        <f t="shared" si="2"/>
        <v>0</v>
      </c>
      <c r="AD12" t="s">
        <v>70</v>
      </c>
      <c r="AE12" s="37">
        <f t="shared" si="3"/>
        <v>1.9545454545454546</v>
      </c>
      <c r="AF12" t="s">
        <v>71</v>
      </c>
      <c r="AG12" t="s">
        <v>72</v>
      </c>
      <c r="AH12" s="37">
        <f>((_2020_21[[#This Row],[Column26]]+_2020_21[[#This Row],[Column18]]+_2020_21[[#This Row],[Column22]]+_2020_21[[#This Row],[Column25]]+_2020_21[[#This Row],[Column24]]-_2020_21[[#This Row],[Column23]])/_2020_21[[#This Row],[Column5]])*40</f>
        <v>22.402707275803721</v>
      </c>
      <c r="AI12" s="37">
        <f t="shared" si="4"/>
        <v>54.649014778325132</v>
      </c>
      <c r="AJ12" s="40">
        <f t="shared" si="5"/>
        <v>25.082844873618964</v>
      </c>
      <c r="AK12" s="37">
        <f t="shared" si="6"/>
        <v>10.732169032237646</v>
      </c>
      <c r="AL12" s="37">
        <f t="shared" si="7"/>
        <v>2.088015991710988</v>
      </c>
      <c r="AM12" s="37">
        <f t="shared" si="8"/>
        <v>4.8947442294573005</v>
      </c>
      <c r="AN12" s="37">
        <f t="shared" si="9"/>
        <v>3.3408571724867291</v>
      </c>
      <c r="AO12" s="37">
        <f t="shared" si="10"/>
        <v>0</v>
      </c>
      <c r="AP12" s="5">
        <f t="shared" si="12"/>
        <v>43</v>
      </c>
    </row>
    <row r="13" spans="1:42" x14ac:dyDescent="0.2">
      <c r="A13" s="9" t="s">
        <v>50</v>
      </c>
      <c r="B13" t="s">
        <v>73</v>
      </c>
      <c r="C13" t="s">
        <v>517</v>
      </c>
      <c r="D13">
        <v>22</v>
      </c>
      <c r="E13">
        <v>22</v>
      </c>
      <c r="F13" t="s">
        <v>74</v>
      </c>
      <c r="G13" t="s">
        <v>75</v>
      </c>
      <c r="H13">
        <v>91</v>
      </c>
      <c r="I13">
        <v>226</v>
      </c>
      <c r="J13" t="s">
        <v>76</v>
      </c>
      <c r="K13">
        <v>31</v>
      </c>
      <c r="L13">
        <v>87</v>
      </c>
      <c r="M13" t="s">
        <v>77</v>
      </c>
      <c r="N13" s="37">
        <f t="shared" si="11"/>
        <v>0.34025559105431308</v>
      </c>
      <c r="O13">
        <v>27</v>
      </c>
      <c r="P13">
        <v>37</v>
      </c>
      <c r="Q13" t="s">
        <v>78</v>
      </c>
      <c r="R13" t="s">
        <v>79</v>
      </c>
      <c r="S13" t="s">
        <v>80</v>
      </c>
      <c r="T13" t="s">
        <v>81</v>
      </c>
      <c r="U13" t="s">
        <v>82</v>
      </c>
      <c r="V13" t="s">
        <v>70</v>
      </c>
      <c r="W13" t="s">
        <v>83</v>
      </c>
      <c r="X13" s="19">
        <f t="shared" si="0"/>
        <v>3.4090909090909092</v>
      </c>
      <c r="Y13" s="14" t="s">
        <v>69</v>
      </c>
      <c r="Z13" s="37">
        <f t="shared" si="1"/>
        <v>2.8636363636363638</v>
      </c>
      <c r="AA13" s="37">
        <f>_2020_21[[#This Row],[Column22]]/_2020_21[[#This Row],[Column23]]</f>
        <v>1.1904761904761905</v>
      </c>
      <c r="AB13" t="s">
        <v>84</v>
      </c>
      <c r="AC13" s="37">
        <f t="shared" si="2"/>
        <v>0.40909090909090912</v>
      </c>
      <c r="AD13" t="s">
        <v>85</v>
      </c>
      <c r="AE13" s="37">
        <f t="shared" si="3"/>
        <v>1.0909090909090908</v>
      </c>
      <c r="AF13" t="s">
        <v>86</v>
      </c>
      <c r="AG13" t="s">
        <v>31</v>
      </c>
      <c r="AH13" s="37">
        <f>((_2020_21[[#This Row],[Column26]]+_2020_21[[#This Row],[Column18]]+_2020_21[[#This Row],[Column22]]+_2020_21[[#This Row],[Column25]]+_2020_21[[#This Row],[Column24]]-_2020_21[[#This Row],[Column23]])/_2020_21[[#This Row],[Column5]])*40</f>
        <v>21.278911564625851</v>
      </c>
      <c r="AI13" s="37">
        <f t="shared" si="4"/>
        <v>49.529470034670631</v>
      </c>
      <c r="AJ13" s="40">
        <f t="shared" si="5"/>
        <v>19.071635964926379</v>
      </c>
      <c r="AK13" s="37">
        <f t="shared" si="6"/>
        <v>18.787096760330417</v>
      </c>
      <c r="AL13" s="37">
        <f t="shared" si="7"/>
        <v>5.982093050233221</v>
      </c>
      <c r="AM13" s="37">
        <f t="shared" si="8"/>
        <v>3.9357739314411759</v>
      </c>
      <c r="AN13" s="37">
        <f t="shared" si="9"/>
        <v>1.499342450072829</v>
      </c>
      <c r="AO13" s="37">
        <f t="shared" si="10"/>
        <v>1.0438383763011603</v>
      </c>
      <c r="AP13" s="5">
        <f t="shared" si="12"/>
        <v>33</v>
      </c>
    </row>
    <row r="14" spans="1:42" x14ac:dyDescent="0.2">
      <c r="A14" s="9" t="s">
        <v>68</v>
      </c>
      <c r="B14" t="s">
        <v>87</v>
      </c>
      <c r="C14" t="s">
        <v>520</v>
      </c>
      <c r="D14">
        <v>21</v>
      </c>
      <c r="E14">
        <v>21</v>
      </c>
      <c r="F14" t="s">
        <v>88</v>
      </c>
      <c r="G14" t="s">
        <v>89</v>
      </c>
      <c r="H14">
        <v>59</v>
      </c>
      <c r="I14">
        <v>156</v>
      </c>
      <c r="J14" t="s">
        <v>90</v>
      </c>
      <c r="K14">
        <v>5</v>
      </c>
      <c r="L14">
        <v>17</v>
      </c>
      <c r="M14" t="s">
        <v>91</v>
      </c>
      <c r="N14" s="37">
        <f t="shared" si="11"/>
        <v>0.3554913294797688</v>
      </c>
      <c r="O14">
        <v>28</v>
      </c>
      <c r="P14">
        <v>69</v>
      </c>
      <c r="Q14" t="s">
        <v>44</v>
      </c>
      <c r="R14" t="s">
        <v>92</v>
      </c>
      <c r="S14" t="s">
        <v>93</v>
      </c>
      <c r="T14" t="s">
        <v>94</v>
      </c>
      <c r="U14" t="s">
        <v>95</v>
      </c>
      <c r="V14" t="s">
        <v>96</v>
      </c>
      <c r="W14" t="s">
        <v>98</v>
      </c>
      <c r="X14" s="19">
        <f t="shared" si="0"/>
        <v>1.7619047619047619</v>
      </c>
      <c r="Y14" s="14" t="s">
        <v>99</v>
      </c>
      <c r="Z14" s="37">
        <f t="shared" si="1"/>
        <v>2.1428571428571428</v>
      </c>
      <c r="AA14" s="37">
        <f>_2020_21[[#This Row],[Column22]]/_2020_21[[#This Row],[Column23]]</f>
        <v>0.82222222222222219</v>
      </c>
      <c r="AB14" t="s">
        <v>64</v>
      </c>
      <c r="AC14" s="37">
        <f t="shared" si="2"/>
        <v>0.2857142857142857</v>
      </c>
      <c r="AD14" t="s">
        <v>54</v>
      </c>
      <c r="AE14" s="37">
        <f t="shared" si="3"/>
        <v>1</v>
      </c>
      <c r="AF14" t="s">
        <v>100</v>
      </c>
      <c r="AG14" t="s">
        <v>101</v>
      </c>
      <c r="AH14" s="37">
        <f>((_2020_21[[#This Row],[Column26]]+_2020_21[[#This Row],[Column18]]+_2020_21[[#This Row],[Column22]]+_2020_21[[#This Row],[Column25]]+_2020_21[[#This Row],[Column24]]-_2020_21[[#This Row],[Column23]])/_2020_21[[#This Row],[Column5]])*40</f>
        <v>24.664310954063605</v>
      </c>
      <c r="AI14" s="37">
        <f t="shared" si="4"/>
        <v>40.512985619231593</v>
      </c>
      <c r="AJ14" s="40">
        <f t="shared" si="5"/>
        <v>18.769330381176719</v>
      </c>
      <c r="AK14" s="37">
        <f t="shared" si="6"/>
        <v>11.61713047161115</v>
      </c>
      <c r="AL14" s="37">
        <f t="shared" si="7"/>
        <v>9.0602971462972732</v>
      </c>
      <c r="AM14" s="37">
        <f t="shared" si="8"/>
        <v>3.6506736996583347</v>
      </c>
      <c r="AN14" s="37">
        <f t="shared" si="9"/>
        <v>1.7036477265072232</v>
      </c>
      <c r="AO14" s="37">
        <f t="shared" si="10"/>
        <v>0.90367633284022708</v>
      </c>
      <c r="AP14" s="5">
        <f t="shared" si="12"/>
        <v>27</v>
      </c>
    </row>
    <row r="15" spans="1:42" x14ac:dyDescent="0.2">
      <c r="A15" s="9" t="s">
        <v>54</v>
      </c>
      <c r="B15" t="s">
        <v>102</v>
      </c>
      <c r="C15" t="s">
        <v>523</v>
      </c>
      <c r="D15">
        <v>21</v>
      </c>
      <c r="E15">
        <v>9</v>
      </c>
      <c r="F15" t="s">
        <v>103</v>
      </c>
      <c r="G15" t="s">
        <v>104</v>
      </c>
      <c r="H15">
        <v>32</v>
      </c>
      <c r="I15">
        <v>116</v>
      </c>
      <c r="J15" t="s">
        <v>105</v>
      </c>
      <c r="K15">
        <v>15</v>
      </c>
      <c r="L15">
        <v>60</v>
      </c>
      <c r="M15" t="s">
        <v>106</v>
      </c>
      <c r="N15" s="37">
        <f t="shared" si="11"/>
        <v>0.22443181818181818</v>
      </c>
      <c r="O15">
        <v>23</v>
      </c>
      <c r="P15">
        <v>24</v>
      </c>
      <c r="Q15" t="s">
        <v>107</v>
      </c>
      <c r="R15" t="s">
        <v>108</v>
      </c>
      <c r="S15" t="s">
        <v>109</v>
      </c>
      <c r="T15" t="s">
        <v>98</v>
      </c>
      <c r="U15" t="s">
        <v>110</v>
      </c>
      <c r="V15" t="s">
        <v>47</v>
      </c>
      <c r="W15" t="s">
        <v>111</v>
      </c>
      <c r="X15" s="19">
        <f t="shared" si="0"/>
        <v>0.33333333333333331</v>
      </c>
      <c r="Y15" s="14" t="s">
        <v>112</v>
      </c>
      <c r="Z15" s="37">
        <f t="shared" si="1"/>
        <v>0.90476190476190477</v>
      </c>
      <c r="AA15" s="37">
        <f>_2020_21[[#This Row],[Column22]]/_2020_21[[#This Row],[Column23]]</f>
        <v>0.36842105263157893</v>
      </c>
      <c r="AB15" t="s">
        <v>64</v>
      </c>
      <c r="AC15" s="37">
        <f t="shared" si="2"/>
        <v>0.2857142857142857</v>
      </c>
      <c r="AD15" t="s">
        <v>113</v>
      </c>
      <c r="AE15" s="37">
        <f t="shared" si="3"/>
        <v>0.23809523809523808</v>
      </c>
      <c r="AF15" t="s">
        <v>114</v>
      </c>
      <c r="AG15" t="s">
        <v>115</v>
      </c>
      <c r="AH15" s="37">
        <f>((_2020_21[[#This Row],[Column26]]+_2020_21[[#This Row],[Column18]]+_2020_21[[#This Row],[Column22]]+_2020_21[[#This Row],[Column25]]+_2020_21[[#This Row],[Column24]]-_2020_21[[#This Row],[Column23]])/_2020_21[[#This Row],[Column5]])*40</f>
        <v>20.072727272727274</v>
      </c>
      <c r="AI15" s="37">
        <f t="shared" si="4"/>
        <v>40.29709228824273</v>
      </c>
      <c r="AJ15" s="40">
        <f t="shared" si="5"/>
        <v>24.304477419539651</v>
      </c>
      <c r="AK15" s="37">
        <f t="shared" si="6"/>
        <v>4.6231484602724517</v>
      </c>
      <c r="AL15" s="37">
        <f t="shared" si="7"/>
        <v>2.111169234132118</v>
      </c>
      <c r="AM15" s="37">
        <f t="shared" si="8"/>
        <v>3.1724723204950087</v>
      </c>
      <c r="AN15" s="37">
        <f t="shared" si="9"/>
        <v>0.83486113697237063</v>
      </c>
      <c r="AO15" s="37">
        <f t="shared" si="10"/>
        <v>1.8599301977729765</v>
      </c>
      <c r="AP15" s="5">
        <f t="shared" si="12"/>
        <v>11</v>
      </c>
    </row>
    <row r="16" spans="1:42" x14ac:dyDescent="0.2">
      <c r="A16" s="9" t="s">
        <v>116</v>
      </c>
      <c r="B16" t="s">
        <v>117</v>
      </c>
      <c r="C16" t="s">
        <v>517</v>
      </c>
      <c r="D16">
        <v>19</v>
      </c>
      <c r="E16">
        <v>7</v>
      </c>
      <c r="F16" t="s">
        <v>118</v>
      </c>
      <c r="G16" t="s">
        <v>119</v>
      </c>
      <c r="H16">
        <v>36</v>
      </c>
      <c r="I16">
        <v>81</v>
      </c>
      <c r="J16" t="s">
        <v>120</v>
      </c>
      <c r="K16">
        <v>6</v>
      </c>
      <c r="L16">
        <v>23</v>
      </c>
      <c r="M16" t="s">
        <v>121</v>
      </c>
      <c r="N16" s="37">
        <f t="shared" si="11"/>
        <v>0.375</v>
      </c>
      <c r="O16">
        <v>16</v>
      </c>
      <c r="P16">
        <v>20</v>
      </c>
      <c r="Q16" t="s">
        <v>122</v>
      </c>
      <c r="R16" t="s">
        <v>123</v>
      </c>
      <c r="S16" t="s">
        <v>89</v>
      </c>
      <c r="T16" t="s">
        <v>124</v>
      </c>
      <c r="U16" t="s">
        <v>125</v>
      </c>
      <c r="V16" t="s">
        <v>35</v>
      </c>
      <c r="W16" t="s">
        <v>51</v>
      </c>
      <c r="X16" s="19">
        <f t="shared" si="0"/>
        <v>1.4736842105263157</v>
      </c>
      <c r="Y16" s="14" t="s">
        <v>54</v>
      </c>
      <c r="Z16" s="37">
        <f t="shared" si="1"/>
        <v>1.1052631578947369</v>
      </c>
      <c r="AA16" s="37">
        <f>_2020_21[[#This Row],[Column22]]/_2020_21[[#This Row],[Column23]]</f>
        <v>1.3333333333333333</v>
      </c>
      <c r="AB16" t="s">
        <v>126</v>
      </c>
      <c r="AC16" s="37">
        <f t="shared" si="2"/>
        <v>0.10526315789473684</v>
      </c>
      <c r="AD16" t="s">
        <v>127</v>
      </c>
      <c r="AE16" s="37">
        <f t="shared" si="3"/>
        <v>0.42105263157894735</v>
      </c>
      <c r="AF16" t="s">
        <v>128</v>
      </c>
      <c r="AG16" t="s">
        <v>115</v>
      </c>
      <c r="AH16" s="37">
        <f>((_2020_21[[#This Row],[Column26]]+_2020_21[[#This Row],[Column18]]+_2020_21[[#This Row],[Column22]]+_2020_21[[#This Row],[Column25]]+_2020_21[[#This Row],[Column24]]-_2020_21[[#This Row],[Column23]])/_2020_21[[#This Row],[Column5]])*40</f>
        <v>16.997167138810198</v>
      </c>
      <c r="AI16" s="37">
        <f t="shared" si="4"/>
        <v>52.338530066815146</v>
      </c>
      <c r="AJ16" s="40">
        <f t="shared" si="5"/>
        <v>14.412588579913956</v>
      </c>
      <c r="AK16" s="37">
        <f t="shared" si="6"/>
        <v>14.039713450657123</v>
      </c>
      <c r="AL16" s="37">
        <f t="shared" si="7"/>
        <v>2.2796737072743958</v>
      </c>
      <c r="AM16" s="37">
        <f t="shared" si="8"/>
        <v>2.731627799442176</v>
      </c>
      <c r="AN16" s="37">
        <f t="shared" si="9"/>
        <v>1.0406201140732099</v>
      </c>
      <c r="AO16" s="37">
        <f t="shared" si="10"/>
        <v>0.48298470669269927</v>
      </c>
      <c r="AP16" s="5">
        <f t="shared" si="12"/>
        <v>10</v>
      </c>
    </row>
    <row r="17" spans="1:42" x14ac:dyDescent="0.2">
      <c r="A17" s="9" t="s">
        <v>85</v>
      </c>
      <c r="B17" t="s">
        <v>129</v>
      </c>
      <c r="C17" t="s">
        <v>523</v>
      </c>
      <c r="D17">
        <v>6</v>
      </c>
      <c r="E17">
        <v>1</v>
      </c>
      <c r="F17" t="s">
        <v>130</v>
      </c>
      <c r="G17" t="s">
        <v>131</v>
      </c>
      <c r="H17">
        <v>11</v>
      </c>
      <c r="I17">
        <v>26</v>
      </c>
      <c r="J17" t="s">
        <v>132</v>
      </c>
      <c r="K17">
        <v>4</v>
      </c>
      <c r="L17">
        <v>12</v>
      </c>
      <c r="M17" t="s">
        <v>26</v>
      </c>
      <c r="N17" s="37">
        <f t="shared" si="11"/>
        <v>0.34210526315789475</v>
      </c>
      <c r="O17">
        <v>3</v>
      </c>
      <c r="P17">
        <v>4</v>
      </c>
      <c r="Q17" t="s">
        <v>133</v>
      </c>
      <c r="R17" t="s">
        <v>126</v>
      </c>
      <c r="S17" t="s">
        <v>126</v>
      </c>
      <c r="T17" t="s">
        <v>53</v>
      </c>
      <c r="U17" t="s">
        <v>134</v>
      </c>
      <c r="V17" t="s">
        <v>40</v>
      </c>
      <c r="W17" t="s">
        <v>126</v>
      </c>
      <c r="X17" s="19">
        <f t="shared" si="0"/>
        <v>0.33333333333333331</v>
      </c>
      <c r="Y17" s="14" t="s">
        <v>64</v>
      </c>
      <c r="Z17" s="37">
        <f t="shared" si="1"/>
        <v>1</v>
      </c>
      <c r="AA17" s="37">
        <f>_2020_21[[#This Row],[Column22]]/_2020_21[[#This Row],[Column23]]</f>
        <v>0.33333333333333331</v>
      </c>
      <c r="AB17" t="s">
        <v>33</v>
      </c>
      <c r="AC17" s="37">
        <f t="shared" si="2"/>
        <v>0</v>
      </c>
      <c r="AD17" t="s">
        <v>53</v>
      </c>
      <c r="AE17" s="37">
        <f t="shared" si="3"/>
        <v>0.66666666666666663</v>
      </c>
      <c r="AF17" t="s">
        <v>65</v>
      </c>
      <c r="AG17" t="s">
        <v>82</v>
      </c>
      <c r="AH17" s="37">
        <f>((_2020_21[[#This Row],[Column26]]+_2020_21[[#This Row],[Column18]]+_2020_21[[#This Row],[Column22]]+_2020_21[[#This Row],[Column25]]+_2020_21[[#This Row],[Column24]]-_2020_21[[#This Row],[Column23]])/_2020_21[[#This Row],[Column5]])*40</f>
        <v>15.529411764705882</v>
      </c>
      <c r="AI17" s="37">
        <f t="shared" si="4"/>
        <v>52.233429394812681</v>
      </c>
      <c r="AJ17" s="40">
        <f t="shared" si="5"/>
        <v>18.237295989768214</v>
      </c>
      <c r="AK17" s="37">
        <f t="shared" si="6"/>
        <v>4.3772323838221698</v>
      </c>
      <c r="AL17" s="37">
        <f t="shared" si="7"/>
        <v>0.21853689087517808</v>
      </c>
      <c r="AM17" s="37">
        <f t="shared" si="8"/>
        <v>3.2412255905986154</v>
      </c>
      <c r="AN17" s="37">
        <f t="shared" si="9"/>
        <v>2.1608170603990771</v>
      </c>
      <c r="AO17" s="37">
        <f t="shared" si="10"/>
        <v>0</v>
      </c>
      <c r="AP17" s="5">
        <f t="shared" si="12"/>
        <v>4</v>
      </c>
    </row>
    <row r="18" spans="1:42" x14ac:dyDescent="0.2">
      <c r="A18" s="9" t="s">
        <v>35</v>
      </c>
      <c r="B18" t="s">
        <v>139</v>
      </c>
      <c r="C18" t="s">
        <v>520</v>
      </c>
      <c r="D18">
        <v>17</v>
      </c>
      <c r="E18">
        <v>5</v>
      </c>
      <c r="F18" t="s">
        <v>140</v>
      </c>
      <c r="G18" t="s">
        <v>141</v>
      </c>
      <c r="H18">
        <v>24</v>
      </c>
      <c r="I18">
        <v>73</v>
      </c>
      <c r="J18" t="s">
        <v>142</v>
      </c>
      <c r="K18">
        <v>16</v>
      </c>
      <c r="L18">
        <v>51</v>
      </c>
      <c r="M18" t="s">
        <v>143</v>
      </c>
      <c r="N18" s="37">
        <f t="shared" si="11"/>
        <v>0.25806451612903225</v>
      </c>
      <c r="O18">
        <v>6</v>
      </c>
      <c r="P18">
        <v>6</v>
      </c>
      <c r="Q18" t="s">
        <v>97</v>
      </c>
      <c r="R18" t="s">
        <v>113</v>
      </c>
      <c r="S18" t="s">
        <v>40</v>
      </c>
      <c r="T18" t="s">
        <v>144</v>
      </c>
      <c r="U18" t="s">
        <v>145</v>
      </c>
      <c r="V18" t="s">
        <v>123</v>
      </c>
      <c r="W18" t="s">
        <v>127</v>
      </c>
      <c r="X18" s="19">
        <f t="shared" si="0"/>
        <v>0.47058823529411764</v>
      </c>
      <c r="Y18" s="14" t="s">
        <v>116</v>
      </c>
      <c r="Z18" s="37">
        <f t="shared" si="1"/>
        <v>0.17647058823529413</v>
      </c>
      <c r="AA18" s="37">
        <f>_2020_21[[#This Row],[Column22]]/_2020_21[[#This Row],[Column23]]</f>
        <v>2.6666666666666665</v>
      </c>
      <c r="AB18" t="s">
        <v>97</v>
      </c>
      <c r="AC18" s="37">
        <f t="shared" si="2"/>
        <v>5.8823529411764705E-2</v>
      </c>
      <c r="AD18" t="s">
        <v>126</v>
      </c>
      <c r="AE18" s="37">
        <f t="shared" si="3"/>
        <v>0.11764705882352941</v>
      </c>
      <c r="AF18" t="s">
        <v>48</v>
      </c>
      <c r="AG18" t="s">
        <v>146</v>
      </c>
      <c r="AH18" s="37">
        <f>((_2020_21[[#This Row],[Column26]]+_2020_21[[#This Row],[Column18]]+_2020_21[[#This Row],[Column22]]+_2020_21[[#This Row],[Column25]]+_2020_21[[#This Row],[Column24]]-_2020_21[[#This Row],[Column23]])/_2020_21[[#This Row],[Column5]])*40</f>
        <v>13.576642335766422</v>
      </c>
      <c r="AI18" s="37">
        <f t="shared" si="4"/>
        <v>46.271813855103119</v>
      </c>
      <c r="AJ18" s="40">
        <f t="shared" si="5"/>
        <v>13.178618210339044</v>
      </c>
      <c r="AK18" s="37">
        <f t="shared" si="6"/>
        <v>5.0395283615318522</v>
      </c>
      <c r="AL18" s="37">
        <f t="shared" si="7"/>
        <v>0.87689505732413164</v>
      </c>
      <c r="AM18" s="37">
        <f t="shared" si="8"/>
        <v>0.50274484525708452</v>
      </c>
      <c r="AN18" s="37">
        <f t="shared" si="9"/>
        <v>0.33516323017138971</v>
      </c>
      <c r="AO18" s="37">
        <f t="shared" si="10"/>
        <v>0.3111197106980344</v>
      </c>
      <c r="AP18" s="5">
        <f t="shared" si="12"/>
        <v>3</v>
      </c>
    </row>
    <row r="19" spans="1:42" x14ac:dyDescent="0.2">
      <c r="A19" s="9" t="s">
        <v>32</v>
      </c>
      <c r="B19" t="s">
        <v>147</v>
      </c>
      <c r="C19" t="s">
        <v>518</v>
      </c>
      <c r="D19">
        <v>17</v>
      </c>
      <c r="E19">
        <v>3</v>
      </c>
      <c r="F19" t="s">
        <v>140</v>
      </c>
      <c r="G19" t="s">
        <v>141</v>
      </c>
      <c r="H19">
        <v>21</v>
      </c>
      <c r="I19">
        <v>47</v>
      </c>
      <c r="J19" t="s">
        <v>148</v>
      </c>
      <c r="K19">
        <v>0</v>
      </c>
      <c r="L19">
        <v>0</v>
      </c>
      <c r="M19" t="s">
        <v>33</v>
      </c>
      <c r="N19" s="37">
        <f t="shared" si="11"/>
        <v>0.44680851063829785</v>
      </c>
      <c r="O19">
        <v>5</v>
      </c>
      <c r="P19">
        <v>16</v>
      </c>
      <c r="Q19" t="s">
        <v>149</v>
      </c>
      <c r="R19" t="s">
        <v>54</v>
      </c>
      <c r="S19" t="s">
        <v>136</v>
      </c>
      <c r="T19" t="s">
        <v>150</v>
      </c>
      <c r="U19" t="s">
        <v>53</v>
      </c>
      <c r="V19" t="s">
        <v>68</v>
      </c>
      <c r="W19" t="s">
        <v>111</v>
      </c>
      <c r="X19" s="19">
        <f t="shared" si="0"/>
        <v>0.41176470588235292</v>
      </c>
      <c r="Y19" s="14" t="s">
        <v>89</v>
      </c>
      <c r="Z19" s="37">
        <f t="shared" si="1"/>
        <v>1.588235294117647</v>
      </c>
      <c r="AA19" s="37">
        <f>_2020_21[[#This Row],[Column22]]/_2020_21[[#This Row],[Column23]]</f>
        <v>0.25925925925925924</v>
      </c>
      <c r="AB19" t="s">
        <v>57</v>
      </c>
      <c r="AC19" s="37">
        <f t="shared" si="2"/>
        <v>0.6470588235294118</v>
      </c>
      <c r="AD19" t="s">
        <v>84</v>
      </c>
      <c r="AE19" s="37">
        <f t="shared" si="3"/>
        <v>0.52941176470588236</v>
      </c>
      <c r="AF19" t="s">
        <v>136</v>
      </c>
      <c r="AG19" t="s">
        <v>151</v>
      </c>
      <c r="AH19" s="37">
        <f>((_2020_21[[#This Row],[Column26]]+_2020_21[[#This Row],[Column18]]+_2020_21[[#This Row],[Column22]]+_2020_21[[#This Row],[Column25]]+_2020_21[[#This Row],[Column24]]-_2020_21[[#This Row],[Column23]])/_2020_21[[#This Row],[Column5]])*40</f>
        <v>16.788321167883211</v>
      </c>
      <c r="AI19" s="37">
        <f t="shared" si="4"/>
        <v>43.486306439674316</v>
      </c>
      <c r="AJ19" s="40">
        <f t="shared" si="5"/>
        <v>13.580814086544709</v>
      </c>
      <c r="AK19" s="37">
        <f t="shared" si="6"/>
        <v>4.3277995590128571</v>
      </c>
      <c r="AL19" s="37">
        <f t="shared" si="7"/>
        <v>4.0267647690775688</v>
      </c>
      <c r="AM19" s="37">
        <f t="shared" si="8"/>
        <v>4.5247036073137608</v>
      </c>
      <c r="AN19" s="37">
        <f t="shared" si="9"/>
        <v>1.5082345357712537</v>
      </c>
      <c r="AO19" s="37">
        <f t="shared" si="10"/>
        <v>3.4223168176783783</v>
      </c>
      <c r="AP19" s="5">
        <f t="shared" si="12"/>
        <v>20</v>
      </c>
    </row>
    <row r="20" spans="1:42" x14ac:dyDescent="0.2">
      <c r="A20" s="9" t="s">
        <v>116</v>
      </c>
      <c r="B20" t="s">
        <v>152</v>
      </c>
      <c r="C20" t="s">
        <v>517</v>
      </c>
      <c r="D20">
        <v>1</v>
      </c>
      <c r="E20">
        <v>1</v>
      </c>
      <c r="F20" t="s">
        <v>51</v>
      </c>
      <c r="G20" t="s">
        <v>51</v>
      </c>
      <c r="H20">
        <v>1</v>
      </c>
      <c r="I20">
        <v>8</v>
      </c>
      <c r="J20" t="s">
        <v>153</v>
      </c>
      <c r="K20">
        <v>0</v>
      </c>
      <c r="L20">
        <v>3</v>
      </c>
      <c r="M20" t="s">
        <v>33</v>
      </c>
      <c r="N20" s="37">
        <f t="shared" si="11"/>
        <v>9.0909090909090912E-2</v>
      </c>
      <c r="O20">
        <v>0</v>
      </c>
      <c r="P20">
        <v>0</v>
      </c>
      <c r="Q20" t="s">
        <v>33</v>
      </c>
      <c r="R20" t="s">
        <v>126</v>
      </c>
      <c r="S20" t="s">
        <v>97</v>
      </c>
      <c r="T20" t="s">
        <v>116</v>
      </c>
      <c r="U20" t="s">
        <v>116</v>
      </c>
      <c r="V20" t="s">
        <v>126</v>
      </c>
      <c r="W20" t="s">
        <v>126</v>
      </c>
      <c r="X20" s="19">
        <f t="shared" si="0"/>
        <v>2</v>
      </c>
      <c r="Y20" s="14" t="s">
        <v>33</v>
      </c>
      <c r="Z20" s="37">
        <f t="shared" si="1"/>
        <v>0</v>
      </c>
      <c r="AA20" s="37">
        <v>0</v>
      </c>
      <c r="AB20" t="s">
        <v>53</v>
      </c>
      <c r="AC20" s="37">
        <f t="shared" si="2"/>
        <v>4</v>
      </c>
      <c r="AD20" t="s">
        <v>126</v>
      </c>
      <c r="AE20" s="37">
        <f t="shared" si="3"/>
        <v>2</v>
      </c>
      <c r="AF20" t="s">
        <v>126</v>
      </c>
      <c r="AG20" t="s">
        <v>126</v>
      </c>
      <c r="AH20" s="37">
        <f>((_2020_21[[#This Row],[Column26]]+_2020_21[[#This Row],[Column18]]+_2020_21[[#This Row],[Column22]]+_2020_21[[#This Row],[Column25]]+_2020_21[[#This Row],[Column24]]-_2020_21[[#This Row],[Column23]])/_2020_21[[#This Row],[Column5]])*40</f>
        <v>18.571428571428573</v>
      </c>
      <c r="AI20" s="37">
        <f t="shared" si="4"/>
        <v>12.5</v>
      </c>
      <c r="AJ20" s="40">
        <f t="shared" si="5"/>
        <v>13.119246438137255</v>
      </c>
      <c r="AK20" s="37">
        <f t="shared" si="6"/>
        <v>11.315626630428188</v>
      </c>
      <c r="AL20" s="37">
        <f t="shared" si="7"/>
        <v>0.14725036814116885</v>
      </c>
      <c r="AM20" s="37">
        <f t="shared" si="8"/>
        <v>0</v>
      </c>
      <c r="AN20" s="37">
        <f t="shared" si="9"/>
        <v>3.2798116095343133</v>
      </c>
      <c r="AO20" s="37">
        <f t="shared" si="10"/>
        <v>12.178114390180204</v>
      </c>
      <c r="AP20" s="5">
        <f t="shared" si="12"/>
        <v>6</v>
      </c>
    </row>
    <row r="21" spans="1:42" x14ac:dyDescent="0.2">
      <c r="A21" s="9" t="s">
        <v>123</v>
      </c>
      <c r="B21" t="s">
        <v>135</v>
      </c>
      <c r="C21" t="s">
        <v>521</v>
      </c>
      <c r="D21">
        <v>12</v>
      </c>
      <c r="E21">
        <v>1</v>
      </c>
      <c r="F21" t="s">
        <v>154</v>
      </c>
      <c r="G21" t="s">
        <v>155</v>
      </c>
      <c r="H21">
        <v>8</v>
      </c>
      <c r="I21">
        <v>23</v>
      </c>
      <c r="J21" t="s">
        <v>156</v>
      </c>
      <c r="K21">
        <v>0</v>
      </c>
      <c r="L21">
        <v>3</v>
      </c>
      <c r="M21" t="s">
        <v>33</v>
      </c>
      <c r="N21" s="37">
        <f t="shared" si="11"/>
        <v>0.30769230769230771</v>
      </c>
      <c r="O21">
        <v>6</v>
      </c>
      <c r="P21">
        <v>12</v>
      </c>
      <c r="Q21" t="s">
        <v>157</v>
      </c>
      <c r="R21" t="s">
        <v>123</v>
      </c>
      <c r="S21" t="s">
        <v>36</v>
      </c>
      <c r="T21" t="s">
        <v>51</v>
      </c>
      <c r="U21" t="s">
        <v>158</v>
      </c>
      <c r="V21" t="s">
        <v>159</v>
      </c>
      <c r="W21" t="s">
        <v>84</v>
      </c>
      <c r="X21" s="19">
        <f t="shared" si="0"/>
        <v>0.75</v>
      </c>
      <c r="Y21" s="14" t="s">
        <v>36</v>
      </c>
      <c r="Z21" s="37">
        <f t="shared" si="1"/>
        <v>1.3333333333333333</v>
      </c>
      <c r="AA21" s="37">
        <f>_2020_21[[#This Row],[Column22]]/_2020_21[[#This Row],[Column23]]</f>
        <v>0.5625</v>
      </c>
      <c r="AB21" t="s">
        <v>53</v>
      </c>
      <c r="AC21" s="37">
        <f t="shared" si="2"/>
        <v>0.33333333333333331</v>
      </c>
      <c r="AD21" t="s">
        <v>126</v>
      </c>
      <c r="AE21" s="37">
        <f t="shared" si="3"/>
        <v>0.16666666666666666</v>
      </c>
      <c r="AF21" t="s">
        <v>138</v>
      </c>
      <c r="AG21" t="s">
        <v>110</v>
      </c>
      <c r="AH21" s="37">
        <f>((_2020_21[[#This Row],[Column26]]+_2020_21[[#This Row],[Column18]]+_2020_21[[#This Row],[Column22]]+_2020_21[[#This Row],[Column25]]+_2020_21[[#This Row],[Column24]]-_2020_21[[#This Row],[Column23]])/_2020_21[[#This Row],[Column5]])*40</f>
        <v>13.154362416107384</v>
      </c>
      <c r="AI21" s="37">
        <f t="shared" si="4"/>
        <v>38.896746817538897</v>
      </c>
      <c r="AJ21" s="40">
        <f t="shared" si="5"/>
        <v>13.645777268339005</v>
      </c>
      <c r="AK21" s="37">
        <f t="shared" si="6"/>
        <v>9.8494200701266887</v>
      </c>
      <c r="AL21" s="37">
        <f t="shared" si="7"/>
        <v>1.5834584089794681</v>
      </c>
      <c r="AM21" s="37">
        <f t="shared" si="8"/>
        <v>4.9307234935280944</v>
      </c>
      <c r="AN21" s="37">
        <f t="shared" si="9"/>
        <v>0.61634043669101179</v>
      </c>
      <c r="AO21" s="37">
        <f t="shared" si="10"/>
        <v>2.2885047176177564</v>
      </c>
      <c r="AP21" s="5">
        <f t="shared" si="12"/>
        <v>6</v>
      </c>
    </row>
    <row r="22" spans="1:42" x14ac:dyDescent="0.2">
      <c r="A22" s="9" t="s">
        <v>160</v>
      </c>
      <c r="B22" t="s">
        <v>161</v>
      </c>
      <c r="C22" t="s">
        <v>521</v>
      </c>
      <c r="D22">
        <v>13</v>
      </c>
      <c r="E22">
        <v>3</v>
      </c>
      <c r="F22" t="s">
        <v>114</v>
      </c>
      <c r="G22" t="s">
        <v>162</v>
      </c>
      <c r="H22">
        <v>4</v>
      </c>
      <c r="I22">
        <v>16</v>
      </c>
      <c r="J22" t="s">
        <v>106</v>
      </c>
      <c r="K22">
        <v>1</v>
      </c>
      <c r="L22">
        <v>6</v>
      </c>
      <c r="M22" t="s">
        <v>163</v>
      </c>
      <c r="N22" s="37">
        <f t="shared" si="11"/>
        <v>0.20454545454545456</v>
      </c>
      <c r="O22">
        <v>1</v>
      </c>
      <c r="P22">
        <v>2</v>
      </c>
      <c r="Q22" t="s">
        <v>157</v>
      </c>
      <c r="R22" t="s">
        <v>64</v>
      </c>
      <c r="S22" t="s">
        <v>112</v>
      </c>
      <c r="T22" t="s">
        <v>164</v>
      </c>
      <c r="U22" t="s">
        <v>165</v>
      </c>
      <c r="V22" t="s">
        <v>57</v>
      </c>
      <c r="W22" t="s">
        <v>113</v>
      </c>
      <c r="X22" s="19">
        <f t="shared" si="0"/>
        <v>0.38461538461538464</v>
      </c>
      <c r="Y22" s="14" t="s">
        <v>111</v>
      </c>
      <c r="Z22" s="37">
        <f t="shared" si="1"/>
        <v>0.53846153846153844</v>
      </c>
      <c r="AA22" s="37">
        <f>_2020_21[[#This Row],[Column22]]/_2020_21[[#This Row],[Column23]]</f>
        <v>0.7142857142857143</v>
      </c>
      <c r="AB22" t="s">
        <v>33</v>
      </c>
      <c r="AC22" s="37">
        <f t="shared" si="2"/>
        <v>0</v>
      </c>
      <c r="AD22" t="s">
        <v>33</v>
      </c>
      <c r="AE22" s="37">
        <f t="shared" si="3"/>
        <v>0</v>
      </c>
      <c r="AF22" t="s">
        <v>40</v>
      </c>
      <c r="AG22" t="s">
        <v>122</v>
      </c>
      <c r="AH22" s="37">
        <f>((_2020_21[[#This Row],[Column26]]+_2020_21[[#This Row],[Column18]]+_2020_21[[#This Row],[Column22]]+_2020_21[[#This Row],[Column25]]+_2020_21[[#This Row],[Column24]]-_2020_21[[#This Row],[Column23]])/_2020_21[[#This Row],[Column5]])*40</f>
        <v>12.941176470588236</v>
      </c>
      <c r="AI22" s="37">
        <f t="shared" si="4"/>
        <v>29.620853080568722</v>
      </c>
      <c r="AJ22" s="40">
        <f t="shared" si="5"/>
        <v>10.750064875485409</v>
      </c>
      <c r="AK22" s="37">
        <f t="shared" si="6"/>
        <v>7.8089413466948905</v>
      </c>
      <c r="AL22" s="37">
        <f t="shared" si="7"/>
        <v>1.5859295730892766</v>
      </c>
      <c r="AM22" s="37">
        <f t="shared" si="8"/>
        <v>3.1511915464153208</v>
      </c>
      <c r="AN22" s="37">
        <f t="shared" si="9"/>
        <v>0</v>
      </c>
      <c r="AO22" s="37">
        <f t="shared" si="10"/>
        <v>0</v>
      </c>
      <c r="AP22" s="5">
        <f t="shared" si="12"/>
        <v>0</v>
      </c>
    </row>
    <row r="23" spans="1:42" x14ac:dyDescent="0.2">
      <c r="A23" s="9" t="s">
        <v>33</v>
      </c>
      <c r="B23" t="s">
        <v>166</v>
      </c>
      <c r="C23" t="s">
        <v>517</v>
      </c>
      <c r="D23">
        <v>5</v>
      </c>
      <c r="E23">
        <v>0</v>
      </c>
      <c r="F23" t="s">
        <v>108</v>
      </c>
      <c r="G23" t="s">
        <v>151</v>
      </c>
      <c r="H23">
        <v>1</v>
      </c>
      <c r="I23">
        <v>4</v>
      </c>
      <c r="J23" t="s">
        <v>106</v>
      </c>
      <c r="K23">
        <v>0</v>
      </c>
      <c r="L23">
        <v>0</v>
      </c>
      <c r="M23" t="s">
        <v>33</v>
      </c>
      <c r="N23" s="37">
        <f t="shared" si="11"/>
        <v>0.25</v>
      </c>
      <c r="O23">
        <v>1</v>
      </c>
      <c r="P23">
        <v>2</v>
      </c>
      <c r="Q23" t="s">
        <v>157</v>
      </c>
      <c r="R23" t="s">
        <v>97</v>
      </c>
      <c r="S23" t="s">
        <v>126</v>
      </c>
      <c r="T23" t="s">
        <v>116</v>
      </c>
      <c r="U23" t="s">
        <v>167</v>
      </c>
      <c r="V23" t="s">
        <v>116</v>
      </c>
      <c r="W23" t="s">
        <v>33</v>
      </c>
      <c r="X23" s="19">
        <f t="shared" si="0"/>
        <v>0</v>
      </c>
      <c r="Y23" s="14" t="s">
        <v>126</v>
      </c>
      <c r="Z23" s="37">
        <f t="shared" si="1"/>
        <v>0.4</v>
      </c>
      <c r="AA23" s="37">
        <f>_2020_21[[#This Row],[Column22]]/_2020_21[[#This Row],[Column23]]</f>
        <v>0</v>
      </c>
      <c r="AB23" t="s">
        <v>33</v>
      </c>
      <c r="AC23" s="37">
        <f t="shared" si="2"/>
        <v>0</v>
      </c>
      <c r="AD23" t="s">
        <v>33</v>
      </c>
      <c r="AE23" s="37">
        <f t="shared" si="3"/>
        <v>0</v>
      </c>
      <c r="AF23" t="s">
        <v>116</v>
      </c>
      <c r="AG23" t="s">
        <v>167</v>
      </c>
      <c r="AH23" s="37">
        <f>((_2020_21[[#This Row],[Column26]]+_2020_21[[#This Row],[Column18]]+_2020_21[[#This Row],[Column22]]+_2020_21[[#This Row],[Column25]]+_2020_21[[#This Row],[Column24]]-_2020_21[[#This Row],[Column23]])/_2020_21[[#This Row],[Column5]])*40</f>
        <v>11.428571428571427</v>
      </c>
      <c r="AI23" s="37">
        <f t="shared" si="4"/>
        <v>30.737704918032787</v>
      </c>
      <c r="AJ23" s="40">
        <f t="shared" si="5"/>
        <v>22.56510387359608</v>
      </c>
      <c r="AK23" s="37">
        <f t="shared" si="6"/>
        <v>0</v>
      </c>
      <c r="AL23" s="37">
        <f t="shared" si="7"/>
        <v>0.18361766185894485</v>
      </c>
      <c r="AM23" s="37">
        <f t="shared" si="8"/>
        <v>6.5596232190686266</v>
      </c>
      <c r="AN23" s="37">
        <f t="shared" si="9"/>
        <v>0</v>
      </c>
      <c r="AO23" s="37">
        <f t="shared" si="10"/>
        <v>0</v>
      </c>
      <c r="AP23" s="5">
        <f t="shared" si="12"/>
        <v>0</v>
      </c>
    </row>
    <row r="24" spans="1:42" ht="17" thickBot="1" x14ac:dyDescent="0.25">
      <c r="A24" s="3" t="s">
        <v>138</v>
      </c>
      <c r="B24" t="s">
        <v>168</v>
      </c>
      <c r="C24" t="s">
        <v>517</v>
      </c>
      <c r="D24">
        <v>10</v>
      </c>
      <c r="E24">
        <v>0</v>
      </c>
      <c r="F24" t="s">
        <v>136</v>
      </c>
      <c r="G24" t="s">
        <v>169</v>
      </c>
      <c r="H24">
        <v>2</v>
      </c>
      <c r="I24">
        <v>8</v>
      </c>
      <c r="J24" t="s">
        <v>106</v>
      </c>
      <c r="K24">
        <v>0</v>
      </c>
      <c r="L24">
        <v>0</v>
      </c>
      <c r="M24" t="s">
        <v>33</v>
      </c>
      <c r="N24" s="37">
        <f t="shared" si="11"/>
        <v>0.25</v>
      </c>
      <c r="O24">
        <v>1</v>
      </c>
      <c r="P24">
        <v>2</v>
      </c>
      <c r="Q24" t="s">
        <v>157</v>
      </c>
      <c r="R24" t="s">
        <v>116</v>
      </c>
      <c r="S24" t="s">
        <v>111</v>
      </c>
      <c r="T24" t="s">
        <v>40</v>
      </c>
      <c r="U24" t="s">
        <v>97</v>
      </c>
      <c r="V24" t="s">
        <v>64</v>
      </c>
      <c r="W24" t="s">
        <v>97</v>
      </c>
      <c r="X24" s="19">
        <f t="shared" si="0"/>
        <v>0.1</v>
      </c>
      <c r="Y24" s="14" t="s">
        <v>126</v>
      </c>
      <c r="Z24" s="37">
        <f t="shared" si="1"/>
        <v>0.2</v>
      </c>
      <c r="AA24" s="37">
        <f>_2020_21[[#This Row],[Column22]]/_2020_21[[#This Row],[Column23]]</f>
        <v>0.5</v>
      </c>
      <c r="AB24" t="s">
        <v>33</v>
      </c>
      <c r="AC24" s="37">
        <f t="shared" si="2"/>
        <v>0</v>
      </c>
      <c r="AD24" s="4" t="s">
        <v>97</v>
      </c>
      <c r="AE24" s="17">
        <f t="shared" si="3"/>
        <v>0.1</v>
      </c>
      <c r="AF24" t="s">
        <v>113</v>
      </c>
      <c r="AG24" t="s">
        <v>157</v>
      </c>
      <c r="AH24" s="17">
        <f>((_2020_21[[#This Row],[Column26]]+_2020_21[[#This Row],[Column18]]+_2020_21[[#This Row],[Column22]]+_2020_21[[#This Row],[Column25]]+_2020_21[[#This Row],[Column24]]-_2020_21[[#This Row],[Column23]])/_2020_21[[#This Row],[Column5]])*40</f>
        <v>12.76595744680851</v>
      </c>
      <c r="AI24" s="17">
        <f t="shared" si="4"/>
        <v>28.153153153153148</v>
      </c>
      <c r="AJ24" s="40">
        <f t="shared" si="5"/>
        <v>10.629380943920564</v>
      </c>
      <c r="AK24" s="37">
        <f t="shared" si="6"/>
        <v>3.4075297418958819</v>
      </c>
      <c r="AL24" s="37">
        <f t="shared" si="7"/>
        <v>0.62018073314273925</v>
      </c>
      <c r="AM24" s="37">
        <f t="shared" si="8"/>
        <v>1.9539303205736334</v>
      </c>
      <c r="AN24" s="37">
        <f t="shared" si="9"/>
        <v>0.97696516028681668</v>
      </c>
      <c r="AO24" s="37">
        <f t="shared" si="10"/>
        <v>0</v>
      </c>
      <c r="AP24" s="5">
        <f t="shared" si="12"/>
        <v>1</v>
      </c>
    </row>
    <row r="25" spans="1:42" x14ac:dyDescent="0.2">
      <c r="B25" s="1" t="s">
        <v>170</v>
      </c>
      <c r="C25" s="2"/>
      <c r="D25" s="2" t="s">
        <v>109</v>
      </c>
      <c r="E25" s="2"/>
      <c r="F25" s="2" t="s">
        <v>171</v>
      </c>
      <c r="G25" s="2" t="s">
        <v>172</v>
      </c>
      <c r="H25" s="2">
        <v>622</v>
      </c>
      <c r="I25" s="2">
        <v>1478</v>
      </c>
      <c r="J25" s="2" t="s">
        <v>173</v>
      </c>
      <c r="K25" s="2">
        <v>151</v>
      </c>
      <c r="L25" s="2">
        <v>463</v>
      </c>
      <c r="M25" s="2" t="s">
        <v>174</v>
      </c>
      <c r="N25" s="16">
        <f>(H25+(0.5*K25))/(L25+I25)</f>
        <v>0.35935085007727974</v>
      </c>
      <c r="O25" s="2">
        <v>268</v>
      </c>
      <c r="P25" s="2">
        <v>391</v>
      </c>
      <c r="Q25" s="2" t="s">
        <v>175</v>
      </c>
      <c r="R25" s="2" t="s">
        <v>176</v>
      </c>
      <c r="S25" s="2" t="s">
        <v>177</v>
      </c>
      <c r="T25" s="2" t="s">
        <v>178</v>
      </c>
      <c r="U25" s="2" t="s">
        <v>179</v>
      </c>
      <c r="V25" s="2" t="s">
        <v>180</v>
      </c>
      <c r="W25" s="2" t="s">
        <v>181</v>
      </c>
      <c r="X25" s="16">
        <f>W25 / D25</f>
        <v>12.043478260869565</v>
      </c>
      <c r="Y25" s="2" t="s">
        <v>182</v>
      </c>
      <c r="Z25" s="16">
        <f>_2020_21[[#This Row],[Column23]]/D25</f>
        <v>16.565217391304348</v>
      </c>
      <c r="AA25" s="16">
        <f>_2020_21[[#This Row],[Column22]]/_2020_21[[#This Row],[Column23]]</f>
        <v>0.72703412073490814</v>
      </c>
      <c r="AB25" s="2" t="s">
        <v>69</v>
      </c>
      <c r="AC25" s="16">
        <f>_2020_21[[#This Row],[Column24]]/D25</f>
        <v>2.7391304347826089</v>
      </c>
      <c r="AD25" s="73" t="s">
        <v>183</v>
      </c>
      <c r="AE25" s="37">
        <f t="shared" si="3"/>
        <v>7.9130434782608692</v>
      </c>
      <c r="AF25" s="2" t="s">
        <v>184</v>
      </c>
      <c r="AG25" s="2" t="s">
        <v>185</v>
      </c>
      <c r="AH25" s="37">
        <f>((_2020_21[[#This Row],[Column26]]+_2020_21[[#This Row],[Column18]]+_2020_21[[#This Row],[Column22]]+_2020_21[[#This Row],[Column25]]+_2020_21[[#This Row],[Column24]]-_2020_21[[#This Row],[Column23]])/_2020_21[[#This Row],[Column5]])*40</f>
        <v>23.487025520051468</v>
      </c>
      <c r="AI25" s="74">
        <f t="shared" si="4"/>
        <v>50.39271775229691</v>
      </c>
      <c r="AJ25" s="2"/>
      <c r="AK25" s="2"/>
      <c r="AL25" s="2"/>
      <c r="AM25" s="2"/>
      <c r="AN25" s="2"/>
      <c r="AO25" s="2"/>
      <c r="AP25" s="44"/>
    </row>
    <row r="26" spans="1:42" ht="17" thickBot="1" x14ac:dyDescent="0.25">
      <c r="B26" s="3" t="s">
        <v>186</v>
      </c>
      <c r="C26" s="4"/>
      <c r="D26" s="4" t="s">
        <v>7</v>
      </c>
      <c r="E26" s="4" t="s">
        <v>7</v>
      </c>
      <c r="F26" s="4" t="s">
        <v>187</v>
      </c>
      <c r="G26" s="4" t="s">
        <v>188</v>
      </c>
      <c r="H26" s="4">
        <v>603</v>
      </c>
      <c r="I26" s="4">
        <v>1453</v>
      </c>
      <c r="J26" s="4" t="s">
        <v>189</v>
      </c>
      <c r="K26" s="4">
        <v>101</v>
      </c>
      <c r="L26" s="4">
        <v>359</v>
      </c>
      <c r="M26" s="4" t="s">
        <v>190</v>
      </c>
      <c r="N26" s="17">
        <f>(H26+(0.5*K26))/(L26+I26)</f>
        <v>0.3606512141280353</v>
      </c>
      <c r="O26" s="4">
        <v>269</v>
      </c>
      <c r="P26" s="4">
        <v>380</v>
      </c>
      <c r="Q26" s="4" t="s">
        <v>191</v>
      </c>
      <c r="R26" s="4" t="s">
        <v>192</v>
      </c>
      <c r="S26" s="4" t="s">
        <v>193</v>
      </c>
      <c r="T26" s="4" t="s">
        <v>194</v>
      </c>
      <c r="U26" s="4" t="s">
        <v>195</v>
      </c>
      <c r="V26" s="4" t="s">
        <v>196</v>
      </c>
      <c r="W26" s="4" t="s">
        <v>197</v>
      </c>
      <c r="X26" s="17">
        <f>_2020_21[[#This Row],[Column22]]/D25</f>
        <v>9.6521739130434785</v>
      </c>
      <c r="Y26" s="4" t="s">
        <v>198</v>
      </c>
      <c r="Z26" s="17">
        <f>_2020_21[[#This Row],[Column23]]/D25</f>
        <v>15.043478260869565</v>
      </c>
      <c r="AA26" s="17">
        <f>_2020_21[[#This Row],[Column22]]/_2020_21[[#This Row],[Column23]]</f>
        <v>0.64161849710982655</v>
      </c>
      <c r="AB26" s="4" t="s">
        <v>199</v>
      </c>
      <c r="AC26" s="4">
        <f>_2020_21[[#This Row],[Column24]]/D25</f>
        <v>2</v>
      </c>
      <c r="AD26" s="4" t="s">
        <v>200</v>
      </c>
      <c r="AE26" s="17">
        <f>AD26/D25</f>
        <v>8.1739130434782616</v>
      </c>
      <c r="AF26" s="4" t="s">
        <v>201</v>
      </c>
      <c r="AG26" s="4" t="s">
        <v>202</v>
      </c>
      <c r="AH26" s="4"/>
      <c r="AI26" s="17">
        <f t="shared" si="4"/>
        <v>48.6359708677941</v>
      </c>
      <c r="AJ26" s="4"/>
      <c r="AK26" s="4"/>
      <c r="AL26" s="4"/>
      <c r="AM26" s="4"/>
      <c r="AN26" s="4"/>
      <c r="AO26" s="4"/>
      <c r="AP26" s="56"/>
    </row>
    <row r="27" spans="1:42" x14ac:dyDescent="0.2">
      <c r="AB27" t="s">
        <v>7</v>
      </c>
    </row>
    <row r="28" spans="1:42" x14ac:dyDescent="0.2">
      <c r="AB28" t="s">
        <v>7</v>
      </c>
    </row>
    <row r="29" spans="1:42" x14ac:dyDescent="0.2">
      <c r="AB29" t="s">
        <v>7</v>
      </c>
    </row>
    <row r="30" spans="1:42" x14ac:dyDescent="0.2">
      <c r="O30" t="s">
        <v>7</v>
      </c>
      <c r="P30" t="s">
        <v>7</v>
      </c>
      <c r="Q30" t="s">
        <v>7</v>
      </c>
      <c r="R30" t="s">
        <v>7</v>
      </c>
      <c r="S30" t="s">
        <v>7</v>
      </c>
      <c r="U30" t="s">
        <v>7</v>
      </c>
      <c r="V30" t="s">
        <v>7</v>
      </c>
      <c r="W30" t="s">
        <v>7</v>
      </c>
      <c r="Y30" t="s">
        <v>7</v>
      </c>
      <c r="AB30" t="s">
        <v>7</v>
      </c>
    </row>
    <row r="31" spans="1:42" x14ac:dyDescent="0.2">
      <c r="O31" t="s">
        <v>7</v>
      </c>
      <c r="P31" t="s">
        <v>7</v>
      </c>
      <c r="Q31" t="s">
        <v>7</v>
      </c>
      <c r="R31" t="s">
        <v>7</v>
      </c>
      <c r="S31" t="s">
        <v>7</v>
      </c>
      <c r="U31" t="s">
        <v>7</v>
      </c>
      <c r="V31" t="s">
        <v>7</v>
      </c>
      <c r="W31" t="s">
        <v>7</v>
      </c>
      <c r="Y31" t="s">
        <v>7</v>
      </c>
      <c r="AB31" t="s">
        <v>7</v>
      </c>
    </row>
    <row r="32" spans="1:42" x14ac:dyDescent="0.2">
      <c r="O32" t="s">
        <v>7</v>
      </c>
      <c r="P32" t="s">
        <v>7</v>
      </c>
      <c r="Q32" t="s">
        <v>7</v>
      </c>
      <c r="R32" t="s">
        <v>7</v>
      </c>
      <c r="S32" t="s">
        <v>7</v>
      </c>
      <c r="U32" t="s">
        <v>7</v>
      </c>
      <c r="V32" t="s">
        <v>7</v>
      </c>
      <c r="W32" t="s">
        <v>7</v>
      </c>
      <c r="Y32" t="s">
        <v>7</v>
      </c>
      <c r="AB32" t="s">
        <v>7</v>
      </c>
    </row>
    <row r="33" spans="15:28" x14ac:dyDescent="0.2">
      <c r="O33" t="s">
        <v>7</v>
      </c>
      <c r="P33" t="s">
        <v>7</v>
      </c>
      <c r="Q33" t="s">
        <v>7</v>
      </c>
      <c r="R33" t="s">
        <v>7</v>
      </c>
      <c r="S33" t="s">
        <v>7</v>
      </c>
      <c r="U33" t="s">
        <v>7</v>
      </c>
      <c r="V33" t="s">
        <v>7</v>
      </c>
      <c r="W33" t="s">
        <v>7</v>
      </c>
      <c r="Y33" t="s">
        <v>7</v>
      </c>
      <c r="AB33" t="s">
        <v>7</v>
      </c>
    </row>
    <row r="34" spans="15:28" x14ac:dyDescent="0.2">
      <c r="O34" t="s">
        <v>7</v>
      </c>
      <c r="P34" t="s">
        <v>7</v>
      </c>
      <c r="Q34" t="s">
        <v>7</v>
      </c>
      <c r="R34" t="s">
        <v>7</v>
      </c>
      <c r="S34" t="s">
        <v>7</v>
      </c>
      <c r="U34" t="s">
        <v>7</v>
      </c>
      <c r="V34" t="s">
        <v>7</v>
      </c>
      <c r="W34" t="s">
        <v>7</v>
      </c>
      <c r="Y34" t="s">
        <v>7</v>
      </c>
      <c r="AB34" t="s">
        <v>7</v>
      </c>
    </row>
    <row r="35" spans="15:28" x14ac:dyDescent="0.2">
      <c r="O35" t="s">
        <v>7</v>
      </c>
      <c r="P35" t="s">
        <v>7</v>
      </c>
      <c r="Q35" t="s">
        <v>7</v>
      </c>
      <c r="R35" t="s">
        <v>7</v>
      </c>
      <c r="S35" t="s">
        <v>7</v>
      </c>
      <c r="U35" t="s">
        <v>7</v>
      </c>
      <c r="V35" t="s">
        <v>7</v>
      </c>
      <c r="W35" t="s">
        <v>7</v>
      </c>
      <c r="Y35" t="s">
        <v>7</v>
      </c>
      <c r="AB35" t="s">
        <v>7</v>
      </c>
    </row>
    <row r="36" spans="15:28" x14ac:dyDescent="0.2">
      <c r="O36" t="s">
        <v>7</v>
      </c>
      <c r="P36" t="s">
        <v>7</v>
      </c>
      <c r="Q36" t="s">
        <v>7</v>
      </c>
      <c r="R36" t="s">
        <v>7</v>
      </c>
      <c r="S36" t="s">
        <v>7</v>
      </c>
      <c r="U36" t="s">
        <v>7</v>
      </c>
      <c r="V36" t="s">
        <v>7</v>
      </c>
      <c r="W36" t="s">
        <v>7</v>
      </c>
      <c r="Y36" t="s">
        <v>7</v>
      </c>
      <c r="AB36" t="s">
        <v>7</v>
      </c>
    </row>
    <row r="37" spans="15:28" x14ac:dyDescent="0.2">
      <c r="O37" t="s">
        <v>7</v>
      </c>
      <c r="P37" t="s">
        <v>7</v>
      </c>
      <c r="Q37" t="s">
        <v>7</v>
      </c>
      <c r="R37" t="s">
        <v>7</v>
      </c>
      <c r="S37" t="s">
        <v>7</v>
      </c>
      <c r="U37" t="s">
        <v>7</v>
      </c>
      <c r="V37" t="s">
        <v>7</v>
      </c>
      <c r="W37" t="s">
        <v>7</v>
      </c>
      <c r="Y37" t="s">
        <v>7</v>
      </c>
      <c r="AB37" t="s">
        <v>7</v>
      </c>
    </row>
    <row r="38" spans="15:28" x14ac:dyDescent="0.2">
      <c r="O38" t="s">
        <v>7</v>
      </c>
      <c r="P38" t="s">
        <v>7</v>
      </c>
      <c r="Q38" t="s">
        <v>7</v>
      </c>
      <c r="R38" t="s">
        <v>7</v>
      </c>
      <c r="S38" t="s">
        <v>7</v>
      </c>
      <c r="U38" t="s">
        <v>7</v>
      </c>
      <c r="V38" t="s">
        <v>7</v>
      </c>
      <c r="W38" t="s">
        <v>7</v>
      </c>
      <c r="Y38" t="s">
        <v>7</v>
      </c>
      <c r="AB38" t="s">
        <v>7</v>
      </c>
    </row>
    <row r="39" spans="15:28" x14ac:dyDescent="0.2">
      <c r="O39" t="s">
        <v>7</v>
      </c>
      <c r="P39" t="s">
        <v>7</v>
      </c>
      <c r="Q39" t="s">
        <v>7</v>
      </c>
      <c r="R39" t="s">
        <v>7</v>
      </c>
      <c r="S39" t="s">
        <v>7</v>
      </c>
      <c r="U39" t="s">
        <v>7</v>
      </c>
      <c r="V39" t="s">
        <v>7</v>
      </c>
      <c r="W39" t="s">
        <v>7</v>
      </c>
      <c r="Y39" t="s">
        <v>7</v>
      </c>
      <c r="AB39" t="s">
        <v>7</v>
      </c>
    </row>
    <row r="40" spans="15:28" x14ac:dyDescent="0.2">
      <c r="O40" t="s">
        <v>7</v>
      </c>
      <c r="P40" t="s">
        <v>7</v>
      </c>
      <c r="Q40" t="s">
        <v>7</v>
      </c>
      <c r="R40" t="s">
        <v>7</v>
      </c>
      <c r="S40" t="s">
        <v>7</v>
      </c>
      <c r="U40" t="s">
        <v>7</v>
      </c>
      <c r="V40" t="s">
        <v>7</v>
      </c>
      <c r="W40" t="s">
        <v>7</v>
      </c>
      <c r="Y40" t="s">
        <v>7</v>
      </c>
      <c r="AB40" t="s">
        <v>7</v>
      </c>
    </row>
    <row r="41" spans="15:28" x14ac:dyDescent="0.2">
      <c r="O41" t="s">
        <v>7</v>
      </c>
      <c r="P41" t="s">
        <v>7</v>
      </c>
      <c r="Q41" t="s">
        <v>7</v>
      </c>
      <c r="R41" t="s">
        <v>7</v>
      </c>
      <c r="S41" t="s">
        <v>7</v>
      </c>
      <c r="U41" t="s">
        <v>7</v>
      </c>
      <c r="V41" t="s">
        <v>7</v>
      </c>
      <c r="W41" t="s">
        <v>7</v>
      </c>
      <c r="Y41" t="s">
        <v>7</v>
      </c>
      <c r="AB41" t="s">
        <v>7</v>
      </c>
    </row>
    <row r="42" spans="15:28" x14ac:dyDescent="0.2">
      <c r="O42" t="s">
        <v>7</v>
      </c>
      <c r="P42" t="s">
        <v>7</v>
      </c>
      <c r="Q42" t="s">
        <v>7</v>
      </c>
      <c r="R42" t="s">
        <v>7</v>
      </c>
      <c r="S42" t="s">
        <v>7</v>
      </c>
      <c r="U42" t="s">
        <v>7</v>
      </c>
      <c r="V42" t="s">
        <v>7</v>
      </c>
      <c r="W42" t="s">
        <v>7</v>
      </c>
      <c r="Y42" t="s">
        <v>7</v>
      </c>
      <c r="AB42" t="s">
        <v>7</v>
      </c>
    </row>
    <row r="43" spans="15:28" x14ac:dyDescent="0.2">
      <c r="O43" t="s">
        <v>7</v>
      </c>
      <c r="P43" t="s">
        <v>7</v>
      </c>
      <c r="Q43" t="s">
        <v>7</v>
      </c>
      <c r="R43" t="s">
        <v>7</v>
      </c>
      <c r="S43" t="s">
        <v>7</v>
      </c>
      <c r="U43" t="s">
        <v>7</v>
      </c>
      <c r="V43" t="s">
        <v>7</v>
      </c>
      <c r="W43" t="s">
        <v>7</v>
      </c>
      <c r="Y43" t="s">
        <v>7</v>
      </c>
      <c r="AB43" t="s">
        <v>7</v>
      </c>
    </row>
    <row r="44" spans="15:28" x14ac:dyDescent="0.2">
      <c r="O44" t="s">
        <v>7</v>
      </c>
      <c r="P44" t="s">
        <v>7</v>
      </c>
      <c r="Q44" t="s">
        <v>7</v>
      </c>
      <c r="R44" t="s">
        <v>7</v>
      </c>
      <c r="S44" t="s">
        <v>7</v>
      </c>
      <c r="U44" t="s">
        <v>7</v>
      </c>
      <c r="V44" t="s">
        <v>7</v>
      </c>
      <c r="W44" t="s">
        <v>7</v>
      </c>
      <c r="Y44" t="s">
        <v>7</v>
      </c>
      <c r="AB44" t="s">
        <v>7</v>
      </c>
    </row>
    <row r="45" spans="15:28" x14ac:dyDescent="0.2">
      <c r="O45" t="s">
        <v>7</v>
      </c>
      <c r="P45" t="s">
        <v>7</v>
      </c>
      <c r="Q45" t="s">
        <v>7</v>
      </c>
      <c r="R45" t="s">
        <v>7</v>
      </c>
      <c r="S45" t="s">
        <v>7</v>
      </c>
      <c r="U45" t="s">
        <v>7</v>
      </c>
      <c r="V45" t="s">
        <v>7</v>
      </c>
      <c r="W45" t="s">
        <v>7</v>
      </c>
      <c r="Y45" t="s">
        <v>7</v>
      </c>
      <c r="AB45" t="s">
        <v>7</v>
      </c>
    </row>
    <row r="46" spans="15:28" x14ac:dyDescent="0.2">
      <c r="O46" t="s">
        <v>7</v>
      </c>
      <c r="P46" t="s">
        <v>7</v>
      </c>
      <c r="Q46" t="s">
        <v>7</v>
      </c>
      <c r="R46" t="s">
        <v>7</v>
      </c>
      <c r="S46" t="s">
        <v>7</v>
      </c>
      <c r="U46" t="s">
        <v>7</v>
      </c>
      <c r="V46" t="s">
        <v>7</v>
      </c>
      <c r="W46" t="s">
        <v>7</v>
      </c>
      <c r="Y46" t="s">
        <v>7</v>
      </c>
      <c r="AB46" t="s">
        <v>7</v>
      </c>
    </row>
    <row r="47" spans="15:28" x14ac:dyDescent="0.2">
      <c r="O47" t="s">
        <v>7</v>
      </c>
      <c r="P47" t="s">
        <v>7</v>
      </c>
      <c r="Q47" t="s">
        <v>7</v>
      </c>
      <c r="R47" t="s">
        <v>7</v>
      </c>
      <c r="S47" t="s">
        <v>7</v>
      </c>
      <c r="U47" t="s">
        <v>7</v>
      </c>
      <c r="V47" t="s">
        <v>7</v>
      </c>
      <c r="W47" t="s">
        <v>7</v>
      </c>
      <c r="Y47" t="s">
        <v>7</v>
      </c>
      <c r="AB47" t="s">
        <v>7</v>
      </c>
    </row>
    <row r="48" spans="15:28" x14ac:dyDescent="0.2">
      <c r="O48" t="s">
        <v>7</v>
      </c>
      <c r="P48" t="s">
        <v>7</v>
      </c>
      <c r="Q48" t="s">
        <v>7</v>
      </c>
      <c r="R48" t="s">
        <v>7</v>
      </c>
      <c r="S48" t="s">
        <v>7</v>
      </c>
      <c r="U48" t="s">
        <v>7</v>
      </c>
      <c r="V48" t="s">
        <v>7</v>
      </c>
      <c r="W48" t="s">
        <v>7</v>
      </c>
      <c r="Y48" t="s">
        <v>7</v>
      </c>
      <c r="AB48" t="s">
        <v>7</v>
      </c>
    </row>
    <row r="49" spans="9:30" x14ac:dyDescent="0.2">
      <c r="O49" t="s">
        <v>7</v>
      </c>
      <c r="P49" t="s">
        <v>7</v>
      </c>
      <c r="Q49" t="s">
        <v>7</v>
      </c>
      <c r="R49" t="s">
        <v>7</v>
      </c>
      <c r="S49" t="s">
        <v>7</v>
      </c>
      <c r="U49" t="s">
        <v>7</v>
      </c>
      <c r="V49" t="s">
        <v>7</v>
      </c>
      <c r="W49" t="s">
        <v>7</v>
      </c>
      <c r="Y49" t="s">
        <v>7</v>
      </c>
      <c r="AB49" t="s">
        <v>7</v>
      </c>
    </row>
    <row r="50" spans="9:30" x14ac:dyDescent="0.2">
      <c r="O50" t="s">
        <v>7</v>
      </c>
      <c r="P50" t="s">
        <v>7</v>
      </c>
      <c r="Q50" t="s">
        <v>7</v>
      </c>
      <c r="R50" t="s">
        <v>7</v>
      </c>
      <c r="S50" t="s">
        <v>7</v>
      </c>
      <c r="U50" t="s">
        <v>7</v>
      </c>
      <c r="V50" t="s">
        <v>7</v>
      </c>
      <c r="W50" t="s">
        <v>7</v>
      </c>
      <c r="Y50" t="s">
        <v>7</v>
      </c>
      <c r="AB50" t="s">
        <v>7</v>
      </c>
    </row>
    <row r="51" spans="9:30" x14ac:dyDescent="0.2">
      <c r="O51" t="s">
        <v>7</v>
      </c>
      <c r="P51" t="s">
        <v>7</v>
      </c>
      <c r="Q51" t="s">
        <v>7</v>
      </c>
      <c r="R51" t="s">
        <v>7</v>
      </c>
      <c r="S51" t="s">
        <v>7</v>
      </c>
      <c r="U51" t="s">
        <v>7</v>
      </c>
      <c r="V51" t="s">
        <v>7</v>
      </c>
      <c r="W51" t="s">
        <v>7</v>
      </c>
      <c r="Y51" t="s">
        <v>7</v>
      </c>
      <c r="AB51" t="s">
        <v>7</v>
      </c>
    </row>
    <row r="52" spans="9:30" x14ac:dyDescent="0.2">
      <c r="O52" t="s">
        <v>7</v>
      </c>
      <c r="P52" t="s">
        <v>7</v>
      </c>
      <c r="Q52" t="s">
        <v>7</v>
      </c>
      <c r="R52" t="s">
        <v>7</v>
      </c>
      <c r="S52" t="s">
        <v>7</v>
      </c>
      <c r="U52" t="s">
        <v>7</v>
      </c>
      <c r="V52" t="s">
        <v>7</v>
      </c>
      <c r="W52" t="s">
        <v>7</v>
      </c>
      <c r="Y52" t="s">
        <v>7</v>
      </c>
      <c r="AB52" t="s">
        <v>7</v>
      </c>
    </row>
    <row r="53" spans="9:30" x14ac:dyDescent="0.2">
      <c r="O53" t="s">
        <v>7</v>
      </c>
      <c r="P53" t="s">
        <v>7</v>
      </c>
      <c r="Q53" t="s">
        <v>7</v>
      </c>
      <c r="R53" t="s">
        <v>7</v>
      </c>
      <c r="S53" t="s">
        <v>7</v>
      </c>
      <c r="U53" t="s">
        <v>7</v>
      </c>
      <c r="V53" t="s">
        <v>7</v>
      </c>
      <c r="W53" t="s">
        <v>7</v>
      </c>
      <c r="Y53" t="s">
        <v>7</v>
      </c>
      <c r="AB53" t="s">
        <v>7</v>
      </c>
    </row>
    <row r="54" spans="9:30" x14ac:dyDescent="0.2">
      <c r="J54" t="s">
        <v>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Y54" t="s">
        <v>7</v>
      </c>
      <c r="AB54" t="s">
        <v>7</v>
      </c>
      <c r="AD54" t="s">
        <v>7</v>
      </c>
    </row>
    <row r="55" spans="9:30" x14ac:dyDescent="0.2">
      <c r="J55" t="s">
        <v>7</v>
      </c>
      <c r="K55" t="s">
        <v>7</v>
      </c>
      <c r="L55" t="s">
        <v>7</v>
      </c>
      <c r="M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Y55" t="s">
        <v>7</v>
      </c>
      <c r="AB55" t="s">
        <v>7</v>
      </c>
    </row>
    <row r="56" spans="9:30" x14ac:dyDescent="0.2">
      <c r="J56" t="s">
        <v>7</v>
      </c>
      <c r="K56" t="s">
        <v>7</v>
      </c>
      <c r="L56" t="s">
        <v>7</v>
      </c>
      <c r="M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Y56" t="s">
        <v>7</v>
      </c>
      <c r="AB56" t="s">
        <v>7</v>
      </c>
    </row>
    <row r="57" spans="9:30" x14ac:dyDescent="0.2">
      <c r="J57" t="s">
        <v>7</v>
      </c>
      <c r="K57" t="s">
        <v>7</v>
      </c>
      <c r="L57" t="s">
        <v>7</v>
      </c>
      <c r="M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Y57" t="s">
        <v>7</v>
      </c>
      <c r="AB57" t="s">
        <v>7</v>
      </c>
    </row>
    <row r="58" spans="9:30" x14ac:dyDescent="0.2">
      <c r="I58" t="s">
        <v>7</v>
      </c>
      <c r="J58" t="s">
        <v>7</v>
      </c>
      <c r="K58" t="s">
        <v>7</v>
      </c>
      <c r="L58" t="s">
        <v>7</v>
      </c>
      <c r="M58" t="s">
        <v>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Y58" t="s">
        <v>7</v>
      </c>
      <c r="AB58" t="s">
        <v>7</v>
      </c>
    </row>
    <row r="59" spans="9:30" x14ac:dyDescent="0.2">
      <c r="I59" t="s">
        <v>7</v>
      </c>
      <c r="J59" t="s">
        <v>7</v>
      </c>
      <c r="K59" t="s">
        <v>7</v>
      </c>
      <c r="L59" t="s">
        <v>7</v>
      </c>
      <c r="M59" t="s">
        <v>7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Y59" t="s">
        <v>7</v>
      </c>
      <c r="AB59" t="s">
        <v>7</v>
      </c>
    </row>
    <row r="60" spans="9:30" x14ac:dyDescent="0.2">
      <c r="I60" t="s">
        <v>7</v>
      </c>
      <c r="J60" t="s">
        <v>7</v>
      </c>
      <c r="K60" t="s">
        <v>7</v>
      </c>
      <c r="L60" t="s">
        <v>7</v>
      </c>
      <c r="M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Y60" t="s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091C3-2342-234C-B052-F49857A40C95}">
  <dimension ref="A1:AP134"/>
  <sheetViews>
    <sheetView topLeftCell="W1" zoomScale="125" workbookViewId="0">
      <selection activeCell="Q33" sqref="Q33"/>
    </sheetView>
  </sheetViews>
  <sheetFormatPr baseColWidth="10" defaultRowHeight="16" x14ac:dyDescent="0.2"/>
  <cols>
    <col min="1" max="1" width="21.33203125" customWidth="1"/>
    <col min="2" max="2" width="15.6640625" bestFit="1" customWidth="1"/>
    <col min="3" max="3" width="15.6640625" customWidth="1"/>
  </cols>
  <sheetData>
    <row r="1" spans="1:42" ht="17" thickBot="1" x14ac:dyDescent="0.25">
      <c r="A1" s="23"/>
      <c r="B1" s="26" t="s">
        <v>481</v>
      </c>
      <c r="C1" s="28"/>
      <c r="D1" s="27"/>
      <c r="E1" s="28" t="s">
        <v>483</v>
      </c>
      <c r="F1" s="27"/>
      <c r="G1" s="28" t="s">
        <v>485</v>
      </c>
      <c r="H1" s="27"/>
      <c r="I1" s="28" t="s">
        <v>482</v>
      </c>
      <c r="J1" s="27"/>
      <c r="K1" s="28" t="s">
        <v>486</v>
      </c>
      <c r="L1" s="27"/>
      <c r="N1" s="10" t="s">
        <v>478</v>
      </c>
      <c r="O1" s="11" t="s">
        <v>207</v>
      </c>
      <c r="P1" s="11" t="s">
        <v>208</v>
      </c>
      <c r="Q1" s="11" t="s">
        <v>209</v>
      </c>
      <c r="R1" s="11" t="s">
        <v>210</v>
      </c>
      <c r="S1" s="11" t="s">
        <v>479</v>
      </c>
      <c r="T1" s="12" t="s">
        <v>480</v>
      </c>
    </row>
    <row r="2" spans="1:42" ht="17" thickBot="1" x14ac:dyDescent="0.25">
      <c r="A2" s="26" t="s">
        <v>484</v>
      </c>
      <c r="B2" s="24" t="s">
        <v>204</v>
      </c>
      <c r="C2" s="23"/>
      <c r="D2" s="25" t="s">
        <v>205</v>
      </c>
      <c r="E2" s="23" t="s">
        <v>204</v>
      </c>
      <c r="F2" s="25" t="s">
        <v>205</v>
      </c>
      <c r="G2" s="23" t="s">
        <v>204</v>
      </c>
      <c r="H2" s="25" t="s">
        <v>205</v>
      </c>
      <c r="I2" s="23" t="s">
        <v>204</v>
      </c>
      <c r="J2" s="25" t="s">
        <v>205</v>
      </c>
      <c r="K2" s="23" t="s">
        <v>204</v>
      </c>
      <c r="L2" s="25" t="s">
        <v>205</v>
      </c>
      <c r="N2" s="9" t="s">
        <v>2</v>
      </c>
      <c r="O2">
        <v>550</v>
      </c>
      <c r="P2">
        <v>576</v>
      </c>
      <c r="Q2">
        <v>633</v>
      </c>
      <c r="R2">
        <v>617</v>
      </c>
      <c r="S2">
        <v>20</v>
      </c>
      <c r="T2" s="6">
        <f>SUM(O2:S2)</f>
        <v>2396</v>
      </c>
      <c r="V2" s="61" t="s">
        <v>508</v>
      </c>
      <c r="W2" s="62">
        <v>14.22</v>
      </c>
    </row>
    <row r="3" spans="1:42" ht="17" thickBot="1" x14ac:dyDescent="0.25">
      <c r="A3" s="20"/>
      <c r="B3" s="20">
        <v>19</v>
      </c>
      <c r="C3" s="21"/>
      <c r="D3" s="22">
        <v>14</v>
      </c>
      <c r="E3" s="21">
        <v>12</v>
      </c>
      <c r="F3" s="22">
        <v>11</v>
      </c>
      <c r="G3" s="21">
        <v>11</v>
      </c>
      <c r="H3" s="22">
        <v>4</v>
      </c>
      <c r="I3" s="21">
        <v>7</v>
      </c>
      <c r="J3" s="22">
        <v>8</v>
      </c>
      <c r="K3" s="21">
        <v>1</v>
      </c>
      <c r="L3" s="22">
        <v>2</v>
      </c>
      <c r="N3" s="3" t="s">
        <v>488</v>
      </c>
      <c r="O3" s="4">
        <v>544</v>
      </c>
      <c r="P3" s="4">
        <v>518</v>
      </c>
      <c r="Q3" s="4">
        <v>566</v>
      </c>
      <c r="R3" s="4">
        <v>579</v>
      </c>
      <c r="S3" s="4">
        <v>28</v>
      </c>
      <c r="T3" s="6">
        <f>SUM(O3:S3)</f>
        <v>2235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515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10</v>
      </c>
      <c r="B10" s="2" t="s">
        <v>41</v>
      </c>
      <c r="C10" s="2" t="s">
        <v>517</v>
      </c>
      <c r="D10" s="2">
        <v>33</v>
      </c>
      <c r="E10" s="2">
        <v>33</v>
      </c>
      <c r="F10" s="2">
        <v>1052</v>
      </c>
      <c r="G10" s="2">
        <v>31.9</v>
      </c>
      <c r="H10" s="2">
        <v>181</v>
      </c>
      <c r="I10" s="2">
        <v>477</v>
      </c>
      <c r="J10" s="2">
        <v>0.379</v>
      </c>
      <c r="K10" s="2">
        <v>22</v>
      </c>
      <c r="L10" s="2">
        <v>106</v>
      </c>
      <c r="M10" s="2">
        <v>0.20799999999999999</v>
      </c>
      <c r="N10" s="16">
        <f>(H10+(0.5*K10))/(L10+I10)</f>
        <v>0.32933104631217841</v>
      </c>
      <c r="O10" s="2">
        <v>94</v>
      </c>
      <c r="P10" s="2">
        <v>116</v>
      </c>
      <c r="Q10" s="2">
        <v>0.81</v>
      </c>
      <c r="R10" s="2">
        <v>30</v>
      </c>
      <c r="S10" s="2">
        <v>189</v>
      </c>
      <c r="T10" s="2">
        <v>219</v>
      </c>
      <c r="U10" s="2">
        <v>6.6</v>
      </c>
      <c r="V10" s="2">
        <v>80</v>
      </c>
      <c r="W10" s="2">
        <v>94</v>
      </c>
      <c r="X10" s="16">
        <f t="shared" ref="X10:X23" si="0">W10/D10</f>
        <v>2.8484848484848486</v>
      </c>
      <c r="Y10" s="2">
        <v>85</v>
      </c>
      <c r="Z10" s="16">
        <f t="shared" ref="Z10:Z24" si="1">Y10/D10</f>
        <v>2.5757575757575757</v>
      </c>
      <c r="AA10" s="16">
        <f>W10/Y10</f>
        <v>1.1058823529411765</v>
      </c>
      <c r="AB10" s="2">
        <v>15</v>
      </c>
      <c r="AC10" s="16">
        <f t="shared" ref="AC10:AC23" si="2">AB10/D10</f>
        <v>0.45454545454545453</v>
      </c>
      <c r="AD10" s="2">
        <v>41</v>
      </c>
      <c r="AE10" s="16">
        <f t="shared" ref="AE10:AE24" si="3">AD10/D10</f>
        <v>1.2424242424242424</v>
      </c>
      <c r="AF10" s="2">
        <v>478</v>
      </c>
      <c r="AG10" s="2">
        <v>14.5</v>
      </c>
      <c r="AH10" s="74">
        <f>((AF10+T10+W10+AD10+AB10-Y10)/F10)*40</f>
        <v>28.973384030418252</v>
      </c>
      <c r="AI10" s="16">
        <f t="shared" ref="AI10:AI25" si="4" xml:space="preserve"> AF10 / (2 * (I10 + 0.44 * P10)) * 100</f>
        <v>45.261722596772977</v>
      </c>
      <c r="AJ10" s="39">
        <f xml:space="preserve"> ((I10 + 0.44*P10 + Y10) * ($F$24/5)) / (F10 * ($I$24+ 0.44*$P$24 + $Y$24)) * 100</f>
        <v>27.379476873397195</v>
      </c>
      <c r="AK10" s="16">
        <f xml:space="preserve"> 100 * (W10 / ( ( (F10 / ($F$24/5)) * $H$24 ) - H10 ) )</f>
        <v>18.754868806832732</v>
      </c>
      <c r="AL10" s="16">
        <f xml:space="preserve"> (100 * (R10 * ($F$24/5)) / (F10 * $R$24+ ($F$24- F10) * $S$25)) + (100 * (S10 * ($F$24/5)) / (F10 * $S$24+ ($F$24- F10) * $R$25))</f>
        <v>10.583383521399284</v>
      </c>
      <c r="AM10" s="16">
        <f xml:space="preserve"> 100 * (Y10 * ($F$24/5)) / (F10 * ($I$24+ 0.44*$P$24 + $Y$24))</f>
        <v>3.7962539707666094</v>
      </c>
      <c r="AN10" s="16">
        <f xml:space="preserve"> 100 * (AD10 * ($F$24/5)) / (F10 * ($I$24+ 0.44 * $P$24+ $Y$24))</f>
        <v>1.8311342682521292</v>
      </c>
      <c r="AO10" s="16">
        <f xml:space="preserve"> 100 * (AB10 * ($F$24/5)) / (F10 * ($I$25 - $L$25))</f>
        <v>1.3325340710044005</v>
      </c>
      <c r="AP10" s="44">
        <f>AD10+AB10</f>
        <v>56</v>
      </c>
    </row>
    <row r="11" spans="1:42" x14ac:dyDescent="0.2">
      <c r="A11" s="9">
        <v>22</v>
      </c>
      <c r="B11" t="s">
        <v>87</v>
      </c>
      <c r="C11" t="s">
        <v>520</v>
      </c>
      <c r="D11">
        <v>33</v>
      </c>
      <c r="E11">
        <v>33</v>
      </c>
      <c r="F11">
        <v>1052</v>
      </c>
      <c r="G11">
        <v>31.9</v>
      </c>
      <c r="H11">
        <v>160</v>
      </c>
      <c r="I11">
        <v>342</v>
      </c>
      <c r="J11">
        <v>0.46800000000000003</v>
      </c>
      <c r="K11">
        <v>2</v>
      </c>
      <c r="L11">
        <v>5</v>
      </c>
      <c r="M11">
        <v>0.4</v>
      </c>
      <c r="N11" s="37">
        <f t="shared" ref="N11:N22" si="5">(H11+(0.5*K11))/(L11+I11)</f>
        <v>0.46397694524495675</v>
      </c>
      <c r="O11">
        <v>115</v>
      </c>
      <c r="P11">
        <v>165</v>
      </c>
      <c r="Q11">
        <v>0.69699999999999995</v>
      </c>
      <c r="R11">
        <v>215</v>
      </c>
      <c r="S11">
        <v>185</v>
      </c>
      <c r="T11">
        <v>400</v>
      </c>
      <c r="U11">
        <v>12.1</v>
      </c>
      <c r="V11">
        <v>105</v>
      </c>
      <c r="W11">
        <v>54</v>
      </c>
      <c r="X11" s="37">
        <f t="shared" si="0"/>
        <v>1.6363636363636365</v>
      </c>
      <c r="Y11">
        <v>62</v>
      </c>
      <c r="Z11" s="37">
        <f t="shared" si="1"/>
        <v>1.8787878787878789</v>
      </c>
      <c r="AA11" s="37">
        <f t="shared" ref="AA11:AA22" si="6">W11/Y11</f>
        <v>0.87096774193548387</v>
      </c>
      <c r="AB11">
        <v>15</v>
      </c>
      <c r="AC11" s="37">
        <f t="shared" si="2"/>
        <v>0.45454545454545453</v>
      </c>
      <c r="AD11">
        <v>28</v>
      </c>
      <c r="AE11" s="37">
        <f t="shared" si="3"/>
        <v>0.84848484848484851</v>
      </c>
      <c r="AF11">
        <v>437</v>
      </c>
      <c r="AG11">
        <v>13.2</v>
      </c>
      <c r="AH11" s="74">
        <f t="shared" ref="AH11:AH23" si="7">((AF11+T11+W11+AD11+AB11-Y11)/F11)*40</f>
        <v>33.155893536121674</v>
      </c>
      <c r="AI11" s="37">
        <f t="shared" si="4"/>
        <v>52.701398938736133</v>
      </c>
      <c r="AJ11" s="40">
        <f t="shared" ref="AJ11:AJ23" si="8" xml:space="preserve"> ((I11 + 0.44*P11 + Y11) * ($F$24/5)) / (F11 * ($I$24+ 0.44*$P$24 + $Y$24)) * 100</f>
        <v>21.285819323145482</v>
      </c>
      <c r="AK11" s="37">
        <f t="shared" ref="AK11:AK23" si="9" xml:space="preserve"> 100 * (W11 / ( ( (F11 / ($F$24/5)) * $H$24 ) - H11 ) )</f>
        <v>10.340802477307655</v>
      </c>
      <c r="AL11" s="37">
        <f t="shared" ref="AL11:AL23" si="10" xml:space="preserve"> (100 * (R11 * ($F$24/5)) / (F11 * $R$24+ ($F$24- F11) * $S$25)) + (100 * (S11 * ($F$24/5)) / (F11 * $S$24+ ($F$24- F11) * $R$25))</f>
        <v>15.809137130593047</v>
      </c>
      <c r="AM11" s="37">
        <f t="shared" ref="AM11:AM23" si="11" xml:space="preserve"> 100 * (Y11 * ($F$24/5)) / (F11 * ($I$24+ 0.44*$P$24 + $Y$24))</f>
        <v>2.7690323080885855</v>
      </c>
      <c r="AN11" s="37">
        <f t="shared" ref="AN11:AN22" si="12" xml:space="preserve"> 100 * (AD11 * ($F$24/5)) / (F11 * ($I$24+ 0.44 * $P$24+ $Y$24))</f>
        <v>1.250530719781942</v>
      </c>
      <c r="AO11" s="37">
        <f t="shared" ref="AO11:AO23" si="13" xml:space="preserve"> 100 * (AB11 * ($F$24/5)) / (F11 * ($I$25 - $L$25))</f>
        <v>1.3325340710044005</v>
      </c>
      <c r="AP11" s="5">
        <f t="shared" ref="AP11:AP23" si="14">AD11+AB11</f>
        <v>43</v>
      </c>
    </row>
    <row r="12" spans="1:42" x14ac:dyDescent="0.2">
      <c r="A12" s="9">
        <v>30</v>
      </c>
      <c r="B12" t="s">
        <v>73</v>
      </c>
      <c r="C12" t="s">
        <v>517</v>
      </c>
      <c r="D12">
        <v>31</v>
      </c>
      <c r="E12">
        <v>27</v>
      </c>
      <c r="F12">
        <v>987</v>
      </c>
      <c r="G12">
        <v>31.8</v>
      </c>
      <c r="H12">
        <v>130</v>
      </c>
      <c r="I12">
        <v>321</v>
      </c>
      <c r="J12">
        <v>0.40500000000000003</v>
      </c>
      <c r="K12">
        <v>32</v>
      </c>
      <c r="L12">
        <v>97</v>
      </c>
      <c r="M12">
        <v>0.33</v>
      </c>
      <c r="N12" s="37">
        <f t="shared" si="5"/>
        <v>0.34928229665071769</v>
      </c>
      <c r="O12">
        <v>39</v>
      </c>
      <c r="P12">
        <v>56</v>
      </c>
      <c r="Q12">
        <v>0.69599999999999995</v>
      </c>
      <c r="R12">
        <v>30</v>
      </c>
      <c r="S12">
        <v>106</v>
      </c>
      <c r="T12">
        <v>136</v>
      </c>
      <c r="U12">
        <v>4.4000000000000004</v>
      </c>
      <c r="V12">
        <v>70</v>
      </c>
      <c r="W12">
        <v>82</v>
      </c>
      <c r="X12" s="37">
        <f t="shared" si="0"/>
        <v>2.6451612903225805</v>
      </c>
      <c r="Y12">
        <v>72</v>
      </c>
      <c r="Z12" s="37">
        <f t="shared" si="1"/>
        <v>2.3225806451612905</v>
      </c>
      <c r="AA12" s="37">
        <f t="shared" si="6"/>
        <v>1.1388888888888888</v>
      </c>
      <c r="AB12">
        <v>10</v>
      </c>
      <c r="AC12" s="37">
        <f t="shared" si="2"/>
        <v>0.32258064516129031</v>
      </c>
      <c r="AD12">
        <v>34</v>
      </c>
      <c r="AE12" s="37">
        <f t="shared" si="3"/>
        <v>1.096774193548387</v>
      </c>
      <c r="AF12">
        <v>331</v>
      </c>
      <c r="AG12">
        <v>10.7</v>
      </c>
      <c r="AH12" s="74">
        <f t="shared" si="7"/>
        <v>21.114488348530898</v>
      </c>
      <c r="AI12" s="37">
        <f t="shared" si="4"/>
        <v>47.882189561393353</v>
      </c>
      <c r="AJ12" s="40">
        <f t="shared" si="8"/>
        <v>19.880944261102769</v>
      </c>
      <c r="AK12" s="37">
        <f t="shared" si="9"/>
        <v>16.076796945093896</v>
      </c>
      <c r="AL12" s="37">
        <f t="shared" si="10"/>
        <v>6.3930955678976664</v>
      </c>
      <c r="AM12" s="37">
        <f t="shared" si="11"/>
        <v>3.4274207135317485</v>
      </c>
      <c r="AN12" s="37">
        <f t="shared" si="12"/>
        <v>1.6185042258344366</v>
      </c>
      <c r="AO12" s="37">
        <f t="shared" si="13"/>
        <v>0.94685973839691262</v>
      </c>
      <c r="AP12" s="5">
        <f t="shared" si="14"/>
        <v>44</v>
      </c>
    </row>
    <row r="13" spans="1:42" x14ac:dyDescent="0.2">
      <c r="A13" s="9">
        <v>21</v>
      </c>
      <c r="B13" t="s">
        <v>102</v>
      </c>
      <c r="C13" t="s">
        <v>518</v>
      </c>
      <c r="D13">
        <v>33</v>
      </c>
      <c r="E13">
        <v>32</v>
      </c>
      <c r="F13">
        <v>935</v>
      </c>
      <c r="G13">
        <v>28.3</v>
      </c>
      <c r="H13">
        <v>109</v>
      </c>
      <c r="I13">
        <v>267</v>
      </c>
      <c r="J13">
        <v>0.40799999999999997</v>
      </c>
      <c r="K13">
        <v>43</v>
      </c>
      <c r="L13">
        <v>127</v>
      </c>
      <c r="M13">
        <v>0.33900000000000002</v>
      </c>
      <c r="N13" s="37">
        <f t="shared" si="5"/>
        <v>0.33121827411167515</v>
      </c>
      <c r="O13">
        <v>71</v>
      </c>
      <c r="P13">
        <v>78</v>
      </c>
      <c r="Q13">
        <v>0.91</v>
      </c>
      <c r="R13">
        <v>45</v>
      </c>
      <c r="S13">
        <v>123</v>
      </c>
      <c r="T13">
        <v>168</v>
      </c>
      <c r="U13">
        <v>5.0999999999999996</v>
      </c>
      <c r="V13">
        <v>62</v>
      </c>
      <c r="W13">
        <v>35</v>
      </c>
      <c r="X13" s="37">
        <f t="shared" si="0"/>
        <v>1.0606060606060606</v>
      </c>
      <c r="Y13">
        <v>36</v>
      </c>
      <c r="Z13" s="37">
        <f t="shared" si="1"/>
        <v>1.0909090909090908</v>
      </c>
      <c r="AA13" s="37">
        <f t="shared" si="6"/>
        <v>0.97222222222222221</v>
      </c>
      <c r="AB13">
        <v>27</v>
      </c>
      <c r="AC13" s="37">
        <f t="shared" si="2"/>
        <v>0.81818181818181823</v>
      </c>
      <c r="AD13">
        <v>20</v>
      </c>
      <c r="AE13" s="37">
        <f t="shared" si="3"/>
        <v>0.60606060606060608</v>
      </c>
      <c r="AF13">
        <v>332</v>
      </c>
      <c r="AG13">
        <v>10.1</v>
      </c>
      <c r="AH13" s="74">
        <f t="shared" si="7"/>
        <v>23.358288770053477</v>
      </c>
      <c r="AI13" s="37">
        <f t="shared" si="4"/>
        <v>55.090933227133945</v>
      </c>
      <c r="AJ13" s="40">
        <f t="shared" si="8"/>
        <v>16.950501587527906</v>
      </c>
      <c r="AK13" s="37">
        <f t="shared" si="9"/>
        <v>7.0375696648081325</v>
      </c>
      <c r="AL13" s="37">
        <f t="shared" si="10"/>
        <v>7.7828151951161466</v>
      </c>
      <c r="AM13" s="37">
        <f t="shared" si="11"/>
        <v>1.809018312436276</v>
      </c>
      <c r="AN13" s="37">
        <f t="shared" si="12"/>
        <v>1.0050101735757089</v>
      </c>
      <c r="AO13" s="37">
        <f t="shared" si="13"/>
        <v>2.6987021570630296</v>
      </c>
      <c r="AP13" s="5">
        <f t="shared" si="14"/>
        <v>47</v>
      </c>
    </row>
    <row r="14" spans="1:42" x14ac:dyDescent="0.2">
      <c r="A14" s="9">
        <v>11</v>
      </c>
      <c r="B14" t="s">
        <v>58</v>
      </c>
      <c r="C14" t="s">
        <v>517</v>
      </c>
      <c r="D14">
        <v>31</v>
      </c>
      <c r="E14">
        <v>1</v>
      </c>
      <c r="F14">
        <v>703</v>
      </c>
      <c r="G14">
        <v>22.7</v>
      </c>
      <c r="H14">
        <v>87</v>
      </c>
      <c r="I14">
        <v>251</v>
      </c>
      <c r="J14">
        <v>0.34699999999999998</v>
      </c>
      <c r="K14">
        <v>49</v>
      </c>
      <c r="L14">
        <v>134</v>
      </c>
      <c r="M14">
        <v>0.36599999999999999</v>
      </c>
      <c r="N14" s="37">
        <f t="shared" si="5"/>
        <v>0.2896103896103896</v>
      </c>
      <c r="O14">
        <v>51</v>
      </c>
      <c r="P14">
        <v>55</v>
      </c>
      <c r="Q14">
        <v>0.92700000000000005</v>
      </c>
      <c r="R14">
        <v>6</v>
      </c>
      <c r="S14">
        <v>40</v>
      </c>
      <c r="T14">
        <v>46</v>
      </c>
      <c r="U14">
        <v>1.5</v>
      </c>
      <c r="V14">
        <v>40</v>
      </c>
      <c r="W14">
        <v>31</v>
      </c>
      <c r="X14" s="37">
        <f t="shared" si="0"/>
        <v>1</v>
      </c>
      <c r="Y14">
        <v>41</v>
      </c>
      <c r="Z14" s="37">
        <f t="shared" si="1"/>
        <v>1.3225806451612903</v>
      </c>
      <c r="AA14" s="37">
        <f t="shared" si="6"/>
        <v>0.75609756097560976</v>
      </c>
      <c r="AB14">
        <v>1</v>
      </c>
      <c r="AC14" s="37">
        <f t="shared" si="2"/>
        <v>3.2258064516129031E-2</v>
      </c>
      <c r="AD14">
        <v>21</v>
      </c>
      <c r="AE14" s="37">
        <f t="shared" si="3"/>
        <v>0.67741935483870963</v>
      </c>
      <c r="AF14">
        <v>274</v>
      </c>
      <c r="AG14">
        <v>8.8000000000000007</v>
      </c>
      <c r="AH14" s="74">
        <f t="shared" si="7"/>
        <v>18.890469416785209</v>
      </c>
      <c r="AI14" s="37">
        <f t="shared" si="4"/>
        <v>49.781976744186046</v>
      </c>
      <c r="AJ14" s="40">
        <f t="shared" si="8"/>
        <v>21.132876442897409</v>
      </c>
      <c r="AK14" s="37">
        <f t="shared" si="9"/>
        <v>8.4037502643053887</v>
      </c>
      <c r="AL14" s="37">
        <f t="shared" si="10"/>
        <v>2.3854947039987331</v>
      </c>
      <c r="AM14" s="37">
        <f t="shared" si="11"/>
        <v>2.7401895450942244</v>
      </c>
      <c r="AN14" s="37">
        <f t="shared" si="12"/>
        <v>1.4035117182189931</v>
      </c>
      <c r="AO14" s="37">
        <f t="shared" si="13"/>
        <v>0.13293749100963767</v>
      </c>
      <c r="AP14" s="5">
        <f t="shared" si="14"/>
        <v>22</v>
      </c>
    </row>
    <row r="15" spans="1:42" x14ac:dyDescent="0.2">
      <c r="A15" s="9">
        <v>32</v>
      </c>
      <c r="B15" t="s">
        <v>248</v>
      </c>
      <c r="C15" t="s">
        <v>517</v>
      </c>
      <c r="D15">
        <v>32</v>
      </c>
      <c r="E15">
        <v>0</v>
      </c>
      <c r="F15">
        <v>543</v>
      </c>
      <c r="G15">
        <v>17</v>
      </c>
      <c r="H15">
        <v>86</v>
      </c>
      <c r="I15">
        <v>171</v>
      </c>
      <c r="J15">
        <v>0.503</v>
      </c>
      <c r="K15">
        <v>0</v>
      </c>
      <c r="L15">
        <v>1</v>
      </c>
      <c r="M15">
        <v>0</v>
      </c>
      <c r="N15" s="37">
        <f t="shared" si="5"/>
        <v>0.5</v>
      </c>
      <c r="O15">
        <v>73</v>
      </c>
      <c r="P15">
        <v>96</v>
      </c>
      <c r="Q15">
        <v>0.76</v>
      </c>
      <c r="R15">
        <v>65</v>
      </c>
      <c r="S15">
        <v>83</v>
      </c>
      <c r="T15">
        <v>148</v>
      </c>
      <c r="U15">
        <v>4.5999999999999996</v>
      </c>
      <c r="V15">
        <v>57</v>
      </c>
      <c r="W15">
        <v>11</v>
      </c>
      <c r="X15" s="37">
        <f t="shared" si="0"/>
        <v>0.34375</v>
      </c>
      <c r="Y15">
        <v>20</v>
      </c>
      <c r="Z15" s="37">
        <f t="shared" si="1"/>
        <v>0.625</v>
      </c>
      <c r="AA15" s="37">
        <f t="shared" si="6"/>
        <v>0.55000000000000004</v>
      </c>
      <c r="AB15">
        <v>9</v>
      </c>
      <c r="AC15" s="37">
        <f t="shared" si="2"/>
        <v>0.28125</v>
      </c>
      <c r="AD15">
        <v>8</v>
      </c>
      <c r="AE15" s="37">
        <f t="shared" si="3"/>
        <v>0.25</v>
      </c>
      <c r="AF15">
        <v>245</v>
      </c>
      <c r="AG15">
        <v>7.7</v>
      </c>
      <c r="AH15" s="74">
        <f t="shared" si="7"/>
        <v>29.539594843462247</v>
      </c>
      <c r="AI15" s="37">
        <f t="shared" si="4"/>
        <v>57.447008066028879</v>
      </c>
      <c r="AJ15" s="40">
        <f t="shared" si="8"/>
        <v>20.181585234556763</v>
      </c>
      <c r="AK15" s="37">
        <f t="shared" si="9"/>
        <v>4.1333837060177858</v>
      </c>
      <c r="AL15" s="37">
        <f t="shared" si="10"/>
        <v>6.6143903420086962</v>
      </c>
      <c r="AM15" s="37">
        <f t="shared" si="11"/>
        <v>1.7305423799139739</v>
      </c>
      <c r="AN15" s="37">
        <f t="shared" si="12"/>
        <v>0.69221695196558952</v>
      </c>
      <c r="AO15" s="37">
        <f t="shared" si="13"/>
        <v>1.5489788317089825</v>
      </c>
      <c r="AP15" s="5">
        <f t="shared" si="14"/>
        <v>17</v>
      </c>
    </row>
    <row r="16" spans="1:42" x14ac:dyDescent="0.2">
      <c r="A16" s="9">
        <v>3</v>
      </c>
      <c r="B16" t="s">
        <v>117</v>
      </c>
      <c r="C16" t="s">
        <v>517</v>
      </c>
      <c r="D16">
        <v>16</v>
      </c>
      <c r="E16">
        <v>15</v>
      </c>
      <c r="F16">
        <v>439</v>
      </c>
      <c r="G16">
        <v>27.4</v>
      </c>
      <c r="H16">
        <v>39</v>
      </c>
      <c r="I16">
        <v>100</v>
      </c>
      <c r="J16">
        <v>0.39</v>
      </c>
      <c r="K16">
        <v>2</v>
      </c>
      <c r="L16">
        <v>9</v>
      </c>
      <c r="M16">
        <v>0.222</v>
      </c>
      <c r="N16" s="37">
        <f t="shared" si="5"/>
        <v>0.3669724770642202</v>
      </c>
      <c r="O16">
        <v>20</v>
      </c>
      <c r="P16">
        <v>27</v>
      </c>
      <c r="Q16">
        <v>0.74099999999999999</v>
      </c>
      <c r="R16">
        <v>21</v>
      </c>
      <c r="S16">
        <v>33</v>
      </c>
      <c r="T16">
        <v>54</v>
      </c>
      <c r="U16">
        <v>3.4</v>
      </c>
      <c r="V16">
        <v>27</v>
      </c>
      <c r="W16">
        <v>39</v>
      </c>
      <c r="X16" s="37">
        <f t="shared" si="0"/>
        <v>2.4375</v>
      </c>
      <c r="Y16">
        <v>28</v>
      </c>
      <c r="Z16" s="37">
        <f t="shared" si="1"/>
        <v>1.75</v>
      </c>
      <c r="AA16" s="37">
        <f t="shared" si="6"/>
        <v>1.3928571428571428</v>
      </c>
      <c r="AB16">
        <v>6</v>
      </c>
      <c r="AC16" s="37">
        <f t="shared" si="2"/>
        <v>0.375</v>
      </c>
      <c r="AD16">
        <v>12</v>
      </c>
      <c r="AE16" s="37">
        <f t="shared" si="3"/>
        <v>0.75</v>
      </c>
      <c r="AF16">
        <v>100</v>
      </c>
      <c r="AG16">
        <v>6.3</v>
      </c>
      <c r="AH16" s="74">
        <f t="shared" si="7"/>
        <v>16.674259681093396</v>
      </c>
      <c r="AI16" s="37">
        <f t="shared" si="4"/>
        <v>44.690740078655708</v>
      </c>
      <c r="AJ16" s="40">
        <f t="shared" si="8"/>
        <v>14.970736854166866</v>
      </c>
      <c r="AK16" s="37">
        <f t="shared" si="9"/>
        <v>15.874072275212733</v>
      </c>
      <c r="AL16" s="37">
        <f t="shared" si="10"/>
        <v>2.5347361889155966</v>
      </c>
      <c r="AM16" s="37">
        <f t="shared" si="11"/>
        <v>2.9967159845344029</v>
      </c>
      <c r="AN16" s="37">
        <f t="shared" si="12"/>
        <v>1.2843068505147439</v>
      </c>
      <c r="AO16" s="37">
        <f t="shared" si="13"/>
        <v>1.2772900616825777</v>
      </c>
      <c r="AP16" s="5">
        <f t="shared" si="14"/>
        <v>18</v>
      </c>
    </row>
    <row r="17" spans="1:42" x14ac:dyDescent="0.2">
      <c r="A17" s="9">
        <v>24</v>
      </c>
      <c r="B17" t="s">
        <v>129</v>
      </c>
      <c r="C17" t="s">
        <v>518</v>
      </c>
      <c r="D17">
        <v>31</v>
      </c>
      <c r="E17">
        <v>24</v>
      </c>
      <c r="F17">
        <v>544</v>
      </c>
      <c r="G17">
        <v>17.5</v>
      </c>
      <c r="H17">
        <v>48</v>
      </c>
      <c r="I17">
        <v>119</v>
      </c>
      <c r="J17">
        <v>0.40300000000000002</v>
      </c>
      <c r="K17">
        <v>20</v>
      </c>
      <c r="L17">
        <v>57</v>
      </c>
      <c r="M17">
        <v>0.35099999999999998</v>
      </c>
      <c r="N17" s="37">
        <f t="shared" si="5"/>
        <v>0.32954545454545453</v>
      </c>
      <c r="O17">
        <v>8</v>
      </c>
      <c r="P17">
        <v>13</v>
      </c>
      <c r="Q17">
        <v>0.61499999999999999</v>
      </c>
      <c r="R17">
        <v>21</v>
      </c>
      <c r="S17">
        <v>25</v>
      </c>
      <c r="T17">
        <v>46</v>
      </c>
      <c r="U17">
        <v>1.5</v>
      </c>
      <c r="V17">
        <v>22</v>
      </c>
      <c r="W17">
        <v>28</v>
      </c>
      <c r="X17" s="37">
        <f t="shared" si="0"/>
        <v>0.90322580645161288</v>
      </c>
      <c r="Y17">
        <v>34</v>
      </c>
      <c r="Z17" s="37">
        <f t="shared" si="1"/>
        <v>1.096774193548387</v>
      </c>
      <c r="AA17" s="37">
        <f t="shared" si="6"/>
        <v>0.82352941176470584</v>
      </c>
      <c r="AB17">
        <v>0</v>
      </c>
      <c r="AC17" s="37">
        <f t="shared" si="2"/>
        <v>0</v>
      </c>
      <c r="AD17">
        <v>4</v>
      </c>
      <c r="AE17" s="37">
        <f t="shared" si="3"/>
        <v>0.12903225806451613</v>
      </c>
      <c r="AF17">
        <v>124</v>
      </c>
      <c r="AG17">
        <v>4</v>
      </c>
      <c r="AH17" s="74">
        <f t="shared" si="7"/>
        <v>12.352941176470589</v>
      </c>
      <c r="AI17" s="37">
        <f t="shared" si="4"/>
        <v>49.71135343168698</v>
      </c>
      <c r="AJ17" s="40">
        <f t="shared" si="8"/>
        <v>13.708338767572666</v>
      </c>
      <c r="AK17" s="37">
        <f t="shared" si="9"/>
        <v>9.1871272130526727</v>
      </c>
      <c r="AL17" s="37">
        <f t="shared" si="10"/>
        <v>2.0325247802465047</v>
      </c>
      <c r="AM17" s="37">
        <f t="shared" si="11"/>
        <v>2.9365141009165239</v>
      </c>
      <c r="AN17" s="37">
        <f t="shared" si="12"/>
        <v>0.34547224716664987</v>
      </c>
      <c r="AO17" s="37">
        <f t="shared" si="13"/>
        <v>0</v>
      </c>
      <c r="AP17" s="5">
        <f t="shared" si="14"/>
        <v>4</v>
      </c>
    </row>
    <row r="18" spans="1:42" x14ac:dyDescent="0.2">
      <c r="A18" s="9">
        <v>1</v>
      </c>
      <c r="B18" t="s">
        <v>249</v>
      </c>
      <c r="C18" t="s">
        <v>517</v>
      </c>
      <c r="D18">
        <v>11</v>
      </c>
      <c r="E18">
        <v>0</v>
      </c>
      <c r="F18">
        <v>79</v>
      </c>
      <c r="G18">
        <v>7.2</v>
      </c>
      <c r="H18">
        <v>5</v>
      </c>
      <c r="I18">
        <v>12</v>
      </c>
      <c r="J18">
        <v>0.41699999999999998</v>
      </c>
      <c r="K18">
        <v>5</v>
      </c>
      <c r="L18">
        <v>11</v>
      </c>
      <c r="M18">
        <v>0.45500000000000002</v>
      </c>
      <c r="N18" s="37">
        <f t="shared" si="5"/>
        <v>0.32608695652173914</v>
      </c>
      <c r="O18">
        <v>1</v>
      </c>
      <c r="P18">
        <v>2</v>
      </c>
      <c r="Q18">
        <v>0.5</v>
      </c>
      <c r="R18">
        <v>3</v>
      </c>
      <c r="S18">
        <v>10</v>
      </c>
      <c r="T18">
        <v>13</v>
      </c>
      <c r="U18">
        <v>1.2</v>
      </c>
      <c r="V18">
        <v>9</v>
      </c>
      <c r="W18">
        <v>5</v>
      </c>
      <c r="X18" s="37">
        <f t="shared" si="0"/>
        <v>0.45454545454545453</v>
      </c>
      <c r="Y18">
        <v>5</v>
      </c>
      <c r="Z18" s="37">
        <f t="shared" si="1"/>
        <v>0.45454545454545453</v>
      </c>
      <c r="AA18" s="37">
        <f t="shared" si="6"/>
        <v>1</v>
      </c>
      <c r="AB18">
        <v>0</v>
      </c>
      <c r="AC18" s="37">
        <f t="shared" si="2"/>
        <v>0</v>
      </c>
      <c r="AD18">
        <v>3</v>
      </c>
      <c r="AE18" s="37">
        <f t="shared" si="3"/>
        <v>0.27272727272727271</v>
      </c>
      <c r="AF18">
        <v>16</v>
      </c>
      <c r="AG18">
        <v>1.5</v>
      </c>
      <c r="AH18" s="74">
        <f t="shared" si="7"/>
        <v>16.202531645569621</v>
      </c>
      <c r="AI18" s="37">
        <f t="shared" si="4"/>
        <v>62.11180124223602</v>
      </c>
      <c r="AJ18" s="40">
        <f t="shared" si="8"/>
        <v>10.633898151774675</v>
      </c>
      <c r="AK18" s="37">
        <f t="shared" si="9"/>
        <v>10.815467386180778</v>
      </c>
      <c r="AL18" s="37">
        <f t="shared" si="10"/>
        <v>0.72570903402737574</v>
      </c>
      <c r="AM18" s="37">
        <f t="shared" si="11"/>
        <v>2.9736851654850875</v>
      </c>
      <c r="AN18" s="37">
        <f t="shared" si="12"/>
        <v>1.7842110992910525</v>
      </c>
      <c r="AO18" s="37">
        <f t="shared" si="13"/>
        <v>0</v>
      </c>
      <c r="AP18" s="5">
        <f t="shared" si="14"/>
        <v>3</v>
      </c>
    </row>
    <row r="19" spans="1:42" x14ac:dyDescent="0.2">
      <c r="A19" s="9">
        <v>23</v>
      </c>
      <c r="B19" t="s">
        <v>250</v>
      </c>
      <c r="C19" t="s">
        <v>517</v>
      </c>
      <c r="D19">
        <v>18</v>
      </c>
      <c r="E19">
        <v>0</v>
      </c>
      <c r="F19">
        <v>125</v>
      </c>
      <c r="G19">
        <v>6.9</v>
      </c>
      <c r="H19">
        <v>6</v>
      </c>
      <c r="I19">
        <v>22</v>
      </c>
      <c r="J19">
        <v>0.27300000000000002</v>
      </c>
      <c r="K19">
        <v>2</v>
      </c>
      <c r="L19">
        <v>6</v>
      </c>
      <c r="M19">
        <v>0.33300000000000002</v>
      </c>
      <c r="N19" s="37">
        <f t="shared" si="5"/>
        <v>0.25</v>
      </c>
      <c r="O19">
        <v>10</v>
      </c>
      <c r="P19">
        <v>14</v>
      </c>
      <c r="Q19">
        <v>0.71399999999999997</v>
      </c>
      <c r="R19">
        <v>6</v>
      </c>
      <c r="S19">
        <v>13</v>
      </c>
      <c r="T19">
        <v>19</v>
      </c>
      <c r="U19">
        <v>1.1000000000000001</v>
      </c>
      <c r="V19">
        <v>10</v>
      </c>
      <c r="W19">
        <v>7</v>
      </c>
      <c r="X19" s="37">
        <f t="shared" si="0"/>
        <v>0.3888888888888889</v>
      </c>
      <c r="Y19">
        <v>14</v>
      </c>
      <c r="Z19" s="37">
        <f t="shared" si="1"/>
        <v>0.77777777777777779</v>
      </c>
      <c r="AA19" s="37">
        <f t="shared" si="6"/>
        <v>0.5</v>
      </c>
      <c r="AB19">
        <v>0</v>
      </c>
      <c r="AC19" s="37">
        <f t="shared" si="2"/>
        <v>0</v>
      </c>
      <c r="AD19">
        <v>4</v>
      </c>
      <c r="AE19" s="37">
        <f t="shared" si="3"/>
        <v>0.22222222222222221</v>
      </c>
      <c r="AF19">
        <v>24</v>
      </c>
      <c r="AG19">
        <v>1.3</v>
      </c>
      <c r="AH19" s="74">
        <f t="shared" si="7"/>
        <v>12.8</v>
      </c>
      <c r="AI19" s="37">
        <f t="shared" si="4"/>
        <v>42.613636363636367</v>
      </c>
      <c r="AJ19" s="40">
        <f t="shared" si="8"/>
        <v>15.846839615314002</v>
      </c>
      <c r="AK19" s="37">
        <f t="shared" si="9"/>
        <v>9.325839772069731</v>
      </c>
      <c r="AL19" s="37">
        <f t="shared" si="10"/>
        <v>0.99238639988872535</v>
      </c>
      <c r="AM19" s="37">
        <f t="shared" si="11"/>
        <v>5.2622332688424116</v>
      </c>
      <c r="AN19" s="37">
        <f t="shared" si="12"/>
        <v>1.5034952196692604</v>
      </c>
      <c r="AO19" s="37">
        <f t="shared" si="13"/>
        <v>0</v>
      </c>
      <c r="AP19" s="5">
        <f t="shared" si="14"/>
        <v>4</v>
      </c>
    </row>
    <row r="20" spans="1:42" x14ac:dyDescent="0.2">
      <c r="A20" s="9">
        <v>20</v>
      </c>
      <c r="B20" t="s">
        <v>139</v>
      </c>
      <c r="C20" t="s">
        <v>520</v>
      </c>
      <c r="D20">
        <v>14</v>
      </c>
      <c r="E20">
        <v>0</v>
      </c>
      <c r="F20">
        <v>95</v>
      </c>
      <c r="G20">
        <v>6.8</v>
      </c>
      <c r="H20">
        <v>6</v>
      </c>
      <c r="I20">
        <v>17</v>
      </c>
      <c r="J20">
        <v>0.35299999999999998</v>
      </c>
      <c r="K20">
        <v>5</v>
      </c>
      <c r="L20">
        <v>12</v>
      </c>
      <c r="M20">
        <v>0.41699999999999998</v>
      </c>
      <c r="N20" s="37">
        <f t="shared" si="5"/>
        <v>0.29310344827586204</v>
      </c>
      <c r="O20">
        <v>1</v>
      </c>
      <c r="P20">
        <v>2</v>
      </c>
      <c r="Q20">
        <v>0.5</v>
      </c>
      <c r="R20">
        <v>0</v>
      </c>
      <c r="S20">
        <v>4</v>
      </c>
      <c r="T20">
        <v>4</v>
      </c>
      <c r="U20">
        <v>0.3</v>
      </c>
      <c r="V20">
        <v>3</v>
      </c>
      <c r="W20">
        <v>4</v>
      </c>
      <c r="X20" s="37">
        <f t="shared" si="0"/>
        <v>0.2857142857142857</v>
      </c>
      <c r="Y20">
        <v>1</v>
      </c>
      <c r="Z20" s="37">
        <f t="shared" si="1"/>
        <v>7.1428571428571425E-2</v>
      </c>
      <c r="AA20" s="37">
        <f t="shared" si="6"/>
        <v>4</v>
      </c>
      <c r="AB20">
        <v>1</v>
      </c>
      <c r="AC20" s="37">
        <f t="shared" si="2"/>
        <v>7.1428571428571425E-2</v>
      </c>
      <c r="AD20">
        <v>2</v>
      </c>
      <c r="AE20" s="37">
        <f t="shared" si="3"/>
        <v>0.14285714285714285</v>
      </c>
      <c r="AF20">
        <v>18</v>
      </c>
      <c r="AG20">
        <v>1.3</v>
      </c>
      <c r="AH20" s="74">
        <f t="shared" si="7"/>
        <v>11.789473684210526</v>
      </c>
      <c r="AI20" s="37">
        <f t="shared" si="4"/>
        <v>50.335570469798661</v>
      </c>
      <c r="AJ20" s="40">
        <f t="shared" si="8"/>
        <v>9.3374966274196165</v>
      </c>
      <c r="AK20" s="37">
        <f t="shared" si="9"/>
        <v>7.1934940716376436</v>
      </c>
      <c r="AL20" s="37">
        <f t="shared" si="10"/>
        <v>0.25588678528766351</v>
      </c>
      <c r="AM20" s="37">
        <f t="shared" si="11"/>
        <v>0.49457079594383568</v>
      </c>
      <c r="AN20" s="37">
        <f t="shared" si="12"/>
        <v>0.98914159188767137</v>
      </c>
      <c r="AO20" s="37">
        <f t="shared" si="13"/>
        <v>0.9837374334713187</v>
      </c>
      <c r="AP20" s="5">
        <f t="shared" si="14"/>
        <v>3</v>
      </c>
    </row>
    <row r="21" spans="1:42" x14ac:dyDescent="0.2">
      <c r="A21" s="9">
        <v>0</v>
      </c>
      <c r="B21" t="s">
        <v>166</v>
      </c>
      <c r="C21" t="s">
        <v>517</v>
      </c>
      <c r="D21">
        <v>8</v>
      </c>
      <c r="E21">
        <v>0</v>
      </c>
      <c r="F21">
        <v>52</v>
      </c>
      <c r="G21">
        <v>6.5</v>
      </c>
      <c r="H21">
        <v>3</v>
      </c>
      <c r="I21">
        <v>13</v>
      </c>
      <c r="J21">
        <v>0.23100000000000001</v>
      </c>
      <c r="K21">
        <v>2</v>
      </c>
      <c r="L21">
        <v>6</v>
      </c>
      <c r="M21">
        <v>0.33300000000000002</v>
      </c>
      <c r="N21" s="37">
        <f t="shared" si="5"/>
        <v>0.21052631578947367</v>
      </c>
      <c r="O21">
        <v>0</v>
      </c>
      <c r="P21">
        <v>0</v>
      </c>
      <c r="Q21">
        <v>0</v>
      </c>
      <c r="R21">
        <v>1</v>
      </c>
      <c r="S21">
        <v>6</v>
      </c>
      <c r="T21">
        <v>7</v>
      </c>
      <c r="U21">
        <v>0.9</v>
      </c>
      <c r="V21">
        <v>5</v>
      </c>
      <c r="W21">
        <v>2</v>
      </c>
      <c r="X21" s="37">
        <f t="shared" si="0"/>
        <v>0.25</v>
      </c>
      <c r="Y21">
        <v>3</v>
      </c>
      <c r="Z21" s="37">
        <f t="shared" si="1"/>
        <v>0.375</v>
      </c>
      <c r="AA21" s="37">
        <f t="shared" si="6"/>
        <v>0.66666666666666663</v>
      </c>
      <c r="AB21">
        <v>1</v>
      </c>
      <c r="AC21" s="37">
        <f t="shared" si="2"/>
        <v>0.125</v>
      </c>
      <c r="AD21">
        <v>3</v>
      </c>
      <c r="AE21" s="37">
        <f t="shared" si="3"/>
        <v>0.375</v>
      </c>
      <c r="AF21">
        <v>8</v>
      </c>
      <c r="AG21">
        <v>1</v>
      </c>
      <c r="AH21" s="74">
        <f t="shared" si="7"/>
        <v>13.846153846153847</v>
      </c>
      <c r="AI21" s="37">
        <f t="shared" si="4"/>
        <v>30.76923076923077</v>
      </c>
      <c r="AJ21" s="40">
        <f t="shared" si="8"/>
        <v>14.456684804512118</v>
      </c>
      <c r="AK21" s="37">
        <f t="shared" si="9"/>
        <v>6.5101899049985823</v>
      </c>
      <c r="AL21" s="37">
        <f t="shared" si="10"/>
        <v>0.41586391816368595</v>
      </c>
      <c r="AM21" s="37">
        <f t="shared" si="11"/>
        <v>2.710628400846022</v>
      </c>
      <c r="AN21" s="37">
        <f t="shared" si="12"/>
        <v>2.710628400846022</v>
      </c>
      <c r="AO21" s="37">
        <f t="shared" si="13"/>
        <v>1.7972126188418323</v>
      </c>
      <c r="AP21" s="5">
        <f t="shared" si="14"/>
        <v>4</v>
      </c>
    </row>
    <row r="22" spans="1:42" x14ac:dyDescent="0.2">
      <c r="A22" s="9">
        <v>14</v>
      </c>
      <c r="B22" t="s">
        <v>251</v>
      </c>
      <c r="C22" t="s">
        <v>517</v>
      </c>
      <c r="D22">
        <v>9</v>
      </c>
      <c r="E22">
        <v>0</v>
      </c>
      <c r="F22">
        <v>40</v>
      </c>
      <c r="G22">
        <v>4.4000000000000004</v>
      </c>
      <c r="H22">
        <v>3</v>
      </c>
      <c r="I22">
        <v>13</v>
      </c>
      <c r="J22">
        <v>0.23100000000000001</v>
      </c>
      <c r="K22">
        <v>1</v>
      </c>
      <c r="L22">
        <v>5</v>
      </c>
      <c r="M22">
        <v>0.2</v>
      </c>
      <c r="N22" s="37">
        <f t="shared" si="5"/>
        <v>0.19444444444444445</v>
      </c>
      <c r="O22">
        <v>2</v>
      </c>
      <c r="P22">
        <v>2</v>
      </c>
      <c r="Q22">
        <v>1</v>
      </c>
      <c r="R22">
        <v>0</v>
      </c>
      <c r="S22">
        <v>3</v>
      </c>
      <c r="T22">
        <v>3</v>
      </c>
      <c r="U22">
        <v>0.3</v>
      </c>
      <c r="V22">
        <v>4</v>
      </c>
      <c r="W22">
        <v>3</v>
      </c>
      <c r="X22" s="37">
        <f t="shared" si="0"/>
        <v>0.33333333333333331</v>
      </c>
      <c r="Y22">
        <v>1</v>
      </c>
      <c r="Z22" s="37">
        <f t="shared" si="1"/>
        <v>0.1111111111111111</v>
      </c>
      <c r="AA22" s="37">
        <f t="shared" si="6"/>
        <v>3</v>
      </c>
      <c r="AB22">
        <v>0</v>
      </c>
      <c r="AC22" s="37">
        <f t="shared" si="2"/>
        <v>0</v>
      </c>
      <c r="AD22">
        <v>0</v>
      </c>
      <c r="AE22" s="37">
        <f t="shared" si="3"/>
        <v>0</v>
      </c>
      <c r="AF22">
        <v>9</v>
      </c>
      <c r="AG22">
        <v>1</v>
      </c>
      <c r="AH22" s="74">
        <f t="shared" si="7"/>
        <v>14</v>
      </c>
      <c r="AI22" s="37">
        <f t="shared" si="4"/>
        <v>32.420749279538903</v>
      </c>
      <c r="AJ22" s="40">
        <f t="shared" si="8"/>
        <v>17.478131928655152</v>
      </c>
      <c r="AK22" s="37">
        <f t="shared" si="9"/>
        <v>13.078001546141852</v>
      </c>
      <c r="AL22" s="37">
        <f t="shared" si="10"/>
        <v>0.19466860405583969</v>
      </c>
      <c r="AM22" s="37">
        <f t="shared" si="11"/>
        <v>1.1746056403666096</v>
      </c>
      <c r="AN22" s="37">
        <f t="shared" si="12"/>
        <v>0</v>
      </c>
      <c r="AO22" s="37">
        <f t="shared" si="13"/>
        <v>0</v>
      </c>
      <c r="AP22" s="5">
        <f t="shared" si="14"/>
        <v>0</v>
      </c>
    </row>
    <row r="23" spans="1:42" ht="17" thickBot="1" x14ac:dyDescent="0.25">
      <c r="A23" s="3">
        <v>12</v>
      </c>
      <c r="B23" s="4" t="s">
        <v>135</v>
      </c>
      <c r="C23" s="4" t="s">
        <v>521</v>
      </c>
      <c r="D23" s="4">
        <v>3</v>
      </c>
      <c r="E23" s="4">
        <v>0</v>
      </c>
      <c r="F23" s="4">
        <v>8</v>
      </c>
      <c r="G23" s="4">
        <v>2.7</v>
      </c>
      <c r="H23" s="4">
        <v>0</v>
      </c>
      <c r="I23" s="4">
        <v>5</v>
      </c>
      <c r="J23" s="4">
        <v>0</v>
      </c>
      <c r="K23" s="4">
        <v>0</v>
      </c>
      <c r="L23" s="4">
        <v>0</v>
      </c>
      <c r="M23" s="4">
        <v>0</v>
      </c>
      <c r="N23" s="17">
        <f>(H23+(0.5*K23))/(L23+I23)</f>
        <v>0</v>
      </c>
      <c r="O23" s="4">
        <v>0</v>
      </c>
      <c r="P23" s="4">
        <v>0</v>
      </c>
      <c r="Q23" s="4">
        <v>0</v>
      </c>
      <c r="R23" s="4">
        <v>1</v>
      </c>
      <c r="S23" s="4">
        <v>0</v>
      </c>
      <c r="T23" s="4">
        <v>1</v>
      </c>
      <c r="U23" s="4">
        <v>0.3</v>
      </c>
      <c r="V23" s="4">
        <v>3</v>
      </c>
      <c r="W23" s="4">
        <v>0</v>
      </c>
      <c r="X23" s="17">
        <f t="shared" si="0"/>
        <v>0</v>
      </c>
      <c r="Y23" s="4">
        <v>1</v>
      </c>
      <c r="Z23" s="17">
        <f t="shared" si="1"/>
        <v>0.33333333333333331</v>
      </c>
      <c r="AA23" s="17">
        <f>W23/Y23</f>
        <v>0</v>
      </c>
      <c r="AB23" s="4">
        <v>0</v>
      </c>
      <c r="AC23" s="17">
        <f t="shared" si="2"/>
        <v>0</v>
      </c>
      <c r="AD23" s="4">
        <v>0</v>
      </c>
      <c r="AE23" s="17">
        <f t="shared" si="3"/>
        <v>0</v>
      </c>
      <c r="AF23" s="4">
        <v>0</v>
      </c>
      <c r="AG23" s="4">
        <v>0</v>
      </c>
      <c r="AH23" s="74">
        <f t="shared" si="7"/>
        <v>0</v>
      </c>
      <c r="AI23" s="17">
        <f t="shared" si="4"/>
        <v>0</v>
      </c>
      <c r="AJ23" s="41">
        <f t="shared" si="8"/>
        <v>35.238169210998286</v>
      </c>
      <c r="AK23" s="17">
        <f t="shared" si="9"/>
        <v>0</v>
      </c>
      <c r="AL23" s="17">
        <f t="shared" si="10"/>
        <v>2.7674666699939485E-2</v>
      </c>
      <c r="AM23" s="17">
        <f t="shared" si="11"/>
        <v>5.8730282018330486</v>
      </c>
      <c r="AN23" s="17">
        <f xml:space="preserve"> 100 * (AD23 * ($F$24/5)) / (F23 * ($I$24+ 0.44 * $P$24+ $Y$24))</f>
        <v>0</v>
      </c>
      <c r="AO23" s="17">
        <f t="shared" si="13"/>
        <v>0</v>
      </c>
      <c r="AP23" s="56">
        <f t="shared" si="14"/>
        <v>0</v>
      </c>
    </row>
    <row r="24" spans="1:42" ht="17" thickBot="1" x14ac:dyDescent="0.25">
      <c r="B24" s="1" t="s">
        <v>252</v>
      </c>
      <c r="C24" s="2"/>
      <c r="D24" s="2" t="s">
        <v>34</v>
      </c>
      <c r="E24" s="2"/>
      <c r="F24" s="2">
        <v>6654</v>
      </c>
      <c r="G24" s="2">
        <v>201.6</v>
      </c>
      <c r="H24" s="2">
        <v>863</v>
      </c>
      <c r="I24" s="2">
        <v>2130</v>
      </c>
      <c r="J24" s="2">
        <v>0.40500000000000003</v>
      </c>
      <c r="K24" s="2">
        <v>185</v>
      </c>
      <c r="L24" s="2">
        <v>576</v>
      </c>
      <c r="M24" s="2">
        <v>0.32100000000000001</v>
      </c>
      <c r="N24" s="16">
        <f>(H24+(0.5*K24))/(L24+I24)</f>
        <v>0.35310421286031041</v>
      </c>
      <c r="O24" s="2">
        <v>485</v>
      </c>
      <c r="P24" s="2">
        <v>626</v>
      </c>
      <c r="Q24" s="2">
        <v>0.77500000000000002</v>
      </c>
      <c r="R24" s="2">
        <v>459</v>
      </c>
      <c r="S24" s="2">
        <v>840</v>
      </c>
      <c r="T24" s="2">
        <v>1299</v>
      </c>
      <c r="U24" s="2">
        <v>39.4</v>
      </c>
      <c r="V24" s="2">
        <v>497</v>
      </c>
      <c r="W24" s="2">
        <v>395</v>
      </c>
      <c r="X24" s="16">
        <f>W24 / D24</f>
        <v>11.969696969696969</v>
      </c>
      <c r="Y24" s="2">
        <v>427</v>
      </c>
      <c r="Z24" s="17">
        <f t="shared" si="1"/>
        <v>12.939393939393939</v>
      </c>
      <c r="AA24" s="17">
        <f>W24/Y24</f>
        <v>0.92505854800936771</v>
      </c>
      <c r="AB24" s="2">
        <v>85</v>
      </c>
      <c r="AC24" s="17">
        <f>AB24/D24</f>
        <v>2.5757575757575757</v>
      </c>
      <c r="AD24" s="2">
        <v>180</v>
      </c>
      <c r="AE24" s="17">
        <f t="shared" si="3"/>
        <v>5.4545454545454541</v>
      </c>
      <c r="AF24" s="2">
        <v>2396</v>
      </c>
      <c r="AG24" s="2">
        <v>72.61</v>
      </c>
      <c r="AH24" s="16">
        <f>((AF24+T24+W24+AD24+AB24-Y24)/F24)*40</f>
        <v>23.612864442440635</v>
      </c>
      <c r="AI24" s="16">
        <f t="shared" si="4"/>
        <v>49.803778102966604</v>
      </c>
      <c r="AJ24" s="2"/>
      <c r="AK24" s="2"/>
      <c r="AL24" s="2"/>
      <c r="AM24" s="2"/>
      <c r="AN24" s="2"/>
      <c r="AO24" s="2"/>
      <c r="AP24" s="44"/>
    </row>
    <row r="25" spans="1:42" ht="17" thickBot="1" x14ac:dyDescent="0.25">
      <c r="B25" s="3" t="s">
        <v>186</v>
      </c>
      <c r="C25" s="4"/>
      <c r="D25" s="4"/>
      <c r="E25" s="4"/>
      <c r="F25" s="4">
        <v>6632</v>
      </c>
      <c r="G25" s="4">
        <v>201</v>
      </c>
      <c r="H25" s="4">
        <v>841</v>
      </c>
      <c r="I25" s="4">
        <v>2064</v>
      </c>
      <c r="J25" s="4">
        <v>0.40699999999999997</v>
      </c>
      <c r="K25" s="4">
        <v>185</v>
      </c>
      <c r="L25" s="4">
        <v>640</v>
      </c>
      <c r="M25" s="4">
        <v>0.28899999999999998</v>
      </c>
      <c r="N25" s="17">
        <f>(H25+(0.5*K25))/(L25+I25)</f>
        <v>0.34522928994082841</v>
      </c>
      <c r="O25" s="4">
        <v>368</v>
      </c>
      <c r="P25" s="4">
        <v>517</v>
      </c>
      <c r="Q25" s="4">
        <v>0.71199999999999997</v>
      </c>
      <c r="R25" s="4">
        <v>305</v>
      </c>
      <c r="S25" s="4">
        <v>723</v>
      </c>
      <c r="T25" s="4">
        <v>1028</v>
      </c>
      <c r="U25" s="4">
        <v>31.2</v>
      </c>
      <c r="V25" s="4">
        <v>585</v>
      </c>
      <c r="W25" s="4">
        <v>379</v>
      </c>
      <c r="X25" s="17">
        <f>W25/D24</f>
        <v>11.484848484848484</v>
      </c>
      <c r="Y25" s="4">
        <v>371</v>
      </c>
      <c r="Z25" s="17">
        <f>Y25/D24</f>
        <v>11.242424242424242</v>
      </c>
      <c r="AA25" s="17">
        <f>W25/Y25</f>
        <v>1.0215633423180592</v>
      </c>
      <c r="AB25" s="4">
        <v>99</v>
      </c>
      <c r="AC25" s="17">
        <f>AB25/D24</f>
        <v>3</v>
      </c>
      <c r="AD25" s="4">
        <v>212</v>
      </c>
      <c r="AE25" s="17">
        <f>AD25/D24</f>
        <v>6.4242424242424239</v>
      </c>
      <c r="AF25" s="4">
        <v>2235</v>
      </c>
      <c r="AG25" s="4">
        <v>67.73</v>
      </c>
      <c r="AH25" s="4"/>
      <c r="AI25" s="17">
        <f t="shared" si="4"/>
        <v>48.767608707036501</v>
      </c>
      <c r="AJ25" s="4"/>
      <c r="AK25" s="4"/>
      <c r="AL25" s="4"/>
      <c r="AM25" s="4"/>
      <c r="AN25" s="4"/>
      <c r="AO25" s="4"/>
      <c r="AP25" s="56"/>
    </row>
    <row r="26" spans="1:42" x14ac:dyDescent="0.2">
      <c r="A26" t="s">
        <v>7</v>
      </c>
    </row>
    <row r="27" spans="1:42" x14ac:dyDescent="0.2">
      <c r="A27" t="s">
        <v>7</v>
      </c>
    </row>
    <row r="28" spans="1:42" x14ac:dyDescent="0.2">
      <c r="A28" t="s">
        <v>7</v>
      </c>
    </row>
    <row r="29" spans="1:42" x14ac:dyDescent="0.2">
      <c r="A29" t="s">
        <v>7</v>
      </c>
    </row>
    <row r="66" spans="1:1" x14ac:dyDescent="0.2">
      <c r="A66" t="s">
        <v>7</v>
      </c>
    </row>
    <row r="67" spans="1:1" x14ac:dyDescent="0.2">
      <c r="A67" t="s">
        <v>7</v>
      </c>
    </row>
    <row r="134" spans="1:1" x14ac:dyDescent="0.2">
      <c r="A134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E3F3-7E27-E547-BAF5-4F1B6E15C2F8}">
  <dimension ref="A1:AP131"/>
  <sheetViews>
    <sheetView topLeftCell="A11" zoomScale="173" workbookViewId="0">
      <selection activeCell="U3" sqref="U3"/>
    </sheetView>
  </sheetViews>
  <sheetFormatPr baseColWidth="10" defaultRowHeight="16" x14ac:dyDescent="0.2"/>
  <cols>
    <col min="1" max="1" width="20.6640625" customWidth="1"/>
    <col min="2" max="2" width="15.6640625" bestFit="1" customWidth="1"/>
    <col min="3" max="3" width="15.6640625" customWidth="1"/>
  </cols>
  <sheetData>
    <row r="1" spans="1:42" ht="17" thickBot="1" x14ac:dyDescent="0.25">
      <c r="A1" s="23"/>
      <c r="B1" s="26" t="s">
        <v>481</v>
      </c>
      <c r="C1" s="28"/>
      <c r="D1" s="27"/>
      <c r="E1" s="28" t="s">
        <v>483</v>
      </c>
      <c r="F1" s="27"/>
      <c r="G1" s="28" t="s">
        <v>485</v>
      </c>
      <c r="H1" s="27"/>
      <c r="I1" s="28" t="s">
        <v>482</v>
      </c>
      <c r="J1" s="27"/>
      <c r="K1" s="28" t="s">
        <v>486</v>
      </c>
      <c r="L1" s="27"/>
      <c r="N1" s="26" t="s">
        <v>478</v>
      </c>
      <c r="O1" s="28" t="s">
        <v>207</v>
      </c>
      <c r="P1" s="28" t="s">
        <v>208</v>
      </c>
      <c r="Q1" s="28" t="s">
        <v>209</v>
      </c>
      <c r="R1" s="28" t="s">
        <v>210</v>
      </c>
      <c r="S1" s="28" t="s">
        <v>479</v>
      </c>
      <c r="T1" s="27" t="s">
        <v>480</v>
      </c>
    </row>
    <row r="2" spans="1:42" ht="17" thickBot="1" x14ac:dyDescent="0.25">
      <c r="A2" s="26" t="s">
        <v>484</v>
      </c>
      <c r="B2" s="24" t="s">
        <v>204</v>
      </c>
      <c r="C2" s="23"/>
      <c r="D2" s="25" t="s">
        <v>205</v>
      </c>
      <c r="E2" s="23" t="s">
        <v>204</v>
      </c>
      <c r="F2" s="25" t="s">
        <v>205</v>
      </c>
      <c r="G2" s="23" t="s">
        <v>204</v>
      </c>
      <c r="H2" s="25" t="s">
        <v>205</v>
      </c>
      <c r="I2" s="23" t="s">
        <v>204</v>
      </c>
      <c r="J2" s="25" t="s">
        <v>205</v>
      </c>
      <c r="K2" s="23" t="s">
        <v>204</v>
      </c>
      <c r="L2" s="25" t="s">
        <v>205</v>
      </c>
      <c r="N2" s="24" t="s">
        <v>2</v>
      </c>
      <c r="O2" s="23">
        <v>516</v>
      </c>
      <c r="P2" s="23">
        <v>476</v>
      </c>
      <c r="Q2" s="23">
        <v>560</v>
      </c>
      <c r="R2" s="23">
        <v>568</v>
      </c>
      <c r="S2" s="23">
        <v>6</v>
      </c>
      <c r="T2" s="25">
        <f>SUM(O2:S2)</f>
        <v>2126</v>
      </c>
      <c r="V2" s="61" t="s">
        <v>508</v>
      </c>
      <c r="W2" s="62">
        <v>13.76</v>
      </c>
    </row>
    <row r="3" spans="1:42" ht="17" thickBot="1" x14ac:dyDescent="0.25">
      <c r="A3" s="20"/>
      <c r="B3" s="20">
        <v>21</v>
      </c>
      <c r="C3" s="21"/>
      <c r="D3" s="22">
        <v>9</v>
      </c>
      <c r="E3" s="21">
        <v>16</v>
      </c>
      <c r="F3" s="22">
        <v>6</v>
      </c>
      <c r="G3" s="21">
        <v>10</v>
      </c>
      <c r="H3" s="22">
        <v>3</v>
      </c>
      <c r="I3" s="21">
        <v>10</v>
      </c>
      <c r="J3" s="22">
        <v>4</v>
      </c>
      <c r="K3" s="21">
        <v>1</v>
      </c>
      <c r="L3" s="22">
        <v>2</v>
      </c>
      <c r="N3" s="20" t="s">
        <v>488</v>
      </c>
      <c r="O3" s="21">
        <v>445</v>
      </c>
      <c r="P3" s="21">
        <v>497</v>
      </c>
      <c r="Q3" s="21">
        <v>481</v>
      </c>
      <c r="R3" s="21">
        <v>513</v>
      </c>
      <c r="S3" s="21">
        <v>10</v>
      </c>
      <c r="T3" s="64">
        <f>SUM(O3:S3)</f>
        <v>1946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515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10</v>
      </c>
      <c r="B10" s="2" t="s">
        <v>41</v>
      </c>
      <c r="C10" s="2" t="s">
        <v>517</v>
      </c>
      <c r="D10" s="2">
        <v>30</v>
      </c>
      <c r="E10" s="2">
        <v>29</v>
      </c>
      <c r="F10" s="2">
        <v>859</v>
      </c>
      <c r="G10" s="2">
        <v>28.6</v>
      </c>
      <c r="H10" s="2">
        <v>163</v>
      </c>
      <c r="I10" s="2">
        <v>422</v>
      </c>
      <c r="J10" s="2">
        <v>0.38600000000000001</v>
      </c>
      <c r="K10" s="2">
        <v>25</v>
      </c>
      <c r="L10" s="2">
        <v>94</v>
      </c>
      <c r="M10" s="2">
        <v>0.26600000000000001</v>
      </c>
      <c r="N10" s="16">
        <f>(H10+(0.5*K10))/(L10+I10)</f>
        <v>0.34011627906976744</v>
      </c>
      <c r="O10" s="2">
        <v>66</v>
      </c>
      <c r="P10" s="2">
        <v>91</v>
      </c>
      <c r="Q10" s="2">
        <v>0.72499999999999998</v>
      </c>
      <c r="R10" s="2">
        <v>29</v>
      </c>
      <c r="S10" s="2">
        <v>133</v>
      </c>
      <c r="T10" s="2">
        <v>162</v>
      </c>
      <c r="U10" s="2">
        <v>5.4</v>
      </c>
      <c r="V10" s="2">
        <v>85</v>
      </c>
      <c r="W10" s="2">
        <v>84</v>
      </c>
      <c r="X10" s="16">
        <f t="shared" ref="X10:X24" si="0">W10/D10</f>
        <v>2.8</v>
      </c>
      <c r="Y10" s="2">
        <v>65</v>
      </c>
      <c r="Z10" s="16">
        <f t="shared" ref="Z10:Z24" si="1">Y10/D10</f>
        <v>2.1666666666666665</v>
      </c>
      <c r="AA10" s="16">
        <f>W10/Y10</f>
        <v>1.2923076923076924</v>
      </c>
      <c r="AB10" s="2">
        <v>8</v>
      </c>
      <c r="AC10" s="16">
        <f t="shared" ref="AC10:AC24" si="2">AB10/D10</f>
        <v>0.26666666666666666</v>
      </c>
      <c r="AD10" s="2">
        <v>22</v>
      </c>
      <c r="AE10" s="16">
        <f t="shared" ref="AE10:AE24" si="3">AD10/D10</f>
        <v>0.73333333333333328</v>
      </c>
      <c r="AF10" s="2">
        <v>417</v>
      </c>
      <c r="AG10" s="2">
        <v>13.9</v>
      </c>
      <c r="AH10" s="16">
        <f>((AF10+T10+W10+AD10+AB10-Y10)/F10)*40</f>
        <v>29.243306169965074</v>
      </c>
      <c r="AI10" s="16">
        <f t="shared" ref="AI10:AI26" si="4" xml:space="preserve"> AF10 / (2 * (I10 + 0.44 * P10)) * 100</f>
        <v>45.125963120076186</v>
      </c>
      <c r="AJ10" s="39">
        <f xml:space="preserve"> ((I10 + 0.44*P10 + Y10) * ($F$25/5)) / (F10 * ($I$25+ 0.44*$P$25+ $Y$25)) * 100</f>
        <v>30.593311620454056</v>
      </c>
      <c r="AK10" s="16">
        <f xml:space="preserve"> 100 * (W10 / ( ( (F10 / ($F$25/5)) * $H$25) - H10 ) )</f>
        <v>21.016032130646924</v>
      </c>
      <c r="AL10" s="16">
        <f xml:space="preserve"> (100 * (R10 * ($F$25/5)) / (F10 * $R$25+ ($F$25- F10) * $S$26)) + (100 * (S10 * ($F$25/5)) / (F10 * $S$25+ ($F$25- F10) * $R$26))</f>
        <v>9.301122704836466</v>
      </c>
      <c r="AM10" s="16">
        <f xml:space="preserve"> 100 * (Y10 * ($F$25/5)) / (F10 * ($I$25+ 0.44*$P$25 + $Y$25))</f>
        <v>3.7730822239858717</v>
      </c>
      <c r="AN10" s="16">
        <f xml:space="preserve"> 100 * (AD10 * ($F$25/5)) / (F10 * ($I$25+ 0.44 * $P$25+ $Y$25))</f>
        <v>1.2770432142721411</v>
      </c>
      <c r="AO10" s="16">
        <f xml:space="preserve"> 100 * (AB10 * ($F$25/5)) / (F10 * ($I$26 - $L$26))</f>
        <v>0.84767280954159074</v>
      </c>
      <c r="AP10" s="44">
        <f>AD10+AB10</f>
        <v>30</v>
      </c>
    </row>
    <row r="11" spans="1:42" x14ac:dyDescent="0.2">
      <c r="A11" s="9">
        <v>2</v>
      </c>
      <c r="B11" t="s">
        <v>264</v>
      </c>
      <c r="C11" t="s">
        <v>517</v>
      </c>
      <c r="D11">
        <v>30</v>
      </c>
      <c r="E11">
        <v>23</v>
      </c>
      <c r="F11">
        <v>933</v>
      </c>
      <c r="G11">
        <v>31.1</v>
      </c>
      <c r="H11">
        <v>147</v>
      </c>
      <c r="I11">
        <v>303</v>
      </c>
      <c r="J11">
        <v>0.48499999999999999</v>
      </c>
      <c r="K11">
        <v>66</v>
      </c>
      <c r="L11">
        <v>142</v>
      </c>
      <c r="M11">
        <v>0.46500000000000002</v>
      </c>
      <c r="N11" s="37">
        <f t="shared" ref="N11:N24" si="5">(H11+(0.5*K11))/(L11+I11)</f>
        <v>0.4044943820224719</v>
      </c>
      <c r="O11">
        <v>55</v>
      </c>
      <c r="P11">
        <v>62</v>
      </c>
      <c r="Q11">
        <v>0.88700000000000001</v>
      </c>
      <c r="R11">
        <v>15</v>
      </c>
      <c r="S11">
        <v>52</v>
      </c>
      <c r="T11">
        <v>67</v>
      </c>
      <c r="U11">
        <v>2.2000000000000002</v>
      </c>
      <c r="V11">
        <v>54</v>
      </c>
      <c r="W11">
        <v>41</v>
      </c>
      <c r="X11" s="37">
        <f t="shared" si="0"/>
        <v>1.3666666666666667</v>
      </c>
      <c r="Y11">
        <v>32</v>
      </c>
      <c r="Z11" s="37">
        <f t="shared" si="1"/>
        <v>1.0666666666666667</v>
      </c>
      <c r="AA11" s="37">
        <f t="shared" ref="AA11:AA24" si="6">W11/Y11</f>
        <v>1.28125</v>
      </c>
      <c r="AB11">
        <v>1</v>
      </c>
      <c r="AC11" s="37">
        <f t="shared" si="2"/>
        <v>3.3333333333333333E-2</v>
      </c>
      <c r="AD11">
        <v>20</v>
      </c>
      <c r="AE11" s="37">
        <f t="shared" si="3"/>
        <v>0.66666666666666663</v>
      </c>
      <c r="AF11">
        <v>415</v>
      </c>
      <c r="AG11">
        <v>13.8</v>
      </c>
      <c r="AH11" s="74">
        <f t="shared" ref="AH11:AH24" si="7">((AF11+T11+W11+AD11+AB11-Y11)/F11)*40</f>
        <v>21.95069667738478</v>
      </c>
      <c r="AI11" s="37">
        <f t="shared" si="4"/>
        <v>62.825481409712978</v>
      </c>
      <c r="AJ11" s="40">
        <f t="shared" ref="AJ11:AJ24" si="8" xml:space="preserve"> ((I11 + 0.44*P11 + Y11) * ($F$25/5)) / (F11 * ($I$25+ 0.44*$P$25+ $Y$25)) * 100</f>
        <v>19.361490707275316</v>
      </c>
      <c r="AK11" s="37">
        <f t="shared" ref="AK11:AK24" si="9" xml:space="preserve"> 100 * (W11 / ( ( (F11 / ($F$25/5)) * $H$25) - H11 ) )</f>
        <v>8.8329867735642775</v>
      </c>
      <c r="AL11" s="37">
        <f t="shared" ref="AL11:AL24" si="10" xml:space="preserve"> (100 * (R11 * ($F$25/5)) / (F11 * $R$25+ ($F$25- F11) * $S$26)) + (100 * (S11 * ($F$25/5)) / (F11 * $S$25+ ($F$25- F11) * $R$26))</f>
        <v>3.6974241204310809</v>
      </c>
      <c r="AM11" s="37">
        <f t="shared" ref="AM11:AM23" si="11" xml:space="preserve"> 100 * (Y11 * ($F$25/5)) / (F11 * ($I$25+ 0.44*$P$25 + $Y$25))</f>
        <v>1.7101901916551014</v>
      </c>
      <c r="AN11" s="37">
        <f t="shared" ref="AN11:AN24" si="12" xml:space="preserve"> 100 * (AD11 * ($F$25/5)) / (F11 * ($I$25+ 0.44 * $P$25+ $Y$25))</f>
        <v>1.0688688697844384</v>
      </c>
      <c r="AO11" s="37">
        <f t="shared" ref="AO11:AO24" si="13" xml:space="preserve"> 100 * (AB11 * ($F$25/5)) / (F11 * ($I$26 - $L$26))</f>
        <v>9.7555056725110723E-2</v>
      </c>
      <c r="AP11" s="5">
        <f t="shared" ref="AP11:AP24" si="14">AD11+AB11</f>
        <v>21</v>
      </c>
    </row>
    <row r="12" spans="1:42" x14ac:dyDescent="0.2">
      <c r="A12" s="9">
        <v>21</v>
      </c>
      <c r="B12" t="s">
        <v>102</v>
      </c>
      <c r="C12" t="s">
        <v>518</v>
      </c>
      <c r="D12">
        <v>30</v>
      </c>
      <c r="E12">
        <v>30</v>
      </c>
      <c r="F12">
        <v>925</v>
      </c>
      <c r="G12">
        <v>30.8</v>
      </c>
      <c r="H12">
        <v>111</v>
      </c>
      <c r="I12">
        <v>250</v>
      </c>
      <c r="J12">
        <v>0.44400000000000001</v>
      </c>
      <c r="K12">
        <v>41</v>
      </c>
      <c r="L12">
        <v>120</v>
      </c>
      <c r="M12">
        <v>0.34200000000000003</v>
      </c>
      <c r="N12" s="37">
        <f t="shared" si="5"/>
        <v>0.35540540540540538</v>
      </c>
      <c r="O12">
        <v>64</v>
      </c>
      <c r="P12">
        <v>81</v>
      </c>
      <c r="Q12">
        <v>0.79</v>
      </c>
      <c r="R12">
        <v>42</v>
      </c>
      <c r="S12">
        <v>124</v>
      </c>
      <c r="T12">
        <v>166</v>
      </c>
      <c r="U12">
        <v>5.5</v>
      </c>
      <c r="V12">
        <v>53</v>
      </c>
      <c r="W12">
        <v>45</v>
      </c>
      <c r="X12" s="37">
        <f t="shared" si="0"/>
        <v>1.5</v>
      </c>
      <c r="Y12">
        <v>24</v>
      </c>
      <c r="Z12" s="37">
        <f t="shared" si="1"/>
        <v>0.8</v>
      </c>
      <c r="AA12" s="37">
        <f t="shared" si="6"/>
        <v>1.875</v>
      </c>
      <c r="AB12">
        <v>27</v>
      </c>
      <c r="AC12" s="37">
        <f t="shared" si="2"/>
        <v>0.9</v>
      </c>
      <c r="AD12">
        <v>28</v>
      </c>
      <c r="AE12" s="37">
        <f t="shared" si="3"/>
        <v>0.93333333333333335</v>
      </c>
      <c r="AF12">
        <v>327</v>
      </c>
      <c r="AG12">
        <v>10.9</v>
      </c>
      <c r="AH12" s="74">
        <f t="shared" si="7"/>
        <v>24.605405405405406</v>
      </c>
      <c r="AI12" s="37">
        <f t="shared" si="4"/>
        <v>57.239882369416051</v>
      </c>
      <c r="AJ12" s="40">
        <f t="shared" si="8"/>
        <v>16.691347650365941</v>
      </c>
      <c r="AK12" s="37">
        <f t="shared" si="9"/>
        <v>9.0922189236099467</v>
      </c>
      <c r="AL12" s="37">
        <f t="shared" si="10"/>
        <v>9.0307123523367459</v>
      </c>
      <c r="AM12" s="37">
        <f t="shared" si="11"/>
        <v>1.2937357693088187</v>
      </c>
      <c r="AN12" s="37">
        <f t="shared" si="12"/>
        <v>1.5093583975269551</v>
      </c>
      <c r="AO12" s="37">
        <f t="shared" si="13"/>
        <v>2.6567669556348803</v>
      </c>
      <c r="AP12" s="5">
        <f t="shared" si="14"/>
        <v>55</v>
      </c>
    </row>
    <row r="13" spans="1:42" x14ac:dyDescent="0.2">
      <c r="A13" s="9">
        <v>22</v>
      </c>
      <c r="B13" t="s">
        <v>87</v>
      </c>
      <c r="C13" t="s">
        <v>520</v>
      </c>
      <c r="D13">
        <v>25</v>
      </c>
      <c r="E13">
        <v>25</v>
      </c>
      <c r="F13">
        <v>751</v>
      </c>
      <c r="G13">
        <v>30</v>
      </c>
      <c r="H13">
        <v>102</v>
      </c>
      <c r="I13">
        <v>209</v>
      </c>
      <c r="J13">
        <v>0.48799999999999999</v>
      </c>
      <c r="K13">
        <v>0</v>
      </c>
      <c r="L13">
        <v>2</v>
      </c>
      <c r="M13">
        <v>0</v>
      </c>
      <c r="N13" s="37">
        <f t="shared" si="5"/>
        <v>0.48341232227488151</v>
      </c>
      <c r="O13">
        <v>69</v>
      </c>
      <c r="P13">
        <v>104</v>
      </c>
      <c r="Q13">
        <v>0.66300000000000003</v>
      </c>
      <c r="R13">
        <v>123</v>
      </c>
      <c r="S13">
        <v>134</v>
      </c>
      <c r="T13">
        <v>257</v>
      </c>
      <c r="U13">
        <v>10.3</v>
      </c>
      <c r="V13">
        <v>68</v>
      </c>
      <c r="W13">
        <v>30</v>
      </c>
      <c r="X13" s="37">
        <f t="shared" si="0"/>
        <v>1.2</v>
      </c>
      <c r="Y13">
        <v>34</v>
      </c>
      <c r="Z13" s="37">
        <f t="shared" si="1"/>
        <v>1.36</v>
      </c>
      <c r="AA13" s="37">
        <f t="shared" si="6"/>
        <v>0.88235294117647056</v>
      </c>
      <c r="AB13">
        <v>9</v>
      </c>
      <c r="AC13" s="37">
        <f t="shared" si="2"/>
        <v>0.36</v>
      </c>
      <c r="AD13">
        <v>26</v>
      </c>
      <c r="AE13" s="37">
        <f t="shared" si="3"/>
        <v>1.04</v>
      </c>
      <c r="AF13">
        <v>273</v>
      </c>
      <c r="AG13">
        <v>10.9</v>
      </c>
      <c r="AH13" s="74">
        <f t="shared" si="7"/>
        <v>29.880159786950735</v>
      </c>
      <c r="AI13" s="37">
        <f t="shared" si="4"/>
        <v>53.579839849269902</v>
      </c>
      <c r="AJ13" s="40">
        <f t="shared" si="8"/>
        <v>19.172253949716676</v>
      </c>
      <c r="AK13" s="37">
        <f t="shared" si="9"/>
        <v>7.6933218224114253</v>
      </c>
      <c r="AL13" s="37">
        <f t="shared" si="10"/>
        <v>12.552902589947678</v>
      </c>
      <c r="AM13" s="37">
        <f t="shared" si="11"/>
        <v>2.2574339738549907</v>
      </c>
      <c r="AN13" s="37">
        <f t="shared" si="12"/>
        <v>1.7262730388302869</v>
      </c>
      <c r="AO13" s="37">
        <f t="shared" si="13"/>
        <v>1.0907720523578626</v>
      </c>
      <c r="AP13" s="5">
        <f t="shared" si="14"/>
        <v>35</v>
      </c>
    </row>
    <row r="14" spans="1:42" x14ac:dyDescent="0.2">
      <c r="A14" s="9">
        <v>30</v>
      </c>
      <c r="B14" t="s">
        <v>73</v>
      </c>
      <c r="C14" t="s">
        <v>517</v>
      </c>
      <c r="D14">
        <v>30</v>
      </c>
      <c r="E14">
        <v>27</v>
      </c>
      <c r="F14">
        <v>965</v>
      </c>
      <c r="G14">
        <v>32.200000000000003</v>
      </c>
      <c r="H14">
        <v>124</v>
      </c>
      <c r="I14">
        <v>293</v>
      </c>
      <c r="J14">
        <v>0.42299999999999999</v>
      </c>
      <c r="K14">
        <v>18</v>
      </c>
      <c r="L14">
        <v>67</v>
      </c>
      <c r="M14">
        <v>0.26900000000000002</v>
      </c>
      <c r="N14" s="37">
        <f t="shared" si="5"/>
        <v>0.36944444444444446</v>
      </c>
      <c r="O14">
        <v>42</v>
      </c>
      <c r="P14">
        <v>62</v>
      </c>
      <c r="Q14">
        <v>0.67700000000000005</v>
      </c>
      <c r="R14">
        <v>44</v>
      </c>
      <c r="S14">
        <v>117</v>
      </c>
      <c r="T14">
        <v>161</v>
      </c>
      <c r="U14">
        <v>5.4</v>
      </c>
      <c r="V14">
        <v>42</v>
      </c>
      <c r="W14">
        <v>117</v>
      </c>
      <c r="X14" s="37">
        <f t="shared" si="0"/>
        <v>3.9</v>
      </c>
      <c r="Y14">
        <v>69</v>
      </c>
      <c r="Z14" s="37">
        <f t="shared" si="1"/>
        <v>2.2999999999999998</v>
      </c>
      <c r="AA14" s="37">
        <f t="shared" si="6"/>
        <v>1.6956521739130435</v>
      </c>
      <c r="AB14">
        <v>32</v>
      </c>
      <c r="AC14" s="37">
        <f t="shared" si="2"/>
        <v>1.0666666666666667</v>
      </c>
      <c r="AD14">
        <v>31</v>
      </c>
      <c r="AE14" s="37">
        <f t="shared" si="3"/>
        <v>1.0333333333333334</v>
      </c>
      <c r="AF14">
        <v>308</v>
      </c>
      <c r="AG14">
        <v>10.3</v>
      </c>
      <c r="AH14" s="74">
        <f t="shared" si="7"/>
        <v>24.041450777202073</v>
      </c>
      <c r="AI14" s="37">
        <f t="shared" si="4"/>
        <v>48.082927438491325</v>
      </c>
      <c r="AJ14" s="40">
        <f t="shared" si="8"/>
        <v>20.114574730388455</v>
      </c>
      <c r="AK14" s="37">
        <f t="shared" si="9"/>
        <v>23.025557843754793</v>
      </c>
      <c r="AL14" s="37">
        <f t="shared" si="10"/>
        <v>8.5960907571453333</v>
      </c>
      <c r="AM14" s="37">
        <f t="shared" si="11"/>
        <v>3.5653145715084347</v>
      </c>
      <c r="AN14" s="37">
        <f t="shared" si="12"/>
        <v>1.6018079958950937</v>
      </c>
      <c r="AO14" s="37">
        <f t="shared" si="13"/>
        <v>3.0182422524195913</v>
      </c>
      <c r="AP14" s="5">
        <f t="shared" si="14"/>
        <v>63</v>
      </c>
    </row>
    <row r="15" spans="1:42" x14ac:dyDescent="0.2">
      <c r="A15" s="9">
        <v>33</v>
      </c>
      <c r="B15" t="s">
        <v>265</v>
      </c>
      <c r="C15" t="s">
        <v>523</v>
      </c>
      <c r="D15">
        <v>15</v>
      </c>
      <c r="E15">
        <v>1</v>
      </c>
      <c r="F15">
        <v>137</v>
      </c>
      <c r="G15">
        <v>9.1</v>
      </c>
      <c r="H15">
        <v>27</v>
      </c>
      <c r="I15">
        <v>69</v>
      </c>
      <c r="J15">
        <v>0.39100000000000001</v>
      </c>
      <c r="K15">
        <v>9</v>
      </c>
      <c r="L15">
        <v>35</v>
      </c>
      <c r="M15">
        <v>0.25700000000000001</v>
      </c>
      <c r="N15" s="37">
        <f t="shared" si="5"/>
        <v>0.30288461538461536</v>
      </c>
      <c r="O15">
        <v>12</v>
      </c>
      <c r="P15">
        <v>13</v>
      </c>
      <c r="Q15">
        <v>0.92300000000000004</v>
      </c>
      <c r="R15">
        <v>4</v>
      </c>
      <c r="S15">
        <v>16</v>
      </c>
      <c r="T15">
        <v>20</v>
      </c>
      <c r="U15">
        <v>1.3</v>
      </c>
      <c r="V15">
        <v>23</v>
      </c>
      <c r="W15">
        <v>6</v>
      </c>
      <c r="X15" s="37">
        <f t="shared" si="0"/>
        <v>0.4</v>
      </c>
      <c r="Y15">
        <v>5</v>
      </c>
      <c r="Z15" s="37">
        <f t="shared" si="1"/>
        <v>0.33333333333333331</v>
      </c>
      <c r="AA15" s="37">
        <f t="shared" si="6"/>
        <v>1.2</v>
      </c>
      <c r="AB15">
        <v>1</v>
      </c>
      <c r="AC15" s="37">
        <f t="shared" si="2"/>
        <v>6.6666666666666666E-2</v>
      </c>
      <c r="AD15">
        <v>4</v>
      </c>
      <c r="AE15" s="37">
        <f t="shared" si="3"/>
        <v>0.26666666666666666</v>
      </c>
      <c r="AF15">
        <v>75</v>
      </c>
      <c r="AG15">
        <v>5</v>
      </c>
      <c r="AH15" s="74">
        <f t="shared" si="7"/>
        <v>29.48905109489051</v>
      </c>
      <c r="AI15" s="37">
        <f t="shared" si="4"/>
        <v>50.187366167023548</v>
      </c>
      <c r="AJ15" s="40">
        <f t="shared" si="8"/>
        <v>29.015015013564959</v>
      </c>
      <c r="AK15" s="37">
        <f t="shared" si="9"/>
        <v>9.5628270867473688</v>
      </c>
      <c r="AL15" s="37">
        <f t="shared" si="10"/>
        <v>1.3468420087828938</v>
      </c>
      <c r="AM15" s="37">
        <f t="shared" si="11"/>
        <v>1.8198077655271552</v>
      </c>
      <c r="AN15" s="37">
        <f t="shared" si="12"/>
        <v>1.4558462124217242</v>
      </c>
      <c r="AO15" s="37">
        <f t="shared" si="13"/>
        <v>0.66437129871918466</v>
      </c>
      <c r="AP15" s="5">
        <f t="shared" si="14"/>
        <v>5</v>
      </c>
    </row>
    <row r="16" spans="1:42" x14ac:dyDescent="0.2">
      <c r="A16" s="9">
        <v>3</v>
      </c>
      <c r="B16" t="s">
        <v>117</v>
      </c>
      <c r="C16" t="s">
        <v>517</v>
      </c>
      <c r="D16">
        <v>29</v>
      </c>
      <c r="E16">
        <v>11</v>
      </c>
      <c r="F16">
        <v>614</v>
      </c>
      <c r="G16">
        <v>21.2</v>
      </c>
      <c r="H16">
        <v>48</v>
      </c>
      <c r="I16">
        <v>128</v>
      </c>
      <c r="J16">
        <v>0.375</v>
      </c>
      <c r="K16">
        <v>3</v>
      </c>
      <c r="L16">
        <v>19</v>
      </c>
      <c r="M16">
        <v>0.158</v>
      </c>
      <c r="N16" s="37">
        <f t="shared" si="5"/>
        <v>0.33673469387755101</v>
      </c>
      <c r="O16">
        <v>12</v>
      </c>
      <c r="P16">
        <v>16</v>
      </c>
      <c r="Q16">
        <v>0.75</v>
      </c>
      <c r="R16">
        <v>39</v>
      </c>
      <c r="S16">
        <v>46</v>
      </c>
      <c r="T16">
        <v>85</v>
      </c>
      <c r="U16">
        <v>2.9</v>
      </c>
      <c r="V16">
        <v>47</v>
      </c>
      <c r="W16">
        <v>69</v>
      </c>
      <c r="X16" s="37">
        <f t="shared" si="0"/>
        <v>2.3793103448275863</v>
      </c>
      <c r="Y16">
        <v>40</v>
      </c>
      <c r="Z16" s="37">
        <f t="shared" si="1"/>
        <v>1.3793103448275863</v>
      </c>
      <c r="AA16" s="37">
        <f t="shared" si="6"/>
        <v>1.7250000000000001</v>
      </c>
      <c r="AB16">
        <v>7</v>
      </c>
      <c r="AC16" s="37">
        <f t="shared" si="2"/>
        <v>0.2413793103448276</v>
      </c>
      <c r="AD16">
        <v>15</v>
      </c>
      <c r="AE16" s="37">
        <f t="shared" si="3"/>
        <v>0.51724137931034486</v>
      </c>
      <c r="AF16">
        <v>111</v>
      </c>
      <c r="AG16">
        <v>3.8</v>
      </c>
      <c r="AH16" s="74">
        <f t="shared" si="7"/>
        <v>16.091205211726386</v>
      </c>
      <c r="AI16" s="37">
        <f t="shared" si="4"/>
        <v>41.098933649289101</v>
      </c>
      <c r="AJ16" s="40">
        <f t="shared" si="8"/>
        <v>14.214939324126592</v>
      </c>
      <c r="AK16" s="37">
        <f t="shared" si="9"/>
        <v>19.480209377019094</v>
      </c>
      <c r="AL16" s="37">
        <f t="shared" si="10"/>
        <v>4.3002508808420021</v>
      </c>
      <c r="AM16" s="37">
        <f t="shared" si="11"/>
        <v>3.2483865000289285</v>
      </c>
      <c r="AN16" s="37">
        <f t="shared" si="12"/>
        <v>1.2181449375108482</v>
      </c>
      <c r="AO16" s="37">
        <f t="shared" si="13"/>
        <v>1.0376743900190524</v>
      </c>
      <c r="AP16" s="5">
        <f t="shared" si="14"/>
        <v>22</v>
      </c>
    </row>
    <row r="17" spans="1:42" x14ac:dyDescent="0.2">
      <c r="A17" s="9">
        <v>32</v>
      </c>
      <c r="B17" t="s">
        <v>266</v>
      </c>
      <c r="C17" t="s">
        <v>520</v>
      </c>
      <c r="D17">
        <v>30</v>
      </c>
      <c r="E17">
        <v>0</v>
      </c>
      <c r="F17">
        <v>376</v>
      </c>
      <c r="G17">
        <v>12.5</v>
      </c>
      <c r="H17">
        <v>34</v>
      </c>
      <c r="I17">
        <v>107</v>
      </c>
      <c r="J17">
        <v>0.318</v>
      </c>
      <c r="K17">
        <v>22</v>
      </c>
      <c r="L17">
        <v>65</v>
      </c>
      <c r="M17">
        <v>0.33800000000000002</v>
      </c>
      <c r="N17" s="37">
        <f t="shared" si="5"/>
        <v>0.26162790697674421</v>
      </c>
      <c r="O17">
        <v>15</v>
      </c>
      <c r="P17">
        <v>22</v>
      </c>
      <c r="Q17">
        <v>0.68200000000000005</v>
      </c>
      <c r="R17">
        <v>15</v>
      </c>
      <c r="S17">
        <v>42</v>
      </c>
      <c r="T17">
        <v>57</v>
      </c>
      <c r="U17">
        <v>1.9</v>
      </c>
      <c r="V17">
        <v>52</v>
      </c>
      <c r="W17">
        <v>13</v>
      </c>
      <c r="X17" s="37">
        <f t="shared" si="0"/>
        <v>0.43333333333333335</v>
      </c>
      <c r="Y17">
        <v>19</v>
      </c>
      <c r="Z17" s="37">
        <f t="shared" si="1"/>
        <v>0.6333333333333333</v>
      </c>
      <c r="AA17" s="37">
        <f t="shared" si="6"/>
        <v>0.68421052631578949</v>
      </c>
      <c r="AB17">
        <v>3</v>
      </c>
      <c r="AC17" s="37">
        <f t="shared" si="2"/>
        <v>0.1</v>
      </c>
      <c r="AD17">
        <v>6</v>
      </c>
      <c r="AE17" s="37">
        <f t="shared" si="3"/>
        <v>0.2</v>
      </c>
      <c r="AF17">
        <v>105</v>
      </c>
      <c r="AG17">
        <v>3.5</v>
      </c>
      <c r="AH17" s="74">
        <f t="shared" si="7"/>
        <v>17.553191489361701</v>
      </c>
      <c r="AI17" s="37">
        <f t="shared" si="4"/>
        <v>44.994857730545078</v>
      </c>
      <c r="AJ17" s="40">
        <f t="shared" si="8"/>
        <v>17.99302016747939</v>
      </c>
      <c r="AK17" s="37">
        <f t="shared" si="9"/>
        <v>6.1233576528300704</v>
      </c>
      <c r="AL17" s="37">
        <f t="shared" si="10"/>
        <v>3.4628307300587933</v>
      </c>
      <c r="AM17" s="37">
        <f t="shared" si="11"/>
        <v>2.5196593689719071</v>
      </c>
      <c r="AN17" s="37">
        <f t="shared" si="12"/>
        <v>0.79568190599112854</v>
      </c>
      <c r="AO17" s="37">
        <f t="shared" si="13"/>
        <v>0.72621437173825776</v>
      </c>
      <c r="AP17" s="5">
        <f t="shared" si="14"/>
        <v>9</v>
      </c>
    </row>
    <row r="18" spans="1:42" x14ac:dyDescent="0.2">
      <c r="A18" s="9">
        <v>11</v>
      </c>
      <c r="B18" t="s">
        <v>267</v>
      </c>
      <c r="C18" t="s">
        <v>517</v>
      </c>
      <c r="D18">
        <v>3</v>
      </c>
      <c r="E18">
        <v>0</v>
      </c>
      <c r="F18">
        <v>8</v>
      </c>
      <c r="G18">
        <v>2.7</v>
      </c>
      <c r="H18">
        <v>2</v>
      </c>
      <c r="I18">
        <v>4</v>
      </c>
      <c r="J18">
        <v>0.5</v>
      </c>
      <c r="K18">
        <v>0</v>
      </c>
      <c r="L18">
        <v>0</v>
      </c>
      <c r="M18">
        <v>0</v>
      </c>
      <c r="N18" s="37">
        <f t="shared" si="5"/>
        <v>0.5</v>
      </c>
      <c r="O18">
        <v>3</v>
      </c>
      <c r="P18">
        <v>4</v>
      </c>
      <c r="Q18">
        <v>0.75</v>
      </c>
      <c r="R18">
        <v>0</v>
      </c>
      <c r="S18">
        <v>0</v>
      </c>
      <c r="T18">
        <v>0</v>
      </c>
      <c r="U18">
        <v>0</v>
      </c>
      <c r="V18">
        <v>1</v>
      </c>
      <c r="W18">
        <v>2</v>
      </c>
      <c r="X18" s="37">
        <f t="shared" si="0"/>
        <v>0.66666666666666663</v>
      </c>
      <c r="Y18">
        <v>3</v>
      </c>
      <c r="Z18" s="37">
        <f t="shared" si="1"/>
        <v>1</v>
      </c>
      <c r="AA18" s="37">
        <f t="shared" si="6"/>
        <v>0.66666666666666663</v>
      </c>
      <c r="AB18">
        <v>0</v>
      </c>
      <c r="AC18" s="37">
        <f t="shared" si="2"/>
        <v>0</v>
      </c>
      <c r="AD18">
        <v>1</v>
      </c>
      <c r="AE18" s="37">
        <f t="shared" si="3"/>
        <v>0.33333333333333331</v>
      </c>
      <c r="AF18">
        <v>7</v>
      </c>
      <c r="AG18">
        <v>2.2999999999999998</v>
      </c>
      <c r="AH18" s="74">
        <f t="shared" si="7"/>
        <v>35</v>
      </c>
      <c r="AI18" s="37">
        <f t="shared" si="4"/>
        <v>60.763888888888893</v>
      </c>
      <c r="AJ18" s="40">
        <f t="shared" si="8"/>
        <v>54.599692389111233</v>
      </c>
      <c r="AK18" s="37">
        <f t="shared" si="9"/>
        <v>61.719549641760487</v>
      </c>
      <c r="AL18" s="37">
        <f t="shared" si="10"/>
        <v>0</v>
      </c>
      <c r="AM18" s="37">
        <f xml:space="preserve"> 100 * (Y18 * ($F$25/5)) / (F18 * ($I$25+ 0.44*$P$25 + $Y$25))</f>
        <v>18.69852479079152</v>
      </c>
      <c r="AN18" s="37">
        <f t="shared" si="12"/>
        <v>6.2328415969305064</v>
      </c>
      <c r="AO18" s="37">
        <f t="shared" si="13"/>
        <v>0</v>
      </c>
      <c r="AP18" s="5">
        <f t="shared" si="14"/>
        <v>1</v>
      </c>
    </row>
    <row r="19" spans="1:42" x14ac:dyDescent="0.2">
      <c r="A19" s="9">
        <v>14</v>
      </c>
      <c r="B19" t="s">
        <v>251</v>
      </c>
      <c r="C19" t="s">
        <v>517</v>
      </c>
      <c r="D19">
        <v>20</v>
      </c>
      <c r="E19">
        <v>3</v>
      </c>
      <c r="F19">
        <v>138</v>
      </c>
      <c r="G19">
        <v>6.9</v>
      </c>
      <c r="H19">
        <v>15</v>
      </c>
      <c r="I19">
        <v>44</v>
      </c>
      <c r="J19">
        <v>0.34100000000000003</v>
      </c>
      <c r="K19">
        <v>1</v>
      </c>
      <c r="L19">
        <v>13</v>
      </c>
      <c r="M19">
        <v>7.6999999999999999E-2</v>
      </c>
      <c r="N19" s="37">
        <f t="shared" si="5"/>
        <v>0.27192982456140352</v>
      </c>
      <c r="O19">
        <v>12</v>
      </c>
      <c r="P19">
        <v>14</v>
      </c>
      <c r="Q19">
        <v>0.85699999999999998</v>
      </c>
      <c r="R19">
        <v>6</v>
      </c>
      <c r="S19">
        <v>21</v>
      </c>
      <c r="T19">
        <v>27</v>
      </c>
      <c r="U19">
        <v>1.4</v>
      </c>
      <c r="V19">
        <v>13</v>
      </c>
      <c r="W19">
        <v>2</v>
      </c>
      <c r="X19" s="37">
        <f t="shared" si="0"/>
        <v>0.1</v>
      </c>
      <c r="Y19">
        <v>9</v>
      </c>
      <c r="Z19" s="37">
        <f t="shared" si="1"/>
        <v>0.45</v>
      </c>
      <c r="AA19" s="37">
        <f t="shared" si="6"/>
        <v>0.22222222222222221</v>
      </c>
      <c r="AB19">
        <v>0</v>
      </c>
      <c r="AC19" s="37">
        <f t="shared" si="2"/>
        <v>0</v>
      </c>
      <c r="AD19">
        <v>6</v>
      </c>
      <c r="AE19" s="37">
        <f t="shared" si="3"/>
        <v>0.3</v>
      </c>
      <c r="AF19">
        <v>43</v>
      </c>
      <c r="AG19">
        <v>2.2000000000000002</v>
      </c>
      <c r="AH19" s="74">
        <f t="shared" si="7"/>
        <v>20</v>
      </c>
      <c r="AI19" s="37">
        <f t="shared" si="4"/>
        <v>42.862838915470498</v>
      </c>
      <c r="AJ19" s="40">
        <f t="shared" si="8"/>
        <v>21.375936746342532</v>
      </c>
      <c r="AK19" s="37">
        <f t="shared" si="9"/>
        <v>2.6525899043220056</v>
      </c>
      <c r="AL19" s="37">
        <f t="shared" si="10"/>
        <v>1.7897041474753377</v>
      </c>
      <c r="AM19" s="37">
        <f t="shared" si="11"/>
        <v>3.251917354920264</v>
      </c>
      <c r="AN19" s="37">
        <f t="shared" si="12"/>
        <v>2.1679449032801763</v>
      </c>
      <c r="AO19" s="37">
        <f t="shared" si="13"/>
        <v>0</v>
      </c>
      <c r="AP19" s="5">
        <f t="shared" si="14"/>
        <v>6</v>
      </c>
    </row>
    <row r="20" spans="1:42" x14ac:dyDescent="0.2">
      <c r="A20" s="9">
        <v>34</v>
      </c>
      <c r="B20" t="s">
        <v>268</v>
      </c>
      <c r="C20" t="s">
        <v>521</v>
      </c>
      <c r="D20">
        <v>13</v>
      </c>
      <c r="E20">
        <v>0</v>
      </c>
      <c r="F20">
        <v>85</v>
      </c>
      <c r="G20">
        <v>6.5</v>
      </c>
      <c r="H20">
        <v>8</v>
      </c>
      <c r="I20">
        <v>16</v>
      </c>
      <c r="J20">
        <v>0.5</v>
      </c>
      <c r="K20">
        <v>1</v>
      </c>
      <c r="L20">
        <v>5</v>
      </c>
      <c r="M20">
        <v>0.2</v>
      </c>
      <c r="N20" s="37">
        <f t="shared" si="5"/>
        <v>0.40476190476190477</v>
      </c>
      <c r="O20">
        <v>2</v>
      </c>
      <c r="P20">
        <v>4</v>
      </c>
      <c r="Q20">
        <v>0.5</v>
      </c>
      <c r="R20">
        <v>1</v>
      </c>
      <c r="S20">
        <v>6</v>
      </c>
      <c r="T20">
        <v>7</v>
      </c>
      <c r="U20">
        <v>0.5</v>
      </c>
      <c r="V20">
        <v>18</v>
      </c>
      <c r="W20">
        <v>1</v>
      </c>
      <c r="X20" s="37">
        <f t="shared" si="0"/>
        <v>7.6923076923076927E-2</v>
      </c>
      <c r="Y20">
        <v>7</v>
      </c>
      <c r="Z20" s="37">
        <f t="shared" si="1"/>
        <v>0.53846153846153844</v>
      </c>
      <c r="AA20" s="37">
        <f t="shared" si="6"/>
        <v>0.14285714285714285</v>
      </c>
      <c r="AB20">
        <v>1</v>
      </c>
      <c r="AC20" s="37">
        <f t="shared" si="2"/>
        <v>7.6923076923076927E-2</v>
      </c>
      <c r="AD20">
        <v>2</v>
      </c>
      <c r="AE20" s="37">
        <f t="shared" si="3"/>
        <v>0.15384615384615385</v>
      </c>
      <c r="AF20">
        <v>19</v>
      </c>
      <c r="AG20">
        <v>1.5</v>
      </c>
      <c r="AH20" s="74">
        <f t="shared" si="7"/>
        <v>10.823529411764705</v>
      </c>
      <c r="AI20" s="37">
        <f t="shared" si="4"/>
        <v>53.49099099099098</v>
      </c>
      <c r="AJ20" s="40">
        <f t="shared" si="8"/>
        <v>14.524720747294056</v>
      </c>
      <c r="AK20" s="37">
        <f t="shared" si="9"/>
        <v>2.0973183541442038</v>
      </c>
      <c r="AL20" s="37">
        <f t="shared" si="10"/>
        <v>0.49730108412324703</v>
      </c>
      <c r="AM20" s="37">
        <f t="shared" si="11"/>
        <v>4.106342699154216</v>
      </c>
      <c r="AN20" s="37">
        <f t="shared" si="12"/>
        <v>1.1732407711869188</v>
      </c>
      <c r="AO20" s="37">
        <f t="shared" si="13"/>
        <v>1.0708102108768036</v>
      </c>
      <c r="AP20" s="5">
        <f t="shared" si="14"/>
        <v>3</v>
      </c>
    </row>
    <row r="21" spans="1:42" x14ac:dyDescent="0.2">
      <c r="A21" s="9">
        <v>0</v>
      </c>
      <c r="B21" t="s">
        <v>166</v>
      </c>
      <c r="C21" t="s">
        <v>517</v>
      </c>
      <c r="D21">
        <v>3</v>
      </c>
      <c r="E21">
        <v>0</v>
      </c>
      <c r="F21">
        <v>13</v>
      </c>
      <c r="G21">
        <v>4.3</v>
      </c>
      <c r="H21">
        <v>1</v>
      </c>
      <c r="I21">
        <v>4</v>
      </c>
      <c r="J21">
        <v>0.25</v>
      </c>
      <c r="K21">
        <v>0</v>
      </c>
      <c r="L21">
        <v>1</v>
      </c>
      <c r="M21">
        <v>0</v>
      </c>
      <c r="N21" s="37">
        <f t="shared" si="5"/>
        <v>0.2</v>
      </c>
      <c r="O21">
        <v>2</v>
      </c>
      <c r="P21">
        <v>2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 s="37">
        <f t="shared" si="0"/>
        <v>0</v>
      </c>
      <c r="Y21">
        <v>0</v>
      </c>
      <c r="Z21" s="37">
        <f t="shared" si="1"/>
        <v>0</v>
      </c>
      <c r="AA21" s="37">
        <v>0</v>
      </c>
      <c r="AB21">
        <v>0</v>
      </c>
      <c r="AC21" s="37">
        <f t="shared" si="2"/>
        <v>0</v>
      </c>
      <c r="AD21">
        <v>0</v>
      </c>
      <c r="AE21" s="37">
        <f t="shared" si="3"/>
        <v>0</v>
      </c>
      <c r="AF21">
        <v>4</v>
      </c>
      <c r="AG21">
        <v>1.3</v>
      </c>
      <c r="AH21" s="74">
        <f t="shared" si="7"/>
        <v>12.307692307692308</v>
      </c>
      <c r="AI21" s="37">
        <f t="shared" si="4"/>
        <v>40.983606557377051</v>
      </c>
      <c r="AJ21" s="40">
        <f t="shared" si="8"/>
        <v>18.717702764935922</v>
      </c>
      <c r="AK21" s="37">
        <f t="shared" si="9"/>
        <v>0</v>
      </c>
      <c r="AL21" s="37">
        <f t="shared" si="10"/>
        <v>0</v>
      </c>
      <c r="AM21" s="37">
        <f t="shared" si="11"/>
        <v>0</v>
      </c>
      <c r="AN21" s="37">
        <f t="shared" si="12"/>
        <v>0</v>
      </c>
      <c r="AO21" s="37">
        <f t="shared" si="13"/>
        <v>0</v>
      </c>
      <c r="AP21" s="5">
        <f t="shared" si="14"/>
        <v>0</v>
      </c>
    </row>
    <row r="22" spans="1:42" x14ac:dyDescent="0.2">
      <c r="A22" s="9">
        <v>1</v>
      </c>
      <c r="B22" t="s">
        <v>249</v>
      </c>
      <c r="C22" t="s">
        <v>517</v>
      </c>
      <c r="D22">
        <v>11</v>
      </c>
      <c r="E22">
        <v>1</v>
      </c>
      <c r="F22">
        <v>96</v>
      </c>
      <c r="G22">
        <v>8.6999999999999993</v>
      </c>
      <c r="H22">
        <v>4</v>
      </c>
      <c r="I22">
        <v>13</v>
      </c>
      <c r="J22">
        <v>0.308</v>
      </c>
      <c r="K22">
        <v>2</v>
      </c>
      <c r="L22">
        <v>10</v>
      </c>
      <c r="M22">
        <v>0.2</v>
      </c>
      <c r="N22" s="37">
        <f t="shared" si="5"/>
        <v>0.21739130434782608</v>
      </c>
      <c r="O22">
        <v>3</v>
      </c>
      <c r="P22">
        <v>4</v>
      </c>
      <c r="Q22">
        <v>0.75</v>
      </c>
      <c r="R22">
        <v>0</v>
      </c>
      <c r="S22">
        <v>8</v>
      </c>
      <c r="T22">
        <v>8</v>
      </c>
      <c r="U22">
        <v>0.7</v>
      </c>
      <c r="V22">
        <v>6</v>
      </c>
      <c r="W22">
        <v>2</v>
      </c>
      <c r="X22" s="37">
        <f t="shared" si="0"/>
        <v>0.18181818181818182</v>
      </c>
      <c r="Y22">
        <v>3</v>
      </c>
      <c r="Z22" s="37">
        <f t="shared" si="1"/>
        <v>0.27272727272727271</v>
      </c>
      <c r="AA22" s="37">
        <f t="shared" si="6"/>
        <v>0.66666666666666663</v>
      </c>
      <c r="AB22">
        <v>0</v>
      </c>
      <c r="AC22" s="37">
        <f t="shared" si="2"/>
        <v>0</v>
      </c>
      <c r="AD22">
        <v>1</v>
      </c>
      <c r="AE22" s="37">
        <f t="shared" si="3"/>
        <v>9.0909090909090912E-2</v>
      </c>
      <c r="AF22">
        <v>13</v>
      </c>
      <c r="AG22">
        <v>1.2</v>
      </c>
      <c r="AH22" s="74">
        <f t="shared" si="7"/>
        <v>8.75</v>
      </c>
      <c r="AI22" s="37">
        <f t="shared" si="4"/>
        <v>44.037940379403793</v>
      </c>
      <c r="AJ22" s="40">
        <f t="shared" si="8"/>
        <v>9.224605563457148</v>
      </c>
      <c r="AK22" s="37">
        <f t="shared" si="9"/>
        <v>3.3964177086853669</v>
      </c>
      <c r="AL22" s="37">
        <f t="shared" si="10"/>
        <v>0.62124759498365745</v>
      </c>
      <c r="AM22" s="37">
        <f t="shared" si="11"/>
        <v>1.5582103992326266</v>
      </c>
      <c r="AN22" s="37">
        <f t="shared" si="12"/>
        <v>0.51940346641087554</v>
      </c>
      <c r="AO22" s="37">
        <f t="shared" si="13"/>
        <v>0</v>
      </c>
      <c r="AP22" s="5">
        <f t="shared" si="14"/>
        <v>1</v>
      </c>
    </row>
    <row r="23" spans="1:42" x14ac:dyDescent="0.2">
      <c r="A23" s="9">
        <v>23</v>
      </c>
      <c r="B23" t="s">
        <v>250</v>
      </c>
      <c r="C23" t="s">
        <v>517</v>
      </c>
      <c r="D23">
        <v>16</v>
      </c>
      <c r="E23">
        <v>0</v>
      </c>
      <c r="F23">
        <v>98</v>
      </c>
      <c r="G23">
        <v>6.1</v>
      </c>
      <c r="H23">
        <v>4</v>
      </c>
      <c r="I23">
        <v>10</v>
      </c>
      <c r="J23">
        <v>0.4</v>
      </c>
      <c r="K23">
        <v>0</v>
      </c>
      <c r="L23">
        <v>0</v>
      </c>
      <c r="M23">
        <v>0</v>
      </c>
      <c r="N23" s="37">
        <f t="shared" si="5"/>
        <v>0.4</v>
      </c>
      <c r="O23">
        <v>1</v>
      </c>
      <c r="P23">
        <v>2</v>
      </c>
      <c r="Q23">
        <v>0.5</v>
      </c>
      <c r="R23">
        <v>3</v>
      </c>
      <c r="S23">
        <v>7</v>
      </c>
      <c r="T23">
        <v>10</v>
      </c>
      <c r="U23">
        <v>0.6</v>
      </c>
      <c r="V23">
        <v>9</v>
      </c>
      <c r="W23">
        <v>7</v>
      </c>
      <c r="X23" s="37">
        <f t="shared" si="0"/>
        <v>0.4375</v>
      </c>
      <c r="Y23">
        <v>7</v>
      </c>
      <c r="Z23" s="37">
        <f t="shared" si="1"/>
        <v>0.4375</v>
      </c>
      <c r="AA23" s="37">
        <f t="shared" si="6"/>
        <v>1</v>
      </c>
      <c r="AB23">
        <v>0</v>
      </c>
      <c r="AC23" s="37">
        <f t="shared" si="2"/>
        <v>0</v>
      </c>
      <c r="AD23">
        <v>2</v>
      </c>
      <c r="AE23" s="37">
        <f t="shared" si="3"/>
        <v>0.125</v>
      </c>
      <c r="AF23">
        <v>9</v>
      </c>
      <c r="AG23">
        <v>0.6</v>
      </c>
      <c r="AH23" s="74">
        <f t="shared" si="7"/>
        <v>8.5714285714285712</v>
      </c>
      <c r="AI23" s="37">
        <f t="shared" si="4"/>
        <v>41.360294117647058</v>
      </c>
      <c r="AJ23" s="40">
        <f t="shared" si="8"/>
        <v>9.0974047145402004</v>
      </c>
      <c r="AK23" s="37">
        <f t="shared" si="9"/>
        <v>11.628739875475233</v>
      </c>
      <c r="AL23" s="37">
        <f t="shared" si="10"/>
        <v>0.63274457465297618</v>
      </c>
      <c r="AM23" s="37">
        <f t="shared" si="11"/>
        <v>3.5616237696745752</v>
      </c>
      <c r="AN23" s="37">
        <f xml:space="preserve"> 100 * (AD23 * ($F$25/5)) / (F23 * ($I$25+ 0.44 * $P$25+ $Y$25))</f>
        <v>1.0176067913355928</v>
      </c>
      <c r="AO23" s="37">
        <f t="shared" si="13"/>
        <v>0</v>
      </c>
      <c r="AP23" s="5">
        <f t="shared" si="14"/>
        <v>2</v>
      </c>
    </row>
    <row r="24" spans="1:42" ht="17" thickBot="1" x14ac:dyDescent="0.25">
      <c r="A24" s="3">
        <v>20</v>
      </c>
      <c r="B24" s="4" t="s">
        <v>139</v>
      </c>
      <c r="C24" s="4" t="s">
        <v>520</v>
      </c>
      <c r="D24" s="4">
        <v>6</v>
      </c>
      <c r="E24" s="4">
        <v>0</v>
      </c>
      <c r="F24" s="4">
        <v>32</v>
      </c>
      <c r="G24" s="4">
        <v>5.3</v>
      </c>
      <c r="H24" s="4">
        <v>0</v>
      </c>
      <c r="I24" s="4">
        <v>3</v>
      </c>
      <c r="J24" s="4">
        <v>0</v>
      </c>
      <c r="K24" s="4">
        <v>0</v>
      </c>
      <c r="L24" s="4">
        <v>3</v>
      </c>
      <c r="M24" s="4">
        <v>0</v>
      </c>
      <c r="N24" s="17">
        <f t="shared" si="5"/>
        <v>0</v>
      </c>
      <c r="O24" s="4">
        <v>0</v>
      </c>
      <c r="P24" s="4">
        <v>0</v>
      </c>
      <c r="Q24" s="4">
        <v>0</v>
      </c>
      <c r="R24" s="4">
        <v>1</v>
      </c>
      <c r="S24" s="4">
        <v>1</v>
      </c>
      <c r="T24" s="4">
        <v>2</v>
      </c>
      <c r="U24" s="4">
        <v>0.3</v>
      </c>
      <c r="V24" s="4">
        <v>0</v>
      </c>
      <c r="W24" s="4">
        <v>1</v>
      </c>
      <c r="X24" s="17">
        <f t="shared" si="0"/>
        <v>0.16666666666666666</v>
      </c>
      <c r="Y24" s="4">
        <v>2</v>
      </c>
      <c r="Z24" s="17">
        <f t="shared" si="1"/>
        <v>0.33333333333333331</v>
      </c>
      <c r="AA24" s="17">
        <f t="shared" si="6"/>
        <v>0.5</v>
      </c>
      <c r="AB24" s="4">
        <v>0</v>
      </c>
      <c r="AC24" s="17">
        <f t="shared" si="2"/>
        <v>0</v>
      </c>
      <c r="AD24" s="4">
        <v>1</v>
      </c>
      <c r="AE24" s="17">
        <f t="shared" si="3"/>
        <v>0.16666666666666666</v>
      </c>
      <c r="AF24" s="4">
        <v>0</v>
      </c>
      <c r="AG24" s="4">
        <v>0</v>
      </c>
      <c r="AH24" s="74">
        <f t="shared" si="7"/>
        <v>2.5</v>
      </c>
      <c r="AI24" s="17">
        <f t="shared" si="4"/>
        <v>0</v>
      </c>
      <c r="AJ24" s="41">
        <f t="shared" si="8"/>
        <v>7.7910519961631328</v>
      </c>
      <c r="AK24" s="17">
        <f t="shared" si="9"/>
        <v>4.7705696202531644</v>
      </c>
      <c r="AL24" s="17">
        <f t="shared" si="10"/>
        <v>0.10886759362876561</v>
      </c>
      <c r="AM24" s="17">
        <f xml:space="preserve"> 100 * (Y24 * ($F$25/5)) / (F24 * ($I$25+ 0.44*$P$25 + $Y$25))</f>
        <v>3.1164207984652532</v>
      </c>
      <c r="AN24" s="17">
        <f t="shared" si="12"/>
        <v>1.5582103992326266</v>
      </c>
      <c r="AO24" s="17">
        <f t="shared" si="13"/>
        <v>0</v>
      </c>
      <c r="AP24" s="56">
        <f t="shared" si="14"/>
        <v>1</v>
      </c>
    </row>
    <row r="25" spans="1:42" ht="17" thickBot="1" x14ac:dyDescent="0.25">
      <c r="B25" s="1" t="s">
        <v>170</v>
      </c>
      <c r="C25" s="2"/>
      <c r="D25" s="2" t="s">
        <v>50</v>
      </c>
      <c r="E25" s="2"/>
      <c r="F25" s="2">
        <v>6030</v>
      </c>
      <c r="G25" s="2">
        <v>201</v>
      </c>
      <c r="H25" s="2">
        <v>790</v>
      </c>
      <c r="I25" s="2">
        <v>1875</v>
      </c>
      <c r="J25" s="2">
        <v>0.42099999999999999</v>
      </c>
      <c r="K25" s="2">
        <v>188</v>
      </c>
      <c r="L25" s="2">
        <v>576</v>
      </c>
      <c r="M25" s="2">
        <v>0.32600000000000001</v>
      </c>
      <c r="N25" s="16">
        <f>(H25+(0.5*K25))/(L25+I25)</f>
        <v>0.36066911464708284</v>
      </c>
      <c r="O25" s="2">
        <v>358</v>
      </c>
      <c r="P25" s="2">
        <v>481</v>
      </c>
      <c r="Q25" s="2">
        <v>0.74399999999999999</v>
      </c>
      <c r="R25" s="2">
        <v>338</v>
      </c>
      <c r="S25" s="2">
        <v>724</v>
      </c>
      <c r="T25" s="2">
        <v>1062</v>
      </c>
      <c r="U25" s="2">
        <v>35.4</v>
      </c>
      <c r="V25" s="2">
        <v>472</v>
      </c>
      <c r="W25" s="2">
        <v>420</v>
      </c>
      <c r="X25" s="16">
        <f>W25 / D25</f>
        <v>14</v>
      </c>
      <c r="Y25" s="2">
        <v>332</v>
      </c>
      <c r="Z25" s="11">
        <f>Y25/F24</f>
        <v>10.375</v>
      </c>
      <c r="AA25" s="17">
        <f>W25/Y25</f>
        <v>1.2650602409638554</v>
      </c>
      <c r="AB25" s="2">
        <v>89</v>
      </c>
      <c r="AC25" s="16">
        <f>AB25/D25</f>
        <v>2.9666666666666668</v>
      </c>
      <c r="AD25" s="2">
        <v>165</v>
      </c>
      <c r="AE25" s="2">
        <f>AD25/D25</f>
        <v>5.5</v>
      </c>
      <c r="AF25" s="2">
        <v>2126</v>
      </c>
      <c r="AG25" s="2">
        <v>70.87</v>
      </c>
      <c r="AH25" s="16">
        <f>((AF25+T25+W25+AD25+AB25-Y25)/F25)*40</f>
        <v>23.41625207296849</v>
      </c>
      <c r="AI25" s="16">
        <f t="shared" si="4"/>
        <v>50.94314304336158</v>
      </c>
      <c r="AJ25" s="2"/>
      <c r="AK25" s="2"/>
      <c r="AL25" s="2"/>
      <c r="AM25" s="2"/>
      <c r="AN25" s="2"/>
      <c r="AO25" s="2"/>
      <c r="AP25" s="44"/>
    </row>
    <row r="26" spans="1:42" ht="17" thickBot="1" x14ac:dyDescent="0.25">
      <c r="B26" s="3" t="s">
        <v>186</v>
      </c>
      <c r="C26" s="4"/>
      <c r="D26" s="4"/>
      <c r="E26" s="4"/>
      <c r="F26" s="4">
        <v>6025</v>
      </c>
      <c r="G26" s="4">
        <v>200.8</v>
      </c>
      <c r="H26" s="4">
        <v>730</v>
      </c>
      <c r="I26" s="4">
        <v>1744</v>
      </c>
      <c r="J26" s="4">
        <v>0.41899999999999998</v>
      </c>
      <c r="K26" s="4">
        <v>124</v>
      </c>
      <c r="L26" s="4">
        <v>419</v>
      </c>
      <c r="M26" s="4">
        <v>0.29599999999999999</v>
      </c>
      <c r="N26" s="17">
        <f>(H26+(0.5*K26))/(L26+I26)</f>
        <v>0.36615811373092927</v>
      </c>
      <c r="O26" s="4">
        <v>362</v>
      </c>
      <c r="P26" s="4">
        <v>484</v>
      </c>
      <c r="Q26" s="4">
        <v>0.748</v>
      </c>
      <c r="R26" s="4">
        <v>250</v>
      </c>
      <c r="S26" s="4">
        <v>676</v>
      </c>
      <c r="T26" s="4">
        <v>926</v>
      </c>
      <c r="U26" s="4">
        <v>30.9</v>
      </c>
      <c r="V26" s="4">
        <v>478</v>
      </c>
      <c r="W26" s="4">
        <v>318</v>
      </c>
      <c r="X26" s="16">
        <f>W26 / D25</f>
        <v>10.6</v>
      </c>
      <c r="Y26" s="4">
        <v>361</v>
      </c>
      <c r="Z26" s="17">
        <f>Y26/F25</f>
        <v>5.9867330016583745E-2</v>
      </c>
      <c r="AA26" s="17">
        <f>W26/Y26</f>
        <v>0.88088642659279781</v>
      </c>
      <c r="AB26" s="4">
        <v>61</v>
      </c>
      <c r="AC26" s="17">
        <f>AB26/D25</f>
        <v>2.0333333333333332</v>
      </c>
      <c r="AD26" s="4">
        <v>169</v>
      </c>
      <c r="AE26" s="17">
        <f>AD26/D25</f>
        <v>5.6333333333333337</v>
      </c>
      <c r="AF26" s="4">
        <v>1946</v>
      </c>
      <c r="AG26" s="4">
        <v>64.87</v>
      </c>
      <c r="AH26" s="4"/>
      <c r="AI26" s="17">
        <f t="shared" si="4"/>
        <v>49.719973836971626</v>
      </c>
      <c r="AJ26" s="4"/>
      <c r="AK26" s="4"/>
      <c r="AL26" s="4"/>
      <c r="AM26" s="4"/>
      <c r="AN26" s="4"/>
      <c r="AO26" s="4"/>
      <c r="AP26" s="56"/>
    </row>
    <row r="27" spans="1:42" x14ac:dyDescent="0.2">
      <c r="A27" t="s">
        <v>7</v>
      </c>
    </row>
    <row r="28" spans="1:42" x14ac:dyDescent="0.2">
      <c r="A28" t="s">
        <v>7</v>
      </c>
    </row>
    <row r="29" spans="1:42" x14ac:dyDescent="0.2">
      <c r="A29" t="s">
        <v>7</v>
      </c>
    </row>
    <row r="30" spans="1:42" x14ac:dyDescent="0.2">
      <c r="A30" t="s">
        <v>7</v>
      </c>
    </row>
    <row r="62" spans="1:1" x14ac:dyDescent="0.2">
      <c r="A62" t="s">
        <v>476</v>
      </c>
    </row>
    <row r="63" spans="1:1" x14ac:dyDescent="0.2">
      <c r="A63" t="s">
        <v>476</v>
      </c>
    </row>
    <row r="127" spans="1:1" x14ac:dyDescent="0.2">
      <c r="A127" t="s">
        <v>7</v>
      </c>
    </row>
    <row r="131" spans="1:1" x14ac:dyDescent="0.2">
      <c r="A131" t="s">
        <v>244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50EA-004E-C04B-BF93-B0B2DA09C909}">
  <dimension ref="A1:AP134"/>
  <sheetViews>
    <sheetView topLeftCell="A6" zoomScale="150" workbookViewId="0">
      <selection activeCell="Z6" sqref="Z6"/>
    </sheetView>
  </sheetViews>
  <sheetFormatPr baseColWidth="10" defaultRowHeight="16" x14ac:dyDescent="0.2"/>
  <cols>
    <col min="1" max="1" width="19" customWidth="1"/>
    <col min="2" max="2" width="18" bestFit="1" customWidth="1"/>
    <col min="3" max="3" width="18" customWidth="1"/>
  </cols>
  <sheetData>
    <row r="1" spans="1:42" ht="17" thickBot="1" x14ac:dyDescent="0.25">
      <c r="A1" s="23"/>
      <c r="B1" s="26" t="s">
        <v>481</v>
      </c>
      <c r="C1" s="28"/>
      <c r="D1" s="27"/>
      <c r="E1" s="28" t="s">
        <v>483</v>
      </c>
      <c r="F1" s="27"/>
      <c r="G1" s="28" t="s">
        <v>485</v>
      </c>
      <c r="H1" s="27"/>
      <c r="I1" s="28" t="s">
        <v>482</v>
      </c>
      <c r="J1" s="27"/>
      <c r="K1" s="28" t="s">
        <v>486</v>
      </c>
      <c r="L1" s="27"/>
      <c r="N1" s="26" t="s">
        <v>478</v>
      </c>
      <c r="O1" s="28" t="s">
        <v>207</v>
      </c>
      <c r="P1" s="28" t="s">
        <v>208</v>
      </c>
      <c r="Q1" s="28" t="s">
        <v>209</v>
      </c>
      <c r="R1" s="28" t="s">
        <v>210</v>
      </c>
      <c r="S1" s="28" t="s">
        <v>479</v>
      </c>
      <c r="T1" s="11" t="s">
        <v>491</v>
      </c>
      <c r="U1" s="27" t="s">
        <v>480</v>
      </c>
    </row>
    <row r="2" spans="1:42" ht="17" thickBot="1" x14ac:dyDescent="0.25">
      <c r="A2" s="26" t="s">
        <v>484</v>
      </c>
      <c r="B2" s="24" t="s">
        <v>204</v>
      </c>
      <c r="C2" s="23"/>
      <c r="D2" s="25" t="s">
        <v>205</v>
      </c>
      <c r="E2" s="23" t="s">
        <v>204</v>
      </c>
      <c r="F2" s="25" t="s">
        <v>205</v>
      </c>
      <c r="G2" s="23" t="s">
        <v>204</v>
      </c>
      <c r="H2" s="25" t="s">
        <v>205</v>
      </c>
      <c r="I2" s="23" t="s">
        <v>204</v>
      </c>
      <c r="J2" s="25" t="s">
        <v>205</v>
      </c>
      <c r="K2" s="23" t="s">
        <v>204</v>
      </c>
      <c r="L2" s="25" t="s">
        <v>205</v>
      </c>
      <c r="N2" s="31" t="s">
        <v>2</v>
      </c>
      <c r="O2" s="32">
        <v>673</v>
      </c>
      <c r="P2" s="32">
        <v>657</v>
      </c>
      <c r="Q2" s="32">
        <v>637</v>
      </c>
      <c r="R2" s="32">
        <v>642</v>
      </c>
      <c r="S2" s="32">
        <v>6</v>
      </c>
      <c r="T2" s="2">
        <v>19</v>
      </c>
      <c r="U2" s="32">
        <f>SUM(O2:T2)</f>
        <v>2634</v>
      </c>
      <c r="V2" s="61" t="s">
        <v>508</v>
      </c>
      <c r="W2" s="65">
        <v>14.169</v>
      </c>
    </row>
    <row r="3" spans="1:42" ht="17" thickBot="1" x14ac:dyDescent="0.25">
      <c r="A3" s="20"/>
      <c r="B3" s="20">
        <v>24</v>
      </c>
      <c r="C3" s="21"/>
      <c r="D3" s="22">
        <v>8</v>
      </c>
      <c r="E3" s="21">
        <v>17</v>
      </c>
      <c r="F3" s="22">
        <v>5</v>
      </c>
      <c r="G3" s="21">
        <v>10</v>
      </c>
      <c r="H3" s="22">
        <v>4</v>
      </c>
      <c r="I3" s="21">
        <v>9</v>
      </c>
      <c r="J3" s="22">
        <v>4</v>
      </c>
      <c r="K3" s="21">
        <v>5</v>
      </c>
      <c r="L3" s="22">
        <v>0</v>
      </c>
      <c r="N3" s="20" t="s">
        <v>488</v>
      </c>
      <c r="O3" s="21">
        <v>487</v>
      </c>
      <c r="P3" s="21">
        <v>490</v>
      </c>
      <c r="Q3" s="21">
        <v>558</v>
      </c>
      <c r="R3" s="21">
        <v>533</v>
      </c>
      <c r="S3" s="21">
        <v>6</v>
      </c>
      <c r="T3" s="4">
        <v>13</v>
      </c>
      <c r="U3" s="22">
        <f>SUM(O3:T3)</f>
        <v>2087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515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1">
        <v>2</v>
      </c>
      <c r="B10" s="2" t="s">
        <v>264</v>
      </c>
      <c r="C10" s="2" t="s">
        <v>517</v>
      </c>
      <c r="D10" s="2">
        <v>32</v>
      </c>
      <c r="E10" s="2">
        <v>32</v>
      </c>
      <c r="F10" s="2">
        <v>1053</v>
      </c>
      <c r="G10" s="2">
        <v>32.9</v>
      </c>
      <c r="H10" s="2">
        <v>233</v>
      </c>
      <c r="I10" s="2">
        <v>457</v>
      </c>
      <c r="J10" s="2">
        <v>0.51</v>
      </c>
      <c r="K10" s="2">
        <v>80</v>
      </c>
      <c r="L10" s="2">
        <v>188</v>
      </c>
      <c r="M10" s="2">
        <v>0.42599999999999999</v>
      </c>
      <c r="N10" s="16">
        <f>(H10+(0.5*K10))/(L10+I10)</f>
        <v>0.42325581395348838</v>
      </c>
      <c r="O10" s="2">
        <v>106</v>
      </c>
      <c r="P10" s="2">
        <v>123</v>
      </c>
      <c r="Q10" s="2">
        <v>0.86199999999999999</v>
      </c>
      <c r="R10" s="2">
        <v>24</v>
      </c>
      <c r="S10" s="2">
        <v>63</v>
      </c>
      <c r="T10" s="2">
        <v>87</v>
      </c>
      <c r="U10" s="2">
        <v>2.7</v>
      </c>
      <c r="V10" s="2">
        <v>31</v>
      </c>
      <c r="W10" s="2">
        <v>95</v>
      </c>
      <c r="X10" s="16">
        <f t="shared" ref="X10:X24" si="0">W10/D10</f>
        <v>2.96875</v>
      </c>
      <c r="Y10" s="2">
        <v>65</v>
      </c>
      <c r="Z10" s="16">
        <f t="shared" ref="Z10:Z26" si="1">Y10/D10</f>
        <v>2.03125</v>
      </c>
      <c r="AA10" s="16">
        <f>W10/Y10</f>
        <v>1.4615384615384615</v>
      </c>
      <c r="AB10" s="2">
        <v>5</v>
      </c>
      <c r="AC10" s="16">
        <f t="shared" ref="AC10:AC26" si="2">AB10/D10</f>
        <v>0.15625</v>
      </c>
      <c r="AD10" s="2">
        <v>35</v>
      </c>
      <c r="AE10" s="16">
        <f t="shared" ref="AE10:AE26" si="3">AD10/D10</f>
        <v>1.09375</v>
      </c>
      <c r="AF10" s="2">
        <v>652</v>
      </c>
      <c r="AG10" s="2">
        <v>20.399999999999999</v>
      </c>
      <c r="AH10" s="16">
        <f>((AF10+T10+W10+AD10+AB10-Y10)/F10)*40</f>
        <v>30.7312440645774</v>
      </c>
      <c r="AI10" s="16">
        <f t="shared" ref="AI10:AI26" si="4" xml:space="preserve"> AF10 / (2 * (I10 + 0.44 * P10)) * 100</f>
        <v>63.781499452183446</v>
      </c>
      <c r="AJ10" s="39">
        <f xml:space="preserve"> ((I10 + 0.44*P10 + Y10) * ($F$25/5)) / (F10 * ($I$25+ 0.44*$P$25+ $Y$25)) * 100</f>
        <v>25.71776422145907</v>
      </c>
      <c r="AK10" s="16">
        <f xml:space="preserve"> 100 * (W10 / ( ( (F10 / ($F$25/5)) * $H$25) - H10 ) )</f>
        <v>17.645407226625771</v>
      </c>
      <c r="AL10" s="16">
        <f xml:space="preserve"> (100 * (R10 * ($F$25/5)) / (F10 * $R$25+ ($F$25- F10) * $S$26)) + (100 * (S10 * ($F$25/5)) / (F10 * $S$25+ ($F$25- F10) * $R$26))</f>
        <v>3.9625208153136438</v>
      </c>
      <c r="AM10" s="16">
        <f xml:space="preserve"> 100 * (Y10 * ($F$25/5)) / (F10 * ($I$25+ 0.44*$P$25 + $Y$25))</f>
        <v>2.9015737596244526</v>
      </c>
      <c r="AN10" s="16">
        <f xml:space="preserve"> 100 * (AD10 * ($F$25/5)) / (F10 * ($I$25+ 0.44 * $P$25+ $Y$25))</f>
        <v>1.5623858705670128</v>
      </c>
      <c r="AO10" s="16">
        <f xml:space="preserve"> 100 * (AB10 * ($F$25/5)) / (F10 * ($I$26 - $L$26))</f>
        <v>0.45541681229413572</v>
      </c>
      <c r="AP10" s="44">
        <f>AD10+AB10</f>
        <v>40</v>
      </c>
    </row>
    <row r="11" spans="1:42" x14ac:dyDescent="0.2">
      <c r="A11" s="9">
        <v>22</v>
      </c>
      <c r="B11" t="s">
        <v>87</v>
      </c>
      <c r="C11" t="s">
        <v>518</v>
      </c>
      <c r="D11">
        <v>32</v>
      </c>
      <c r="E11">
        <v>32</v>
      </c>
      <c r="F11">
        <v>940</v>
      </c>
      <c r="G11">
        <v>29.4</v>
      </c>
      <c r="H11">
        <v>121</v>
      </c>
      <c r="I11">
        <v>251</v>
      </c>
      <c r="J11">
        <v>0.48199999999999998</v>
      </c>
      <c r="K11">
        <v>1</v>
      </c>
      <c r="L11">
        <v>3</v>
      </c>
      <c r="M11">
        <v>0.33300000000000002</v>
      </c>
      <c r="N11" s="37">
        <f t="shared" ref="N11:N24" si="5">(H11+(0.5*K11))/(L11+I11)</f>
        <v>0.47834645669291337</v>
      </c>
      <c r="O11">
        <v>134</v>
      </c>
      <c r="P11">
        <v>197</v>
      </c>
      <c r="Q11">
        <v>0.68</v>
      </c>
      <c r="R11">
        <v>186</v>
      </c>
      <c r="S11">
        <v>230</v>
      </c>
      <c r="T11">
        <v>416</v>
      </c>
      <c r="U11">
        <v>13</v>
      </c>
      <c r="V11">
        <v>87</v>
      </c>
      <c r="W11">
        <v>79</v>
      </c>
      <c r="X11" s="37">
        <f t="shared" si="0"/>
        <v>2.46875</v>
      </c>
      <c r="Y11">
        <v>48</v>
      </c>
      <c r="Z11" s="37">
        <f t="shared" si="1"/>
        <v>1.5</v>
      </c>
      <c r="AA11" s="37">
        <f t="shared" ref="AA11:AA26" si="6">W11/Y11</f>
        <v>1.6458333333333333</v>
      </c>
      <c r="AB11">
        <v>7</v>
      </c>
      <c r="AC11" s="37">
        <f t="shared" si="2"/>
        <v>0.21875</v>
      </c>
      <c r="AD11">
        <v>42</v>
      </c>
      <c r="AE11" s="37">
        <f t="shared" si="3"/>
        <v>1.3125</v>
      </c>
      <c r="AF11">
        <v>377</v>
      </c>
      <c r="AG11">
        <v>11.8</v>
      </c>
      <c r="AH11" s="74">
        <f t="shared" ref="AH11:AH24" si="7">((AF11+T11+W11+AD11+AB11-Y11)/F11)*40</f>
        <v>37.148936170212764</v>
      </c>
      <c r="AI11" s="37">
        <f t="shared" si="4"/>
        <v>55.822080075811421</v>
      </c>
      <c r="AJ11" s="40">
        <f t="shared" ref="AJ11:AJ24" si="8" xml:space="preserve"> ((I11 + 0.44*P11 + Y11) * ($F$25/5)) / (F11 * ($I$25+ 0.44*$P$25+ $Y$25)) * 100</f>
        <v>19.286254548206102</v>
      </c>
      <c r="AK11" s="37">
        <f t="shared" ref="AK11:AK24" si="9" xml:space="preserve"> 100 * (W11 / ( ( (F11 / ($F$25/5)) * $H$25) - H11 ) )</f>
        <v>13.918138239029787</v>
      </c>
      <c r="AL11" s="37">
        <f xml:space="preserve"> (100 * (R11 * ($F$25/5)) / (F11 * $R$25+ ($F$25- F11) * $S$26)) + (100 * (S11 * ($F$25/5)) / (F11 * $S$25+ ($F$25- F11) * $R$26))</f>
        <v>17.596968168752099</v>
      </c>
      <c r="AM11" s="37">
        <f t="shared" ref="AM11:AM24" si="10" xml:space="preserve"> 100 * (Y11 * ($F$25/5)) / (F11 * ($I$25+ 0.44*$P$25 + $Y$25))</f>
        <v>2.4002805909403984</v>
      </c>
      <c r="AN11" s="37">
        <f t="shared" ref="AN11:AN24" si="11" xml:space="preserve"> 100 * (AD11 * ($F$25/5)) / (F11 * ($I$25+ 0.44 * $P$25+ $Y$25))</f>
        <v>2.1002455170728487</v>
      </c>
      <c r="AO11" s="37">
        <f t="shared" ref="AO11:AO24" si="12" xml:space="preserve"> 100 * (AB11 * ($F$25/5)) / (F11 * ($I$26 - $L$26))</f>
        <v>0.71422921774895198</v>
      </c>
      <c r="AP11" s="5">
        <f t="shared" ref="AP11:AP24" si="13">AD11+AB11</f>
        <v>49</v>
      </c>
    </row>
    <row r="12" spans="1:42" x14ac:dyDescent="0.2">
      <c r="A12" s="9">
        <v>21</v>
      </c>
      <c r="B12" t="s">
        <v>102</v>
      </c>
      <c r="C12" t="s">
        <v>520</v>
      </c>
      <c r="D12">
        <v>32</v>
      </c>
      <c r="E12">
        <v>32</v>
      </c>
      <c r="F12">
        <v>922</v>
      </c>
      <c r="G12">
        <v>28.8</v>
      </c>
      <c r="H12">
        <v>133</v>
      </c>
      <c r="I12">
        <v>325</v>
      </c>
      <c r="J12">
        <v>0.40899999999999997</v>
      </c>
      <c r="K12">
        <v>57</v>
      </c>
      <c r="L12">
        <v>163</v>
      </c>
      <c r="M12">
        <v>0.35</v>
      </c>
      <c r="N12" s="37">
        <f t="shared" si="5"/>
        <v>0.33094262295081966</v>
      </c>
      <c r="O12">
        <v>48</v>
      </c>
      <c r="P12">
        <v>70</v>
      </c>
      <c r="Q12">
        <v>0.68600000000000005</v>
      </c>
      <c r="R12">
        <v>56</v>
      </c>
      <c r="S12">
        <v>127</v>
      </c>
      <c r="T12">
        <v>183</v>
      </c>
      <c r="U12">
        <v>5.7</v>
      </c>
      <c r="V12">
        <v>67</v>
      </c>
      <c r="W12">
        <v>74</v>
      </c>
      <c r="X12" s="37">
        <f t="shared" si="0"/>
        <v>2.3125</v>
      </c>
      <c r="Y12">
        <v>37</v>
      </c>
      <c r="Z12" s="37">
        <f t="shared" si="1"/>
        <v>1.15625</v>
      </c>
      <c r="AA12" s="37">
        <f t="shared" si="6"/>
        <v>2</v>
      </c>
      <c r="AB12">
        <v>47</v>
      </c>
      <c r="AC12" s="37">
        <f t="shared" si="2"/>
        <v>1.46875</v>
      </c>
      <c r="AD12">
        <v>54</v>
      </c>
      <c r="AE12" s="37">
        <f t="shared" si="3"/>
        <v>1.6875</v>
      </c>
      <c r="AF12">
        <v>371</v>
      </c>
      <c r="AG12">
        <v>11.6</v>
      </c>
      <c r="AH12" s="74">
        <f t="shared" si="7"/>
        <v>30.021691973969631</v>
      </c>
      <c r="AI12" s="37">
        <f t="shared" si="4"/>
        <v>52.136031478358625</v>
      </c>
      <c r="AJ12" s="40">
        <f t="shared" si="8"/>
        <v>20.025768328680975</v>
      </c>
      <c r="AK12" s="37">
        <f t="shared" si="9"/>
        <v>13.642599897101698</v>
      </c>
      <c r="AL12" s="37">
        <f t="shared" ref="AL12:AL24" si="14" xml:space="preserve"> (100 * (R12 * ($F$25/5)) / (F12 * $R$25+ ($F$25- F12) * $S$26)) + (100 * (S12 * ($F$25/5)) / (F12 * $S$25+ ($F$25- F12) * $R$26))</f>
        <v>8.3857641524214781</v>
      </c>
      <c r="AM12" s="37">
        <f t="shared" si="10"/>
        <v>1.8863376480682179</v>
      </c>
      <c r="AN12" s="37">
        <f t="shared" si="11"/>
        <v>2.7530333242076694</v>
      </c>
      <c r="AO12" s="37">
        <f t="shared" si="12"/>
        <v>4.8891612705529441</v>
      </c>
      <c r="AP12" s="5">
        <f>AD12+AB12</f>
        <v>101</v>
      </c>
    </row>
    <row r="13" spans="1:42" x14ac:dyDescent="0.2">
      <c r="A13" s="9">
        <v>1</v>
      </c>
      <c r="B13" t="s">
        <v>269</v>
      </c>
      <c r="C13" t="s">
        <v>518</v>
      </c>
      <c r="D13">
        <v>32</v>
      </c>
      <c r="E13">
        <v>12</v>
      </c>
      <c r="F13">
        <v>664</v>
      </c>
      <c r="G13">
        <v>20.8</v>
      </c>
      <c r="H13">
        <v>123</v>
      </c>
      <c r="I13">
        <v>230</v>
      </c>
      <c r="J13">
        <v>0.53500000000000003</v>
      </c>
      <c r="K13">
        <v>16</v>
      </c>
      <c r="L13">
        <v>43</v>
      </c>
      <c r="M13">
        <v>0.372</v>
      </c>
      <c r="N13" s="37">
        <f t="shared" si="5"/>
        <v>0.47985347985347987</v>
      </c>
      <c r="O13">
        <v>30</v>
      </c>
      <c r="P13">
        <v>39</v>
      </c>
      <c r="Q13">
        <v>0.76900000000000002</v>
      </c>
      <c r="R13">
        <v>47</v>
      </c>
      <c r="S13">
        <v>115</v>
      </c>
      <c r="T13">
        <v>162</v>
      </c>
      <c r="U13">
        <v>5.0999999999999996</v>
      </c>
      <c r="V13">
        <v>43</v>
      </c>
      <c r="W13">
        <v>37</v>
      </c>
      <c r="X13" s="37">
        <f t="shared" si="0"/>
        <v>1.15625</v>
      </c>
      <c r="Y13">
        <v>28</v>
      </c>
      <c r="Z13" s="37">
        <f t="shared" si="1"/>
        <v>0.875</v>
      </c>
      <c r="AA13" s="37">
        <f t="shared" si="6"/>
        <v>1.3214285714285714</v>
      </c>
      <c r="AB13">
        <v>36</v>
      </c>
      <c r="AC13" s="37">
        <f t="shared" si="2"/>
        <v>1.125</v>
      </c>
      <c r="AD13">
        <v>33</v>
      </c>
      <c r="AE13" s="37">
        <f t="shared" si="3"/>
        <v>1.03125</v>
      </c>
      <c r="AF13">
        <v>292</v>
      </c>
      <c r="AG13">
        <v>9.1</v>
      </c>
      <c r="AH13" s="74">
        <f t="shared" si="7"/>
        <v>32.048192771084338</v>
      </c>
      <c r="AI13" s="37">
        <f t="shared" si="4"/>
        <v>59.071047094999194</v>
      </c>
      <c r="AJ13" s="40">
        <f t="shared" si="8"/>
        <v>19.478963822758857</v>
      </c>
      <c r="AK13" s="37">
        <f t="shared" si="9"/>
        <v>10.18109681960709</v>
      </c>
      <c r="AL13" s="37">
        <f t="shared" si="14"/>
        <v>7.8306474660019108</v>
      </c>
      <c r="AM13" s="37">
        <f t="shared" si="10"/>
        <v>1.9821594237434514</v>
      </c>
      <c r="AN13" s="37">
        <f t="shared" si="11"/>
        <v>2.336116463697639</v>
      </c>
      <c r="AO13" s="37">
        <f t="shared" si="12"/>
        <v>5.1999820844717162</v>
      </c>
      <c r="AP13" s="5">
        <f t="shared" si="13"/>
        <v>69</v>
      </c>
    </row>
    <row r="14" spans="1:42" x14ac:dyDescent="0.2">
      <c r="A14" s="9">
        <v>45</v>
      </c>
      <c r="B14" t="s">
        <v>270</v>
      </c>
      <c r="C14" t="s">
        <v>520</v>
      </c>
      <c r="D14">
        <v>32</v>
      </c>
      <c r="E14">
        <v>29</v>
      </c>
      <c r="F14">
        <v>772</v>
      </c>
      <c r="G14">
        <v>24.1</v>
      </c>
      <c r="H14">
        <v>80</v>
      </c>
      <c r="I14">
        <v>242</v>
      </c>
      <c r="J14">
        <v>0.33100000000000002</v>
      </c>
      <c r="K14">
        <v>48</v>
      </c>
      <c r="L14">
        <v>136</v>
      </c>
      <c r="M14">
        <v>0.35299999999999998</v>
      </c>
      <c r="N14" s="37">
        <f t="shared" si="5"/>
        <v>0.27513227513227512</v>
      </c>
      <c r="O14">
        <v>52</v>
      </c>
      <c r="P14">
        <v>65</v>
      </c>
      <c r="Q14">
        <v>0.8</v>
      </c>
      <c r="R14">
        <v>12</v>
      </c>
      <c r="S14">
        <v>36</v>
      </c>
      <c r="T14">
        <v>48</v>
      </c>
      <c r="U14">
        <v>1.5</v>
      </c>
      <c r="V14">
        <v>67</v>
      </c>
      <c r="W14">
        <v>55</v>
      </c>
      <c r="X14" s="37">
        <f t="shared" si="0"/>
        <v>1.71875</v>
      </c>
      <c r="Y14">
        <v>49</v>
      </c>
      <c r="Z14" s="37">
        <f t="shared" si="1"/>
        <v>1.53125</v>
      </c>
      <c r="AA14" s="37">
        <f t="shared" si="6"/>
        <v>1.1224489795918366</v>
      </c>
      <c r="AB14">
        <v>5</v>
      </c>
      <c r="AC14" s="37">
        <f t="shared" si="2"/>
        <v>0.15625</v>
      </c>
      <c r="AD14">
        <v>20</v>
      </c>
      <c r="AE14" s="37">
        <f t="shared" si="3"/>
        <v>0.625</v>
      </c>
      <c r="AF14">
        <v>260</v>
      </c>
      <c r="AG14">
        <v>8.1</v>
      </c>
      <c r="AH14" s="74">
        <f t="shared" si="7"/>
        <v>17.564766839378237</v>
      </c>
      <c r="AI14" s="37">
        <f t="shared" si="4"/>
        <v>48.04138950480413</v>
      </c>
      <c r="AJ14" s="40">
        <f t="shared" si="8"/>
        <v>19.459787787475129</v>
      </c>
      <c r="AK14" s="37">
        <f t="shared" si="9"/>
        <v>11.327713382507904</v>
      </c>
      <c r="AL14" s="37">
        <f t="shared" si="14"/>
        <v>2.3265524744932105</v>
      </c>
      <c r="AM14" s="37">
        <f t="shared" si="10"/>
        <v>2.9835093916967494</v>
      </c>
      <c r="AN14" s="37">
        <f t="shared" si="11"/>
        <v>1.2177589353864284</v>
      </c>
      <c r="AO14" s="37">
        <f t="shared" si="12"/>
        <v>0.62118381262399602</v>
      </c>
      <c r="AP14" s="5">
        <f t="shared" si="13"/>
        <v>25</v>
      </c>
    </row>
    <row r="15" spans="1:42" x14ac:dyDescent="0.2">
      <c r="A15" s="9">
        <v>25</v>
      </c>
      <c r="B15" t="s">
        <v>271</v>
      </c>
      <c r="C15" t="s">
        <v>520</v>
      </c>
      <c r="D15">
        <v>2</v>
      </c>
      <c r="E15">
        <v>1</v>
      </c>
      <c r="F15">
        <v>22</v>
      </c>
      <c r="G15">
        <v>11</v>
      </c>
      <c r="H15">
        <v>4</v>
      </c>
      <c r="I15">
        <v>8</v>
      </c>
      <c r="J15">
        <v>0.5</v>
      </c>
      <c r="K15">
        <v>0</v>
      </c>
      <c r="L15">
        <v>3</v>
      </c>
      <c r="M15">
        <v>0</v>
      </c>
      <c r="N15" s="37">
        <f t="shared" si="5"/>
        <v>0.36363636363636365</v>
      </c>
      <c r="O15">
        <v>5</v>
      </c>
      <c r="P15">
        <v>5</v>
      </c>
      <c r="Q15">
        <v>1</v>
      </c>
      <c r="R15">
        <v>1</v>
      </c>
      <c r="S15">
        <v>1</v>
      </c>
      <c r="T15">
        <v>2</v>
      </c>
      <c r="U15">
        <v>1</v>
      </c>
      <c r="V15">
        <v>2</v>
      </c>
      <c r="W15">
        <v>6</v>
      </c>
      <c r="X15" s="37">
        <f t="shared" si="0"/>
        <v>3</v>
      </c>
      <c r="Y15">
        <v>0</v>
      </c>
      <c r="Z15" s="37">
        <f t="shared" si="1"/>
        <v>0</v>
      </c>
      <c r="AA15" s="37" t="s">
        <v>477</v>
      </c>
      <c r="AB15">
        <v>0</v>
      </c>
      <c r="AC15" s="37">
        <f t="shared" si="2"/>
        <v>0</v>
      </c>
      <c r="AD15">
        <v>1</v>
      </c>
      <c r="AE15" s="37">
        <f t="shared" si="3"/>
        <v>0.5</v>
      </c>
      <c r="AF15">
        <v>13</v>
      </c>
      <c r="AG15">
        <v>6.5</v>
      </c>
      <c r="AH15" s="74">
        <f t="shared" si="7"/>
        <v>40</v>
      </c>
      <c r="AI15" s="37">
        <f t="shared" si="4"/>
        <v>63.725490196078439</v>
      </c>
      <c r="AJ15" s="40">
        <f t="shared" si="8"/>
        <v>21.793456729106566</v>
      </c>
      <c r="AK15" s="37">
        <f t="shared" si="9"/>
        <v>49.520153550863732</v>
      </c>
      <c r="AL15" s="37">
        <f t="shared" si="14"/>
        <v>9.3775036659032307E-2</v>
      </c>
      <c r="AM15" s="37">
        <f t="shared" si="10"/>
        <v>0</v>
      </c>
      <c r="AN15" s="37">
        <f t="shared" si="11"/>
        <v>2.1366134048143697</v>
      </c>
      <c r="AO15" s="37">
        <f t="shared" si="12"/>
        <v>0</v>
      </c>
      <c r="AP15" s="5">
        <f t="shared" si="13"/>
        <v>1</v>
      </c>
    </row>
    <row r="16" spans="1:42" x14ac:dyDescent="0.2">
      <c r="A16" s="9">
        <v>20</v>
      </c>
      <c r="B16" t="s">
        <v>139</v>
      </c>
      <c r="C16" t="s">
        <v>517</v>
      </c>
      <c r="D16">
        <v>30</v>
      </c>
      <c r="E16">
        <v>16</v>
      </c>
      <c r="F16">
        <v>544</v>
      </c>
      <c r="G16">
        <v>18.100000000000001</v>
      </c>
      <c r="H16">
        <v>63</v>
      </c>
      <c r="I16">
        <v>138</v>
      </c>
      <c r="J16">
        <v>0.45700000000000002</v>
      </c>
      <c r="K16">
        <v>41</v>
      </c>
      <c r="L16">
        <v>99</v>
      </c>
      <c r="M16">
        <v>0.41399999999999998</v>
      </c>
      <c r="N16" s="37">
        <f t="shared" si="5"/>
        <v>0.35232067510548526</v>
      </c>
      <c r="O16">
        <v>20</v>
      </c>
      <c r="P16">
        <v>24</v>
      </c>
      <c r="Q16">
        <v>0.83299999999999996</v>
      </c>
      <c r="R16">
        <v>27</v>
      </c>
      <c r="S16">
        <v>22</v>
      </c>
      <c r="T16">
        <v>49</v>
      </c>
      <c r="U16">
        <v>1.6</v>
      </c>
      <c r="V16">
        <v>20</v>
      </c>
      <c r="W16">
        <v>40</v>
      </c>
      <c r="X16" s="37">
        <f t="shared" si="0"/>
        <v>1.3333333333333333</v>
      </c>
      <c r="Y16">
        <v>18</v>
      </c>
      <c r="Z16" s="37">
        <f t="shared" si="1"/>
        <v>0.6</v>
      </c>
      <c r="AA16" s="37">
        <f t="shared" si="6"/>
        <v>2.2222222222222223</v>
      </c>
      <c r="AB16">
        <v>2</v>
      </c>
      <c r="AC16" s="37">
        <f t="shared" si="2"/>
        <v>6.6666666666666666E-2</v>
      </c>
      <c r="AD16">
        <v>18</v>
      </c>
      <c r="AE16" s="37">
        <f t="shared" si="3"/>
        <v>0.6</v>
      </c>
      <c r="AF16">
        <v>187</v>
      </c>
      <c r="AG16">
        <v>6.2</v>
      </c>
      <c r="AH16" s="74">
        <f t="shared" si="7"/>
        <v>20.441176470588232</v>
      </c>
      <c r="AI16" s="37">
        <f t="shared" si="4"/>
        <v>62.937533656435107</v>
      </c>
      <c r="AJ16" s="40">
        <f t="shared" si="8"/>
        <v>14.391976528546675</v>
      </c>
      <c r="AK16" s="37">
        <f t="shared" si="9"/>
        <v>11.922090524710612</v>
      </c>
      <c r="AL16" s="37">
        <f t="shared" si="14"/>
        <v>2.0422171153707556</v>
      </c>
      <c r="AM16" s="37">
        <f t="shared" si="10"/>
        <v>1.5553288755634014</v>
      </c>
      <c r="AN16" s="37">
        <f t="shared" si="11"/>
        <v>1.5553288755634014</v>
      </c>
      <c r="AO16" s="37">
        <f t="shared" si="12"/>
        <v>0.35261316422479771</v>
      </c>
      <c r="AP16" s="5">
        <f t="shared" si="13"/>
        <v>20</v>
      </c>
    </row>
    <row r="17" spans="1:42" x14ac:dyDescent="0.2">
      <c r="A17" s="9">
        <v>0</v>
      </c>
      <c r="B17" t="s">
        <v>166</v>
      </c>
      <c r="C17" t="s">
        <v>517</v>
      </c>
      <c r="D17">
        <v>32</v>
      </c>
      <c r="E17">
        <v>2</v>
      </c>
      <c r="F17">
        <v>469</v>
      </c>
      <c r="G17">
        <v>14.7</v>
      </c>
      <c r="H17">
        <v>66</v>
      </c>
      <c r="I17">
        <v>172</v>
      </c>
      <c r="J17">
        <v>0.38400000000000001</v>
      </c>
      <c r="K17">
        <v>33</v>
      </c>
      <c r="L17">
        <v>94</v>
      </c>
      <c r="M17">
        <v>0.35099999999999998</v>
      </c>
      <c r="N17" s="37">
        <f t="shared" si="5"/>
        <v>0.31015037593984962</v>
      </c>
      <c r="O17">
        <v>16</v>
      </c>
      <c r="P17">
        <v>22</v>
      </c>
      <c r="Q17">
        <v>0.72699999999999998</v>
      </c>
      <c r="R17">
        <v>12</v>
      </c>
      <c r="S17">
        <v>25</v>
      </c>
      <c r="T17">
        <v>37</v>
      </c>
      <c r="U17">
        <v>1.2</v>
      </c>
      <c r="V17">
        <v>50</v>
      </c>
      <c r="W17">
        <v>42</v>
      </c>
      <c r="X17" s="37">
        <f t="shared" si="0"/>
        <v>1.3125</v>
      </c>
      <c r="Y17">
        <v>36</v>
      </c>
      <c r="Z17" s="37">
        <f t="shared" si="1"/>
        <v>1.125</v>
      </c>
      <c r="AA17" s="37">
        <f t="shared" si="6"/>
        <v>1.1666666666666667</v>
      </c>
      <c r="AB17">
        <v>3</v>
      </c>
      <c r="AC17" s="37">
        <f t="shared" si="2"/>
        <v>9.375E-2</v>
      </c>
      <c r="AD17">
        <v>43</v>
      </c>
      <c r="AE17" s="37">
        <f t="shared" si="3"/>
        <v>1.34375</v>
      </c>
      <c r="AF17">
        <v>181</v>
      </c>
      <c r="AG17">
        <v>5.7</v>
      </c>
      <c r="AH17" s="74">
        <f t="shared" si="7"/>
        <v>23.027718550106609</v>
      </c>
      <c r="AI17" s="37">
        <f t="shared" si="4"/>
        <v>49.81285777190665</v>
      </c>
      <c r="AJ17" s="40">
        <f t="shared" si="8"/>
        <v>21.816964032238431</v>
      </c>
      <c r="AK17" s="37">
        <f t="shared" si="9"/>
        <v>15.131330903606887</v>
      </c>
      <c r="AL17" s="37">
        <f t="shared" si="14"/>
        <v>1.815959347022992</v>
      </c>
      <c r="AM17" s="37">
        <f t="shared" si="10"/>
        <v>3.6080976900063555</v>
      </c>
      <c r="AN17" s="37">
        <f t="shared" si="11"/>
        <v>4.3096722408409249</v>
      </c>
      <c r="AO17" s="37">
        <f t="shared" si="12"/>
        <v>0.61350179532502125</v>
      </c>
      <c r="AP17" s="5">
        <f t="shared" si="13"/>
        <v>46</v>
      </c>
    </row>
    <row r="18" spans="1:42" x14ac:dyDescent="0.2">
      <c r="A18" s="9">
        <v>30</v>
      </c>
      <c r="B18" t="s">
        <v>266</v>
      </c>
      <c r="C18" t="s">
        <v>520</v>
      </c>
      <c r="D18">
        <v>26</v>
      </c>
      <c r="E18">
        <v>4</v>
      </c>
      <c r="F18">
        <v>352</v>
      </c>
      <c r="G18">
        <v>13.5</v>
      </c>
      <c r="H18">
        <v>48</v>
      </c>
      <c r="I18">
        <v>102</v>
      </c>
      <c r="J18">
        <v>0.47099999999999997</v>
      </c>
      <c r="K18">
        <v>8</v>
      </c>
      <c r="L18">
        <v>33</v>
      </c>
      <c r="M18">
        <v>0.24199999999999999</v>
      </c>
      <c r="N18" s="37">
        <f t="shared" si="5"/>
        <v>0.38518518518518519</v>
      </c>
      <c r="O18">
        <v>11</v>
      </c>
      <c r="P18">
        <v>15</v>
      </c>
      <c r="Q18">
        <v>0.73299999999999998</v>
      </c>
      <c r="R18">
        <v>21</v>
      </c>
      <c r="S18">
        <v>51</v>
      </c>
      <c r="T18">
        <v>72</v>
      </c>
      <c r="U18">
        <v>2.8</v>
      </c>
      <c r="V18">
        <v>45</v>
      </c>
      <c r="W18">
        <v>30</v>
      </c>
      <c r="X18" s="37">
        <f t="shared" si="0"/>
        <v>1.1538461538461537</v>
      </c>
      <c r="Y18">
        <v>30</v>
      </c>
      <c r="Z18" s="37">
        <f t="shared" si="1"/>
        <v>1.1538461538461537</v>
      </c>
      <c r="AA18" s="37">
        <f t="shared" si="6"/>
        <v>1</v>
      </c>
      <c r="AB18">
        <v>1</v>
      </c>
      <c r="AC18" s="37">
        <f t="shared" si="2"/>
        <v>3.8461538461538464E-2</v>
      </c>
      <c r="AD18">
        <v>13</v>
      </c>
      <c r="AE18" s="37">
        <f t="shared" si="3"/>
        <v>0.5</v>
      </c>
      <c r="AF18">
        <v>115</v>
      </c>
      <c r="AG18">
        <v>4.4000000000000004</v>
      </c>
      <c r="AH18" s="74">
        <f t="shared" si="7"/>
        <v>22.840909090909093</v>
      </c>
      <c r="AI18" s="37">
        <f t="shared" si="4"/>
        <v>52.946593001841627</v>
      </c>
      <c r="AJ18" s="40">
        <f t="shared" si="8"/>
        <v>18.508413619204475</v>
      </c>
      <c r="AK18" s="37">
        <f t="shared" si="9"/>
        <v>14.29521276595745</v>
      </c>
      <c r="AL18" s="37">
        <f t="shared" si="14"/>
        <v>3.6902408256878418</v>
      </c>
      <c r="AM18" s="37">
        <f t="shared" si="10"/>
        <v>4.0061501340269432</v>
      </c>
      <c r="AN18" s="37">
        <f t="shared" si="11"/>
        <v>1.7359983914116752</v>
      </c>
      <c r="AO18" s="37">
        <f t="shared" si="12"/>
        <v>0.27247380871916188</v>
      </c>
      <c r="AP18" s="5">
        <f t="shared" si="13"/>
        <v>14</v>
      </c>
    </row>
    <row r="19" spans="1:42" x14ac:dyDescent="0.2">
      <c r="A19" s="9">
        <v>11</v>
      </c>
      <c r="B19" t="s">
        <v>267</v>
      </c>
      <c r="C19" t="s">
        <v>517</v>
      </c>
      <c r="D19">
        <v>12</v>
      </c>
      <c r="E19">
        <v>0</v>
      </c>
      <c r="F19">
        <v>103</v>
      </c>
      <c r="G19">
        <v>8.6</v>
      </c>
      <c r="H19">
        <v>17</v>
      </c>
      <c r="I19">
        <v>37</v>
      </c>
      <c r="J19">
        <v>0.45900000000000002</v>
      </c>
      <c r="K19">
        <v>9</v>
      </c>
      <c r="L19">
        <v>16</v>
      </c>
      <c r="M19">
        <v>0.56299999999999994</v>
      </c>
      <c r="N19" s="37">
        <f t="shared" si="5"/>
        <v>0.40566037735849059</v>
      </c>
      <c r="O19">
        <v>2</v>
      </c>
      <c r="P19">
        <v>5</v>
      </c>
      <c r="Q19">
        <v>0.4</v>
      </c>
      <c r="R19">
        <v>0</v>
      </c>
      <c r="S19">
        <v>12</v>
      </c>
      <c r="T19">
        <v>12</v>
      </c>
      <c r="U19">
        <v>1</v>
      </c>
      <c r="V19">
        <v>8</v>
      </c>
      <c r="W19">
        <v>13</v>
      </c>
      <c r="X19" s="37">
        <f t="shared" si="0"/>
        <v>1.0833333333333333</v>
      </c>
      <c r="Y19">
        <v>7</v>
      </c>
      <c r="Z19" s="37">
        <f t="shared" si="1"/>
        <v>0.58333333333333337</v>
      </c>
      <c r="AA19" s="37">
        <f t="shared" si="6"/>
        <v>1.8571428571428572</v>
      </c>
      <c r="AB19">
        <v>5</v>
      </c>
      <c r="AC19" s="37">
        <f t="shared" si="2"/>
        <v>0.41666666666666669</v>
      </c>
      <c r="AD19">
        <v>3</v>
      </c>
      <c r="AE19" s="37">
        <f t="shared" si="3"/>
        <v>0.25</v>
      </c>
      <c r="AF19">
        <v>45</v>
      </c>
      <c r="AG19">
        <v>3.8</v>
      </c>
      <c r="AH19" s="74">
        <f t="shared" si="7"/>
        <v>27.572815533980584</v>
      </c>
      <c r="AI19" s="37">
        <f t="shared" si="4"/>
        <v>57.397959183673464</v>
      </c>
      <c r="AJ19" s="40">
        <f t="shared" si="8"/>
        <v>21.084018103430342</v>
      </c>
      <c r="AK19" s="37">
        <f t="shared" si="9"/>
        <v>22.23990451561567</v>
      </c>
      <c r="AL19" s="37">
        <f t="shared" si="14"/>
        <v>0.77809003024397749</v>
      </c>
      <c r="AM19" s="37">
        <f t="shared" si="10"/>
        <v>3.1945481974894459</v>
      </c>
      <c r="AN19" s="37">
        <f t="shared" si="11"/>
        <v>1.3690920846383339</v>
      </c>
      <c r="AO19" s="37">
        <f t="shared" si="12"/>
        <v>4.6558631392788827</v>
      </c>
      <c r="AP19" s="5">
        <f t="shared" si="13"/>
        <v>8</v>
      </c>
    </row>
    <row r="20" spans="1:42" x14ac:dyDescent="0.2">
      <c r="A20" s="9">
        <v>14</v>
      </c>
      <c r="B20" t="s">
        <v>251</v>
      </c>
      <c r="C20" t="s">
        <v>518</v>
      </c>
      <c r="D20">
        <v>18</v>
      </c>
      <c r="E20">
        <v>0</v>
      </c>
      <c r="F20">
        <v>121</v>
      </c>
      <c r="G20">
        <v>6.7</v>
      </c>
      <c r="H20">
        <v>17</v>
      </c>
      <c r="I20">
        <v>34</v>
      </c>
      <c r="J20">
        <v>0.5</v>
      </c>
      <c r="K20">
        <v>4</v>
      </c>
      <c r="L20">
        <v>10</v>
      </c>
      <c r="M20">
        <v>0.4</v>
      </c>
      <c r="N20" s="37">
        <f t="shared" si="5"/>
        <v>0.43181818181818182</v>
      </c>
      <c r="O20">
        <v>6</v>
      </c>
      <c r="P20">
        <v>9</v>
      </c>
      <c r="Q20">
        <v>0.66700000000000004</v>
      </c>
      <c r="R20">
        <v>4</v>
      </c>
      <c r="S20">
        <v>14</v>
      </c>
      <c r="T20">
        <v>18</v>
      </c>
      <c r="U20">
        <v>1</v>
      </c>
      <c r="V20">
        <v>9</v>
      </c>
      <c r="W20">
        <v>8</v>
      </c>
      <c r="X20" s="37">
        <f t="shared" si="0"/>
        <v>0.44444444444444442</v>
      </c>
      <c r="Y20">
        <v>6</v>
      </c>
      <c r="Z20" s="37">
        <f t="shared" si="1"/>
        <v>0.33333333333333331</v>
      </c>
      <c r="AA20" s="37">
        <f t="shared" si="6"/>
        <v>1.3333333333333333</v>
      </c>
      <c r="AB20">
        <v>0</v>
      </c>
      <c r="AC20" s="37">
        <f t="shared" si="2"/>
        <v>0</v>
      </c>
      <c r="AD20">
        <v>2</v>
      </c>
      <c r="AE20" s="37">
        <f t="shared" si="3"/>
        <v>0.1111111111111111</v>
      </c>
      <c r="AF20">
        <v>44</v>
      </c>
      <c r="AG20">
        <v>2.4</v>
      </c>
      <c r="AH20" s="74">
        <f t="shared" si="7"/>
        <v>21.818181818181817</v>
      </c>
      <c r="AI20" s="37">
        <f t="shared" si="4"/>
        <v>57.955742887249741</v>
      </c>
      <c r="AJ20" s="40">
        <f t="shared" si="8"/>
        <v>17.077368231934489</v>
      </c>
      <c r="AK20" s="37">
        <f t="shared" si="9"/>
        <v>11.167018341178379</v>
      </c>
      <c r="AL20" s="37">
        <f t="shared" si="14"/>
        <v>1.0140990799603005</v>
      </c>
      <c r="AM20" s="37">
        <f t="shared" si="10"/>
        <v>2.3308509870702214</v>
      </c>
      <c r="AN20" s="37">
        <f t="shared" si="11"/>
        <v>0.77695032902340722</v>
      </c>
      <c r="AO20" s="37">
        <f t="shared" si="12"/>
        <v>0</v>
      </c>
      <c r="AP20" s="5">
        <f t="shared" si="13"/>
        <v>2</v>
      </c>
    </row>
    <row r="21" spans="1:42" x14ac:dyDescent="0.2">
      <c r="A21" s="9">
        <v>4</v>
      </c>
      <c r="B21" t="s">
        <v>272</v>
      </c>
      <c r="C21" t="s">
        <v>518</v>
      </c>
      <c r="D21">
        <v>30</v>
      </c>
      <c r="E21">
        <v>0</v>
      </c>
      <c r="F21">
        <v>274</v>
      </c>
      <c r="G21">
        <v>9.1</v>
      </c>
      <c r="H21">
        <v>28</v>
      </c>
      <c r="I21">
        <v>80</v>
      </c>
      <c r="J21">
        <v>0.35</v>
      </c>
      <c r="K21">
        <v>0</v>
      </c>
      <c r="L21">
        <v>0</v>
      </c>
      <c r="M21">
        <v>0</v>
      </c>
      <c r="N21" s="37">
        <f t="shared" si="5"/>
        <v>0.35</v>
      </c>
      <c r="O21">
        <v>9</v>
      </c>
      <c r="P21">
        <v>14</v>
      </c>
      <c r="Q21">
        <v>0.64300000000000002</v>
      </c>
      <c r="R21">
        <v>27</v>
      </c>
      <c r="S21">
        <v>56</v>
      </c>
      <c r="T21">
        <v>83</v>
      </c>
      <c r="U21">
        <v>2.8</v>
      </c>
      <c r="V21">
        <v>36</v>
      </c>
      <c r="W21">
        <v>9</v>
      </c>
      <c r="X21" s="37">
        <f t="shared" si="0"/>
        <v>0.3</v>
      </c>
      <c r="Y21">
        <v>11</v>
      </c>
      <c r="Z21" s="37">
        <f t="shared" si="1"/>
        <v>0.36666666666666664</v>
      </c>
      <c r="AA21" s="37">
        <f t="shared" si="6"/>
        <v>0.81818181818181823</v>
      </c>
      <c r="AB21">
        <v>26</v>
      </c>
      <c r="AC21" s="37">
        <f t="shared" si="2"/>
        <v>0.8666666666666667</v>
      </c>
      <c r="AD21">
        <v>14</v>
      </c>
      <c r="AE21" s="37">
        <f t="shared" si="3"/>
        <v>0.46666666666666667</v>
      </c>
      <c r="AF21">
        <v>65</v>
      </c>
      <c r="AG21">
        <v>2.2000000000000002</v>
      </c>
      <c r="AH21" s="74">
        <f t="shared" si="7"/>
        <v>27.153284671532845</v>
      </c>
      <c r="AI21" s="37">
        <f t="shared" si="4"/>
        <v>37.720519962859797</v>
      </c>
      <c r="AJ21" s="40">
        <f t="shared" si="8"/>
        <v>16.668079872477414</v>
      </c>
      <c r="AK21" s="37">
        <f t="shared" si="9"/>
        <v>5.2107176518109597</v>
      </c>
      <c r="AL21" s="37">
        <f t="shared" si="14"/>
        <v>4.226664918311501</v>
      </c>
      <c r="AM21" s="37">
        <f t="shared" si="10"/>
        <v>1.8870819122813045</v>
      </c>
      <c r="AN21" s="37">
        <f t="shared" si="11"/>
        <v>2.4017406156307515</v>
      </c>
      <c r="AO21" s="37">
        <f t="shared" si="12"/>
        <v>9.1010229832035385</v>
      </c>
      <c r="AP21" s="5">
        <f t="shared" si="13"/>
        <v>40</v>
      </c>
    </row>
    <row r="22" spans="1:42" x14ac:dyDescent="0.2">
      <c r="A22" s="9">
        <v>23</v>
      </c>
      <c r="B22" t="s">
        <v>250</v>
      </c>
      <c r="C22" t="s">
        <v>517</v>
      </c>
      <c r="D22">
        <v>11</v>
      </c>
      <c r="E22">
        <v>0</v>
      </c>
      <c r="F22">
        <v>118</v>
      </c>
      <c r="G22">
        <v>10.7</v>
      </c>
      <c r="H22">
        <v>7</v>
      </c>
      <c r="I22">
        <v>23</v>
      </c>
      <c r="J22">
        <v>0.30399999999999999</v>
      </c>
      <c r="K22">
        <v>1</v>
      </c>
      <c r="L22">
        <v>3</v>
      </c>
      <c r="M22">
        <v>0.33300000000000002</v>
      </c>
      <c r="N22" s="37">
        <f t="shared" si="5"/>
        <v>0.28846153846153844</v>
      </c>
      <c r="O22">
        <v>0</v>
      </c>
      <c r="P22">
        <v>0</v>
      </c>
      <c r="Q22">
        <v>0</v>
      </c>
      <c r="R22">
        <v>8</v>
      </c>
      <c r="S22">
        <v>10</v>
      </c>
      <c r="T22">
        <v>18</v>
      </c>
      <c r="U22">
        <v>1.6</v>
      </c>
      <c r="V22">
        <v>9</v>
      </c>
      <c r="W22">
        <v>11</v>
      </c>
      <c r="X22" s="37">
        <f t="shared" si="0"/>
        <v>1</v>
      </c>
      <c r="Y22">
        <v>11</v>
      </c>
      <c r="Z22" s="37">
        <f t="shared" si="1"/>
        <v>1</v>
      </c>
      <c r="AA22" s="37">
        <f t="shared" si="6"/>
        <v>1</v>
      </c>
      <c r="AB22">
        <v>0</v>
      </c>
      <c r="AC22" s="37">
        <f t="shared" si="2"/>
        <v>0</v>
      </c>
      <c r="AD22">
        <v>2</v>
      </c>
      <c r="AE22" s="37">
        <f t="shared" si="3"/>
        <v>0.18181818181818182</v>
      </c>
      <c r="AF22">
        <v>15</v>
      </c>
      <c r="AG22">
        <v>1.4</v>
      </c>
      <c r="AH22" s="74">
        <f t="shared" si="7"/>
        <v>11.864406779661017</v>
      </c>
      <c r="AI22" s="37">
        <f t="shared" si="4"/>
        <v>32.608695652173914</v>
      </c>
      <c r="AJ22" s="40">
        <f t="shared" si="8"/>
        <v>13.543956159331765</v>
      </c>
      <c r="AK22" s="37">
        <f t="shared" si="9"/>
        <v>13.846604215456676</v>
      </c>
      <c r="AL22" s="37">
        <f t="shared" si="14"/>
        <v>0.86709731535095191</v>
      </c>
      <c r="AM22" s="37">
        <f t="shared" si="10"/>
        <v>4.3818681691955712</v>
      </c>
      <c r="AN22" s="37">
        <f t="shared" si="11"/>
        <v>0.79670330349010388</v>
      </c>
      <c r="AO22" s="37">
        <f t="shared" si="12"/>
        <v>0</v>
      </c>
      <c r="AP22" s="5">
        <f t="shared" si="13"/>
        <v>2</v>
      </c>
    </row>
    <row r="23" spans="1:42" x14ac:dyDescent="0.2">
      <c r="A23" s="9">
        <v>35</v>
      </c>
      <c r="B23" t="s">
        <v>273</v>
      </c>
      <c r="C23" t="s">
        <v>520</v>
      </c>
      <c r="D23">
        <v>6</v>
      </c>
      <c r="E23">
        <v>0</v>
      </c>
      <c r="F23">
        <v>35</v>
      </c>
      <c r="G23">
        <v>5.8</v>
      </c>
      <c r="H23">
        <v>3</v>
      </c>
      <c r="I23">
        <v>11</v>
      </c>
      <c r="J23">
        <v>0.27300000000000002</v>
      </c>
      <c r="K23">
        <v>1</v>
      </c>
      <c r="L23">
        <v>5</v>
      </c>
      <c r="M23">
        <v>0.2</v>
      </c>
      <c r="N23" s="37">
        <f t="shared" si="5"/>
        <v>0.21875</v>
      </c>
      <c r="O23">
        <v>0</v>
      </c>
      <c r="P23">
        <v>0</v>
      </c>
      <c r="Q23">
        <v>0</v>
      </c>
      <c r="R23">
        <v>2</v>
      </c>
      <c r="S23">
        <v>8</v>
      </c>
      <c r="T23">
        <v>10</v>
      </c>
      <c r="U23">
        <v>1.7</v>
      </c>
      <c r="V23">
        <v>3</v>
      </c>
      <c r="W23">
        <v>2</v>
      </c>
      <c r="X23" s="37">
        <f t="shared" si="0"/>
        <v>0.33333333333333331</v>
      </c>
      <c r="Y23">
        <v>3</v>
      </c>
      <c r="Z23" s="37">
        <f t="shared" si="1"/>
        <v>0.5</v>
      </c>
      <c r="AA23" s="37">
        <f t="shared" si="6"/>
        <v>0.66666666666666663</v>
      </c>
      <c r="AB23">
        <v>0</v>
      </c>
      <c r="AC23" s="37">
        <f t="shared" si="2"/>
        <v>0</v>
      </c>
      <c r="AD23">
        <v>4</v>
      </c>
      <c r="AE23" s="37">
        <f t="shared" si="3"/>
        <v>0.66666666666666663</v>
      </c>
      <c r="AF23">
        <v>7</v>
      </c>
      <c r="AG23">
        <v>1.2</v>
      </c>
      <c r="AH23" s="74">
        <f t="shared" si="7"/>
        <v>22.857142857142854</v>
      </c>
      <c r="AI23" s="37">
        <f t="shared" si="4"/>
        <v>31.818181818181817</v>
      </c>
      <c r="AJ23" s="40">
        <f t="shared" si="8"/>
        <v>18.802197962366453</v>
      </c>
      <c r="AK23" s="37">
        <f t="shared" si="9"/>
        <v>8.8341037493579861</v>
      </c>
      <c r="AL23" s="37">
        <f t="shared" si="14"/>
        <v>0.583333135854193</v>
      </c>
      <c r="AM23" s="37">
        <f t="shared" si="10"/>
        <v>4.0290424205070972</v>
      </c>
      <c r="AN23" s="37">
        <f t="shared" si="11"/>
        <v>5.3720565606761292</v>
      </c>
      <c r="AO23" s="37">
        <f t="shared" si="12"/>
        <v>0</v>
      </c>
      <c r="AP23" s="5">
        <f t="shared" si="13"/>
        <v>4</v>
      </c>
    </row>
    <row r="24" spans="1:42" ht="17" thickBot="1" x14ac:dyDescent="0.25">
      <c r="A24" s="3">
        <v>52</v>
      </c>
      <c r="B24" s="4" t="s">
        <v>268</v>
      </c>
      <c r="C24" s="4" t="s">
        <v>521</v>
      </c>
      <c r="D24" s="4">
        <v>9</v>
      </c>
      <c r="E24" s="4">
        <v>0</v>
      </c>
      <c r="F24" s="4">
        <v>61</v>
      </c>
      <c r="G24" s="4">
        <v>6.8</v>
      </c>
      <c r="H24" s="4">
        <v>2</v>
      </c>
      <c r="I24" s="4">
        <v>12</v>
      </c>
      <c r="J24" s="4">
        <v>0.16700000000000001</v>
      </c>
      <c r="K24" s="4">
        <v>0</v>
      </c>
      <c r="L24" s="4">
        <v>4</v>
      </c>
      <c r="M24" s="4">
        <v>0</v>
      </c>
      <c r="N24" s="17">
        <f t="shared" si="5"/>
        <v>0.125</v>
      </c>
      <c r="O24" s="4">
        <v>4</v>
      </c>
      <c r="P24" s="4">
        <v>6</v>
      </c>
      <c r="Q24" s="4">
        <v>0.66700000000000004</v>
      </c>
      <c r="R24" s="4">
        <v>5</v>
      </c>
      <c r="S24" s="4">
        <v>10</v>
      </c>
      <c r="T24" s="4">
        <v>15</v>
      </c>
      <c r="U24" s="4">
        <v>1.7</v>
      </c>
      <c r="V24" s="4">
        <v>9</v>
      </c>
      <c r="W24" s="4">
        <v>2</v>
      </c>
      <c r="X24" s="17">
        <f t="shared" si="0"/>
        <v>0.22222222222222221</v>
      </c>
      <c r="Y24" s="4">
        <v>1</v>
      </c>
      <c r="Z24" s="17">
        <f t="shared" si="1"/>
        <v>0.1111111111111111</v>
      </c>
      <c r="AA24" s="17">
        <f t="shared" si="6"/>
        <v>2</v>
      </c>
      <c r="AB24" s="4">
        <v>1</v>
      </c>
      <c r="AC24" s="17">
        <f t="shared" si="2"/>
        <v>0.1111111111111111</v>
      </c>
      <c r="AD24" s="4">
        <v>4</v>
      </c>
      <c r="AE24" s="17">
        <f t="shared" si="3"/>
        <v>0.44444444444444442</v>
      </c>
      <c r="AF24" s="4">
        <v>8</v>
      </c>
      <c r="AG24" s="4">
        <v>0.9</v>
      </c>
      <c r="AH24" s="74">
        <f t="shared" si="7"/>
        <v>19.016393442622949</v>
      </c>
      <c r="AI24" s="17">
        <f t="shared" si="4"/>
        <v>27.322404371584696</v>
      </c>
      <c r="AJ24" s="41">
        <f t="shared" si="8"/>
        <v>12.051900661123414</v>
      </c>
      <c r="AK24" s="17">
        <f t="shared" si="9"/>
        <v>4.6853718332879328</v>
      </c>
      <c r="AL24" s="17">
        <f t="shared" si="14"/>
        <v>0.79357211889993051</v>
      </c>
      <c r="AM24" s="17">
        <f t="shared" si="10"/>
        <v>0.77058188370354308</v>
      </c>
      <c r="AN24" s="17">
        <f t="shared" si="11"/>
        <v>3.0823275348141723</v>
      </c>
      <c r="AO24" s="17">
        <f t="shared" si="12"/>
        <v>1.5723078798220489</v>
      </c>
      <c r="AP24" s="56">
        <f t="shared" si="13"/>
        <v>5</v>
      </c>
    </row>
    <row r="25" spans="1:42" ht="17" thickBot="1" x14ac:dyDescent="0.25">
      <c r="B25" s="1" t="s">
        <v>170</v>
      </c>
      <c r="C25" s="2"/>
      <c r="D25" s="2" t="s">
        <v>68</v>
      </c>
      <c r="E25" s="2"/>
      <c r="F25" s="2">
        <v>6450</v>
      </c>
      <c r="G25" s="2">
        <v>201.6</v>
      </c>
      <c r="H25" s="2">
        <v>945</v>
      </c>
      <c r="I25" s="2">
        <v>2122</v>
      </c>
      <c r="J25" s="2">
        <v>0.44500000000000001</v>
      </c>
      <c r="K25" s="2">
        <v>299</v>
      </c>
      <c r="L25" s="2">
        <v>800</v>
      </c>
      <c r="M25" s="2">
        <v>0.374</v>
      </c>
      <c r="N25" s="16">
        <f>(H25+(0.5*K25))/(L25+I25)</f>
        <v>0.37457221081451059</v>
      </c>
      <c r="O25" s="2">
        <v>443</v>
      </c>
      <c r="P25" s="2">
        <v>594</v>
      </c>
      <c r="Q25" s="2">
        <v>0.746</v>
      </c>
      <c r="R25" s="2">
        <v>461</v>
      </c>
      <c r="S25" s="2">
        <v>829</v>
      </c>
      <c r="T25" s="2">
        <v>1290</v>
      </c>
      <c r="U25" s="2">
        <v>40.299999999999997</v>
      </c>
      <c r="V25" s="2">
        <v>486</v>
      </c>
      <c r="W25" s="2">
        <v>503</v>
      </c>
      <c r="X25" s="16">
        <f>W25 / D25</f>
        <v>15.71875</v>
      </c>
      <c r="Y25" s="2">
        <v>361</v>
      </c>
      <c r="Z25" s="17">
        <f t="shared" si="1"/>
        <v>11.28125</v>
      </c>
      <c r="AA25" s="17">
        <f t="shared" si="6"/>
        <v>1.3933518005540166</v>
      </c>
      <c r="AB25" s="2">
        <v>138</v>
      </c>
      <c r="AC25" s="17">
        <f t="shared" si="2"/>
        <v>4.3125</v>
      </c>
      <c r="AD25" s="2">
        <v>288</v>
      </c>
      <c r="AE25" s="17">
        <f t="shared" si="3"/>
        <v>9</v>
      </c>
      <c r="AF25" s="2">
        <v>2632</v>
      </c>
      <c r="AG25" s="2">
        <v>82.25</v>
      </c>
      <c r="AH25" s="16">
        <f>SUM(AH10*F10,AH11*F11,AH12*F12,AH13*F13,AH14*F14,AH15*F15,AH16*F16,AH17*F17,AH18*F18,AH19*F19,AH20*F20,AH21*F21,AH22*F22,AH23*F23,AH24*F24)/F25</f>
        <v>27.429457364341086</v>
      </c>
      <c r="AI25" s="16">
        <f t="shared" si="4"/>
        <v>55.216165413533837</v>
      </c>
      <c r="AJ25" s="2"/>
      <c r="AK25" s="2"/>
      <c r="AL25" s="2"/>
      <c r="AM25" s="2"/>
      <c r="AN25" s="2"/>
      <c r="AO25" s="2"/>
      <c r="AP25" s="44"/>
    </row>
    <row r="26" spans="1:42" ht="17" thickBot="1" x14ac:dyDescent="0.25">
      <c r="B26" s="3" t="s">
        <v>186</v>
      </c>
      <c r="C26" s="4"/>
      <c r="D26" s="4" t="s">
        <v>68</v>
      </c>
      <c r="E26" s="4"/>
      <c r="F26" s="4">
        <v>6450</v>
      </c>
      <c r="G26" s="4">
        <v>201.6</v>
      </c>
      <c r="H26" s="4">
        <v>791</v>
      </c>
      <c r="I26" s="4">
        <v>1881</v>
      </c>
      <c r="J26" s="4">
        <v>0.42099999999999999</v>
      </c>
      <c r="K26" s="4">
        <v>166</v>
      </c>
      <c r="L26" s="4">
        <v>536</v>
      </c>
      <c r="M26" s="4">
        <v>0.31</v>
      </c>
      <c r="N26" s="17">
        <f>(H26+(0.5*K26))/(L26+I26)</f>
        <v>0.36160529582126605</v>
      </c>
      <c r="O26" s="4">
        <v>339</v>
      </c>
      <c r="P26" s="4">
        <v>491</v>
      </c>
      <c r="Q26" s="4">
        <v>0.69</v>
      </c>
      <c r="R26" s="4">
        <v>300</v>
      </c>
      <c r="S26" s="4">
        <v>728</v>
      </c>
      <c r="T26" s="4">
        <v>1028</v>
      </c>
      <c r="U26" s="4">
        <v>32.1</v>
      </c>
      <c r="V26" s="4">
        <v>511</v>
      </c>
      <c r="W26" s="4">
        <v>355</v>
      </c>
      <c r="X26" s="16">
        <f>W26 / D26</f>
        <v>11.09375</v>
      </c>
      <c r="Y26" s="4">
        <v>489</v>
      </c>
      <c r="Z26" s="17">
        <f t="shared" si="1"/>
        <v>15.28125</v>
      </c>
      <c r="AA26" s="17">
        <f t="shared" si="6"/>
        <v>0.72597137014314927</v>
      </c>
      <c r="AB26" s="4">
        <v>67</v>
      </c>
      <c r="AC26" s="17">
        <f t="shared" si="2"/>
        <v>2.09375</v>
      </c>
      <c r="AD26" s="4">
        <v>189</v>
      </c>
      <c r="AE26" s="17">
        <f t="shared" si="3"/>
        <v>5.90625</v>
      </c>
      <c r="AF26" s="4">
        <v>2087</v>
      </c>
      <c r="AG26" s="4">
        <v>65.22</v>
      </c>
      <c r="AH26" s="4"/>
      <c r="AI26" s="17">
        <f t="shared" si="4"/>
        <v>49.760614962041736</v>
      </c>
      <c r="AJ26" s="4"/>
      <c r="AK26" s="4"/>
      <c r="AL26" s="4"/>
      <c r="AM26" s="4"/>
      <c r="AN26" s="4"/>
      <c r="AO26" s="4"/>
      <c r="AP26" s="56"/>
    </row>
    <row r="27" spans="1:42" x14ac:dyDescent="0.2">
      <c r="A27" t="s">
        <v>7</v>
      </c>
    </row>
    <row r="28" spans="1:42" x14ac:dyDescent="0.2">
      <c r="A28" t="s">
        <v>7</v>
      </c>
    </row>
    <row r="29" spans="1:42" x14ac:dyDescent="0.2">
      <c r="A29" t="s">
        <v>7</v>
      </c>
    </row>
    <row r="30" spans="1:42" x14ac:dyDescent="0.2">
      <c r="A30" t="s">
        <v>7</v>
      </c>
    </row>
    <row r="65" spans="1:1" x14ac:dyDescent="0.2">
      <c r="A65" t="s">
        <v>7</v>
      </c>
    </row>
    <row r="66" spans="1:1" x14ac:dyDescent="0.2">
      <c r="A66" t="s">
        <v>7</v>
      </c>
    </row>
    <row r="134" spans="1:1" x14ac:dyDescent="0.2">
      <c r="A134" t="s">
        <v>244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EBC6-F9FF-0241-836A-F76742F5B87E}">
  <dimension ref="A1:AP64"/>
  <sheetViews>
    <sheetView tabSelected="1" zoomScale="159" workbookViewId="0">
      <selection activeCell="D23" sqref="D23"/>
    </sheetView>
  </sheetViews>
  <sheetFormatPr baseColWidth="10" defaultRowHeight="16" x14ac:dyDescent="0.2"/>
  <cols>
    <col min="1" max="1" width="19.5" customWidth="1"/>
    <col min="2" max="2" width="18" bestFit="1" customWidth="1"/>
    <col min="3" max="3" width="18" customWidth="1"/>
    <col min="34" max="34" width="11.6640625" bestFit="1" customWidth="1"/>
  </cols>
  <sheetData>
    <row r="1" spans="1:42" ht="17" thickBot="1" x14ac:dyDescent="0.25">
      <c r="A1" s="23"/>
      <c r="B1" s="26" t="s">
        <v>481</v>
      </c>
      <c r="C1" s="28"/>
      <c r="D1" s="27"/>
      <c r="E1" s="28" t="s">
        <v>483</v>
      </c>
      <c r="F1" s="27"/>
      <c r="G1" s="28" t="s">
        <v>485</v>
      </c>
      <c r="H1" s="27"/>
      <c r="I1" s="28" t="s">
        <v>482</v>
      </c>
      <c r="J1" s="27"/>
      <c r="K1" s="28" t="s">
        <v>486</v>
      </c>
      <c r="L1" s="27"/>
      <c r="N1" s="26" t="s">
        <v>478</v>
      </c>
      <c r="O1" s="28" t="s">
        <v>207</v>
      </c>
      <c r="P1" s="28" t="s">
        <v>208</v>
      </c>
      <c r="Q1" s="28" t="s">
        <v>209</v>
      </c>
      <c r="R1" s="28" t="s">
        <v>210</v>
      </c>
      <c r="S1" s="28" t="s">
        <v>479</v>
      </c>
      <c r="T1" s="27" t="s">
        <v>480</v>
      </c>
    </row>
    <row r="2" spans="1:42" ht="17" thickBot="1" x14ac:dyDescent="0.25">
      <c r="A2" s="26" t="s">
        <v>484</v>
      </c>
      <c r="B2" s="24" t="s">
        <v>204</v>
      </c>
      <c r="C2" s="23"/>
      <c r="D2" s="25" t="s">
        <v>205</v>
      </c>
      <c r="E2" s="23" t="s">
        <v>204</v>
      </c>
      <c r="F2" s="25" t="s">
        <v>205</v>
      </c>
      <c r="G2" s="23" t="s">
        <v>204</v>
      </c>
      <c r="H2" s="25" t="s">
        <v>205</v>
      </c>
      <c r="I2" s="23" t="s">
        <v>204</v>
      </c>
      <c r="J2" s="25" t="s">
        <v>205</v>
      </c>
      <c r="K2" s="23" t="s">
        <v>204</v>
      </c>
      <c r="L2" s="25" t="s">
        <v>205</v>
      </c>
      <c r="N2" s="31" t="s">
        <v>2</v>
      </c>
      <c r="O2" s="32">
        <v>525</v>
      </c>
      <c r="P2" s="32">
        <v>500</v>
      </c>
      <c r="Q2" s="32">
        <v>502</v>
      </c>
      <c r="R2" s="32">
        <v>512</v>
      </c>
      <c r="S2" s="32">
        <v>3</v>
      </c>
      <c r="T2" s="33">
        <f>SUM(O2:S2)</f>
        <v>2042</v>
      </c>
      <c r="V2" s="61" t="s">
        <v>528</v>
      </c>
      <c r="W2" s="62">
        <v>13.749000000000001</v>
      </c>
    </row>
    <row r="3" spans="1:42" ht="17" thickBot="1" x14ac:dyDescent="0.25">
      <c r="A3" s="20"/>
      <c r="B3" s="20">
        <v>19</v>
      </c>
      <c r="C3" s="21"/>
      <c r="D3" s="22">
        <v>9</v>
      </c>
      <c r="E3" s="21">
        <v>17</v>
      </c>
      <c r="F3" s="22">
        <v>5</v>
      </c>
      <c r="G3" s="21">
        <v>9</v>
      </c>
      <c r="H3" s="22">
        <v>3</v>
      </c>
      <c r="I3" s="21">
        <v>9</v>
      </c>
      <c r="J3" s="22">
        <v>5</v>
      </c>
      <c r="K3" s="21">
        <v>1</v>
      </c>
      <c r="L3" s="22">
        <v>1</v>
      </c>
      <c r="N3" s="20" t="s">
        <v>488</v>
      </c>
      <c r="O3" s="21">
        <v>402</v>
      </c>
      <c r="P3" s="21">
        <v>428</v>
      </c>
      <c r="Q3" s="21">
        <v>469</v>
      </c>
      <c r="R3" s="21">
        <v>438</v>
      </c>
      <c r="S3" s="21">
        <v>8</v>
      </c>
      <c r="T3" s="33">
        <f>SUM(O3:S3)</f>
        <v>1745</v>
      </c>
    </row>
    <row r="7" spans="1:42" ht="17" thickBot="1" x14ac:dyDescent="0.25">
      <c r="A7" t="s">
        <v>7</v>
      </c>
    </row>
    <row r="8" spans="1:42" ht="17" thickBot="1" x14ac:dyDescent="0.25">
      <c r="H8" s="1" t="s">
        <v>8</v>
      </c>
      <c r="I8" s="2"/>
      <c r="J8" s="2"/>
      <c r="K8" s="2" t="s">
        <v>9</v>
      </c>
      <c r="L8" s="2"/>
      <c r="M8" s="2"/>
      <c r="N8" s="2"/>
      <c r="O8" s="2" t="s">
        <v>4</v>
      </c>
      <c r="P8" s="2"/>
      <c r="Q8" s="2"/>
      <c r="R8" s="2" t="s">
        <v>10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8"/>
    </row>
    <row r="9" spans="1:42" ht="17" thickBot="1" x14ac:dyDescent="0.25">
      <c r="A9" s="10" t="s">
        <v>11</v>
      </c>
      <c r="B9" s="11" t="s">
        <v>12</v>
      </c>
      <c r="C9" s="11" t="s">
        <v>515</v>
      </c>
      <c r="D9" s="11" t="s">
        <v>253</v>
      </c>
      <c r="E9" s="11" t="s">
        <v>243</v>
      </c>
      <c r="F9" s="11" t="s">
        <v>13</v>
      </c>
      <c r="G9" s="11" t="s">
        <v>513</v>
      </c>
      <c r="H9" s="11" t="s">
        <v>8</v>
      </c>
      <c r="I9" s="11" t="s">
        <v>245</v>
      </c>
      <c r="J9" s="11" t="s">
        <v>3</v>
      </c>
      <c r="K9" s="11" t="s">
        <v>246</v>
      </c>
      <c r="L9" s="11" t="s">
        <v>511</v>
      </c>
      <c r="M9" s="11" t="s">
        <v>14</v>
      </c>
      <c r="N9" s="11" t="s">
        <v>470</v>
      </c>
      <c r="O9" s="11" t="s">
        <v>4</v>
      </c>
      <c r="P9" s="11" t="s">
        <v>247</v>
      </c>
      <c r="Q9" s="11" t="s">
        <v>5</v>
      </c>
      <c r="R9" s="11" t="s">
        <v>15</v>
      </c>
      <c r="S9" s="11" t="s">
        <v>16</v>
      </c>
      <c r="T9" s="11" t="s">
        <v>17</v>
      </c>
      <c r="U9" s="11" t="s">
        <v>512</v>
      </c>
      <c r="V9" s="11" t="s">
        <v>18</v>
      </c>
      <c r="W9" s="11" t="s">
        <v>475</v>
      </c>
      <c r="X9" s="11" t="s">
        <v>472</v>
      </c>
      <c r="Y9" s="11" t="s">
        <v>6</v>
      </c>
      <c r="Z9" s="11" t="s">
        <v>469</v>
      </c>
      <c r="AA9" s="11" t="s">
        <v>471</v>
      </c>
      <c r="AB9" s="11" t="s">
        <v>19</v>
      </c>
      <c r="AC9" s="11" t="s">
        <v>474</v>
      </c>
      <c r="AD9" s="11" t="s">
        <v>452</v>
      </c>
      <c r="AE9" s="11" t="s">
        <v>473</v>
      </c>
      <c r="AF9" s="11" t="s">
        <v>20</v>
      </c>
      <c r="AG9" s="11" t="s">
        <v>514</v>
      </c>
      <c r="AH9" s="11" t="s">
        <v>468</v>
      </c>
      <c r="AI9" s="11" t="s">
        <v>502</v>
      </c>
      <c r="AJ9" s="11" t="s">
        <v>503</v>
      </c>
      <c r="AK9" s="11" t="s">
        <v>504</v>
      </c>
      <c r="AL9" s="11" t="s">
        <v>505</v>
      </c>
      <c r="AM9" s="11" t="s">
        <v>506</v>
      </c>
      <c r="AN9" s="11" t="s">
        <v>509</v>
      </c>
      <c r="AO9" s="11" t="s">
        <v>510</v>
      </c>
      <c r="AP9" s="55" t="s">
        <v>507</v>
      </c>
    </row>
    <row r="10" spans="1:42" x14ac:dyDescent="0.2">
      <c r="A10" s="46">
        <v>2</v>
      </c>
      <c r="B10" s="50" t="s">
        <v>264</v>
      </c>
      <c r="C10" s="2" t="s">
        <v>517</v>
      </c>
      <c r="D10" s="2">
        <v>28</v>
      </c>
      <c r="E10" s="2">
        <v>28</v>
      </c>
      <c r="F10" s="2">
        <v>1012</v>
      </c>
      <c r="G10" s="2">
        <v>36.1</v>
      </c>
      <c r="H10" s="2">
        <v>210</v>
      </c>
      <c r="I10" s="2">
        <v>424</v>
      </c>
      <c r="J10" s="2">
        <v>0.495</v>
      </c>
      <c r="K10" s="2">
        <v>70</v>
      </c>
      <c r="L10" s="2">
        <v>156</v>
      </c>
      <c r="M10" s="2">
        <v>0.44900000000000001</v>
      </c>
      <c r="N10" s="16">
        <f>(H10+(0.5*K10))/(L10+I10)</f>
        <v>0.42241379310344829</v>
      </c>
      <c r="O10" s="2">
        <v>122</v>
      </c>
      <c r="P10" s="2">
        <v>133</v>
      </c>
      <c r="Q10" s="2">
        <v>0.91700000000000004</v>
      </c>
      <c r="R10" s="2">
        <v>32</v>
      </c>
      <c r="S10" s="2">
        <v>66</v>
      </c>
      <c r="T10" s="2">
        <v>98</v>
      </c>
      <c r="U10" s="2">
        <v>3.5</v>
      </c>
      <c r="V10" s="2">
        <v>28</v>
      </c>
      <c r="W10" s="2">
        <v>101</v>
      </c>
      <c r="X10" s="16">
        <f>W10/D10</f>
        <v>3.6071428571428572</v>
      </c>
      <c r="Y10" s="2">
        <v>46</v>
      </c>
      <c r="Z10" s="16">
        <f t="shared" ref="Z10:Z21" si="0">Y10/D10</f>
        <v>1.6428571428571428</v>
      </c>
      <c r="AA10" s="16">
        <f>W10/Y10</f>
        <v>2.1956521739130435</v>
      </c>
      <c r="AB10" s="2">
        <v>8</v>
      </c>
      <c r="AC10" s="16">
        <f t="shared" ref="AC10:AC21" si="1">AB10/D10</f>
        <v>0.2857142857142857</v>
      </c>
      <c r="AD10" s="2">
        <v>28</v>
      </c>
      <c r="AE10" s="16">
        <f t="shared" ref="AE10:AE21" si="2">AD10/D10</f>
        <v>1</v>
      </c>
      <c r="AF10" s="2">
        <v>612</v>
      </c>
      <c r="AG10" s="2">
        <v>21.9</v>
      </c>
      <c r="AH10" s="16">
        <f>((AF10+T10+W10+AD10+AB10-Y10)/F10)*40</f>
        <v>31.660079051383399</v>
      </c>
      <c r="AI10" s="16">
        <f xml:space="preserve"> AF10 / (2 * (I10 + 0.44 * P10)) * 100</f>
        <v>63.417060432728178</v>
      </c>
      <c r="AJ10" s="39">
        <f t="shared" ref="AJ10:AJ21" si="3" xml:space="preserve"> ((I10 + 0.44*P10 + Y10) * ($F$22/5)) / (F10 * ($I$22+ 0.44*$P$22+ $Y$22)) * 100</f>
        <v>26.645172996998944</v>
      </c>
      <c r="AK10" s="16">
        <f t="shared" ref="AK10:AK21" si="4" xml:space="preserve"> 100 * (W10 / ( ( (F10 / ($F$22/5)) * $H$22) - H10 ) )</f>
        <v>22.014249482101022</v>
      </c>
      <c r="AL10" s="16">
        <f t="shared" ref="AL10:AL21" si="5" xml:space="preserve"> (100 * (R10 * ($F$22/5)) / (F10 * $R$22+ ($F$22- F10) * $S$23)) + (100 * (S10 * ($F$22/5)) / (F10 * $S$22+ ($F$22- F10) * $R$23))</f>
        <v>4.1371963087285781</v>
      </c>
      <c r="AM10" s="16">
        <f t="shared" ref="AM10:AM21" si="6" xml:space="preserve"> 100 * (Y10 * ($F$22/5)) / (F10 * ($I$22+ 0.44*$P$22 + $Y$22))</f>
        <v>2.3190758303601595</v>
      </c>
      <c r="AN10" s="16">
        <f t="shared" ref="AN10:AN21" si="7" xml:space="preserve"> 100 * (AD10 * ($F$22/5)) / (F10 * ($I$22+ 0.44 * $P$22+ $Y$22))</f>
        <v>1.4116113750018362</v>
      </c>
      <c r="AO10" s="16">
        <f t="shared" ref="AO10:AO21" si="8" xml:space="preserve"> 100 * (AB10 * ($F$22/5)) / (F10 * ($I$23 - $L$23))</f>
        <v>0.72887835733685535</v>
      </c>
      <c r="AP10" s="44">
        <f>AD10+AB10</f>
        <v>36</v>
      </c>
    </row>
    <row r="11" spans="1:42" x14ac:dyDescent="0.2">
      <c r="A11" s="15">
        <v>1</v>
      </c>
      <c r="B11" s="49" t="s">
        <v>269</v>
      </c>
      <c r="C11" t="s">
        <v>518</v>
      </c>
      <c r="D11">
        <v>28</v>
      </c>
      <c r="E11">
        <v>28</v>
      </c>
      <c r="F11">
        <v>841</v>
      </c>
      <c r="G11">
        <v>30</v>
      </c>
      <c r="H11">
        <v>155</v>
      </c>
      <c r="I11">
        <v>300</v>
      </c>
      <c r="J11">
        <v>0.51700000000000002</v>
      </c>
      <c r="K11">
        <v>20</v>
      </c>
      <c r="L11">
        <v>56</v>
      </c>
      <c r="M11">
        <v>0.35699999999999998</v>
      </c>
      <c r="N11" s="37">
        <f t="shared" ref="N11:N21" si="9">(H11+(0.5*K11))/(L11+I11)</f>
        <v>0.46348314606741575</v>
      </c>
      <c r="O11">
        <v>71</v>
      </c>
      <c r="P11">
        <v>76</v>
      </c>
      <c r="Q11">
        <v>0.93400000000000005</v>
      </c>
      <c r="R11">
        <v>43</v>
      </c>
      <c r="S11">
        <v>190</v>
      </c>
      <c r="T11">
        <v>233</v>
      </c>
      <c r="U11">
        <v>8.3000000000000007</v>
      </c>
      <c r="V11">
        <v>56</v>
      </c>
      <c r="W11">
        <v>48</v>
      </c>
      <c r="X11" s="74">
        <f t="shared" ref="X11:X21" si="10">W11/D11</f>
        <v>1.7142857142857142</v>
      </c>
      <c r="Y11">
        <v>53</v>
      </c>
      <c r="Z11" s="37">
        <f t="shared" si="0"/>
        <v>1.8928571428571428</v>
      </c>
      <c r="AA11" s="37">
        <f t="shared" ref="AA11:AA21" si="11">W11/Y11</f>
        <v>0.90566037735849059</v>
      </c>
      <c r="AB11">
        <v>60</v>
      </c>
      <c r="AC11" s="37">
        <f t="shared" si="1"/>
        <v>2.1428571428571428</v>
      </c>
      <c r="AD11">
        <v>25</v>
      </c>
      <c r="AE11" s="37">
        <f t="shared" si="2"/>
        <v>0.8928571428571429</v>
      </c>
      <c r="AF11">
        <v>401</v>
      </c>
      <c r="AG11">
        <v>14.3</v>
      </c>
      <c r="AH11" s="74">
        <f t="shared" ref="AH11:AH21" si="12">((AF11+T11+W11+AD11+AB11-Y11)/F11)*40</f>
        <v>33.95957193816885</v>
      </c>
      <c r="AI11" s="37">
        <f t="shared" ref="AI11:AI23" si="13" xml:space="preserve"> AF11 / (2 * (I11 + 0.44 * P11)) * 100</f>
        <v>60.130758157389643</v>
      </c>
      <c r="AJ11" s="40">
        <f t="shared" si="3"/>
        <v>23.443567901850606</v>
      </c>
      <c r="AK11" s="37">
        <f t="shared" si="4"/>
        <v>11.976463026783835</v>
      </c>
      <c r="AL11" s="37">
        <f t="shared" si="5"/>
        <v>10.637564905461069</v>
      </c>
      <c r="AM11" s="37">
        <f t="shared" si="6"/>
        <v>3.2152704140308508</v>
      </c>
      <c r="AN11" s="37">
        <f t="shared" si="7"/>
        <v>1.5166369877504016</v>
      </c>
      <c r="AO11" s="37">
        <f t="shared" si="8"/>
        <v>6.5781055079509301</v>
      </c>
      <c r="AP11" s="5">
        <f t="shared" ref="AP11:AP21" si="14">AD11+AB11</f>
        <v>85</v>
      </c>
    </row>
    <row r="12" spans="1:42" x14ac:dyDescent="0.2">
      <c r="A12" s="15">
        <v>45</v>
      </c>
      <c r="B12" s="51" t="s">
        <v>270</v>
      </c>
      <c r="C12" t="s">
        <v>517</v>
      </c>
      <c r="D12">
        <v>27</v>
      </c>
      <c r="E12">
        <v>27</v>
      </c>
      <c r="F12">
        <v>863</v>
      </c>
      <c r="G12">
        <v>32</v>
      </c>
      <c r="H12">
        <v>99</v>
      </c>
      <c r="I12">
        <v>261</v>
      </c>
      <c r="J12">
        <v>0.379</v>
      </c>
      <c r="K12">
        <v>81</v>
      </c>
      <c r="L12">
        <v>203</v>
      </c>
      <c r="M12">
        <v>0.39900000000000002</v>
      </c>
      <c r="N12" s="37">
        <f t="shared" si="9"/>
        <v>0.30064655172413796</v>
      </c>
      <c r="O12">
        <v>12</v>
      </c>
      <c r="P12">
        <v>17</v>
      </c>
      <c r="Q12">
        <v>0.70599999999999996</v>
      </c>
      <c r="R12">
        <v>3</v>
      </c>
      <c r="S12">
        <v>36</v>
      </c>
      <c r="T12">
        <v>39</v>
      </c>
      <c r="U12">
        <v>1.4</v>
      </c>
      <c r="V12">
        <v>47</v>
      </c>
      <c r="W12">
        <v>64</v>
      </c>
      <c r="X12" s="74">
        <f t="shared" si="10"/>
        <v>2.3703703703703702</v>
      </c>
      <c r="Y12">
        <v>48</v>
      </c>
      <c r="Z12" s="37">
        <f t="shared" si="0"/>
        <v>1.7777777777777777</v>
      </c>
      <c r="AA12" s="37">
        <f t="shared" si="11"/>
        <v>1.3333333333333333</v>
      </c>
      <c r="AB12">
        <v>3</v>
      </c>
      <c r="AC12" s="37">
        <f t="shared" si="1"/>
        <v>0.1111111111111111</v>
      </c>
      <c r="AD12">
        <v>15</v>
      </c>
      <c r="AE12" s="37">
        <f t="shared" si="2"/>
        <v>0.55555555555555558</v>
      </c>
      <c r="AF12">
        <v>291</v>
      </c>
      <c r="AG12">
        <v>10.8</v>
      </c>
      <c r="AH12" s="74">
        <f t="shared" si="12"/>
        <v>16.871378910776361</v>
      </c>
      <c r="AI12" s="37">
        <f t="shared" si="13"/>
        <v>54.19398092967819</v>
      </c>
      <c r="AJ12" s="40">
        <f t="shared" si="3"/>
        <v>18.709970583351602</v>
      </c>
      <c r="AK12" s="37">
        <f t="shared" si="4"/>
        <v>13.578737841059985</v>
      </c>
      <c r="AL12" s="37">
        <f t="shared" si="5"/>
        <v>1.848642207501048</v>
      </c>
      <c r="AM12" s="37">
        <f t="shared" si="6"/>
        <v>2.8377104019239026</v>
      </c>
      <c r="AN12" s="37">
        <f t="shared" si="7"/>
        <v>0.88678450060121972</v>
      </c>
      <c r="AO12" s="37">
        <f t="shared" si="8"/>
        <v>0.32052066814523356</v>
      </c>
      <c r="AP12" s="5">
        <f t="shared" si="14"/>
        <v>18</v>
      </c>
    </row>
    <row r="13" spans="1:42" x14ac:dyDescent="0.2">
      <c r="A13" s="15">
        <v>10</v>
      </c>
      <c r="B13" s="49" t="s">
        <v>274</v>
      </c>
      <c r="C13" t="s">
        <v>517</v>
      </c>
      <c r="D13">
        <v>28</v>
      </c>
      <c r="E13">
        <v>1</v>
      </c>
      <c r="F13">
        <v>555</v>
      </c>
      <c r="G13">
        <v>19.8</v>
      </c>
      <c r="H13">
        <v>85</v>
      </c>
      <c r="I13">
        <v>191</v>
      </c>
      <c r="J13">
        <v>0.44500000000000001</v>
      </c>
      <c r="K13">
        <v>53</v>
      </c>
      <c r="L13">
        <v>129</v>
      </c>
      <c r="M13">
        <v>0.41099999999999998</v>
      </c>
      <c r="N13" s="37">
        <f t="shared" si="9"/>
        <v>0.34843750000000001</v>
      </c>
      <c r="O13">
        <v>7</v>
      </c>
      <c r="P13">
        <v>10</v>
      </c>
      <c r="Q13">
        <v>0.7</v>
      </c>
      <c r="R13">
        <v>16</v>
      </c>
      <c r="S13">
        <v>53</v>
      </c>
      <c r="T13">
        <v>69</v>
      </c>
      <c r="U13">
        <v>2.5</v>
      </c>
      <c r="V13">
        <v>43</v>
      </c>
      <c r="W13">
        <v>34</v>
      </c>
      <c r="X13" s="74">
        <f t="shared" si="10"/>
        <v>1.2142857142857142</v>
      </c>
      <c r="Y13">
        <v>44</v>
      </c>
      <c r="Z13" s="37">
        <f t="shared" si="0"/>
        <v>1.5714285714285714</v>
      </c>
      <c r="AA13" s="37">
        <f t="shared" si="11"/>
        <v>0.77272727272727271</v>
      </c>
      <c r="AB13">
        <v>1</v>
      </c>
      <c r="AC13" s="37">
        <f t="shared" si="1"/>
        <v>3.5714285714285712E-2</v>
      </c>
      <c r="AD13">
        <v>22</v>
      </c>
      <c r="AE13" s="37">
        <f t="shared" si="2"/>
        <v>0.7857142857142857</v>
      </c>
      <c r="AF13">
        <v>230</v>
      </c>
      <c r="AG13">
        <v>8.1999999999999993</v>
      </c>
      <c r="AH13" s="74">
        <f t="shared" si="12"/>
        <v>22.486486486486488</v>
      </c>
      <c r="AI13" s="37">
        <f t="shared" si="13"/>
        <v>58.853633572159666</v>
      </c>
      <c r="AJ13" s="40">
        <f t="shared" si="3"/>
        <v>22.007402852866463</v>
      </c>
      <c r="AK13" s="37">
        <f t="shared" si="4"/>
        <v>12.066186043432619</v>
      </c>
      <c r="AL13" s="37">
        <f t="shared" si="5"/>
        <v>3.2332711298059662</v>
      </c>
      <c r="AM13" s="37">
        <f t="shared" si="6"/>
        <v>4.0448025293488898</v>
      </c>
      <c r="AN13" s="37">
        <f t="shared" si="7"/>
        <v>2.0224012646744449</v>
      </c>
      <c r="AO13" s="37">
        <f t="shared" si="8"/>
        <v>0.16613173369930126</v>
      </c>
      <c r="AP13" s="5">
        <f t="shared" si="14"/>
        <v>23</v>
      </c>
    </row>
    <row r="14" spans="1:42" x14ac:dyDescent="0.2">
      <c r="A14" s="15">
        <v>25</v>
      </c>
      <c r="B14" s="51" t="s">
        <v>271</v>
      </c>
      <c r="C14" t="s">
        <v>520</v>
      </c>
      <c r="D14">
        <v>23</v>
      </c>
      <c r="E14">
        <v>0</v>
      </c>
      <c r="F14">
        <v>373</v>
      </c>
      <c r="G14">
        <v>16.2</v>
      </c>
      <c r="H14">
        <v>51</v>
      </c>
      <c r="I14">
        <v>117</v>
      </c>
      <c r="J14">
        <v>0.436</v>
      </c>
      <c r="K14">
        <v>13</v>
      </c>
      <c r="L14">
        <v>44</v>
      </c>
      <c r="M14">
        <v>0.29499999999999998</v>
      </c>
      <c r="N14" s="37">
        <f t="shared" si="9"/>
        <v>0.35714285714285715</v>
      </c>
      <c r="O14">
        <v>35</v>
      </c>
      <c r="P14">
        <v>50</v>
      </c>
      <c r="Q14">
        <v>0.7</v>
      </c>
      <c r="R14">
        <v>16</v>
      </c>
      <c r="S14">
        <v>44</v>
      </c>
      <c r="T14">
        <v>60</v>
      </c>
      <c r="U14">
        <v>2.6</v>
      </c>
      <c r="V14">
        <v>32</v>
      </c>
      <c r="W14">
        <v>32</v>
      </c>
      <c r="X14" s="74">
        <f t="shared" si="10"/>
        <v>1.3913043478260869</v>
      </c>
      <c r="Y14">
        <v>23</v>
      </c>
      <c r="Z14" s="37">
        <f t="shared" si="0"/>
        <v>1</v>
      </c>
      <c r="AA14" s="37">
        <f t="shared" si="11"/>
        <v>1.3913043478260869</v>
      </c>
      <c r="AB14">
        <v>3</v>
      </c>
      <c r="AC14" s="37">
        <f t="shared" si="1"/>
        <v>0.13043478260869565</v>
      </c>
      <c r="AD14">
        <v>12</v>
      </c>
      <c r="AE14" s="37">
        <f t="shared" si="2"/>
        <v>0.52173913043478259</v>
      </c>
      <c r="AF14">
        <v>150</v>
      </c>
      <c r="AG14">
        <v>6.5</v>
      </c>
      <c r="AH14" s="74">
        <f t="shared" si="12"/>
        <v>25.093833780160857</v>
      </c>
      <c r="AI14" s="37">
        <f t="shared" si="13"/>
        <v>53.956834532374096</v>
      </c>
      <c r="AJ14" s="40">
        <f t="shared" si="3"/>
        <v>22.158676298669192</v>
      </c>
      <c r="AK14" s="37">
        <f t="shared" si="4"/>
        <v>16.368115396812851</v>
      </c>
      <c r="AL14" s="37">
        <f t="shared" si="5"/>
        <v>2.8479480161306592</v>
      </c>
      <c r="AM14" s="37">
        <f t="shared" si="6"/>
        <v>3.1459849066011816</v>
      </c>
      <c r="AN14" s="37">
        <f t="shared" si="7"/>
        <v>1.6413834295310508</v>
      </c>
      <c r="AO14" s="37">
        <f t="shared" si="8"/>
        <v>0.74157999090974946</v>
      </c>
      <c r="AP14" s="5">
        <f t="shared" si="14"/>
        <v>15</v>
      </c>
    </row>
    <row r="15" spans="1:42" x14ac:dyDescent="0.2">
      <c r="A15" s="15">
        <v>30</v>
      </c>
      <c r="B15" s="51" t="s">
        <v>266</v>
      </c>
      <c r="C15" t="s">
        <v>520</v>
      </c>
      <c r="D15">
        <v>28</v>
      </c>
      <c r="E15">
        <v>28</v>
      </c>
      <c r="F15">
        <v>713</v>
      </c>
      <c r="G15">
        <v>25.5</v>
      </c>
      <c r="H15">
        <v>49</v>
      </c>
      <c r="I15">
        <v>143</v>
      </c>
      <c r="J15">
        <v>0.34300000000000003</v>
      </c>
      <c r="K15">
        <v>16</v>
      </c>
      <c r="L15">
        <v>65</v>
      </c>
      <c r="M15">
        <v>0.246</v>
      </c>
      <c r="N15" s="37">
        <f t="shared" si="9"/>
        <v>0.27403846153846156</v>
      </c>
      <c r="O15">
        <v>21</v>
      </c>
      <c r="P15">
        <v>30</v>
      </c>
      <c r="Q15">
        <v>0.7</v>
      </c>
      <c r="R15">
        <v>29</v>
      </c>
      <c r="S15">
        <v>134</v>
      </c>
      <c r="T15">
        <v>163</v>
      </c>
      <c r="U15">
        <v>5.8</v>
      </c>
      <c r="V15">
        <v>61</v>
      </c>
      <c r="W15">
        <v>67</v>
      </c>
      <c r="X15" s="74">
        <f t="shared" si="10"/>
        <v>2.3928571428571428</v>
      </c>
      <c r="Y15">
        <v>43</v>
      </c>
      <c r="Z15" s="37">
        <f t="shared" si="0"/>
        <v>1.5357142857142858</v>
      </c>
      <c r="AA15" s="37">
        <f t="shared" si="11"/>
        <v>1.558139534883721</v>
      </c>
      <c r="AB15">
        <v>5</v>
      </c>
      <c r="AC15" s="37">
        <f t="shared" si="1"/>
        <v>0.17857142857142858</v>
      </c>
      <c r="AD15">
        <v>17</v>
      </c>
      <c r="AE15" s="37">
        <f t="shared" si="2"/>
        <v>0.6071428571428571</v>
      </c>
      <c r="AF15">
        <v>135</v>
      </c>
      <c r="AG15">
        <v>4.8</v>
      </c>
      <c r="AH15" s="74">
        <f t="shared" si="12"/>
        <v>19.298737727910236</v>
      </c>
      <c r="AI15" s="37">
        <f t="shared" si="13"/>
        <v>43.213828425096033</v>
      </c>
      <c r="AJ15" s="40">
        <f t="shared" si="3"/>
        <v>14.254022326746648</v>
      </c>
      <c r="AK15" s="37">
        <f t="shared" si="4"/>
        <v>15.869421877781093</v>
      </c>
      <c r="AL15" s="37">
        <f t="shared" si="5"/>
        <v>7.6211664596234661</v>
      </c>
      <c r="AM15" s="37">
        <f t="shared" si="6"/>
        <v>3.0769224902113752</v>
      </c>
      <c r="AN15" s="37">
        <f t="shared" si="7"/>
        <v>1.2164577286882179</v>
      </c>
      <c r="AO15" s="37">
        <f t="shared" si="8"/>
        <v>0.64658563957301685</v>
      </c>
      <c r="AP15" s="5">
        <f t="shared" si="14"/>
        <v>22</v>
      </c>
    </row>
    <row r="16" spans="1:42" x14ac:dyDescent="0.2">
      <c r="A16" s="15">
        <v>4</v>
      </c>
      <c r="B16" s="49" t="s">
        <v>272</v>
      </c>
      <c r="C16" t="s">
        <v>518</v>
      </c>
      <c r="D16">
        <v>28</v>
      </c>
      <c r="E16">
        <v>28</v>
      </c>
      <c r="F16">
        <v>733</v>
      </c>
      <c r="G16">
        <v>26.2</v>
      </c>
      <c r="H16">
        <v>57</v>
      </c>
      <c r="I16">
        <v>154</v>
      </c>
      <c r="J16">
        <v>0.37</v>
      </c>
      <c r="K16">
        <v>0</v>
      </c>
      <c r="L16">
        <v>2</v>
      </c>
      <c r="M16">
        <v>0</v>
      </c>
      <c r="N16" s="37">
        <f t="shared" si="9"/>
        <v>0.36538461538461536</v>
      </c>
      <c r="O16">
        <v>14</v>
      </c>
      <c r="P16">
        <v>25</v>
      </c>
      <c r="Q16">
        <v>0.56000000000000005</v>
      </c>
      <c r="R16">
        <v>44</v>
      </c>
      <c r="S16">
        <v>133</v>
      </c>
      <c r="T16">
        <v>177</v>
      </c>
      <c r="U16">
        <v>6.3</v>
      </c>
      <c r="V16">
        <v>80</v>
      </c>
      <c r="W16">
        <v>57</v>
      </c>
      <c r="X16" s="74">
        <f t="shared" si="10"/>
        <v>2.0357142857142856</v>
      </c>
      <c r="Y16">
        <v>39</v>
      </c>
      <c r="Z16" s="37">
        <f t="shared" si="0"/>
        <v>1.3928571428571428</v>
      </c>
      <c r="AA16" s="37">
        <f t="shared" si="11"/>
        <v>1.4615384615384615</v>
      </c>
      <c r="AB16">
        <v>47</v>
      </c>
      <c r="AC16" s="37">
        <f t="shared" si="1"/>
        <v>1.6785714285714286</v>
      </c>
      <c r="AD16">
        <v>23</v>
      </c>
      <c r="AE16" s="37">
        <f t="shared" si="2"/>
        <v>0.8214285714285714</v>
      </c>
      <c r="AF16">
        <v>128</v>
      </c>
      <c r="AG16">
        <v>4.5999999999999996</v>
      </c>
      <c r="AH16" s="74">
        <f t="shared" si="12"/>
        <v>21.446111869031377</v>
      </c>
      <c r="AI16" s="37">
        <f t="shared" si="13"/>
        <v>38.787878787878789</v>
      </c>
      <c r="AJ16" s="40">
        <f t="shared" si="3"/>
        <v>14.199198262832732</v>
      </c>
      <c r="AK16" s="37">
        <f t="shared" si="4"/>
        <v>13.336051642893926</v>
      </c>
      <c r="AL16" s="37">
        <f t="shared" si="5"/>
        <v>8.0036565904938026</v>
      </c>
      <c r="AM16" s="37">
        <f t="shared" si="6"/>
        <v>2.7145526090709637</v>
      </c>
      <c r="AN16" s="37">
        <f t="shared" si="7"/>
        <v>1.6008900002213378</v>
      </c>
      <c r="AO16" s="37">
        <f t="shared" si="8"/>
        <v>5.9120685860112872</v>
      </c>
      <c r="AP16" s="5">
        <f t="shared" si="14"/>
        <v>70</v>
      </c>
    </row>
    <row r="17" spans="1:42" x14ac:dyDescent="0.2">
      <c r="A17" s="15">
        <v>35</v>
      </c>
      <c r="B17" s="51" t="s">
        <v>273</v>
      </c>
      <c r="C17" t="s">
        <v>518</v>
      </c>
      <c r="D17">
        <v>24</v>
      </c>
      <c r="E17">
        <v>0</v>
      </c>
      <c r="F17">
        <v>237</v>
      </c>
      <c r="G17">
        <v>9.9</v>
      </c>
      <c r="H17">
        <v>16</v>
      </c>
      <c r="I17">
        <v>54</v>
      </c>
      <c r="J17">
        <v>0.29599999999999999</v>
      </c>
      <c r="K17">
        <v>5</v>
      </c>
      <c r="L17">
        <v>24</v>
      </c>
      <c r="M17">
        <v>0.20799999999999999</v>
      </c>
      <c r="N17" s="37">
        <f t="shared" si="9"/>
        <v>0.23717948717948717</v>
      </c>
      <c r="O17">
        <v>3</v>
      </c>
      <c r="P17">
        <v>6</v>
      </c>
      <c r="Q17">
        <v>0.5</v>
      </c>
      <c r="R17">
        <v>21</v>
      </c>
      <c r="S17">
        <v>44</v>
      </c>
      <c r="T17">
        <v>65</v>
      </c>
      <c r="U17">
        <v>2.7</v>
      </c>
      <c r="V17">
        <v>20</v>
      </c>
      <c r="W17">
        <v>17</v>
      </c>
      <c r="X17" s="74">
        <f t="shared" si="10"/>
        <v>0.70833333333333337</v>
      </c>
      <c r="Y17">
        <v>7</v>
      </c>
      <c r="Z17" s="37">
        <f t="shared" si="0"/>
        <v>0.29166666666666669</v>
      </c>
      <c r="AA17" s="37">
        <f t="shared" si="11"/>
        <v>2.4285714285714284</v>
      </c>
      <c r="AB17">
        <v>2</v>
      </c>
      <c r="AC17" s="37">
        <f t="shared" si="1"/>
        <v>8.3333333333333329E-2</v>
      </c>
      <c r="AD17">
        <v>9</v>
      </c>
      <c r="AE17" s="37">
        <f t="shared" si="2"/>
        <v>0.375</v>
      </c>
      <c r="AF17">
        <v>40</v>
      </c>
      <c r="AG17">
        <v>1.7</v>
      </c>
      <c r="AH17" s="74">
        <f t="shared" si="12"/>
        <v>21.265822784810126</v>
      </c>
      <c r="AI17" s="37">
        <f t="shared" si="13"/>
        <v>35.310734463276837</v>
      </c>
      <c r="AJ17" s="40">
        <f t="shared" si="3"/>
        <v>13.699964930677854</v>
      </c>
      <c r="AK17" s="37">
        <f t="shared" si="4"/>
        <v>12.088921341728398</v>
      </c>
      <c r="AL17" s="37">
        <f t="shared" si="5"/>
        <v>3.0588790815113356</v>
      </c>
      <c r="AM17" s="37">
        <f t="shared" si="6"/>
        <v>1.5069100332298082</v>
      </c>
      <c r="AN17" s="37">
        <f t="shared" si="7"/>
        <v>1.9374557570097533</v>
      </c>
      <c r="AO17" s="37">
        <f t="shared" si="8"/>
        <v>0.77808533504736033</v>
      </c>
      <c r="AP17" s="5">
        <f t="shared" si="14"/>
        <v>11</v>
      </c>
    </row>
    <row r="18" spans="1:42" x14ac:dyDescent="0.2">
      <c r="A18" s="15">
        <v>99</v>
      </c>
      <c r="B18" s="51" t="s">
        <v>275</v>
      </c>
      <c r="C18" t="s">
        <v>520</v>
      </c>
      <c r="D18">
        <v>27</v>
      </c>
      <c r="E18">
        <v>0</v>
      </c>
      <c r="F18">
        <v>213</v>
      </c>
      <c r="G18">
        <v>7.9</v>
      </c>
      <c r="H18">
        <v>17</v>
      </c>
      <c r="I18">
        <v>49</v>
      </c>
      <c r="J18">
        <v>0.34699999999999998</v>
      </c>
      <c r="K18">
        <v>0</v>
      </c>
      <c r="L18">
        <v>1</v>
      </c>
      <c r="M18">
        <v>0</v>
      </c>
      <c r="N18" s="37">
        <f t="shared" si="9"/>
        <v>0.34</v>
      </c>
      <c r="O18">
        <v>8</v>
      </c>
      <c r="P18">
        <v>14</v>
      </c>
      <c r="Q18">
        <v>0.57099999999999995</v>
      </c>
      <c r="R18">
        <v>15</v>
      </c>
      <c r="S18">
        <v>38</v>
      </c>
      <c r="T18">
        <v>53</v>
      </c>
      <c r="U18">
        <v>2</v>
      </c>
      <c r="V18">
        <v>38</v>
      </c>
      <c r="W18">
        <v>8</v>
      </c>
      <c r="X18" s="74">
        <f t="shared" si="10"/>
        <v>0.29629629629629628</v>
      </c>
      <c r="Y18">
        <v>15</v>
      </c>
      <c r="Z18" s="37">
        <f t="shared" si="0"/>
        <v>0.55555555555555558</v>
      </c>
      <c r="AA18" s="37">
        <f t="shared" si="11"/>
        <v>0.53333333333333333</v>
      </c>
      <c r="AB18">
        <v>2</v>
      </c>
      <c r="AC18" s="37">
        <f t="shared" si="1"/>
        <v>7.407407407407407E-2</v>
      </c>
      <c r="AD18">
        <v>12</v>
      </c>
      <c r="AE18" s="37">
        <f t="shared" si="2"/>
        <v>0.44444444444444442</v>
      </c>
      <c r="AF18">
        <v>42</v>
      </c>
      <c r="AG18">
        <v>1.6</v>
      </c>
      <c r="AH18" s="74">
        <f t="shared" si="12"/>
        <v>19.154929577464788</v>
      </c>
      <c r="AI18" s="37">
        <f t="shared" si="13"/>
        <v>38.071065989847718</v>
      </c>
      <c r="AJ18" s="40">
        <f t="shared" si="3"/>
        <v>16.805351763744191</v>
      </c>
      <c r="AK18" s="37">
        <f t="shared" si="4"/>
        <v>6.4639203521912183</v>
      </c>
      <c r="AL18" s="37">
        <f t="shared" si="5"/>
        <v>2.5620428032992066</v>
      </c>
      <c r="AM18" s="37">
        <f t="shared" si="6"/>
        <v>3.5929343850650355</v>
      </c>
      <c r="AN18" s="37">
        <f t="shared" si="7"/>
        <v>2.8743475080520278</v>
      </c>
      <c r="AO18" s="37">
        <f t="shared" si="8"/>
        <v>0.86575692209495025</v>
      </c>
      <c r="AP18" s="5">
        <f t="shared" si="14"/>
        <v>14</v>
      </c>
    </row>
    <row r="19" spans="1:42" x14ac:dyDescent="0.2">
      <c r="A19" s="15">
        <v>3</v>
      </c>
      <c r="B19" s="49" t="s">
        <v>276</v>
      </c>
      <c r="C19" t="s">
        <v>517</v>
      </c>
      <c r="D19">
        <v>8</v>
      </c>
      <c r="E19">
        <v>0</v>
      </c>
      <c r="F19">
        <v>38</v>
      </c>
      <c r="G19">
        <v>4.8</v>
      </c>
      <c r="H19">
        <v>1</v>
      </c>
      <c r="I19">
        <v>7</v>
      </c>
      <c r="J19">
        <v>0.14299999999999999</v>
      </c>
      <c r="K19">
        <v>0</v>
      </c>
      <c r="L19">
        <v>3</v>
      </c>
      <c r="M19">
        <v>0</v>
      </c>
      <c r="N19" s="37">
        <f t="shared" si="9"/>
        <v>0.1</v>
      </c>
      <c r="O19">
        <v>0</v>
      </c>
      <c r="P19">
        <v>0</v>
      </c>
      <c r="Q19">
        <v>0</v>
      </c>
      <c r="R19">
        <v>4</v>
      </c>
      <c r="S19">
        <v>4</v>
      </c>
      <c r="T19">
        <v>8</v>
      </c>
      <c r="U19">
        <v>1</v>
      </c>
      <c r="V19">
        <v>5</v>
      </c>
      <c r="W19">
        <v>2</v>
      </c>
      <c r="X19" s="74">
        <f t="shared" si="10"/>
        <v>0.25</v>
      </c>
      <c r="Y19">
        <v>4</v>
      </c>
      <c r="Z19" s="37">
        <f t="shared" si="0"/>
        <v>0.5</v>
      </c>
      <c r="AA19" s="37">
        <f t="shared" si="11"/>
        <v>0.5</v>
      </c>
      <c r="AB19">
        <v>0</v>
      </c>
      <c r="AC19" s="37">
        <f t="shared" si="1"/>
        <v>0</v>
      </c>
      <c r="AD19">
        <v>2</v>
      </c>
      <c r="AE19" s="37">
        <f t="shared" si="2"/>
        <v>0.25</v>
      </c>
      <c r="AF19">
        <v>2</v>
      </c>
      <c r="AG19">
        <v>0.3</v>
      </c>
      <c r="AH19" s="74">
        <f t="shared" si="12"/>
        <v>10.526315789473683</v>
      </c>
      <c r="AI19" s="37">
        <f t="shared" si="13"/>
        <v>14.285714285714285</v>
      </c>
      <c r="AJ19" s="40">
        <f t="shared" si="3"/>
        <v>14.768851340714697</v>
      </c>
      <c r="AK19" s="37">
        <f t="shared" si="4"/>
        <v>8.2943469067493787</v>
      </c>
      <c r="AL19" s="37">
        <f t="shared" si="5"/>
        <v>0.34635655174247337</v>
      </c>
      <c r="AM19" s="37">
        <f t="shared" si="6"/>
        <v>5.3704913966235264</v>
      </c>
      <c r="AN19" s="37">
        <f t="shared" si="7"/>
        <v>2.6852456983117632</v>
      </c>
      <c r="AO19" s="37">
        <f t="shared" si="8"/>
        <v>0</v>
      </c>
      <c r="AP19" s="5">
        <f t="shared" si="14"/>
        <v>2</v>
      </c>
    </row>
    <row r="20" spans="1:42" x14ac:dyDescent="0.2">
      <c r="A20" s="15">
        <v>11</v>
      </c>
      <c r="B20" s="51" t="s">
        <v>277</v>
      </c>
      <c r="C20" t="s">
        <v>517</v>
      </c>
      <c r="D20">
        <v>7</v>
      </c>
      <c r="E20">
        <v>0</v>
      </c>
      <c r="F20">
        <v>14</v>
      </c>
      <c r="G20">
        <v>2</v>
      </c>
      <c r="H20">
        <v>1</v>
      </c>
      <c r="I20">
        <v>4</v>
      </c>
      <c r="J20">
        <v>0.25</v>
      </c>
      <c r="K20">
        <v>0</v>
      </c>
      <c r="L20">
        <v>0</v>
      </c>
      <c r="M20">
        <v>0</v>
      </c>
      <c r="N20" s="37">
        <f t="shared" si="9"/>
        <v>0.25</v>
      </c>
      <c r="O20">
        <v>0</v>
      </c>
      <c r="P20">
        <v>2</v>
      </c>
      <c r="Q20">
        <v>0</v>
      </c>
      <c r="R20">
        <v>2</v>
      </c>
      <c r="S20">
        <v>0</v>
      </c>
      <c r="T20">
        <v>2</v>
      </c>
      <c r="U20">
        <v>0.3</v>
      </c>
      <c r="V20">
        <v>1</v>
      </c>
      <c r="W20">
        <v>1</v>
      </c>
      <c r="X20" s="74">
        <f t="shared" si="10"/>
        <v>0.14285714285714285</v>
      </c>
      <c r="Y20">
        <v>3</v>
      </c>
      <c r="Z20" s="37">
        <f t="shared" si="0"/>
        <v>0.42857142857142855</v>
      </c>
      <c r="AA20" s="37">
        <f t="shared" si="11"/>
        <v>0.33333333333333331</v>
      </c>
      <c r="AB20">
        <v>0</v>
      </c>
      <c r="AC20" s="37">
        <f t="shared" si="1"/>
        <v>0</v>
      </c>
      <c r="AD20">
        <v>1</v>
      </c>
      <c r="AE20" s="37">
        <f t="shared" si="2"/>
        <v>0.14285714285714285</v>
      </c>
      <c r="AF20">
        <v>2</v>
      </c>
      <c r="AG20">
        <v>0.3</v>
      </c>
      <c r="AH20" s="74">
        <f t="shared" si="12"/>
        <v>8.5714285714285712</v>
      </c>
      <c r="AI20" s="37">
        <f t="shared" si="13"/>
        <v>20.491803278688526</v>
      </c>
      <c r="AJ20" s="40">
        <f t="shared" si="3"/>
        <v>28.716784710802663</v>
      </c>
      <c r="AK20" s="37">
        <f t="shared" si="4"/>
        <v>12.118146003315323</v>
      </c>
      <c r="AL20" s="37">
        <f t="shared" si="5"/>
        <v>5.6111341488699978E-2</v>
      </c>
      <c r="AM20" s="37">
        <f t="shared" si="6"/>
        <v>10.932786057412178</v>
      </c>
      <c r="AN20" s="37">
        <f t="shared" si="7"/>
        <v>3.6442620191373933</v>
      </c>
      <c r="AO20" s="37">
        <f t="shared" si="8"/>
        <v>0</v>
      </c>
      <c r="AP20" s="5">
        <f t="shared" si="14"/>
        <v>1</v>
      </c>
    </row>
    <row r="21" spans="1:42" ht="17" thickBot="1" x14ac:dyDescent="0.25">
      <c r="A21" s="13">
        <v>14</v>
      </c>
      <c r="B21" s="52" t="s">
        <v>251</v>
      </c>
      <c r="C21" s="4" t="s">
        <v>518</v>
      </c>
      <c r="D21" s="4">
        <v>4</v>
      </c>
      <c r="E21" s="4">
        <v>0</v>
      </c>
      <c r="F21" s="4">
        <v>5</v>
      </c>
      <c r="G21" s="4">
        <v>1.3</v>
      </c>
      <c r="H21" s="4">
        <v>0</v>
      </c>
      <c r="I21" s="4">
        <v>1</v>
      </c>
      <c r="J21" s="4">
        <v>0</v>
      </c>
      <c r="K21" s="4">
        <v>0</v>
      </c>
      <c r="L21" s="4">
        <v>1</v>
      </c>
      <c r="M21" s="4">
        <v>0</v>
      </c>
      <c r="N21" s="17">
        <f t="shared" si="9"/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74">
        <f t="shared" si="10"/>
        <v>0</v>
      </c>
      <c r="Y21" s="4">
        <v>1</v>
      </c>
      <c r="Z21" s="17">
        <f t="shared" si="0"/>
        <v>0.25</v>
      </c>
      <c r="AA21" s="17">
        <f t="shared" si="11"/>
        <v>0</v>
      </c>
      <c r="AB21" s="4">
        <v>0</v>
      </c>
      <c r="AC21" s="17">
        <f t="shared" si="1"/>
        <v>0</v>
      </c>
      <c r="AD21" s="4">
        <v>0</v>
      </c>
      <c r="AE21" s="17">
        <f t="shared" si="2"/>
        <v>0</v>
      </c>
      <c r="AF21" s="4">
        <v>0</v>
      </c>
      <c r="AG21" s="4">
        <v>0</v>
      </c>
      <c r="AH21" s="74">
        <f t="shared" si="12"/>
        <v>-8</v>
      </c>
      <c r="AI21" s="17">
        <f t="shared" si="13"/>
        <v>0</v>
      </c>
      <c r="AJ21" s="41">
        <f t="shared" si="3"/>
        <v>20.407867307169401</v>
      </c>
      <c r="AK21" s="17">
        <f t="shared" si="4"/>
        <v>0</v>
      </c>
      <c r="AL21" s="17">
        <f t="shared" si="5"/>
        <v>0</v>
      </c>
      <c r="AM21" s="17">
        <f t="shared" si="6"/>
        <v>10.2039336535847</v>
      </c>
      <c r="AN21" s="17">
        <f t="shared" si="7"/>
        <v>0</v>
      </c>
      <c r="AO21" s="17">
        <f t="shared" si="8"/>
        <v>0</v>
      </c>
      <c r="AP21" s="56">
        <f t="shared" si="14"/>
        <v>0</v>
      </c>
    </row>
    <row r="22" spans="1:42" x14ac:dyDescent="0.2">
      <c r="B22" s="1" t="s">
        <v>170</v>
      </c>
      <c r="C22" s="2"/>
      <c r="D22" s="2" t="s">
        <v>51</v>
      </c>
      <c r="E22" s="2"/>
      <c r="F22" s="2">
        <v>5629</v>
      </c>
      <c r="G22" s="2">
        <v>201</v>
      </c>
      <c r="H22" s="2">
        <v>744</v>
      </c>
      <c r="I22" s="2">
        <v>1711</v>
      </c>
      <c r="J22" s="2">
        <v>0.435</v>
      </c>
      <c r="K22" s="2">
        <v>258</v>
      </c>
      <c r="L22" s="2">
        <v>685</v>
      </c>
      <c r="M22" s="2">
        <v>0.377</v>
      </c>
      <c r="N22" s="16">
        <f>(H22+(0.5*K22))/(L22+I22)</f>
        <v>0.36435726210350583</v>
      </c>
      <c r="O22" s="2">
        <v>294</v>
      </c>
      <c r="P22" s="2">
        <v>365</v>
      </c>
      <c r="Q22" s="2">
        <v>0.80500000000000005</v>
      </c>
      <c r="R22" s="2">
        <v>259</v>
      </c>
      <c r="S22" s="2">
        <v>803</v>
      </c>
      <c r="T22" s="2">
        <v>1062</v>
      </c>
      <c r="U22" s="2">
        <v>37.9</v>
      </c>
      <c r="V22" s="2">
        <v>416</v>
      </c>
      <c r="W22" s="2">
        <v>434</v>
      </c>
      <c r="X22" s="16">
        <f>W22/D22</f>
        <v>15.5</v>
      </c>
      <c r="Y22" s="2">
        <v>335</v>
      </c>
      <c r="Z22" s="16">
        <f>Y22 / MAX(D10:D21)</f>
        <v>11.964285714285714</v>
      </c>
      <c r="AA22" s="16">
        <f>W22/Y22</f>
        <v>1.2955223880597015</v>
      </c>
      <c r="AB22" s="2">
        <v>131</v>
      </c>
      <c r="AC22" s="16">
        <f>AB22/D22</f>
        <v>4.6785714285714288</v>
      </c>
      <c r="AD22" s="2">
        <v>166</v>
      </c>
      <c r="AE22" s="16">
        <f>AD22/D22</f>
        <v>5.9285714285714288</v>
      </c>
      <c r="AF22" s="2">
        <v>2040</v>
      </c>
      <c r="AG22" s="2">
        <v>72.86</v>
      </c>
      <c r="AH22" s="16">
        <f>SUM(AH10*F10,AH11*F11,AH12*F12,AH13*F13,AH14*F14,AH15*F15,AH16*F16,AH17*F17,AH18*F18,AH19*F19,AH20*F20,AH21*F21)/F22</f>
        <v>24.174809024693552</v>
      </c>
      <c r="AI22" s="16">
        <f t="shared" si="13"/>
        <v>54.498824535157084</v>
      </c>
      <c r="AJ22" s="2"/>
      <c r="AK22" s="2"/>
      <c r="AL22" s="2"/>
      <c r="AM22" s="2"/>
      <c r="AN22" s="2"/>
      <c r="AO22" s="2"/>
      <c r="AP22" s="44"/>
    </row>
    <row r="23" spans="1:42" ht="17" thickBot="1" x14ac:dyDescent="0.25">
      <c r="B23" s="3" t="s">
        <v>186</v>
      </c>
      <c r="C23" s="4"/>
      <c r="D23" s="4" t="s">
        <v>51</v>
      </c>
      <c r="E23" s="4"/>
      <c r="F23" s="4">
        <v>5619</v>
      </c>
      <c r="G23" s="4">
        <v>200.7</v>
      </c>
      <c r="H23" s="4">
        <v>634</v>
      </c>
      <c r="I23" s="4">
        <v>1719</v>
      </c>
      <c r="J23" s="4">
        <v>0.36899999999999999</v>
      </c>
      <c r="K23" s="4">
        <v>144</v>
      </c>
      <c r="L23" s="4">
        <v>498</v>
      </c>
      <c r="M23" s="4">
        <v>0.28899999999999998</v>
      </c>
      <c r="N23" s="17">
        <f>(H23+(0.5*K23))/(L23+I23)</f>
        <v>0.31844835363103291</v>
      </c>
      <c r="O23" s="4">
        <v>333</v>
      </c>
      <c r="P23" s="4">
        <v>500</v>
      </c>
      <c r="Q23" s="4">
        <v>0.66600000000000004</v>
      </c>
      <c r="R23" s="4">
        <v>339</v>
      </c>
      <c r="S23" s="4">
        <v>714</v>
      </c>
      <c r="T23" s="4">
        <v>1053</v>
      </c>
      <c r="U23" s="4">
        <v>37.6</v>
      </c>
      <c r="V23" s="4">
        <v>385</v>
      </c>
      <c r="W23" s="4">
        <v>345</v>
      </c>
      <c r="X23" s="17">
        <f>W23 / D23</f>
        <v>12.321428571428571</v>
      </c>
      <c r="Y23" s="4">
        <v>322</v>
      </c>
      <c r="Z23" s="17">
        <f>Y23 / MAX(D11:D22)</f>
        <v>11.5</v>
      </c>
      <c r="AA23" s="17">
        <f>W23/Y23</f>
        <v>1.0714285714285714</v>
      </c>
      <c r="AB23" s="4">
        <v>58</v>
      </c>
      <c r="AC23" s="17">
        <f>AB23/MAX(D11:D22)</f>
        <v>2.0714285714285716</v>
      </c>
      <c r="AD23" s="4">
        <v>194</v>
      </c>
      <c r="AE23" s="17">
        <f>AD23/D23</f>
        <v>6.9285714285714288</v>
      </c>
      <c r="AF23" s="4">
        <v>1745</v>
      </c>
      <c r="AG23" s="4">
        <v>62.32</v>
      </c>
      <c r="AH23" s="4"/>
      <c r="AI23" s="17">
        <f t="shared" si="13"/>
        <v>44.997421351211962</v>
      </c>
      <c r="AJ23" s="4"/>
      <c r="AK23" s="4"/>
      <c r="AL23" s="4"/>
      <c r="AM23" s="4"/>
      <c r="AN23" s="4"/>
      <c r="AO23" s="4"/>
      <c r="AP23" s="56"/>
    </row>
    <row r="24" spans="1:42" x14ac:dyDescent="0.2">
      <c r="A24" t="s">
        <v>7</v>
      </c>
    </row>
    <row r="25" spans="1:42" x14ac:dyDescent="0.2">
      <c r="A25" t="s">
        <v>7</v>
      </c>
    </row>
    <row r="26" spans="1:42" x14ac:dyDescent="0.2">
      <c r="A26" t="s">
        <v>7</v>
      </c>
      <c r="B26" s="53"/>
      <c r="C26" t="s">
        <v>526</v>
      </c>
    </row>
    <row r="27" spans="1:42" x14ac:dyDescent="0.2">
      <c r="A27" t="s">
        <v>7</v>
      </c>
      <c r="B27" s="54"/>
      <c r="C27" t="s">
        <v>527</v>
      </c>
    </row>
    <row r="64" spans="1:1" x14ac:dyDescent="0.2">
      <c r="A6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5113C-EE05-B343-8198-0DED95459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2018-19 Montana Western</vt:lpstr>
      <vt:lpstr>2020-21 Westmont</vt:lpstr>
      <vt:lpstr>2021-22  Thomas More</vt:lpstr>
      <vt:lpstr>2022-23 CLARKE</vt:lpstr>
      <vt:lpstr>2023-24 Dordt</vt:lpstr>
      <vt:lpstr>2024-25 Dordt</vt:lpstr>
      <vt:lpstr>2018-19 UPIKE</vt:lpstr>
      <vt:lpstr>2020-21 UPIKE</vt:lpstr>
      <vt:lpstr>2021-22 UPIKE</vt:lpstr>
      <vt:lpstr>2022-23 UPIKE</vt:lpstr>
      <vt:lpstr>2023-24 UPIKE</vt:lpstr>
      <vt:lpstr>2024-25 UPIKE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Vicencio</dc:creator>
  <cp:lastModifiedBy>Magdalena Vicencio</cp:lastModifiedBy>
  <dcterms:created xsi:type="dcterms:W3CDTF">2025-10-27T19:52:42Z</dcterms:created>
  <dcterms:modified xsi:type="dcterms:W3CDTF">2026-02-21T00:36:17Z</dcterms:modified>
</cp:coreProperties>
</file>