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lan1" sheetId="1" r:id="rId1"/>
    <sheet name="Planilh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/>
  <c r="F9" i="3"/>
  <c r="F8" i="3"/>
  <c r="F7" i="3"/>
  <c r="F6" i="3"/>
  <c r="AB10" i="1" l="1"/>
  <c r="T34" i="1"/>
  <c r="T10" i="1"/>
  <c r="AB11" i="1" l="1"/>
  <c r="T35" i="1"/>
  <c r="T11" i="1"/>
  <c r="AB4" i="1" l="1"/>
  <c r="T28" i="1"/>
  <c r="T4" i="1"/>
  <c r="AB12" i="1" l="1"/>
  <c r="T36" i="1"/>
  <c r="T12" i="1"/>
  <c r="AB5" i="1"/>
  <c r="T29" i="1"/>
  <c r="T5" i="1"/>
  <c r="AB6" i="1" l="1"/>
  <c r="T30" i="1"/>
  <c r="T6" i="1"/>
  <c r="AA10" i="1" l="1"/>
  <c r="S34" i="1"/>
  <c r="S10" i="1"/>
  <c r="AA4" i="1" l="1"/>
  <c r="S28" i="1"/>
  <c r="S4" i="1"/>
  <c r="AA9" i="1"/>
  <c r="S9" i="1"/>
  <c r="AA6" i="1"/>
  <c r="S6" i="1"/>
  <c r="AA11" i="1"/>
  <c r="S11" i="1"/>
  <c r="S35" i="1"/>
  <c r="AA5" i="1" l="1"/>
  <c r="S29" i="1"/>
  <c r="S5" i="1"/>
  <c r="S12" i="1" l="1"/>
  <c r="AA12" i="1"/>
  <c r="S36" i="1"/>
  <c r="S30" i="1" l="1"/>
  <c r="Z10" i="1" l="1"/>
  <c r="R10" i="1"/>
  <c r="R34" i="1"/>
  <c r="Z4" i="1"/>
  <c r="R28" i="1"/>
  <c r="R4" i="1"/>
  <c r="R35" i="1" l="1"/>
  <c r="Z11" i="1"/>
  <c r="R11" i="1"/>
  <c r="Z5" i="1" l="1"/>
  <c r="R5" i="1"/>
  <c r="R29" i="1"/>
  <c r="Z12" i="1" l="1"/>
  <c r="R12" i="1"/>
  <c r="R36" i="1"/>
  <c r="R6" i="1" l="1"/>
  <c r="Z6" i="1"/>
  <c r="R30" i="1"/>
  <c r="AC10" i="1" l="1"/>
  <c r="U10" i="1"/>
  <c r="U34" i="1"/>
  <c r="AC11" i="1"/>
  <c r="U35" i="1"/>
  <c r="U11" i="1"/>
  <c r="AC12" i="1" l="1"/>
  <c r="U12" i="1"/>
  <c r="U36" i="1"/>
  <c r="Y10" i="1"/>
  <c r="Q10" i="1"/>
  <c r="Q34" i="1"/>
  <c r="AC4" i="1" l="1"/>
  <c r="U4" i="1"/>
  <c r="U28" i="1"/>
  <c r="Y12" i="1"/>
  <c r="Q12" i="1"/>
  <c r="Q36" i="1"/>
  <c r="E4" i="1" l="1"/>
  <c r="AC5" i="1"/>
  <c r="U5" i="1"/>
  <c r="U29" i="1"/>
  <c r="Q11" i="1"/>
  <c r="Q4" i="1"/>
  <c r="Y4" i="1"/>
  <c r="Q28" i="1"/>
  <c r="AC6" i="1" l="1"/>
  <c r="Q6" i="1"/>
  <c r="U6" i="1"/>
  <c r="U30" i="1"/>
  <c r="Y6" i="1"/>
  <c r="Q30" i="1"/>
  <c r="E12" i="1" l="1"/>
  <c r="Y11" i="1" l="1"/>
  <c r="Q35" i="1"/>
  <c r="Y5" i="1" l="1"/>
  <c r="Q5" i="1"/>
  <c r="Q9" i="1"/>
  <c r="Q8" i="1"/>
  <c r="Q7" i="1"/>
  <c r="Q29" i="1"/>
  <c r="Y8" i="1"/>
  <c r="Y9" i="1"/>
  <c r="Y7" i="1"/>
  <c r="Q31" i="1"/>
  <c r="Q32" i="1"/>
  <c r="Q33" i="1"/>
  <c r="AC7" i="1" l="1"/>
  <c r="S33" i="1"/>
  <c r="S7" i="1" l="1"/>
  <c r="S31" i="1"/>
  <c r="U31" i="1" l="1"/>
  <c r="U7" i="1"/>
  <c r="S8" i="1" l="1"/>
  <c r="S32" i="1"/>
  <c r="AC9" i="1" l="1"/>
  <c r="U8" i="1"/>
  <c r="U9" i="1"/>
  <c r="U33" i="1"/>
  <c r="U32" i="1" l="1"/>
  <c r="L10" i="3" l="1"/>
  <c r="L9" i="3"/>
  <c r="L8" i="3"/>
  <c r="L7" i="3"/>
  <c r="L6" i="3"/>
  <c r="I10" i="3"/>
  <c r="I9" i="3"/>
  <c r="I8" i="3"/>
  <c r="I7" i="3"/>
  <c r="I6" i="3"/>
  <c r="E5" i="1"/>
  <c r="E6" i="1"/>
  <c r="E7" i="1"/>
  <c r="E8" i="1"/>
  <c r="E16" i="1" l="1"/>
  <c r="E13" i="1"/>
  <c r="E14" i="1"/>
  <c r="F14" i="1" s="1"/>
  <c r="E15" i="1"/>
  <c r="F15" i="1" s="1"/>
  <c r="F16" i="1"/>
  <c r="F13" i="1"/>
  <c r="F12" i="1"/>
  <c r="T33" i="1" l="1"/>
  <c r="AB9" i="1"/>
  <c r="T9" i="1"/>
  <c r="T31" i="1" l="1"/>
  <c r="T32" i="1"/>
  <c r="T8" i="1"/>
  <c r="AB7" i="1" l="1"/>
  <c r="T7" i="1"/>
  <c r="R31" i="1" l="1"/>
  <c r="Z9" i="1" l="1"/>
  <c r="R7" i="1"/>
  <c r="R8" i="1"/>
  <c r="R9" i="1"/>
  <c r="R32" i="1"/>
  <c r="R33" i="1"/>
  <c r="V36" i="1"/>
  <c r="V35" i="1"/>
  <c r="V34" i="1"/>
  <c r="V33" i="1"/>
  <c r="V32" i="1"/>
  <c r="V31" i="1"/>
  <c r="V30" i="1"/>
  <c r="V29" i="1"/>
  <c r="V28" i="1"/>
  <c r="F5" i="1"/>
  <c r="F6" i="1"/>
  <c r="F7" i="1"/>
  <c r="F8" i="1"/>
  <c r="F4" i="1"/>
  <c r="AC8" i="1" l="1"/>
  <c r="AB8" i="1"/>
  <c r="AD9" i="1"/>
  <c r="AA8" i="1"/>
  <c r="AA7" i="1"/>
  <c r="Z8" i="1"/>
  <c r="Z7" i="1"/>
  <c r="AD7" i="1" s="1"/>
  <c r="AD12" i="1"/>
  <c r="AD11" i="1"/>
  <c r="AD10" i="1"/>
  <c r="AD6" i="1"/>
  <c r="AD5" i="1"/>
  <c r="AD4" i="1"/>
  <c r="AD8" i="1" l="1"/>
  <c r="V17" i="1"/>
  <c r="V18" i="1"/>
  <c r="V19" i="1"/>
  <c r="V20" i="1"/>
  <c r="V21" i="1"/>
  <c r="V22" i="1"/>
  <c r="V23" i="1"/>
  <c r="V24" i="1"/>
  <c r="V16" i="1"/>
  <c r="V5" i="1"/>
  <c r="V6" i="1"/>
  <c r="V10" i="1"/>
  <c r="V11" i="1"/>
  <c r="V12" i="1"/>
  <c r="V4" i="1"/>
  <c r="V7" i="1"/>
  <c r="V9" i="1"/>
  <c r="V8" i="1" l="1"/>
</calcChain>
</file>

<file path=xl/sharedStrings.xml><?xml version="1.0" encoding="utf-8"?>
<sst xmlns="http://schemas.openxmlformats.org/spreadsheetml/2006/main" count="217" uniqueCount="57">
  <si>
    <t>Horizontina</t>
  </si>
  <si>
    <t>Porto Alegre</t>
  </si>
  <si>
    <t>Jaguarao</t>
  </si>
  <si>
    <t>Rio Grande</t>
  </si>
  <si>
    <t>Bagé</t>
  </si>
  <si>
    <t>0.5_12</t>
  </si>
  <si>
    <t>0.5_13</t>
  </si>
  <si>
    <t>0.5_14</t>
  </si>
  <si>
    <t>Atuações</t>
  </si>
  <si>
    <t>Proteção</t>
  </si>
  <si>
    <t>0.6_12</t>
  </si>
  <si>
    <t>0.6_13</t>
  </si>
  <si>
    <t>0.6_14</t>
  </si>
  <si>
    <t>0.4_12</t>
  </si>
  <si>
    <t>0.4_13</t>
  </si>
  <si>
    <t>0.4_14</t>
  </si>
  <si>
    <t>Hz</t>
  </si>
  <si>
    <t>POA</t>
  </si>
  <si>
    <t>Jag</t>
  </si>
  <si>
    <t>RG</t>
  </si>
  <si>
    <t>BG</t>
  </si>
  <si>
    <t>Parametros</t>
  </si>
  <si>
    <t>JG</t>
  </si>
  <si>
    <t>Sum</t>
  </si>
  <si>
    <t>Exponencial</t>
  </si>
  <si>
    <t>Atuações (h)</t>
  </si>
  <si>
    <t>Tempo ativo (h)</t>
  </si>
  <si>
    <t>tempo ativo (%)</t>
  </si>
  <si>
    <t>-</t>
  </si>
  <si>
    <t>Proteção/Atuações</t>
  </si>
  <si>
    <t>Proteção/N faltas</t>
  </si>
  <si>
    <t>Média dos ventos de falta</t>
  </si>
  <si>
    <t>1/1</t>
  </si>
  <si>
    <t>4/7</t>
  </si>
  <si>
    <t>2/6</t>
  </si>
  <si>
    <t>3/7</t>
  </si>
  <si>
    <t>1/4</t>
  </si>
  <si>
    <t>1/1 (100%)</t>
  </si>
  <si>
    <t>6/6 (100%)</t>
  </si>
  <si>
    <t>2/7 (28%)</t>
  </si>
  <si>
    <t>4/7 (57%)</t>
  </si>
  <si>
    <t>3/4 (75%)</t>
  </si>
  <si>
    <t>Tempo ativo no ano</t>
  </si>
  <si>
    <t>Média</t>
  </si>
  <si>
    <t>2/6 (33%)</t>
  </si>
  <si>
    <t>3/7 (42%)</t>
  </si>
  <si>
    <t>1/4 (25%)</t>
  </si>
  <si>
    <t>4/4 (100%)</t>
  </si>
  <si>
    <t>HESMS</t>
  </si>
  <si>
    <t>Cidades</t>
  </si>
  <si>
    <t>4/6 (67%)</t>
  </si>
  <si>
    <t>5/7 (71%)</t>
  </si>
  <si>
    <t>3/7 (43%)</t>
  </si>
  <si>
    <t>2/7 (29%)</t>
  </si>
  <si>
    <t>2/4 (50%)</t>
  </si>
  <si>
    <t>5/6 (83%)</t>
  </si>
  <si>
    <t>6/7 (86%)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</si>
</sst>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/>
    <xf numFmtId="0" fontId="0" fillId="0" borderId="7" xfId="0" applyBorder="1"/>
    <xf numFmtId="0" fontId="0" fillId="0" borderId="6" xfId="0" applyFill="1" applyBorder="1" applyAlignment="1">
      <alignment horizontal="left"/>
    </xf>
    <xf numFmtId="0" fontId="0" fillId="0" borderId="7" xfId="0" applyFill="1" applyBorder="1" applyAlignment="1"/>
    <xf numFmtId="0" fontId="0" fillId="0" borderId="8" xfId="0" applyFill="1" applyBorder="1" applyAlignment="1"/>
    <xf numFmtId="43" fontId="0" fillId="0" borderId="6" xfId="1" applyFont="1" applyBorder="1"/>
    <xf numFmtId="43" fontId="0" fillId="0" borderId="3" xfId="1" applyNumberFormat="1" applyFont="1" applyFill="1" applyBorder="1" applyAlignment="1"/>
    <xf numFmtId="43" fontId="0" fillId="0" borderId="3" xfId="1" applyNumberFormat="1" applyFont="1" applyFill="1" applyBorder="1"/>
    <xf numFmtId="43" fontId="0" fillId="0" borderId="9" xfId="1" applyNumberFormat="1" applyFont="1" applyFill="1" applyBorder="1" applyAlignment="1"/>
    <xf numFmtId="43" fontId="0" fillId="0" borderId="9" xfId="1" applyNumberFormat="1" applyFont="1" applyFill="1" applyBorder="1"/>
    <xf numFmtId="164" fontId="0" fillId="0" borderId="6" xfId="1" applyNumberFormat="1" applyFont="1" applyBorder="1"/>
    <xf numFmtId="164" fontId="0" fillId="0" borderId="10" xfId="1" applyNumberFormat="1" applyFont="1" applyBorder="1"/>
    <xf numFmtId="0" fontId="0" fillId="0" borderId="9" xfId="0" applyFill="1" applyBorder="1" applyAlignment="1"/>
    <xf numFmtId="0" fontId="0" fillId="0" borderId="9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/>
    <xf numFmtId="43" fontId="0" fillId="0" borderId="10" xfId="1" applyFont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9" xfId="0" quotePrefix="1" applyFill="1" applyBorder="1" applyAlignment="1">
      <alignment horizontal="center"/>
    </xf>
    <xf numFmtId="0" fontId="0" fillId="0" borderId="0" xfId="0" applyFill="1" applyBorder="1"/>
    <xf numFmtId="166" fontId="0" fillId="0" borderId="0" xfId="2" applyNumberFormat="1" applyFont="1" applyFill="1" applyBorder="1" applyAlignment="1"/>
    <xf numFmtId="0" fontId="0" fillId="2" borderId="3" xfId="0" quotePrefix="1" applyFill="1" applyBorder="1" applyAlignment="1">
      <alignment horizontal="center"/>
    </xf>
    <xf numFmtId="10" fontId="0" fillId="0" borderId="3" xfId="2" applyNumberFormat="1" applyFon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10" fontId="0" fillId="0" borderId="9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Fill="1" applyBorder="1" applyAlignment="1"/>
    <xf numFmtId="0" fontId="0" fillId="0" borderId="19" xfId="0" applyBorder="1" applyAlignment="1">
      <alignment horizontal="center"/>
    </xf>
    <xf numFmtId="10" fontId="0" fillId="0" borderId="9" xfId="2" applyNumberFormat="1" applyFont="1" applyFill="1" applyBorder="1" applyAlignment="1">
      <alignment horizontal="center"/>
    </xf>
    <xf numFmtId="10" fontId="0" fillId="0" borderId="6" xfId="2" applyNumberFormat="1" applyFont="1" applyFill="1" applyBorder="1" applyAlignment="1">
      <alignment horizontal="center"/>
    </xf>
    <xf numFmtId="10" fontId="0" fillId="0" borderId="10" xfId="2" applyNumberFormat="1" applyFont="1" applyFill="1" applyBorder="1" applyAlignment="1">
      <alignment horizontal="center"/>
    </xf>
    <xf numFmtId="0" fontId="0" fillId="2" borderId="9" xfId="0" quotePrefix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1" quotePrefix="1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3" xfId="1" applyNumberFormat="1" applyFon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165" fontId="0" fillId="2" borderId="3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166" fontId="0" fillId="2" borderId="6" xfId="2" applyNumberFormat="1" applyFont="1" applyFill="1" applyBorder="1" applyAlignment="1"/>
    <xf numFmtId="166" fontId="0" fillId="2" borderId="10" xfId="2" applyNumberFormat="1" applyFont="1" applyFill="1" applyBorder="1" applyAlignment="1"/>
    <xf numFmtId="165" fontId="0" fillId="2" borderId="3" xfId="0" applyNumberFormat="1" applyFill="1" applyBorder="1" applyAlignment="1"/>
    <xf numFmtId="165" fontId="0" fillId="2" borderId="9" xfId="0" applyNumberFormat="1" applyFill="1" applyBorder="1" applyAlignment="1"/>
    <xf numFmtId="165" fontId="0" fillId="0" borderId="3" xfId="0" applyNumberFormat="1" applyFill="1" applyBorder="1" applyAlignment="1"/>
    <xf numFmtId="165" fontId="0" fillId="0" borderId="3" xfId="0" applyNumberFormat="1" applyFill="1" applyBorder="1"/>
    <xf numFmtId="165" fontId="0" fillId="0" borderId="9" xfId="0" applyNumberFormat="1" applyFill="1" applyBorder="1" applyAlignment="1"/>
    <xf numFmtId="165" fontId="0" fillId="0" borderId="9" xfId="0" applyNumberFormat="1" applyFill="1" applyBorder="1"/>
    <xf numFmtId="43" fontId="0" fillId="0" borderId="6" xfId="1" applyNumberFormat="1" applyFont="1" applyBorder="1"/>
    <xf numFmtId="43" fontId="0" fillId="0" borderId="10" xfId="1" applyNumberFormat="1" applyFont="1" applyBorder="1"/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6"/>
  <sheetViews>
    <sheetView showGridLines="0" topLeftCell="H4" zoomScale="90" zoomScaleNormal="90" workbookViewId="0">
      <selection activeCell="I15" sqref="I15"/>
    </sheetView>
  </sheetViews>
  <sheetFormatPr defaultRowHeight="14.5" x14ac:dyDescent="0.35"/>
  <cols>
    <col min="2" max="2" width="11.36328125" customWidth="1"/>
    <col min="8" max="8" width="11.36328125" style="3" bestFit="1" customWidth="1"/>
    <col min="9" max="9" width="9.90625" bestFit="1" customWidth="1"/>
    <col min="10" max="10" width="8.6328125" bestFit="1" customWidth="1"/>
    <col min="11" max="11" width="9.90625" bestFit="1" customWidth="1"/>
    <col min="12" max="12" width="8.6328125" bestFit="1" customWidth="1"/>
    <col min="13" max="13" width="9.90625" bestFit="1" customWidth="1"/>
    <col min="14" max="14" width="8.6328125" bestFit="1" customWidth="1"/>
    <col min="16" max="16" width="15.7265625" bestFit="1" customWidth="1"/>
    <col min="17" max="22" width="5.6328125" bestFit="1" customWidth="1"/>
    <col min="24" max="24" width="17.08984375" bestFit="1" customWidth="1"/>
    <col min="25" max="29" width="4.453125" bestFit="1" customWidth="1"/>
    <col min="30" max="30" width="5.6328125" bestFit="1" customWidth="1"/>
  </cols>
  <sheetData>
    <row r="1" spans="2:30" ht="15" thickBot="1" x14ac:dyDescent="0.4"/>
    <row r="2" spans="2:30" x14ac:dyDescent="0.35">
      <c r="B2" s="72" t="s">
        <v>24</v>
      </c>
      <c r="C2" s="73"/>
      <c r="D2" s="73"/>
      <c r="E2" s="73"/>
      <c r="F2" s="74"/>
      <c r="H2" s="4"/>
      <c r="I2" s="78" t="s">
        <v>13</v>
      </c>
      <c r="J2" s="78"/>
      <c r="K2" s="78" t="s">
        <v>14</v>
      </c>
      <c r="L2" s="78"/>
      <c r="M2" s="78" t="s">
        <v>15</v>
      </c>
      <c r="N2" s="79"/>
      <c r="P2" s="32" t="s">
        <v>30</v>
      </c>
      <c r="Q2" s="25"/>
      <c r="R2" s="25"/>
      <c r="S2" s="25"/>
      <c r="T2" s="25"/>
      <c r="U2" s="25"/>
      <c r="V2" s="26"/>
      <c r="X2" s="32" t="s">
        <v>29</v>
      </c>
      <c r="Y2" s="25"/>
      <c r="Z2" s="25"/>
      <c r="AA2" s="25"/>
      <c r="AB2" s="25"/>
      <c r="AC2" s="25"/>
      <c r="AD2" s="26"/>
    </row>
    <row r="3" spans="2:30" ht="29" x14ac:dyDescent="0.35">
      <c r="B3" s="60"/>
      <c r="C3" s="58" t="s">
        <v>9</v>
      </c>
      <c r="D3" s="58" t="s">
        <v>8</v>
      </c>
      <c r="E3" s="58" t="s">
        <v>26</v>
      </c>
      <c r="F3" s="61" t="s">
        <v>27</v>
      </c>
      <c r="H3" s="5"/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2" t="s">
        <v>8</v>
      </c>
      <c r="P3" s="12" t="s">
        <v>21</v>
      </c>
      <c r="Q3" s="9" t="s">
        <v>16</v>
      </c>
      <c r="R3" s="9" t="s">
        <v>17</v>
      </c>
      <c r="S3" s="9" t="s">
        <v>22</v>
      </c>
      <c r="T3" s="9" t="s">
        <v>19</v>
      </c>
      <c r="U3" s="9" t="s">
        <v>20</v>
      </c>
      <c r="V3" s="13" t="s">
        <v>23</v>
      </c>
      <c r="X3" s="12"/>
      <c r="Y3" s="9" t="s">
        <v>16</v>
      </c>
      <c r="Z3" s="9" t="s">
        <v>17</v>
      </c>
      <c r="AA3" s="9" t="s">
        <v>18</v>
      </c>
      <c r="AB3" s="9" t="s">
        <v>19</v>
      </c>
      <c r="AC3" s="9" t="s">
        <v>20</v>
      </c>
      <c r="AD3" s="13" t="s">
        <v>23</v>
      </c>
    </row>
    <row r="4" spans="2:30" x14ac:dyDescent="0.35">
      <c r="B4" s="33" t="s">
        <v>0</v>
      </c>
      <c r="C4" s="39" t="s">
        <v>37</v>
      </c>
      <c r="D4" s="29">
        <v>14</v>
      </c>
      <c r="E4" s="56">
        <f>2593/60</f>
        <v>43.216666666666669</v>
      </c>
      <c r="F4" s="62">
        <f>E4/8760</f>
        <v>4.9334094368340946E-3</v>
      </c>
      <c r="H4" s="6" t="s">
        <v>0</v>
      </c>
      <c r="I4" s="39" t="s">
        <v>37</v>
      </c>
      <c r="J4" s="29">
        <v>15</v>
      </c>
      <c r="K4" s="52" t="s">
        <v>37</v>
      </c>
      <c r="L4" s="29">
        <v>13</v>
      </c>
      <c r="M4" s="39" t="s">
        <v>37</v>
      </c>
      <c r="N4" s="30">
        <v>11</v>
      </c>
      <c r="P4" s="14" t="s">
        <v>15</v>
      </c>
      <c r="Q4" s="17">
        <f t="shared" ref="Q4:Q9" si="0">1/1</f>
        <v>1</v>
      </c>
      <c r="R4" s="18">
        <f>4/6</f>
        <v>0.66666666666666663</v>
      </c>
      <c r="S4" s="18">
        <f>2/7</f>
        <v>0.2857142857142857</v>
      </c>
      <c r="T4" s="18">
        <f>2/7</f>
        <v>0.2857142857142857</v>
      </c>
      <c r="U4" s="18">
        <f>2/4</f>
        <v>0.5</v>
      </c>
      <c r="V4" s="16">
        <f>SUM(Q4:U4)</f>
        <v>2.7380952380952377</v>
      </c>
      <c r="X4" s="14" t="s">
        <v>15</v>
      </c>
      <c r="Y4" s="53">
        <f>1/Q16</f>
        <v>9.0909090909090912E-2</v>
      </c>
      <c r="Z4" s="53">
        <f>4/R16</f>
        <v>1</v>
      </c>
      <c r="AA4" s="53">
        <f>2/S16</f>
        <v>0.4</v>
      </c>
      <c r="AB4" s="53">
        <f>2/T16</f>
        <v>1</v>
      </c>
      <c r="AC4" s="53">
        <f>2/U16</f>
        <v>0.15384615384615385</v>
      </c>
      <c r="AD4" s="70">
        <f>SUM(Y4:AC4)</f>
        <v>2.6447552447552445</v>
      </c>
    </row>
    <row r="5" spans="2:30" x14ac:dyDescent="0.35">
      <c r="B5" s="33" t="s">
        <v>1</v>
      </c>
      <c r="C5" s="39" t="s">
        <v>38</v>
      </c>
      <c r="D5" s="39" t="s">
        <v>28</v>
      </c>
      <c r="E5" s="56">
        <f>420927/60</f>
        <v>7015.45</v>
      </c>
      <c r="F5" s="62">
        <f>E5/8760</f>
        <v>0.80085045662100451</v>
      </c>
      <c r="H5" s="6" t="s">
        <v>1</v>
      </c>
      <c r="I5" s="39" t="s">
        <v>50</v>
      </c>
      <c r="J5" s="29">
        <v>11</v>
      </c>
      <c r="K5" s="39" t="s">
        <v>50</v>
      </c>
      <c r="L5" s="29">
        <v>5</v>
      </c>
      <c r="M5" s="39" t="s">
        <v>50</v>
      </c>
      <c r="N5" s="30">
        <v>4</v>
      </c>
      <c r="P5" s="14" t="s">
        <v>14</v>
      </c>
      <c r="Q5" s="17">
        <f t="shared" si="0"/>
        <v>1</v>
      </c>
      <c r="R5" s="18">
        <f>4/6</f>
        <v>0.66666666666666663</v>
      </c>
      <c r="S5" s="18">
        <f>3/7</f>
        <v>0.42857142857142855</v>
      </c>
      <c r="T5" s="18">
        <f>3/7</f>
        <v>0.42857142857142855</v>
      </c>
      <c r="U5" s="18">
        <f t="shared" ref="U5:U12" si="1">4/4</f>
        <v>1</v>
      </c>
      <c r="V5" s="16">
        <f t="shared" ref="V5:V12" si="2">SUM(Q5:U5)</f>
        <v>3.5238095238095233</v>
      </c>
      <c r="X5" s="14" t="s">
        <v>14</v>
      </c>
      <c r="Y5" s="54">
        <f>1/Q17</f>
        <v>7.6923076923076927E-2</v>
      </c>
      <c r="Z5" s="53">
        <f>4/R17</f>
        <v>0.8</v>
      </c>
      <c r="AA5" s="53">
        <f>3/S17</f>
        <v>0.42857142857142855</v>
      </c>
      <c r="AB5" s="53">
        <f>3/T17</f>
        <v>0.75</v>
      </c>
      <c r="AC5" s="53">
        <f t="shared" ref="AC5:AC12" si="3">4/U17</f>
        <v>0.2</v>
      </c>
      <c r="AD5" s="70">
        <f t="shared" ref="AD5:AD12" si="4">SUM(Y5:AC5)</f>
        <v>2.2554945054945055</v>
      </c>
    </row>
    <row r="6" spans="2:30" x14ac:dyDescent="0.35">
      <c r="B6" s="33" t="s">
        <v>2</v>
      </c>
      <c r="C6" s="39" t="s">
        <v>39</v>
      </c>
      <c r="D6" s="29">
        <v>4</v>
      </c>
      <c r="E6" s="56">
        <f>541/60</f>
        <v>9.0166666666666675</v>
      </c>
      <c r="F6" s="62">
        <f>E6/8760</f>
        <v>1.0292998477929986E-3</v>
      </c>
      <c r="H6" s="6" t="s">
        <v>2</v>
      </c>
      <c r="I6" s="39" t="s">
        <v>51</v>
      </c>
      <c r="J6" s="29">
        <v>11</v>
      </c>
      <c r="K6" s="39" t="s">
        <v>52</v>
      </c>
      <c r="L6" s="29">
        <v>7</v>
      </c>
      <c r="M6" s="39" t="s">
        <v>53</v>
      </c>
      <c r="N6" s="30">
        <v>5</v>
      </c>
      <c r="P6" s="14" t="s">
        <v>13</v>
      </c>
      <c r="Q6" s="17">
        <f t="shared" si="0"/>
        <v>1</v>
      </c>
      <c r="R6" s="18">
        <f>4/6</f>
        <v>0.66666666666666663</v>
      </c>
      <c r="S6" s="18">
        <f>5/7</f>
        <v>0.7142857142857143</v>
      </c>
      <c r="T6" s="18">
        <f>4/7</f>
        <v>0.5714285714285714</v>
      </c>
      <c r="U6" s="18">
        <f t="shared" si="1"/>
        <v>1</v>
      </c>
      <c r="V6" s="16">
        <f t="shared" si="2"/>
        <v>3.9523809523809526</v>
      </c>
      <c r="X6" s="14" t="s">
        <v>13</v>
      </c>
      <c r="Y6" s="53">
        <f>1/Q18</f>
        <v>6.6666666666666666E-2</v>
      </c>
      <c r="Z6" s="53">
        <f>4/R18</f>
        <v>0.36363636363636365</v>
      </c>
      <c r="AA6" s="53">
        <f>5/S18</f>
        <v>0.45454545454545453</v>
      </c>
      <c r="AB6" s="53">
        <f>4/T18</f>
        <v>0.8</v>
      </c>
      <c r="AC6" s="53">
        <f t="shared" si="3"/>
        <v>0.15384615384615385</v>
      </c>
      <c r="AD6" s="70">
        <f t="shared" si="4"/>
        <v>1.8386946386946388</v>
      </c>
    </row>
    <row r="7" spans="2:30" x14ac:dyDescent="0.35">
      <c r="B7" s="33" t="s">
        <v>3</v>
      </c>
      <c r="C7" s="39" t="s">
        <v>40</v>
      </c>
      <c r="D7" s="29">
        <v>8</v>
      </c>
      <c r="E7" s="56">
        <f>1398/60</f>
        <v>23.3</v>
      </c>
      <c r="F7" s="62">
        <f>E7/8760</f>
        <v>2.6598173515981734E-3</v>
      </c>
      <c r="H7" s="6" t="s">
        <v>3</v>
      </c>
      <c r="I7" s="39" t="s">
        <v>40</v>
      </c>
      <c r="J7" s="29">
        <v>5</v>
      </c>
      <c r="K7" s="39" t="s">
        <v>52</v>
      </c>
      <c r="L7" s="29">
        <v>4</v>
      </c>
      <c r="M7" s="39" t="s">
        <v>53</v>
      </c>
      <c r="N7" s="30">
        <v>2</v>
      </c>
      <c r="P7" s="14" t="s">
        <v>7</v>
      </c>
      <c r="Q7" s="17">
        <f t="shared" si="0"/>
        <v>1</v>
      </c>
      <c r="R7" s="18">
        <f>4/6</f>
        <v>0.66666666666666663</v>
      </c>
      <c r="S7" s="18">
        <f>3/7</f>
        <v>0.42857142857142855</v>
      </c>
      <c r="T7" s="18">
        <f>2/7</f>
        <v>0.2857142857142857</v>
      </c>
      <c r="U7" s="18">
        <f t="shared" si="1"/>
        <v>1</v>
      </c>
      <c r="V7" s="16">
        <f t="shared" si="2"/>
        <v>3.3809523809523805</v>
      </c>
      <c r="X7" s="14" t="s">
        <v>7</v>
      </c>
      <c r="Y7" s="54">
        <f>1/Q19</f>
        <v>8.3333333333333329E-2</v>
      </c>
      <c r="Z7" s="54">
        <f>4/R19</f>
        <v>1</v>
      </c>
      <c r="AA7" s="54">
        <f>3/S19</f>
        <v>0.5</v>
      </c>
      <c r="AB7" s="54">
        <f>2/T19</f>
        <v>0.66666666666666663</v>
      </c>
      <c r="AC7" s="54">
        <f t="shared" si="3"/>
        <v>0.25</v>
      </c>
      <c r="AD7" s="70">
        <f t="shared" si="4"/>
        <v>2.5</v>
      </c>
    </row>
    <row r="8" spans="2:30" ht="15" thickBot="1" x14ac:dyDescent="0.4">
      <c r="B8" s="34" t="s">
        <v>4</v>
      </c>
      <c r="C8" s="49" t="s">
        <v>41</v>
      </c>
      <c r="D8" s="50">
        <v>13</v>
      </c>
      <c r="E8" s="57">
        <f>2779/60</f>
        <v>46.31666666666667</v>
      </c>
      <c r="F8" s="63">
        <f>E8/8760</f>
        <v>5.2872907153729077E-3</v>
      </c>
      <c r="H8" s="7" t="s">
        <v>4</v>
      </c>
      <c r="I8" s="49" t="s">
        <v>47</v>
      </c>
      <c r="J8" s="50">
        <v>26</v>
      </c>
      <c r="K8" s="49" t="s">
        <v>47</v>
      </c>
      <c r="L8" s="50">
        <v>20</v>
      </c>
      <c r="M8" s="49" t="s">
        <v>54</v>
      </c>
      <c r="N8" s="51">
        <v>13</v>
      </c>
      <c r="P8" s="14" t="s">
        <v>6</v>
      </c>
      <c r="Q8" s="17">
        <f t="shared" si="0"/>
        <v>1</v>
      </c>
      <c r="R8" s="18">
        <f>4/6</f>
        <v>0.66666666666666663</v>
      </c>
      <c r="S8" s="18">
        <f>4/7</f>
        <v>0.5714285714285714</v>
      </c>
      <c r="T8" s="18">
        <f>4/7</f>
        <v>0.5714285714285714</v>
      </c>
      <c r="U8" s="18">
        <f t="shared" si="1"/>
        <v>1</v>
      </c>
      <c r="V8" s="16">
        <f t="shared" si="2"/>
        <v>3.8095238095238093</v>
      </c>
      <c r="X8" s="14" t="s">
        <v>6</v>
      </c>
      <c r="Y8" s="54">
        <f t="shared" ref="Y8:Y9" si="5">1/Q20</f>
        <v>7.1428571428571425E-2</v>
      </c>
      <c r="Z8" s="54">
        <f>4/R20</f>
        <v>0.5</v>
      </c>
      <c r="AA8" s="54">
        <f>4/S20</f>
        <v>0.5</v>
      </c>
      <c r="AB8" s="54">
        <f>4/T20</f>
        <v>0.8</v>
      </c>
      <c r="AC8" s="54">
        <f t="shared" si="3"/>
        <v>0.16666666666666666</v>
      </c>
      <c r="AD8" s="70">
        <f t="shared" si="4"/>
        <v>2.038095238095238</v>
      </c>
    </row>
    <row r="9" spans="2:30" ht="15" thickBot="1" x14ac:dyDescent="0.4">
      <c r="B9" s="3"/>
      <c r="P9" s="14" t="s">
        <v>5</v>
      </c>
      <c r="Q9" s="17">
        <f t="shared" si="0"/>
        <v>1</v>
      </c>
      <c r="R9" s="18">
        <f>5/6</f>
        <v>0.83333333333333337</v>
      </c>
      <c r="S9" s="18">
        <f>6/7</f>
        <v>0.8571428571428571</v>
      </c>
      <c r="T9" s="18">
        <f>4/7</f>
        <v>0.5714285714285714</v>
      </c>
      <c r="U9" s="18">
        <f t="shared" si="1"/>
        <v>1</v>
      </c>
      <c r="V9" s="16">
        <f t="shared" si="2"/>
        <v>4.2619047619047619</v>
      </c>
      <c r="X9" s="14" t="s">
        <v>5</v>
      </c>
      <c r="Y9" s="54">
        <f t="shared" si="5"/>
        <v>6.6666666666666666E-2</v>
      </c>
      <c r="Z9" s="54">
        <f>5/R21</f>
        <v>0.38461538461538464</v>
      </c>
      <c r="AA9" s="54">
        <f>6/S21</f>
        <v>0.46153846153846156</v>
      </c>
      <c r="AB9" s="54">
        <f>4/T21</f>
        <v>0.5714285714285714</v>
      </c>
      <c r="AC9" s="54">
        <f t="shared" si="3"/>
        <v>0.13793103448275862</v>
      </c>
      <c r="AD9" s="70">
        <f t="shared" si="4"/>
        <v>1.622180118731843</v>
      </c>
    </row>
    <row r="10" spans="2:30" x14ac:dyDescent="0.35">
      <c r="B10" s="75" t="s">
        <v>31</v>
      </c>
      <c r="C10" s="76"/>
      <c r="D10" s="76"/>
      <c r="E10" s="76"/>
      <c r="F10" s="77"/>
      <c r="H10" s="4"/>
      <c r="I10" s="78" t="s">
        <v>5</v>
      </c>
      <c r="J10" s="78"/>
      <c r="K10" s="78" t="s">
        <v>6</v>
      </c>
      <c r="L10" s="78"/>
      <c r="M10" s="78" t="s">
        <v>7</v>
      </c>
      <c r="N10" s="79"/>
      <c r="P10" s="14" t="s">
        <v>12</v>
      </c>
      <c r="Q10" s="17">
        <f>1/1</f>
        <v>1</v>
      </c>
      <c r="R10" s="18">
        <f>4/6</f>
        <v>0.66666666666666663</v>
      </c>
      <c r="S10" s="18">
        <f>4/7</f>
        <v>0.5714285714285714</v>
      </c>
      <c r="T10" s="18">
        <f>4/7</f>
        <v>0.5714285714285714</v>
      </c>
      <c r="U10" s="18">
        <f t="shared" si="1"/>
        <v>1</v>
      </c>
      <c r="V10" s="16">
        <f t="shared" si="2"/>
        <v>3.8095238095238093</v>
      </c>
      <c r="X10" s="14" t="s">
        <v>12</v>
      </c>
      <c r="Y10" s="53">
        <f>1/Q22</f>
        <v>7.6923076923076927E-2</v>
      </c>
      <c r="Z10" s="53">
        <f>4/R22</f>
        <v>0.8</v>
      </c>
      <c r="AA10" s="53">
        <f>4/S22</f>
        <v>0.5</v>
      </c>
      <c r="AB10" s="53">
        <f>4/T22</f>
        <v>0.8</v>
      </c>
      <c r="AC10" s="53">
        <f t="shared" si="3"/>
        <v>0.2</v>
      </c>
      <c r="AD10" s="70">
        <f t="shared" si="4"/>
        <v>2.3769230769230774</v>
      </c>
    </row>
    <row r="11" spans="2:30" ht="29" x14ac:dyDescent="0.35">
      <c r="B11" s="60"/>
      <c r="C11" s="58" t="s">
        <v>9</v>
      </c>
      <c r="D11" s="58" t="s">
        <v>8</v>
      </c>
      <c r="E11" s="59" t="s">
        <v>26</v>
      </c>
      <c r="F11" s="61" t="s">
        <v>27</v>
      </c>
      <c r="H11" s="5"/>
      <c r="I11" s="1" t="s">
        <v>9</v>
      </c>
      <c r="J11" s="1" t="s">
        <v>8</v>
      </c>
      <c r="K11" s="1" t="s">
        <v>9</v>
      </c>
      <c r="L11" s="1" t="s">
        <v>8</v>
      </c>
      <c r="M11" s="1" t="s">
        <v>9</v>
      </c>
      <c r="N11" s="2" t="s">
        <v>8</v>
      </c>
      <c r="P11" s="14" t="s">
        <v>11</v>
      </c>
      <c r="Q11" s="17">
        <f>1/1</f>
        <v>1</v>
      </c>
      <c r="R11" s="18">
        <f>4/6</f>
        <v>0.66666666666666663</v>
      </c>
      <c r="S11" s="18">
        <f>5/7</f>
        <v>0.7142857142857143</v>
      </c>
      <c r="T11" s="18">
        <f>4/7</f>
        <v>0.5714285714285714</v>
      </c>
      <c r="U11" s="18">
        <f t="shared" si="1"/>
        <v>1</v>
      </c>
      <c r="V11" s="16">
        <f t="shared" si="2"/>
        <v>3.9523809523809526</v>
      </c>
      <c r="X11" s="14" t="s">
        <v>11</v>
      </c>
      <c r="Y11" s="53">
        <f>1/Q23</f>
        <v>7.1428571428571425E-2</v>
      </c>
      <c r="Z11" s="53">
        <f>4/R23</f>
        <v>0.4</v>
      </c>
      <c r="AA11" s="53">
        <f>5/S23</f>
        <v>0.41666666666666669</v>
      </c>
      <c r="AB11" s="53">
        <f>4/T23</f>
        <v>0.5</v>
      </c>
      <c r="AC11" s="53">
        <f t="shared" si="3"/>
        <v>0.15384615384615385</v>
      </c>
      <c r="AD11" s="70">
        <f t="shared" si="4"/>
        <v>1.5419413919413918</v>
      </c>
    </row>
    <row r="12" spans="2:30" ht="15" thickBot="1" x14ac:dyDescent="0.4">
      <c r="B12" s="33" t="s">
        <v>0</v>
      </c>
      <c r="C12" s="39" t="s">
        <v>32</v>
      </c>
      <c r="D12" s="29">
        <v>12</v>
      </c>
      <c r="E12" s="64">
        <f>2270/60</f>
        <v>37.833333333333336</v>
      </c>
      <c r="F12" s="62">
        <f>E12/8760</f>
        <v>4.318873668188737E-3</v>
      </c>
      <c r="H12" s="6" t="s">
        <v>0</v>
      </c>
      <c r="I12" s="39" t="s">
        <v>37</v>
      </c>
      <c r="J12" s="29">
        <v>15</v>
      </c>
      <c r="K12" s="39" t="s">
        <v>37</v>
      </c>
      <c r="L12" s="29">
        <v>14</v>
      </c>
      <c r="M12" s="39" t="s">
        <v>37</v>
      </c>
      <c r="N12" s="30">
        <v>12</v>
      </c>
      <c r="P12" s="15" t="s">
        <v>10</v>
      </c>
      <c r="Q12" s="19">
        <f>1/1</f>
        <v>1</v>
      </c>
      <c r="R12" s="20">
        <f>5/6</f>
        <v>0.83333333333333337</v>
      </c>
      <c r="S12" s="20">
        <f>6/7</f>
        <v>0.8571428571428571</v>
      </c>
      <c r="T12" s="20">
        <f>4/7</f>
        <v>0.5714285714285714</v>
      </c>
      <c r="U12" s="20">
        <f t="shared" si="1"/>
        <v>1</v>
      </c>
      <c r="V12" s="28">
        <f t="shared" si="2"/>
        <v>4.2619047619047619</v>
      </c>
      <c r="X12" s="15" t="s">
        <v>10</v>
      </c>
      <c r="Y12" s="55">
        <f>1/Q24</f>
        <v>6.6666666666666666E-2</v>
      </c>
      <c r="Z12" s="55">
        <f>5/R24</f>
        <v>0.33333333333333331</v>
      </c>
      <c r="AA12" s="55">
        <f>6/S24</f>
        <v>0.54545454545454541</v>
      </c>
      <c r="AB12" s="55">
        <f>4/T24</f>
        <v>0.44444444444444442</v>
      </c>
      <c r="AC12" s="55">
        <f t="shared" si="3"/>
        <v>0.12903225806451613</v>
      </c>
      <c r="AD12" s="71">
        <f t="shared" si="4"/>
        <v>1.518931247963506</v>
      </c>
    </row>
    <row r="13" spans="2:30" ht="15" thickBot="1" x14ac:dyDescent="0.4">
      <c r="B13" s="33" t="s">
        <v>1</v>
      </c>
      <c r="C13" s="39" t="s">
        <v>34</v>
      </c>
      <c r="D13" s="39">
        <v>2</v>
      </c>
      <c r="E13" s="64">
        <f>202/60</f>
        <v>3.3666666666666667</v>
      </c>
      <c r="F13" s="62">
        <f>E13/8760</f>
        <v>3.8432267884322679E-4</v>
      </c>
      <c r="H13" s="6" t="s">
        <v>1</v>
      </c>
      <c r="I13" s="39" t="s">
        <v>55</v>
      </c>
      <c r="J13" s="29">
        <v>13</v>
      </c>
      <c r="K13" s="39" t="s">
        <v>50</v>
      </c>
      <c r="L13" s="29">
        <v>8</v>
      </c>
      <c r="M13" s="39" t="s">
        <v>50</v>
      </c>
      <c r="N13" s="30">
        <v>4</v>
      </c>
    </row>
    <row r="14" spans="2:30" x14ac:dyDescent="0.35">
      <c r="B14" s="33" t="s">
        <v>2</v>
      </c>
      <c r="C14" s="39" t="s">
        <v>35</v>
      </c>
      <c r="D14" s="29">
        <v>6</v>
      </c>
      <c r="E14" s="64">
        <f>873/60</f>
        <v>14.55</v>
      </c>
      <c r="F14" s="62">
        <f>E14/8760</f>
        <v>1.6609589041095892E-3</v>
      </c>
      <c r="H14" s="6" t="s">
        <v>2</v>
      </c>
      <c r="I14" s="39" t="s">
        <v>56</v>
      </c>
      <c r="J14" s="29">
        <v>13</v>
      </c>
      <c r="K14" s="39" t="s">
        <v>40</v>
      </c>
      <c r="L14" s="29">
        <v>8</v>
      </c>
      <c r="M14" s="39" t="s">
        <v>52</v>
      </c>
      <c r="N14" s="30">
        <v>6</v>
      </c>
      <c r="P14" s="32" t="s">
        <v>8</v>
      </c>
      <c r="Q14" s="25"/>
      <c r="R14" s="25"/>
      <c r="S14" s="25"/>
      <c r="T14" s="25"/>
      <c r="U14" s="25"/>
      <c r="V14" s="26"/>
      <c r="X14" s="3"/>
    </row>
    <row r="15" spans="2:30" x14ac:dyDescent="0.35">
      <c r="B15" s="33" t="s">
        <v>3</v>
      </c>
      <c r="C15" s="39" t="s">
        <v>33</v>
      </c>
      <c r="D15" s="29">
        <v>5</v>
      </c>
      <c r="E15" s="64">
        <f>676/60</f>
        <v>11.266666666666667</v>
      </c>
      <c r="F15" s="62">
        <f>E15/8760</f>
        <v>1.2861491628614918E-3</v>
      </c>
      <c r="H15" s="6" t="s">
        <v>3</v>
      </c>
      <c r="I15" s="39" t="s">
        <v>40</v>
      </c>
      <c r="J15" s="29">
        <v>7</v>
      </c>
      <c r="K15" s="39" t="s">
        <v>40</v>
      </c>
      <c r="L15" s="29">
        <v>5</v>
      </c>
      <c r="M15" s="39" t="s">
        <v>53</v>
      </c>
      <c r="N15" s="30">
        <v>3</v>
      </c>
      <c r="P15" s="12"/>
      <c r="Q15" s="9" t="s">
        <v>16</v>
      </c>
      <c r="R15" s="9" t="s">
        <v>17</v>
      </c>
      <c r="S15" s="9" t="s">
        <v>18</v>
      </c>
      <c r="T15" s="9" t="s">
        <v>19</v>
      </c>
      <c r="U15" s="9" t="s">
        <v>20</v>
      </c>
      <c r="V15" s="13" t="s">
        <v>23</v>
      </c>
      <c r="AC15" s="27"/>
    </row>
    <row r="16" spans="2:30" ht="15" thickBot="1" x14ac:dyDescent="0.4">
      <c r="B16" s="34" t="s">
        <v>4</v>
      </c>
      <c r="C16" s="49" t="s">
        <v>36</v>
      </c>
      <c r="D16" s="50">
        <v>6</v>
      </c>
      <c r="E16" s="65">
        <f>1295/60</f>
        <v>21.583333333333332</v>
      </c>
      <c r="F16" s="63">
        <f>E16/8760</f>
        <v>2.4638508371385083E-3</v>
      </c>
      <c r="H16" s="7" t="s">
        <v>4</v>
      </c>
      <c r="I16" s="49" t="s">
        <v>47</v>
      </c>
      <c r="J16" s="50">
        <v>29</v>
      </c>
      <c r="K16" s="49" t="s">
        <v>47</v>
      </c>
      <c r="L16" s="50">
        <v>24</v>
      </c>
      <c r="M16" s="49" t="s">
        <v>47</v>
      </c>
      <c r="N16" s="51">
        <v>16</v>
      </c>
      <c r="P16" s="14" t="s">
        <v>15</v>
      </c>
      <c r="Q16" s="10">
        <v>11</v>
      </c>
      <c r="R16" s="11">
        <v>4</v>
      </c>
      <c r="S16" s="11">
        <v>5</v>
      </c>
      <c r="T16" s="11">
        <v>2</v>
      </c>
      <c r="U16" s="11">
        <v>13</v>
      </c>
      <c r="V16" s="21">
        <f>SUM(Q16:U16)</f>
        <v>35</v>
      </c>
      <c r="AC16" s="27"/>
    </row>
    <row r="17" spans="8:29" ht="15" thickBot="1" x14ac:dyDescent="0.4">
      <c r="P17" s="14" t="s">
        <v>14</v>
      </c>
      <c r="Q17" s="10">
        <v>13</v>
      </c>
      <c r="R17" s="11">
        <v>5</v>
      </c>
      <c r="S17" s="11">
        <v>7</v>
      </c>
      <c r="T17" s="11">
        <v>4</v>
      </c>
      <c r="U17" s="11">
        <v>20</v>
      </c>
      <c r="V17" s="21">
        <f t="shared" ref="V17:V24" si="6">SUM(Q17:U17)</f>
        <v>49</v>
      </c>
      <c r="AC17" s="38"/>
    </row>
    <row r="18" spans="8:29" x14ac:dyDescent="0.35">
      <c r="H18" s="4"/>
      <c r="I18" s="78" t="s">
        <v>10</v>
      </c>
      <c r="J18" s="78"/>
      <c r="K18" s="78" t="s">
        <v>11</v>
      </c>
      <c r="L18" s="78"/>
      <c r="M18" s="78" t="s">
        <v>12</v>
      </c>
      <c r="N18" s="79"/>
      <c r="P18" s="14" t="s">
        <v>13</v>
      </c>
      <c r="Q18" s="10">
        <v>15</v>
      </c>
      <c r="R18" s="11">
        <v>11</v>
      </c>
      <c r="S18" s="11">
        <v>11</v>
      </c>
      <c r="T18" s="11">
        <v>5</v>
      </c>
      <c r="U18" s="11">
        <v>26</v>
      </c>
      <c r="V18" s="21">
        <f t="shared" si="6"/>
        <v>68</v>
      </c>
      <c r="AC18" s="38"/>
    </row>
    <row r="19" spans="8:29" x14ac:dyDescent="0.35">
      <c r="H19" s="5"/>
      <c r="I19" s="1" t="s">
        <v>9</v>
      </c>
      <c r="J19" s="1" t="s">
        <v>8</v>
      </c>
      <c r="K19" s="1" t="s">
        <v>9</v>
      </c>
      <c r="L19" s="1" t="s">
        <v>8</v>
      </c>
      <c r="M19" s="1" t="s">
        <v>9</v>
      </c>
      <c r="N19" s="2" t="s">
        <v>8</v>
      </c>
      <c r="P19" s="14" t="s">
        <v>7</v>
      </c>
      <c r="Q19" s="11">
        <v>12</v>
      </c>
      <c r="R19" s="11">
        <v>4</v>
      </c>
      <c r="S19" s="11">
        <v>6</v>
      </c>
      <c r="T19" s="11">
        <v>3</v>
      </c>
      <c r="U19" s="11">
        <v>16</v>
      </c>
      <c r="V19" s="21">
        <f t="shared" si="6"/>
        <v>41</v>
      </c>
      <c r="AC19" s="38"/>
    </row>
    <row r="20" spans="8:29" x14ac:dyDescent="0.35">
      <c r="H20" s="6" t="s">
        <v>0</v>
      </c>
      <c r="I20" s="39" t="s">
        <v>37</v>
      </c>
      <c r="J20" s="29">
        <v>15</v>
      </c>
      <c r="K20" s="39" t="s">
        <v>37</v>
      </c>
      <c r="L20" s="29">
        <v>14</v>
      </c>
      <c r="M20" s="39" t="s">
        <v>37</v>
      </c>
      <c r="N20" s="30">
        <v>13</v>
      </c>
      <c r="P20" s="14" t="s">
        <v>6</v>
      </c>
      <c r="Q20" s="11">
        <v>14</v>
      </c>
      <c r="R20" s="11">
        <v>8</v>
      </c>
      <c r="S20" s="11">
        <v>8</v>
      </c>
      <c r="T20" s="11">
        <v>5</v>
      </c>
      <c r="U20" s="11">
        <v>24</v>
      </c>
      <c r="V20" s="21">
        <f t="shared" si="6"/>
        <v>59</v>
      </c>
      <c r="AC20" s="38"/>
    </row>
    <row r="21" spans="8:29" x14ac:dyDescent="0.35">
      <c r="H21" s="6" t="s">
        <v>1</v>
      </c>
      <c r="I21" s="39" t="s">
        <v>55</v>
      </c>
      <c r="J21" s="29">
        <v>15</v>
      </c>
      <c r="K21" s="39" t="s">
        <v>50</v>
      </c>
      <c r="L21" s="29">
        <v>10</v>
      </c>
      <c r="M21" s="39" t="s">
        <v>50</v>
      </c>
      <c r="N21" s="30">
        <v>5</v>
      </c>
      <c r="P21" s="14" t="s">
        <v>5</v>
      </c>
      <c r="Q21" s="11">
        <v>15</v>
      </c>
      <c r="R21" s="11">
        <v>13</v>
      </c>
      <c r="S21" s="11">
        <v>13</v>
      </c>
      <c r="T21" s="11">
        <v>7</v>
      </c>
      <c r="U21" s="11">
        <v>29</v>
      </c>
      <c r="V21" s="21">
        <f t="shared" si="6"/>
        <v>77</v>
      </c>
      <c r="AC21" s="38"/>
    </row>
    <row r="22" spans="8:29" x14ac:dyDescent="0.35">
      <c r="H22" s="6" t="s">
        <v>2</v>
      </c>
      <c r="I22" s="39" t="s">
        <v>56</v>
      </c>
      <c r="J22" s="29">
        <v>11</v>
      </c>
      <c r="K22" s="39" t="s">
        <v>51</v>
      </c>
      <c r="L22" s="29">
        <v>12</v>
      </c>
      <c r="M22" s="39" t="s">
        <v>40</v>
      </c>
      <c r="N22" s="30">
        <v>8</v>
      </c>
      <c r="P22" s="14" t="s">
        <v>12</v>
      </c>
      <c r="Q22" s="10">
        <v>13</v>
      </c>
      <c r="R22" s="11">
        <v>5</v>
      </c>
      <c r="S22" s="11">
        <v>8</v>
      </c>
      <c r="T22" s="11">
        <v>5</v>
      </c>
      <c r="U22" s="11">
        <v>20</v>
      </c>
      <c r="V22" s="21">
        <f t="shared" si="6"/>
        <v>51</v>
      </c>
    </row>
    <row r="23" spans="8:29" x14ac:dyDescent="0.35">
      <c r="H23" s="6" t="s">
        <v>3</v>
      </c>
      <c r="I23" s="39" t="s">
        <v>40</v>
      </c>
      <c r="J23" s="29">
        <v>9</v>
      </c>
      <c r="K23" s="39" t="s">
        <v>40</v>
      </c>
      <c r="L23" s="29">
        <v>8</v>
      </c>
      <c r="M23" s="39" t="s">
        <v>40</v>
      </c>
      <c r="N23" s="30">
        <v>5</v>
      </c>
      <c r="P23" s="14" t="s">
        <v>11</v>
      </c>
      <c r="Q23" s="10">
        <v>14</v>
      </c>
      <c r="R23" s="11">
        <v>10</v>
      </c>
      <c r="S23" s="11">
        <v>12</v>
      </c>
      <c r="T23" s="11">
        <v>8</v>
      </c>
      <c r="U23" s="11">
        <v>26</v>
      </c>
      <c r="V23" s="21">
        <f t="shared" si="6"/>
        <v>70</v>
      </c>
    </row>
    <row r="24" spans="8:29" ht="15" thickBot="1" x14ac:dyDescent="0.4">
      <c r="H24" s="7" t="s">
        <v>4</v>
      </c>
      <c r="I24" s="49" t="s">
        <v>47</v>
      </c>
      <c r="J24" s="50">
        <v>31</v>
      </c>
      <c r="K24" s="49" t="s">
        <v>47</v>
      </c>
      <c r="L24" s="50">
        <v>26</v>
      </c>
      <c r="M24" s="49" t="s">
        <v>47</v>
      </c>
      <c r="N24" s="51">
        <v>20</v>
      </c>
      <c r="P24" s="15" t="s">
        <v>10</v>
      </c>
      <c r="Q24" s="23">
        <v>15</v>
      </c>
      <c r="R24" s="24">
        <v>15</v>
      </c>
      <c r="S24" s="24">
        <v>11</v>
      </c>
      <c r="T24" s="24">
        <v>9</v>
      </c>
      <c r="U24" s="24">
        <v>31</v>
      </c>
      <c r="V24" s="22">
        <f t="shared" si="6"/>
        <v>81</v>
      </c>
    </row>
    <row r="25" spans="8:29" ht="15" thickBot="1" x14ac:dyDescent="0.4">
      <c r="AC25" s="27"/>
    </row>
    <row r="26" spans="8:29" x14ac:dyDescent="0.35">
      <c r="P26" s="75" t="s">
        <v>25</v>
      </c>
      <c r="Q26" s="76"/>
      <c r="R26" s="76"/>
      <c r="S26" s="76"/>
      <c r="T26" s="76"/>
      <c r="U26" s="76"/>
      <c r="V26" s="77"/>
      <c r="AC26" s="27"/>
    </row>
    <row r="27" spans="8:29" x14ac:dyDescent="0.35">
      <c r="N27" s="37"/>
      <c r="O27" s="37"/>
      <c r="P27" s="12"/>
      <c r="Q27" s="9" t="s">
        <v>16</v>
      </c>
      <c r="R27" s="9" t="s">
        <v>17</v>
      </c>
      <c r="S27" s="9" t="s">
        <v>18</v>
      </c>
      <c r="T27" s="9" t="s">
        <v>19</v>
      </c>
      <c r="U27" s="9" t="s">
        <v>20</v>
      </c>
      <c r="V27" s="13" t="s">
        <v>23</v>
      </c>
      <c r="AC27" s="38"/>
    </row>
    <row r="28" spans="8:29" x14ac:dyDescent="0.35">
      <c r="N28" s="37"/>
      <c r="O28" s="37"/>
      <c r="P28" s="14" t="s">
        <v>15</v>
      </c>
      <c r="Q28" s="66">
        <f>2155/60</f>
        <v>35.916666666666664</v>
      </c>
      <c r="R28" s="67">
        <f>402/60</f>
        <v>6.7</v>
      </c>
      <c r="S28" s="67">
        <f>817/60</f>
        <v>13.616666666666667</v>
      </c>
      <c r="T28" s="67">
        <f>319/60</f>
        <v>5.3166666666666664</v>
      </c>
      <c r="U28" s="67">
        <f>2906/60</f>
        <v>48.43333333333333</v>
      </c>
      <c r="V28" s="21">
        <f>SUM(Q28:U28)</f>
        <v>109.98333333333332</v>
      </c>
      <c r="AC28" s="38"/>
    </row>
    <row r="29" spans="8:29" x14ac:dyDescent="0.35">
      <c r="N29" s="27"/>
      <c r="O29" s="27"/>
      <c r="P29" s="14" t="s">
        <v>14</v>
      </c>
      <c r="Q29" s="66">
        <f>2409/60</f>
        <v>40.15</v>
      </c>
      <c r="R29" s="67">
        <f>542/60</f>
        <v>9.0333333333333332</v>
      </c>
      <c r="S29" s="67">
        <f>1089/60</f>
        <v>18.149999999999999</v>
      </c>
      <c r="T29" s="67">
        <f>573/60</f>
        <v>9.5500000000000007</v>
      </c>
      <c r="U29" s="67">
        <f>4289/60</f>
        <v>71.483333333333334</v>
      </c>
      <c r="V29" s="21">
        <f t="shared" ref="V29:V36" si="7">SUM(Q29:U29)</f>
        <v>148.36666666666667</v>
      </c>
      <c r="AC29" s="38"/>
    </row>
    <row r="30" spans="8:29" x14ac:dyDescent="0.35">
      <c r="N30" s="37"/>
      <c r="O30" s="37"/>
      <c r="P30" s="14" t="s">
        <v>13</v>
      </c>
      <c r="Q30" s="66">
        <f>2845/60</f>
        <v>47.416666666666664</v>
      </c>
      <c r="R30" s="67">
        <f>1853/60</f>
        <v>30.883333333333333</v>
      </c>
      <c r="S30" s="67">
        <f>1840/60</f>
        <v>30.666666666666668</v>
      </c>
      <c r="T30" s="67">
        <f>915/60</f>
        <v>15.25</v>
      </c>
      <c r="U30" s="67">
        <f>6224/60</f>
        <v>103.73333333333333</v>
      </c>
      <c r="V30" s="21">
        <f t="shared" si="7"/>
        <v>227.95</v>
      </c>
      <c r="AC30" s="38"/>
    </row>
    <row r="31" spans="8:29" x14ac:dyDescent="0.35">
      <c r="P31" s="14" t="s">
        <v>7</v>
      </c>
      <c r="Q31" s="66">
        <f>2270/60</f>
        <v>37.833333333333336</v>
      </c>
      <c r="R31" s="67">
        <f>402/60</f>
        <v>6.7</v>
      </c>
      <c r="S31" s="67">
        <f>873/60</f>
        <v>14.55</v>
      </c>
      <c r="T31" s="67">
        <f>416/60</f>
        <v>6.9333333333333336</v>
      </c>
      <c r="U31" s="67">
        <f>3523/60</f>
        <v>58.716666666666669</v>
      </c>
      <c r="V31" s="21">
        <f>SUM(Q31:U31)</f>
        <v>124.73333333333335</v>
      </c>
      <c r="AC31" s="38"/>
    </row>
    <row r="32" spans="8:29" x14ac:dyDescent="0.35">
      <c r="P32" s="14" t="s">
        <v>6</v>
      </c>
      <c r="Q32" s="66">
        <f>2685/60</f>
        <v>44.75</v>
      </c>
      <c r="R32" s="67">
        <f>1249/60</f>
        <v>20.816666666666666</v>
      </c>
      <c r="S32" s="67">
        <f>1246/60</f>
        <v>20.766666666666666</v>
      </c>
      <c r="T32" s="67">
        <f>915/60</f>
        <v>15.25</v>
      </c>
      <c r="U32" s="67">
        <f>5460/60</f>
        <v>91</v>
      </c>
      <c r="V32" s="21">
        <f>SUM(Q32:U32)</f>
        <v>192.58333333333331</v>
      </c>
    </row>
    <row r="33" spans="14:22" x14ac:dyDescent="0.35">
      <c r="P33" s="14" t="s">
        <v>5</v>
      </c>
      <c r="Q33" s="66">
        <f>2845/60</f>
        <v>47.416666666666664</v>
      </c>
      <c r="R33" s="67">
        <f>2069/60</f>
        <v>34.483333333333334</v>
      </c>
      <c r="S33" s="67">
        <f>2096/60</f>
        <v>34.93333333333333</v>
      </c>
      <c r="T33" s="67">
        <f>1457/60</f>
        <v>24.283333333333335</v>
      </c>
      <c r="U33" s="67">
        <f>6874/60</f>
        <v>114.56666666666666</v>
      </c>
      <c r="V33" s="21">
        <f>SUM(Q33:U33)</f>
        <v>255.68333333333334</v>
      </c>
    </row>
    <row r="34" spans="14:22" x14ac:dyDescent="0.35">
      <c r="P34" s="14" t="s">
        <v>12</v>
      </c>
      <c r="Q34" s="66">
        <f>2409/60</f>
        <v>40.15</v>
      </c>
      <c r="R34" s="67">
        <f>541/60</f>
        <v>9.0166666666666675</v>
      </c>
      <c r="S34" s="67">
        <f>1246/60</f>
        <v>20.766666666666666</v>
      </c>
      <c r="T34" s="67">
        <f>915/60</f>
        <v>15.25</v>
      </c>
      <c r="U34" s="67">
        <f>4289/60</f>
        <v>71.483333333333334</v>
      </c>
      <c r="V34" s="21">
        <f t="shared" si="7"/>
        <v>156.66666666666669</v>
      </c>
    </row>
    <row r="35" spans="14:22" x14ac:dyDescent="0.35">
      <c r="P35" s="14" t="s">
        <v>11</v>
      </c>
      <c r="Q35" s="66">
        <f>2685/60</f>
        <v>44.75</v>
      </c>
      <c r="R35" s="67">
        <f>1637/60</f>
        <v>27.283333333333335</v>
      </c>
      <c r="S35" s="67">
        <f>2024/60</f>
        <v>33.733333333333334</v>
      </c>
      <c r="T35" s="67">
        <f>1457/60</f>
        <v>24.283333333333335</v>
      </c>
      <c r="U35" s="67">
        <f>6224/60</f>
        <v>103.73333333333333</v>
      </c>
      <c r="V35" s="21">
        <f t="shared" si="7"/>
        <v>233.78333333333336</v>
      </c>
    </row>
    <row r="36" spans="14:22" ht="15" thickBot="1" x14ac:dyDescent="0.4">
      <c r="P36" s="15" t="s">
        <v>10</v>
      </c>
      <c r="Q36" s="68">
        <f>2845/60</f>
        <v>47.416666666666664</v>
      </c>
      <c r="R36" s="69">
        <f>2353/60</f>
        <v>39.216666666666669</v>
      </c>
      <c r="S36" s="69">
        <f>2271/60</f>
        <v>37.85</v>
      </c>
      <c r="T36" s="69">
        <f>1776/60</f>
        <v>29.6</v>
      </c>
      <c r="U36" s="69">
        <f>7443/60</f>
        <v>124.05</v>
      </c>
      <c r="V36" s="22">
        <f t="shared" si="7"/>
        <v>278.13333333333333</v>
      </c>
    </row>
    <row r="37" spans="14:22" x14ac:dyDescent="0.35">
      <c r="N37" s="37"/>
      <c r="O37" s="37"/>
    </row>
    <row r="38" spans="14:22" x14ac:dyDescent="0.35">
      <c r="N38" s="37"/>
      <c r="O38" s="37"/>
    </row>
    <row r="39" spans="14:22" x14ac:dyDescent="0.35">
      <c r="N39" s="27"/>
      <c r="O39" s="27"/>
    </row>
    <row r="40" spans="14:22" x14ac:dyDescent="0.35">
      <c r="N40" s="37"/>
      <c r="O40" s="27"/>
    </row>
    <row r="41" spans="14:22" x14ac:dyDescent="0.35">
      <c r="N41" s="37"/>
      <c r="O41" s="38"/>
    </row>
    <row r="42" spans="14:22" x14ac:dyDescent="0.35">
      <c r="N42" s="37"/>
      <c r="O42" s="38"/>
    </row>
    <row r="43" spans="14:22" x14ac:dyDescent="0.35">
      <c r="N43" s="37"/>
      <c r="O43" s="38"/>
    </row>
    <row r="44" spans="14:22" x14ac:dyDescent="0.35">
      <c r="N44" s="37"/>
      <c r="O44" s="38"/>
    </row>
    <row r="45" spans="14:22" x14ac:dyDescent="0.35">
      <c r="N45" s="37"/>
      <c r="O45" s="38"/>
    </row>
    <row r="46" spans="14:22" x14ac:dyDescent="0.35">
      <c r="N46" s="37"/>
      <c r="O46" s="37"/>
    </row>
  </sheetData>
  <mergeCells count="12">
    <mergeCell ref="B2:F2"/>
    <mergeCell ref="B10:F10"/>
    <mergeCell ref="P26:V26"/>
    <mergeCell ref="I2:J2"/>
    <mergeCell ref="K2:L2"/>
    <mergeCell ref="M2:N2"/>
    <mergeCell ref="I18:J18"/>
    <mergeCell ref="K18:L18"/>
    <mergeCell ref="M18:N18"/>
    <mergeCell ref="I10:J10"/>
    <mergeCell ref="K10:L10"/>
    <mergeCell ref="M10:N10"/>
  </mergeCells>
  <conditionalFormatting sqref="Q4:U6 P7:U1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12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{C1DE4829-104E-4E97-A2BB-E8E8E5002577}</x14:id>
        </ext>
      </extLst>
    </cfRule>
  </conditionalFormatting>
  <conditionalFormatting sqref="V16:V24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{23497EEC-C5CA-42B0-A4BF-B196E12D4438}</x14:id>
        </ext>
      </extLst>
    </cfRule>
  </conditionalFormatting>
  <conditionalFormatting sqref="P16:P2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:AD1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{7AF9BFBC-6035-48FB-8593-31BC426F899B}</x14:id>
        </ext>
      </extLst>
    </cfRule>
  </conditionalFormatting>
  <conditionalFormatting sqref="X4:X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0:X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8:V36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{5FE8E797-E450-4248-AA93-4698C99FD2ED}</x14:id>
        </ext>
      </extLst>
    </cfRule>
  </conditionalFormatting>
  <conditionalFormatting sqref="P28:P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4:P3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:AC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:U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:U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DE4829-104E-4E97-A2BB-E8E8E500257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V4:V12</xm:sqref>
        </x14:conditionalFormatting>
        <x14:conditionalFormatting xmlns:xm="http://schemas.microsoft.com/office/excel/2006/main">
          <x14:cfRule type="dataBar" id="{23497EEC-C5CA-42B0-A4BF-B196E12D443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V16:V24</xm:sqref>
        </x14:conditionalFormatting>
        <x14:conditionalFormatting xmlns:xm="http://schemas.microsoft.com/office/excel/2006/main">
          <x14:cfRule type="dataBar" id="{7AF9BFBC-6035-48FB-8593-31BC426F899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AD4:AD12</xm:sqref>
        </x14:conditionalFormatting>
        <x14:conditionalFormatting xmlns:xm="http://schemas.microsoft.com/office/excel/2006/main">
          <x14:cfRule type="dataBar" id="{5FE8E797-E450-4248-AA93-4698C99FD2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V28:V36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0"/>
  <sheetViews>
    <sheetView showGridLines="0" tabSelected="1" workbookViewId="0">
      <selection activeCell="E14" sqref="E14"/>
    </sheetView>
  </sheetViews>
  <sheetFormatPr defaultRowHeight="14.5" x14ac:dyDescent="0.35"/>
  <cols>
    <col min="3" max="3" width="11.08984375" bestFit="1" customWidth="1"/>
    <col min="4" max="4" width="9.81640625" bestFit="1" customWidth="1"/>
    <col min="5" max="5" width="8.453125" bestFit="1" customWidth="1"/>
    <col min="6" max="6" width="17.6328125" bestFit="1" customWidth="1"/>
    <col min="7" max="7" width="9.81640625" bestFit="1" customWidth="1"/>
    <col min="8" max="8" width="8.453125" bestFit="1" customWidth="1"/>
    <col min="9" max="9" width="17.6328125" bestFit="1" customWidth="1"/>
    <col min="10" max="10" width="9.81640625" bestFit="1" customWidth="1"/>
    <col min="11" max="11" width="8.453125" bestFit="1" customWidth="1"/>
    <col min="12" max="12" width="17.6328125" bestFit="1" customWidth="1"/>
  </cols>
  <sheetData>
    <row r="3" spans="3:12" ht="15" thickBot="1" x14ac:dyDescent="0.4"/>
    <row r="4" spans="3:12" ht="15" thickBot="1" x14ac:dyDescent="0.4">
      <c r="C4" s="44"/>
      <c r="D4" s="83" t="s">
        <v>48</v>
      </c>
      <c r="E4" s="84"/>
      <c r="F4" s="85"/>
      <c r="G4" s="80" t="s">
        <v>24</v>
      </c>
      <c r="H4" s="81"/>
      <c r="I4" s="82"/>
      <c r="J4" s="83" t="s">
        <v>43</v>
      </c>
      <c r="K4" s="84"/>
      <c r="L4" s="85"/>
    </row>
    <row r="5" spans="3:12" x14ac:dyDescent="0.35">
      <c r="C5" s="6" t="s">
        <v>49</v>
      </c>
      <c r="D5" s="43" t="s">
        <v>9</v>
      </c>
      <c r="E5" s="43" t="s">
        <v>8</v>
      </c>
      <c r="F5" s="43" t="s">
        <v>42</v>
      </c>
      <c r="G5" s="43" t="s">
        <v>9</v>
      </c>
      <c r="H5" s="43" t="s">
        <v>8</v>
      </c>
      <c r="I5" s="43" t="s">
        <v>42</v>
      </c>
      <c r="J5" s="43" t="s">
        <v>9</v>
      </c>
      <c r="K5" s="43" t="s">
        <v>8</v>
      </c>
      <c r="L5" s="45" t="s">
        <v>42</v>
      </c>
    </row>
    <row r="6" spans="3:12" x14ac:dyDescent="0.35">
      <c r="C6" s="33" t="s">
        <v>0</v>
      </c>
      <c r="D6" s="31" t="s">
        <v>37</v>
      </c>
      <c r="E6" s="8">
        <v>15</v>
      </c>
      <c r="F6" s="40">
        <f>(2845/60)/8760</f>
        <v>5.4128614916286143E-3</v>
      </c>
      <c r="G6" s="31" t="s">
        <v>37</v>
      </c>
      <c r="H6" s="8">
        <v>14</v>
      </c>
      <c r="I6" s="40">
        <f>(2632/60)/8760</f>
        <v>5.0076103500761035E-3</v>
      </c>
      <c r="J6" s="31" t="s">
        <v>37</v>
      </c>
      <c r="K6" s="8">
        <v>12</v>
      </c>
      <c r="L6" s="47">
        <f>(2309/60)/8760</f>
        <v>4.3930745814307458E-3</v>
      </c>
    </row>
    <row r="7" spans="3:12" x14ac:dyDescent="0.35">
      <c r="C7" s="33" t="s">
        <v>1</v>
      </c>
      <c r="D7" s="31" t="s">
        <v>55</v>
      </c>
      <c r="E7" s="8">
        <v>13</v>
      </c>
      <c r="F7" s="40">
        <f>(2069/60)/8760</f>
        <v>3.9364535768645357E-3</v>
      </c>
      <c r="G7" s="31" t="s">
        <v>38</v>
      </c>
      <c r="H7" s="31" t="s">
        <v>28</v>
      </c>
      <c r="I7" s="41">
        <f>(420927/60)/8760</f>
        <v>0.80085045662100451</v>
      </c>
      <c r="J7" s="31" t="s">
        <v>44</v>
      </c>
      <c r="K7" s="31">
        <v>2</v>
      </c>
      <c r="L7" s="47">
        <f>(202/60)/8760</f>
        <v>3.8432267884322679E-4</v>
      </c>
    </row>
    <row r="8" spans="3:12" x14ac:dyDescent="0.35">
      <c r="C8" s="33" t="s">
        <v>2</v>
      </c>
      <c r="D8" s="31" t="s">
        <v>56</v>
      </c>
      <c r="E8" s="8">
        <v>13</v>
      </c>
      <c r="F8" s="40">
        <f>(2096/60)/8760</f>
        <v>3.9878234398782342E-3</v>
      </c>
      <c r="G8" s="31" t="s">
        <v>39</v>
      </c>
      <c r="H8" s="8">
        <v>4</v>
      </c>
      <c r="I8" s="41">
        <f>(541/60)/8760</f>
        <v>1.0292998477929986E-3</v>
      </c>
      <c r="J8" s="31" t="s">
        <v>45</v>
      </c>
      <c r="K8" s="8">
        <v>6</v>
      </c>
      <c r="L8" s="47">
        <f>(873/60)/8760</f>
        <v>1.6609589041095892E-3</v>
      </c>
    </row>
    <row r="9" spans="3:12" x14ac:dyDescent="0.35">
      <c r="C9" s="33" t="s">
        <v>3</v>
      </c>
      <c r="D9" s="31" t="s">
        <v>40</v>
      </c>
      <c r="E9" s="8">
        <v>7</v>
      </c>
      <c r="F9" s="40">
        <f>(1457/60)/8760</f>
        <v>2.7720700152207003E-3</v>
      </c>
      <c r="G9" s="31" t="s">
        <v>40</v>
      </c>
      <c r="H9" s="8">
        <v>8</v>
      </c>
      <c r="I9" s="41">
        <f>(1398/60)/8760</f>
        <v>2.6598173515981734E-3</v>
      </c>
      <c r="J9" s="31" t="s">
        <v>40</v>
      </c>
      <c r="K9" s="8">
        <v>5</v>
      </c>
      <c r="L9" s="47">
        <f>(676/60)/8760</f>
        <v>1.2861491628614918E-3</v>
      </c>
    </row>
    <row r="10" spans="3:12" ht="15" thickBot="1" x14ac:dyDescent="0.4">
      <c r="C10" s="34" t="s">
        <v>4</v>
      </c>
      <c r="D10" s="36" t="s">
        <v>47</v>
      </c>
      <c r="E10" s="35">
        <v>29</v>
      </c>
      <c r="F10" s="46">
        <f>(6874/60)/8760</f>
        <v>1.3078386605783865E-2</v>
      </c>
      <c r="G10" s="36" t="s">
        <v>41</v>
      </c>
      <c r="H10" s="35">
        <v>13</v>
      </c>
      <c r="I10" s="42">
        <f>(2779/60)/8760</f>
        <v>5.2872907153729077E-3</v>
      </c>
      <c r="J10" s="36" t="s">
        <v>46</v>
      </c>
      <c r="K10" s="35">
        <v>6</v>
      </c>
      <c r="L10" s="48">
        <f>(1295/60)/8760</f>
        <v>2.4638508371385083E-3</v>
      </c>
    </row>
  </sheetData>
  <mergeCells count="3">
    <mergeCell ref="G4:I4"/>
    <mergeCell ref="J4:L4"/>
    <mergeCell ref="D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2020-07-13T22:38:12Z</dcterms:modified>
</cp:coreProperties>
</file>