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BaiduSyncdisk\Works\00-Research_and_development\固定支架BOM\"/>
    </mc:Choice>
  </mc:AlternateContent>
  <xr:revisionPtr revIDLastSave="0" documentId="13_ncr:1_{CBCC00A9-3D5B-4024-8689-F1350331BE8B}" xr6:coauthVersionLast="47" xr6:coauthVersionMax="47" xr10:uidLastSave="{00000000-0000-0000-0000-000000000000}"/>
  <bookViews>
    <workbookView xWindow="-110" yWindow="-110" windowWidth="38620" windowHeight="21100" tabRatio="669" xr2:uid="{00000000-000D-0000-FFFF-FFFF00000000}"/>
  </bookViews>
  <sheets>
    <sheet name="2x14" sheetId="16" r:id="rId1"/>
    <sheet name="Sheet1" sheetId="17" r:id="rId2"/>
    <sheet name="重量" sheetId="7" state="veryHidden" r:id="rId3"/>
    <sheet name="40MW " sheetId="5" state="veryHidden" r:id="rId4"/>
  </sheets>
  <definedNames>
    <definedName name="_xlnm._FilterDatabase" localSheetId="3" hidden="1">'40MW '!$D$89:$O$91</definedName>
    <definedName name="_xlnm.Print_Area" localSheetId="0">'2x14'!$A$1:$R$46</definedName>
  </definedNames>
  <calcPr calcId="191029"/>
  <customWorkbookViews>
    <customWorkbookView name="Paul Yang - 个人视图" guid="{EC281D8F-E5CD-4381-8D33-E489CD2F51ED}" personalView="1" maximized="1" xWindow="-9" yWindow="-9" windowWidth="1938" windowHeight="1048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6" l="1"/>
  <c r="H3" i="16"/>
  <c r="I60" i="16" l="1"/>
  <c r="I61" i="16" s="1"/>
  <c r="I62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39" i="16"/>
  <c r="N38" i="16"/>
  <c r="N37" i="16"/>
  <c r="N36" i="16"/>
  <c r="N35" i="16"/>
  <c r="N34" i="16"/>
  <c r="N33" i="16"/>
  <c r="N32" i="16"/>
  <c r="N31" i="16"/>
  <c r="J26" i="16"/>
  <c r="N26" i="16" s="1"/>
  <c r="G26" i="16"/>
  <c r="K26" i="16" s="1"/>
  <c r="I64" i="16" l="1"/>
  <c r="J25" i="16"/>
  <c r="N25" i="16" s="1"/>
  <c r="J24" i="16"/>
  <c r="N24" i="16" s="1"/>
  <c r="H23" i="16"/>
  <c r="H22" i="16"/>
  <c r="J22" i="16" s="1"/>
  <c r="N22" i="16" s="1"/>
  <c r="G22" i="16"/>
  <c r="G24" i="16" s="1"/>
  <c r="H21" i="16"/>
  <c r="G21" i="16"/>
  <c r="G20" i="16"/>
  <c r="J19" i="16"/>
  <c r="N19" i="16" s="1"/>
  <c r="G19" i="16"/>
  <c r="J20" i="16"/>
  <c r="N20" i="16" s="1"/>
  <c r="H18" i="16"/>
  <c r="J18" i="16" s="1"/>
  <c r="N18" i="16" s="1"/>
  <c r="H17" i="16"/>
  <c r="J17" i="16" s="1"/>
  <c r="N17" i="16" s="1"/>
  <c r="H16" i="16"/>
  <c r="J16" i="16" s="1"/>
  <c r="N16" i="16" s="1"/>
  <c r="G15" i="16"/>
  <c r="H15" i="16"/>
  <c r="J15" i="16" s="1"/>
  <c r="N15" i="16" s="1"/>
  <c r="H14" i="16"/>
  <c r="J14" i="16" s="1"/>
  <c r="N14" i="16" s="1"/>
  <c r="H13" i="16"/>
  <c r="G13" i="16"/>
  <c r="G12" i="16"/>
  <c r="H12" i="16"/>
  <c r="J12" i="16" s="1"/>
  <c r="N12" i="16" s="1"/>
  <c r="H11" i="16"/>
  <c r="G10" i="16"/>
  <c r="G11" i="16" s="1"/>
  <c r="H10" i="16"/>
  <c r="J10" i="16" s="1"/>
  <c r="N10" i="16" s="1"/>
  <c r="H9" i="16"/>
  <c r="G9" i="16"/>
  <c r="H8" i="16"/>
  <c r="J8" i="16" s="1"/>
  <c r="N8" i="16" s="1"/>
  <c r="G8" i="16"/>
  <c r="G7" i="16"/>
  <c r="H7" i="16"/>
  <c r="H6" i="16"/>
  <c r="G6" i="16"/>
  <c r="J4" i="16"/>
  <c r="N4" i="16" s="1"/>
  <c r="G4" i="16"/>
  <c r="J3" i="16"/>
  <c r="K3" i="16" l="1"/>
  <c r="N3" i="16"/>
  <c r="G31" i="16"/>
  <c r="G32" i="16" s="1"/>
  <c r="K32" i="16" s="1"/>
  <c r="G47" i="16"/>
  <c r="G48" i="16" s="1"/>
  <c r="G39" i="16"/>
  <c r="G25" i="16"/>
  <c r="G14" i="16"/>
  <c r="G35" i="16"/>
  <c r="J23" i="16"/>
  <c r="N23" i="16" s="1"/>
  <c r="K12" i="16"/>
  <c r="K19" i="16"/>
  <c r="K24" i="16"/>
  <c r="G23" i="16"/>
  <c r="J6" i="16"/>
  <c r="K22" i="16"/>
  <c r="G16" i="16"/>
  <c r="G18" i="16" s="1"/>
  <c r="K18" i="16" s="1"/>
  <c r="K20" i="16"/>
  <c r="K10" i="16"/>
  <c r="J11" i="16"/>
  <c r="K4" i="16"/>
  <c r="J7" i="16"/>
  <c r="J13" i="16"/>
  <c r="J21" i="16"/>
  <c r="K15" i="16"/>
  <c r="K8" i="16"/>
  <c r="G17" i="16"/>
  <c r="K17" i="16" s="1"/>
  <c r="J9" i="16"/>
  <c r="K21" i="16" l="1"/>
  <c r="N21" i="16"/>
  <c r="K11" i="16"/>
  <c r="N11" i="16"/>
  <c r="K13" i="16"/>
  <c r="N13" i="16"/>
  <c r="K7" i="16"/>
  <c r="N7" i="16"/>
  <c r="K6" i="16"/>
  <c r="N6" i="16"/>
  <c r="K9" i="16"/>
  <c r="N9" i="16"/>
  <c r="G33" i="16"/>
  <c r="K33" i="16" s="1"/>
  <c r="G34" i="16"/>
  <c r="K34" i="16" s="1"/>
  <c r="K31" i="16"/>
  <c r="K25" i="16"/>
  <c r="K14" i="16"/>
  <c r="G57" i="16"/>
  <c r="K57" i="16" s="1"/>
  <c r="G56" i="16"/>
  <c r="K56" i="16" s="1"/>
  <c r="G55" i="16"/>
  <c r="K55" i="16" s="1"/>
  <c r="G43" i="16"/>
  <c r="K43" i="16" s="1"/>
  <c r="G36" i="16"/>
  <c r="K36" i="16" s="1"/>
  <c r="G37" i="16"/>
  <c r="G38" i="16" s="1"/>
  <c r="K23" i="16"/>
  <c r="K16" i="16"/>
  <c r="E61" i="16"/>
  <c r="G51" i="16"/>
  <c r="G54" i="16" s="1"/>
  <c r="K35" i="16"/>
  <c r="G44" i="16" l="1"/>
  <c r="G45" i="16"/>
  <c r="G46" i="16" s="1"/>
  <c r="K37" i="16"/>
  <c r="K38" i="16"/>
  <c r="K39" i="16"/>
  <c r="G50" i="16"/>
  <c r="G49" i="16"/>
  <c r="K47" i="16"/>
  <c r="G52" i="16"/>
  <c r="K51" i="16"/>
  <c r="K49" i="16" l="1"/>
  <c r="K48" i="16"/>
  <c r="G53" i="16"/>
  <c r="K52" i="16"/>
  <c r="K50" i="16"/>
  <c r="K45" i="16"/>
  <c r="K44" i="16"/>
  <c r="K46" i="16"/>
  <c r="K53" i="16" l="1"/>
  <c r="K54" i="16" l="1"/>
  <c r="E62" i="16" s="1"/>
  <c r="E64" i="16" l="1"/>
  <c r="J89" i="5" l="1"/>
  <c r="K89" i="5" s="1"/>
  <c r="L89" i="5" s="1"/>
  <c r="M89" i="5" s="1"/>
  <c r="N89" i="5" s="1"/>
  <c r="O89" i="5" s="1"/>
  <c r="E89" i="5"/>
  <c r="F89" i="5" s="1"/>
  <c r="G89" i="5" s="1"/>
  <c r="H89" i="5" s="1"/>
  <c r="D79" i="5"/>
  <c r="D80" i="5" s="1"/>
  <c r="O77" i="5"/>
  <c r="O76" i="5"/>
  <c r="O75" i="5"/>
  <c r="O74" i="5"/>
  <c r="O73" i="5"/>
  <c r="O72" i="5"/>
  <c r="O71" i="5"/>
  <c r="O70" i="5"/>
  <c r="O64" i="5"/>
  <c r="O63" i="5"/>
  <c r="O62" i="5"/>
  <c r="O61" i="5"/>
  <c r="O60" i="5"/>
  <c r="O59" i="5"/>
  <c r="O58" i="5"/>
  <c r="H55" i="5"/>
  <c r="J55" i="5" s="1"/>
  <c r="P55" i="5" s="1"/>
  <c r="H54" i="5"/>
  <c r="J54" i="5" s="1"/>
  <c r="H53" i="5"/>
  <c r="J53" i="5" s="1"/>
  <c r="P53" i="5" s="1"/>
  <c r="F53" i="5"/>
  <c r="E49" i="5"/>
  <c r="E52" i="5" s="1"/>
  <c r="H52" i="5" s="1"/>
  <c r="J52" i="5" s="1"/>
  <c r="E44" i="5"/>
  <c r="E45" i="5" s="1"/>
  <c r="H45" i="5" s="1"/>
  <c r="J45" i="5" s="1"/>
  <c r="H43" i="5"/>
  <c r="J43" i="5" s="1"/>
  <c r="P43" i="5" s="1"/>
  <c r="E38" i="5"/>
  <c r="H38" i="5" s="1"/>
  <c r="J38" i="5" s="1"/>
  <c r="E37" i="5"/>
  <c r="E41" i="5" s="1"/>
  <c r="H36" i="5"/>
  <c r="J36" i="5" s="1"/>
  <c r="P36" i="5" s="1"/>
  <c r="O34" i="5"/>
  <c r="H34" i="5"/>
  <c r="J34" i="5"/>
  <c r="K34" i="5" s="1"/>
  <c r="O33" i="5"/>
  <c r="H33" i="5"/>
  <c r="J33" i="5" s="1"/>
  <c r="P33" i="5" s="1"/>
  <c r="O32" i="5"/>
  <c r="H32" i="5"/>
  <c r="J32" i="5" s="1"/>
  <c r="K32" i="5" s="1"/>
  <c r="O31" i="5"/>
  <c r="H31" i="5"/>
  <c r="J31" i="5" s="1"/>
  <c r="K31" i="5" s="1"/>
  <c r="H30" i="5"/>
  <c r="J30" i="5" s="1"/>
  <c r="F30" i="5"/>
  <c r="O30" i="5" s="1"/>
  <c r="H29" i="5"/>
  <c r="J29" i="5" s="1"/>
  <c r="F29" i="5"/>
  <c r="O29" i="5" s="1"/>
  <c r="O28" i="5"/>
  <c r="H28" i="5"/>
  <c r="J28" i="5" s="1"/>
  <c r="O27" i="5"/>
  <c r="H27" i="5"/>
  <c r="J27" i="5" s="1"/>
  <c r="K27" i="5" s="1"/>
  <c r="O26" i="5"/>
  <c r="H26" i="5"/>
  <c r="J26" i="5"/>
  <c r="K26" i="5" s="1"/>
  <c r="O25" i="5"/>
  <c r="O24" i="5"/>
  <c r="E24" i="5"/>
  <c r="E42" i="5" s="1"/>
  <c r="O23" i="5"/>
  <c r="H23" i="5"/>
  <c r="J23" i="5" s="1"/>
  <c r="K23" i="5" s="1"/>
  <c r="O22" i="5"/>
  <c r="H22" i="5"/>
  <c r="J22" i="5" s="1"/>
  <c r="O21" i="5"/>
  <c r="H21" i="5"/>
  <c r="J21" i="5"/>
  <c r="P21" i="5" s="1"/>
  <c r="O19" i="5"/>
  <c r="H19" i="5"/>
  <c r="J19" i="5" s="1"/>
  <c r="O18" i="5"/>
  <c r="H16" i="5"/>
  <c r="J16" i="5" s="1"/>
  <c r="H14" i="5"/>
  <c r="J14" i="5" s="1"/>
  <c r="H13" i="5"/>
  <c r="J13" i="5"/>
  <c r="P13" i="5" s="1"/>
  <c r="H12" i="5"/>
  <c r="J12" i="5" s="1"/>
  <c r="H11" i="5"/>
  <c r="J11" i="5"/>
  <c r="K11" i="5" s="1"/>
  <c r="H10" i="5"/>
  <c r="J10" i="5" s="1"/>
  <c r="O9" i="5"/>
  <c r="H9" i="5"/>
  <c r="J9" i="5" s="1"/>
  <c r="O8" i="5"/>
  <c r="H8" i="5"/>
  <c r="J8" i="5" s="1"/>
  <c r="K8" i="5" s="1"/>
  <c r="H7" i="5"/>
  <c r="J7" i="5" s="1"/>
  <c r="P7" i="5" s="1"/>
  <c r="H6" i="5"/>
  <c r="J6" i="5" s="1"/>
  <c r="K6" i="5" s="1"/>
  <c r="O5" i="5"/>
  <c r="O6" i="5" s="1"/>
  <c r="H5" i="5"/>
  <c r="J5" i="5" s="1"/>
  <c r="K5" i="5" s="1"/>
  <c r="H4" i="5"/>
  <c r="J4" i="5" s="1"/>
  <c r="H1" i="5"/>
  <c r="H68" i="5" s="1"/>
  <c r="J68" i="5" s="1"/>
  <c r="E29" i="7"/>
  <c r="E28" i="7"/>
  <c r="F28" i="7" s="1"/>
  <c r="H28" i="7" s="1"/>
  <c r="H10" i="7"/>
  <c r="G10" i="7"/>
  <c r="P7" i="7"/>
  <c r="I7" i="7"/>
  <c r="K7" i="7" s="1"/>
  <c r="L7" i="7" s="1"/>
  <c r="M7" i="7" s="1"/>
  <c r="H67" i="5" l="1"/>
  <c r="J67" i="5" s="1"/>
  <c r="H61" i="5"/>
  <c r="J61" i="5" s="1"/>
  <c r="K61" i="5" s="1"/>
  <c r="H58" i="5"/>
  <c r="J58" i="5" s="1"/>
  <c r="K58" i="5" s="1"/>
  <c r="H70" i="5"/>
  <c r="J70" i="5" s="1"/>
  <c r="K70" i="5" s="1"/>
  <c r="H66" i="5"/>
  <c r="J66" i="5" s="1"/>
  <c r="P29" i="5"/>
  <c r="H24" i="5"/>
  <c r="J24" i="5" s="1"/>
  <c r="K24" i="5" s="1"/>
  <c r="H63" i="5"/>
  <c r="J63" i="5" s="1"/>
  <c r="K63" i="5" s="1"/>
  <c r="P11" i="5"/>
  <c r="H65" i="5"/>
  <c r="J65" i="5" s="1"/>
  <c r="K65" i="5" s="1"/>
  <c r="K21" i="5"/>
  <c r="H71" i="5"/>
  <c r="J71" i="5" s="1"/>
  <c r="K71" i="5" s="1"/>
  <c r="H76" i="5"/>
  <c r="J76" i="5" s="1"/>
  <c r="K76" i="5" s="1"/>
  <c r="P30" i="5"/>
  <c r="P70" i="5"/>
  <c r="H72" i="5"/>
  <c r="J72" i="5" s="1"/>
  <c r="P72" i="5" s="1"/>
  <c r="Q7" i="7"/>
  <c r="O7" i="7" s="1"/>
  <c r="E46" i="5"/>
  <c r="H46" i="5" s="1"/>
  <c r="J46" i="5" s="1"/>
  <c r="K46" i="5" s="1"/>
  <c r="H42" i="5"/>
  <c r="J42" i="5" s="1"/>
  <c r="K42" i="5" s="1"/>
  <c r="K12" i="5"/>
  <c r="P12" i="5"/>
  <c r="K16" i="5"/>
  <c r="P16" i="5"/>
  <c r="K29" i="5"/>
  <c r="K30" i="5"/>
  <c r="E50" i="5"/>
  <c r="H50" i="5" s="1"/>
  <c r="J50" i="5" s="1"/>
  <c r="P50" i="5" s="1"/>
  <c r="P6" i="5"/>
  <c r="E25" i="5"/>
  <c r="E17" i="5" s="1"/>
  <c r="H17" i="5" s="1"/>
  <c r="J17" i="5" s="1"/>
  <c r="P17" i="5" s="1"/>
  <c r="F80" i="5"/>
  <c r="E39" i="5"/>
  <c r="H39" i="5" s="1"/>
  <c r="J39" i="5" s="1"/>
  <c r="K39" i="5" s="1"/>
  <c r="K53" i="5"/>
  <c r="K13" i="5"/>
  <c r="E18" i="5"/>
  <c r="H18" i="5" s="1"/>
  <c r="J18" i="5" s="1"/>
  <c r="K7" i="5"/>
  <c r="P26" i="5"/>
  <c r="P5" i="5"/>
  <c r="H37" i="5"/>
  <c r="J37" i="5" s="1"/>
  <c r="K37" i="5" s="1"/>
  <c r="H75" i="5"/>
  <c r="J75" i="5" s="1"/>
  <c r="P75" i="5" s="1"/>
  <c r="P52" i="5"/>
  <c r="K52" i="5"/>
  <c r="P14" i="5"/>
  <c r="K14" i="5"/>
  <c r="P67" i="5"/>
  <c r="K67" i="5"/>
  <c r="P8" i="5"/>
  <c r="K9" i="5"/>
  <c r="P9" i="5"/>
  <c r="K38" i="5"/>
  <c r="P38" i="5"/>
  <c r="K4" i="5"/>
  <c r="P4" i="5"/>
  <c r="P10" i="5"/>
  <c r="K10" i="5"/>
  <c r="P23" i="5"/>
  <c r="P27" i="5"/>
  <c r="P32" i="5"/>
  <c r="P19" i="5"/>
  <c r="K19" i="5"/>
  <c r="K54" i="5"/>
  <c r="P54" i="5"/>
  <c r="R4" i="5"/>
  <c r="K22" i="5"/>
  <c r="P22" i="5"/>
  <c r="H41" i="5"/>
  <c r="J41" i="5" s="1"/>
  <c r="E40" i="5"/>
  <c r="H40" i="5" s="1"/>
  <c r="J40" i="5" s="1"/>
  <c r="P68" i="5"/>
  <c r="K68" i="5"/>
  <c r="P31" i="5"/>
  <c r="P28" i="5"/>
  <c r="K28" i="5"/>
  <c r="P45" i="5"/>
  <c r="K45" i="5"/>
  <c r="P66" i="5"/>
  <c r="K66" i="5"/>
  <c r="P34" i="5"/>
  <c r="K43" i="5"/>
  <c r="K36" i="5"/>
  <c r="H49" i="5"/>
  <c r="J49" i="5" s="1"/>
  <c r="E51" i="5"/>
  <c r="H51" i="5" s="1"/>
  <c r="J51" i="5" s="1"/>
  <c r="H57" i="5"/>
  <c r="J57" i="5" s="1"/>
  <c r="H62" i="5"/>
  <c r="J62" i="5" s="1"/>
  <c r="H69" i="5"/>
  <c r="J69" i="5" s="1"/>
  <c r="H73" i="5"/>
  <c r="J73" i="5" s="1"/>
  <c r="E48" i="5"/>
  <c r="H77" i="5"/>
  <c r="J77" i="5" s="1"/>
  <c r="H74" i="5"/>
  <c r="J74" i="5" s="1"/>
  <c r="H44" i="5"/>
  <c r="J44" i="5" s="1"/>
  <c r="K55" i="5"/>
  <c r="H59" i="5"/>
  <c r="J59" i="5" s="1"/>
  <c r="H64" i="5"/>
  <c r="J64" i="5" s="1"/>
  <c r="K33" i="5"/>
  <c r="H60" i="5"/>
  <c r="J60" i="5" s="1"/>
  <c r="K72" i="5" l="1"/>
  <c r="P65" i="5"/>
  <c r="P24" i="5"/>
  <c r="P58" i="5"/>
  <c r="P63" i="5"/>
  <c r="P61" i="5"/>
  <c r="P76" i="5"/>
  <c r="P71" i="5"/>
  <c r="P46" i="5"/>
  <c r="P37" i="5"/>
  <c r="P42" i="5"/>
  <c r="K75" i="5"/>
  <c r="P39" i="5"/>
  <c r="H25" i="5"/>
  <c r="J25" i="5" s="1"/>
  <c r="K25" i="5" s="1"/>
  <c r="K17" i="5"/>
  <c r="K50" i="5"/>
  <c r="K18" i="5"/>
  <c r="P18" i="5"/>
  <c r="P44" i="5"/>
  <c r="K44" i="5"/>
  <c r="K77" i="5"/>
  <c r="P77" i="5"/>
  <c r="P73" i="5"/>
  <c r="K73" i="5"/>
  <c r="P69" i="5"/>
  <c r="K69" i="5"/>
  <c r="P62" i="5"/>
  <c r="K62" i="5"/>
  <c r="P64" i="5"/>
  <c r="K64" i="5"/>
  <c r="K51" i="5"/>
  <c r="P51" i="5"/>
  <c r="P60" i="5"/>
  <c r="K60" i="5"/>
  <c r="P57" i="5"/>
  <c r="K57" i="5"/>
  <c r="P59" i="5"/>
  <c r="K59" i="5"/>
  <c r="P74" i="5"/>
  <c r="K74" i="5"/>
  <c r="K40" i="5"/>
  <c r="P40" i="5"/>
  <c r="H48" i="5"/>
  <c r="J48" i="5" s="1"/>
  <c r="E47" i="5"/>
  <c r="H47" i="5" s="1"/>
  <c r="J47" i="5" s="1"/>
  <c r="K41" i="5"/>
  <c r="P41" i="5"/>
  <c r="P49" i="5"/>
  <c r="K49" i="5"/>
  <c r="P25" i="5" l="1"/>
  <c r="K47" i="5"/>
  <c r="P47" i="5"/>
  <c r="P48" i="5"/>
  <c r="K48" i="5"/>
  <c r="L48" i="5" s="1"/>
  <c r="L32" i="5"/>
  <c r="L24" i="5"/>
  <c r="L10" i="5"/>
  <c r="L25" i="5"/>
  <c r="L7" i="5"/>
  <c r="L16" i="5"/>
  <c r="L12" i="5"/>
  <c r="D85" i="5" l="1"/>
  <c r="D86" i="5" s="1"/>
  <c r="L49" i="5"/>
  <c r="P78" i="5"/>
  <c r="N70" i="5" s="1"/>
  <c r="L9" i="5"/>
  <c r="L14" i="5"/>
  <c r="L22" i="5"/>
  <c r="D83" i="5"/>
  <c r="N78" i="5"/>
  <c r="N21" i="5"/>
  <c r="N30" i="5"/>
  <c r="N18" i="5"/>
  <c r="N13" i="5"/>
  <c r="N53" i="5"/>
  <c r="N61" i="5"/>
  <c r="N6" i="5"/>
  <c r="N36" i="5"/>
  <c r="N55" i="5"/>
  <c r="N5" i="5"/>
  <c r="N43" i="5"/>
  <c r="N29" i="5"/>
  <c r="N33" i="5"/>
  <c r="N42" i="5"/>
  <c r="N58" i="5"/>
  <c r="N27" i="5"/>
  <c r="N67" i="5"/>
  <c r="N8" i="5"/>
  <c r="N63" i="5"/>
  <c r="N14" i="5"/>
  <c r="N28" i="5"/>
  <c r="N10" i="5"/>
  <c r="N65" i="5"/>
  <c r="N9" i="5"/>
  <c r="N39" i="5"/>
  <c r="N24" i="5"/>
  <c r="N37" i="5"/>
  <c r="N22" i="5"/>
  <c r="N50" i="5"/>
  <c r="N76" i="5"/>
  <c r="N38" i="5"/>
  <c r="N46" i="5"/>
  <c r="N19" i="5"/>
  <c r="N72" i="5"/>
  <c r="N66" i="5"/>
  <c r="N23" i="5"/>
  <c r="N52" i="5"/>
  <c r="N68" i="5"/>
  <c r="N71" i="5"/>
  <c r="N34" i="5"/>
  <c r="N32" i="5"/>
  <c r="N51" i="5"/>
  <c r="N41" i="5"/>
  <c r="N40" i="5"/>
  <c r="N62" i="5"/>
  <c r="N49" i="5"/>
  <c r="N64" i="5"/>
  <c r="N69" i="5"/>
  <c r="N59" i="5"/>
  <c r="N74" i="5"/>
  <c r="N25" i="5"/>
  <c r="L5" i="5"/>
  <c r="L4" i="5"/>
  <c r="L17" i="5"/>
  <c r="L53" i="5"/>
  <c r="L27" i="5"/>
  <c r="L23" i="5"/>
  <c r="L30" i="5"/>
  <c r="L46" i="5"/>
  <c r="L18" i="5"/>
  <c r="L44" i="5"/>
  <c r="L31" i="5"/>
  <c r="L42" i="5"/>
  <c r="L19" i="5"/>
  <c r="L26" i="5"/>
  <c r="N48" i="5"/>
  <c r="K78" i="5"/>
  <c r="L59" i="5" s="1"/>
  <c r="N47" i="5"/>
  <c r="L34" i="5"/>
  <c r="L47" i="5"/>
  <c r="L36" i="5"/>
  <c r="L52" i="5"/>
  <c r="L54" i="5"/>
  <c r="L33" i="5"/>
  <c r="L37" i="5"/>
  <c r="L13" i="5"/>
  <c r="L55" i="5"/>
  <c r="L40" i="5"/>
  <c r="L29" i="5"/>
  <c r="L8" i="5"/>
  <c r="L38" i="5"/>
  <c r="L41" i="5"/>
  <c r="L35" i="5"/>
  <c r="L21" i="5"/>
  <c r="D84" i="5"/>
  <c r="L51" i="5"/>
  <c r="L39" i="5"/>
  <c r="L28" i="5"/>
  <c r="L6" i="5"/>
  <c r="L50" i="5"/>
  <c r="L11" i="5"/>
  <c r="L45" i="5"/>
  <c r="L43" i="5"/>
  <c r="N26" i="5" l="1"/>
  <c r="N77" i="5"/>
  <c r="N45" i="5"/>
  <c r="N16" i="5"/>
  <c r="N44" i="5"/>
  <c r="N4" i="5"/>
  <c r="N7" i="5"/>
  <c r="N73" i="5"/>
  <c r="N31" i="5"/>
  <c r="N11" i="5"/>
  <c r="N60" i="5"/>
  <c r="N17" i="5"/>
  <c r="N12" i="5"/>
  <c r="N57" i="5"/>
  <c r="N54" i="5"/>
  <c r="N75" i="5"/>
  <c r="L61" i="5"/>
  <c r="L72" i="5"/>
  <c r="L57" i="5"/>
  <c r="L71" i="5"/>
  <c r="L74" i="5"/>
  <c r="L75" i="5"/>
  <c r="L62" i="5"/>
  <c r="L63" i="5"/>
  <c r="L69" i="5"/>
  <c r="D81" i="5"/>
  <c r="D82" i="5" s="1"/>
  <c r="L77" i="5"/>
  <c r="L68" i="5"/>
  <c r="L60" i="5"/>
  <c r="L58" i="5"/>
  <c r="L70" i="5"/>
  <c r="L65" i="5"/>
  <c r="L76" i="5"/>
  <c r="L67" i="5"/>
  <c r="L73" i="5"/>
  <c r="L64" i="5"/>
  <c r="L66" i="5"/>
  <c r="F90" i="5"/>
  <c r="F91" i="5" s="1"/>
  <c r="H90" i="5"/>
  <c r="H91" i="5" s="1"/>
  <c r="E90" i="5"/>
  <c r="E91" i="5" s="1"/>
  <c r="N90" i="5"/>
  <c r="N91" i="5" s="1"/>
  <c r="O90" i="5"/>
  <c r="O91" i="5" s="1"/>
  <c r="M90" i="5"/>
  <c r="M91" i="5" s="1"/>
  <c r="K90" i="5"/>
  <c r="K91" i="5" s="1"/>
  <c r="L90" i="5"/>
  <c r="L91" i="5" s="1"/>
  <c r="J90" i="5"/>
  <c r="J91" i="5" s="1"/>
  <c r="D90" i="5"/>
  <c r="D91" i="5" s="1"/>
  <c r="G90" i="5"/>
  <c r="G91" i="5" s="1"/>
  <c r="I90" i="5"/>
  <c r="I91" i="5" s="1"/>
  <c r="L78" i="5" l="1"/>
</calcChain>
</file>

<file path=xl/sharedStrings.xml><?xml version="1.0" encoding="utf-8"?>
<sst xmlns="http://schemas.openxmlformats.org/spreadsheetml/2006/main" count="634" uniqueCount="348">
  <si>
    <t>序号</t>
  </si>
  <si>
    <t>名称</t>
  </si>
  <si>
    <t>规格</t>
  </si>
  <si>
    <t>材质</t>
  </si>
  <si>
    <t>长度(mm)</t>
  </si>
  <si>
    <t>裕量比例</t>
  </si>
  <si>
    <t>备注</t>
  </si>
  <si>
    <t>Q235B</t>
  </si>
  <si>
    <t>Q355B</t>
  </si>
  <si>
    <t>GB/T 96.1</t>
  </si>
  <si>
    <t>GB/T 93</t>
  </si>
  <si>
    <t>六角螺母 M12</t>
  </si>
  <si>
    <t>六角螺母 M8</t>
  </si>
  <si>
    <t>套</t>
  </si>
  <si>
    <t>kg</t>
  </si>
  <si>
    <t>吨/MW</t>
  </si>
  <si>
    <t>单价</t>
  </si>
  <si>
    <t>元/W</t>
  </si>
  <si>
    <t>单套数量</t>
  </si>
  <si>
    <t>GB/T 97.1</t>
  </si>
  <si>
    <t>物料编码</t>
  </si>
  <si>
    <t>材料</t>
  </si>
  <si>
    <t>推杆</t>
  </si>
  <si>
    <t>接地线</t>
  </si>
  <si>
    <t>Φ16-Φ12,8AWG,L=500mm</t>
  </si>
  <si>
    <t>控制箱抱箍-140</t>
  </si>
  <si>
    <t>控制箱固定板</t>
  </si>
  <si>
    <t xml:space="preserve">外六角螺栓 M8x30 </t>
  </si>
  <si>
    <t>GB/T 5783 8,8级</t>
  </si>
  <si>
    <t>外六角螺栓 M8x12</t>
  </si>
  <si>
    <t>平垫圈 8</t>
  </si>
  <si>
    <t>弹簧垫圈 8</t>
  </si>
  <si>
    <t>GB/T93</t>
  </si>
  <si>
    <t>螺母M8</t>
  </si>
  <si>
    <t>塑料&amp;铝合金件</t>
  </si>
  <si>
    <t>140塑料轴承</t>
  </si>
  <si>
    <t>R107x190x142</t>
  </si>
  <si>
    <t>UHMWPE</t>
  </si>
  <si>
    <t>铝合金止动垫片</t>
  </si>
  <si>
    <t>24.5x15x300</t>
  </si>
  <si>
    <t>6005 T5</t>
  </si>
  <si>
    <t>钢结构</t>
  </si>
  <si>
    <t>下压板</t>
  </si>
  <si>
    <t>U46x54x4.0x350</t>
  </si>
  <si>
    <t>斜撑</t>
  </si>
  <si>
    <t>U36x40x2.0x938</t>
  </si>
  <si>
    <t>驱动立柱</t>
  </si>
  <si>
    <t>立柱顶座</t>
  </si>
  <si>
    <t>204x138x8.0x138</t>
  </si>
  <si>
    <t>142x68x8.0x120</t>
  </si>
  <si>
    <t>推杆座</t>
  </si>
  <si>
    <t>轴承挡板</t>
  </si>
  <si>
    <t>40x25x6.0x185</t>
  </si>
  <si>
    <t>方管堵头</t>
  </si>
  <si>
    <t>SCS51D</t>
  </si>
  <si>
    <t>GB/T 6170,8级</t>
  </si>
  <si>
    <t>外六角螺栓 M16x190</t>
  </si>
  <si>
    <t>GB/T 5782,8.8级</t>
  </si>
  <si>
    <t>外六角螺栓 M16x50</t>
  </si>
  <si>
    <t>GB/T 5783,8.8级</t>
  </si>
  <si>
    <t>大垫圈 16</t>
  </si>
  <si>
    <t>平垫圈 16</t>
  </si>
  <si>
    <t>弹簧垫圈 16</t>
  </si>
  <si>
    <t>六角螺母 M16</t>
  </si>
  <si>
    <t>外六角螺栓 M12x180</t>
  </si>
  <si>
    <t>外六角螺栓 M12x70</t>
  </si>
  <si>
    <t>大垫圈 12</t>
  </si>
  <si>
    <t>平垫圈 12</t>
  </si>
  <si>
    <t>弹簧垫圈 12</t>
  </si>
  <si>
    <t>外六角螺栓 M8x20</t>
  </si>
  <si>
    <t>GB/T 91</t>
  </si>
  <si>
    <t>平垫圈8</t>
  </si>
  <si>
    <t>弹簧垫圈8</t>
  </si>
  <si>
    <t>文件名称</t>
  </si>
  <si>
    <t>英文名称</t>
  </si>
  <si>
    <t>单重</t>
  </si>
  <si>
    <t>理论数量</t>
  </si>
  <si>
    <t>总数量</t>
  </si>
  <si>
    <t>总重(吨)</t>
  </si>
  <si>
    <t>重量占比</t>
  </si>
  <si>
    <t>价格（元/KG）</t>
  </si>
  <si>
    <t>价格占比</t>
  </si>
  <si>
    <t>价格合计</t>
  </si>
  <si>
    <t xml:space="preserve"> </t>
  </si>
  <si>
    <t>主梁</t>
  </si>
  <si>
    <t>Torque Tube</t>
  </si>
  <si>
    <t>ST140x2.8x9200</t>
  </si>
  <si>
    <t>热镀锌，锌层平均厚度≥65，局部厚度≥50μm</t>
  </si>
  <si>
    <t>ST140x2.75x9200</t>
  </si>
  <si>
    <t>毛重</t>
  </si>
  <si>
    <t>镀锌重量</t>
  </si>
  <si>
    <t>最终重量</t>
  </si>
  <si>
    <t>总套数</t>
  </si>
  <si>
    <t>数据采集器数量</t>
  </si>
  <si>
    <t>电气部分</t>
  </si>
  <si>
    <t>控制箱</t>
  </si>
  <si>
    <t>电机线1.5米</t>
  </si>
  <si>
    <t>电机线15米</t>
  </si>
  <si>
    <t>142x135x3.0x20</t>
  </si>
  <si>
    <t>U34x27x2.0x200</t>
  </si>
  <si>
    <t>螺母 M8</t>
  </si>
  <si>
    <t>TMM000200</t>
  </si>
  <si>
    <t>套筒</t>
  </si>
  <si>
    <r>
      <rPr>
        <sz val="13"/>
        <color theme="1"/>
        <rFont val="Calibri"/>
        <family val="2"/>
      </rPr>
      <t>φ</t>
    </r>
    <r>
      <rPr>
        <sz val="13"/>
        <color theme="1"/>
        <rFont val="仿宋_GB2312"/>
        <charset val="134"/>
      </rPr>
      <t>36</t>
    </r>
    <r>
      <rPr>
        <sz val="13"/>
        <color theme="1"/>
        <rFont val="Calibri"/>
        <family val="2"/>
      </rPr>
      <t>x</t>
    </r>
    <r>
      <rPr>
        <sz val="13"/>
        <color theme="1"/>
        <rFont val="仿宋_GB2312"/>
        <charset val="134"/>
      </rPr>
      <t>5.0</t>
    </r>
    <r>
      <rPr>
        <sz val="13"/>
        <color theme="1"/>
        <rFont val="Calibri"/>
        <family val="2"/>
      </rPr>
      <t>x</t>
    </r>
    <r>
      <rPr>
        <sz val="13"/>
        <color theme="1"/>
        <rFont val="仿宋_GB2312"/>
        <charset val="134"/>
      </rPr>
      <t>15</t>
    </r>
  </si>
  <si>
    <r>
      <rPr>
        <sz val="13"/>
        <color theme="1"/>
        <rFont val="仿宋_GB2312"/>
        <charset val="134"/>
      </rPr>
      <t>本色阳极氧化,氧化膜平均厚度≥10</t>
    </r>
    <r>
      <rPr>
        <sz val="13"/>
        <color theme="1"/>
        <rFont val="Calibri"/>
        <family val="2"/>
      </rPr>
      <t>μ</t>
    </r>
    <r>
      <rPr>
        <sz val="13"/>
        <color theme="1"/>
        <rFont val="Calibri"/>
        <family val="2"/>
      </rPr>
      <t>m,</t>
    </r>
    <r>
      <rPr>
        <sz val="13"/>
        <color theme="1"/>
        <rFont val="仿宋_GB2312"/>
        <charset val="134"/>
      </rPr>
      <t>局部厚度≥8</t>
    </r>
    <r>
      <rPr>
        <sz val="13"/>
        <color theme="1"/>
        <rFont val="Calibri"/>
        <family val="2"/>
      </rPr>
      <t>μ</t>
    </r>
    <r>
      <rPr>
        <sz val="13"/>
        <color theme="1"/>
        <rFont val="Calibri"/>
        <family val="2"/>
      </rPr>
      <t>m;</t>
    </r>
  </si>
  <si>
    <t>TMM000860</t>
  </si>
  <si>
    <r>
      <rPr>
        <sz val="13"/>
        <color theme="1"/>
        <rFont val="仿宋_GB2312"/>
        <charset val="134"/>
      </rPr>
      <t>轴承座</t>
    </r>
  </si>
  <si>
    <t>R108x255x90</t>
  </si>
  <si>
    <r>
      <rPr>
        <sz val="13"/>
        <color theme="1"/>
        <rFont val="仿宋_GB2312"/>
        <charset val="134"/>
      </rPr>
      <t>热镀锌，锌层平均厚度≥65，局部厚度≥50</t>
    </r>
    <r>
      <rPr>
        <sz val="13"/>
        <color theme="1"/>
        <rFont val="Calibri"/>
        <family val="2"/>
      </rPr>
      <t>μ</t>
    </r>
    <r>
      <rPr>
        <sz val="13"/>
        <color theme="1"/>
        <rFont val="Calibri"/>
        <family val="2"/>
      </rPr>
      <t>m</t>
    </r>
  </si>
  <si>
    <t>主梁抱箍</t>
  </si>
  <si>
    <t>300*142*67*5.0</t>
  </si>
  <si>
    <t>几型檩条</t>
  </si>
  <si>
    <t>29x50x27x1.8x3350</t>
  </si>
  <si>
    <t>唐钢S350GD+ZM</t>
  </si>
  <si>
    <t>材质唐钢S350GD+ZM，表面预镀锌铝镁，镀层双面275g</t>
  </si>
  <si>
    <t>立柱</t>
  </si>
  <si>
    <t>H200x200x4.3x5.2x1860+260x180x10.0</t>
  </si>
  <si>
    <t>H203x102x5.8x6.5x1860+260x180x10.0</t>
  </si>
  <si>
    <t>推杆上臂-左</t>
  </si>
  <si>
    <t>L 600*216*6.0+242*142*120*8.0</t>
  </si>
  <si>
    <t>推杆上臂-右</t>
  </si>
  <si>
    <t>推杆上臂抱箍</t>
  </si>
  <si>
    <t>200x180x12.0+U80x80x10.0x80</t>
  </si>
  <si>
    <t>140x140x30x0.8</t>
  </si>
  <si>
    <t>标准件及其他</t>
  </si>
  <si>
    <t>8.8级</t>
  </si>
  <si>
    <t>热镀锌，平均厚度45um，局部厚度40um</t>
  </si>
  <si>
    <t>机械镀锌，平均厚度45um，局部厚度40um</t>
  </si>
  <si>
    <r>
      <rPr>
        <sz val="13"/>
        <color theme="1"/>
        <rFont val="仿宋_GB2312"/>
        <charset val="134"/>
      </rPr>
      <t>大半圆头方颈螺栓 M12</t>
    </r>
    <r>
      <rPr>
        <sz val="13"/>
        <color theme="1"/>
        <rFont val="Calibri"/>
        <family val="2"/>
      </rPr>
      <t>×</t>
    </r>
    <r>
      <rPr>
        <sz val="13"/>
        <color theme="1"/>
        <rFont val="仿宋_GB2312"/>
        <charset val="134"/>
      </rPr>
      <t>50</t>
    </r>
  </si>
  <si>
    <t>GB/T 14,8.8级</t>
  </si>
  <si>
    <t>不锈钢304</t>
  </si>
  <si>
    <t>销轴 30x100</t>
  </si>
  <si>
    <t>GB/T882</t>
  </si>
  <si>
    <t>销轴 30x250</t>
  </si>
  <si>
    <t>开口销 5x50</t>
  </si>
  <si>
    <t>数据采集器</t>
  </si>
  <si>
    <t>--</t>
  </si>
  <si>
    <t>通讯控制箱固定板</t>
  </si>
  <si>
    <t>40*20*3.0*500</t>
  </si>
  <si>
    <t>热镀锌，平均镀锌厚度≥55um，局部厚度≥45μm</t>
  </si>
  <si>
    <t>通讯控制箱抱箍</t>
  </si>
  <si>
    <t>123*115*3.0*30</t>
  </si>
  <si>
    <t>Q420B</t>
  </si>
  <si>
    <t>风速计地桩</t>
  </si>
  <si>
    <t>C170*100*30*4.0*1500</t>
  </si>
  <si>
    <t>热镀锌，锌层平均厚度≥70μm，局部厚度≥55μm</t>
  </si>
  <si>
    <t>风速计座</t>
  </si>
  <si>
    <t>120*120*4.0*2400+240*240*12.0+135*50*6.0+180*180*10.0</t>
  </si>
  <si>
    <t>热镀锌，锌层平均厚度≥85μm，局部厚度≥70μm</t>
  </si>
  <si>
    <t>风速计杆</t>
  </si>
  <si>
    <t>180*180*10.0+Φ120*6.0+Φ60*3.0*1500+135*50*6.0</t>
  </si>
  <si>
    <t>风速计座连接板</t>
  </si>
  <si>
    <t>110*110*10+240*240*12</t>
  </si>
  <si>
    <t>通讯天线支架</t>
  </si>
  <si>
    <t>40*40*4.0*665+R30*3.5*80*115+R15.5*3.5*60*70</t>
  </si>
  <si>
    <t>本色阳极氧化，平均氧化膜厚度≥10μm，局部氧化膜厚度≥8μm;</t>
  </si>
  <si>
    <t>螺栓M16x50</t>
  </si>
  <si>
    <t>GB/T 5783，8.8级</t>
  </si>
  <si>
    <t>热镀锌，锌层平均厚度≥40，局部厚度≥35μm</t>
  </si>
  <si>
    <t>大垫圈16</t>
  </si>
  <si>
    <t xml:space="preserve">GB/T 96.1 </t>
  </si>
  <si>
    <t>机械镀锌，锌层平均厚度≥40，局部厚度≥35μm</t>
  </si>
  <si>
    <t>平垫圈16</t>
  </si>
  <si>
    <t xml:space="preserve">GB/T 97.1 </t>
  </si>
  <si>
    <t>弹簧垫圈16</t>
  </si>
  <si>
    <t xml:space="preserve">GB/T 93 </t>
  </si>
  <si>
    <t>螺母M16</t>
  </si>
  <si>
    <t>GB/T 6170，8级</t>
  </si>
  <si>
    <t>螺栓M10x50</t>
  </si>
  <si>
    <t>平垫圈10</t>
  </si>
  <si>
    <t>弹簧垫圈10</t>
  </si>
  <si>
    <t>螺母M10</t>
  </si>
  <si>
    <t>螺栓M8x25</t>
  </si>
  <si>
    <t>组件功率</t>
  </si>
  <si>
    <t>W</t>
  </si>
  <si>
    <t>组件数量</t>
  </si>
  <si>
    <t>系统功率</t>
  </si>
  <si>
    <t>MW</t>
  </si>
  <si>
    <t>单套结构件重量(不含控制、电机)</t>
  </si>
  <si>
    <t>MW用钢量</t>
  </si>
  <si>
    <t>运费</t>
  </si>
  <si>
    <t>元/吨</t>
  </si>
  <si>
    <t>钢材部分均价</t>
  </si>
  <si>
    <t>不含运费</t>
  </si>
  <si>
    <t>含运费</t>
  </si>
  <si>
    <t>1拖1</t>
  </si>
  <si>
    <t>1拖2(无计算公式)</t>
  </si>
  <si>
    <t>六角螺母 M12</t>
    <phoneticPr fontId="16" type="noConversion"/>
  </si>
  <si>
    <t>GB/T 93</t>
    <phoneticPr fontId="16" type="noConversion"/>
  </si>
  <si>
    <t>GB/T 6170, 8级</t>
    <phoneticPr fontId="16" type="noConversion"/>
  </si>
  <si>
    <t>弹簧垫圈 10</t>
    <phoneticPr fontId="16" type="noConversion"/>
  </si>
  <si>
    <t>六角螺母 M10</t>
    <phoneticPr fontId="16" type="noConversion"/>
  </si>
  <si>
    <t>弹簧垫圈 12</t>
    <phoneticPr fontId="16" type="noConversion"/>
  </si>
  <si>
    <t>弹簧垫圈 8</t>
    <phoneticPr fontId="16" type="noConversion"/>
  </si>
  <si>
    <t>六角螺母 M8</t>
    <phoneticPr fontId="16" type="noConversion"/>
  </si>
  <si>
    <t>大垫圈 8</t>
    <phoneticPr fontId="15" type="noConversion"/>
  </si>
  <si>
    <t>结构件部分</t>
    <phoneticPr fontId="15" type="noConversion"/>
  </si>
  <si>
    <t>Q235B</t>
    <phoneticPr fontId="15" type="noConversion"/>
  </si>
  <si>
    <t>紧固件部分</t>
    <phoneticPr fontId="15" type="noConversion"/>
  </si>
  <si>
    <t>弹簧垫圈 14</t>
    <phoneticPr fontId="16" type="noConversion"/>
  </si>
  <si>
    <t>六角螺母 M14</t>
    <phoneticPr fontId="16" type="noConversion"/>
  </si>
  <si>
    <t>GB/T 5783, 8.8级</t>
  </si>
  <si>
    <t>GB/T 5782, 8.8级</t>
  </si>
  <si>
    <t>斜梁</t>
    <phoneticPr fontId="15" type="noConversion"/>
  </si>
  <si>
    <t>檩条连接件</t>
    <phoneticPr fontId="15" type="noConversion"/>
  </si>
  <si>
    <t>GB/T 96.1, A2</t>
    <phoneticPr fontId="15" type="noConversion"/>
  </si>
  <si>
    <t>GB/T 93, A2</t>
    <phoneticPr fontId="15" type="noConversion"/>
  </si>
  <si>
    <t>GB/T 6170, A2-70</t>
    <phoneticPr fontId="15" type="noConversion"/>
  </si>
  <si>
    <t>SUS304</t>
    <phoneticPr fontId="15" type="noConversion"/>
  </si>
  <si>
    <t>组件安装</t>
    <phoneticPr fontId="15" type="noConversion"/>
  </si>
  <si>
    <t>外六角螺栓 M10x30</t>
    <phoneticPr fontId="16" type="noConversion"/>
  </si>
  <si>
    <t>KW</t>
  </si>
  <si>
    <t>T/MW</t>
  </si>
  <si>
    <t>Q355B</t>
    <phoneticPr fontId="15" type="noConversion"/>
  </si>
  <si>
    <t>∠90x56x6.0-50</t>
    <phoneticPr fontId="15" type="noConversion"/>
  </si>
  <si>
    <t>檩托</t>
    <phoneticPr fontId="15" type="noConversion"/>
  </si>
  <si>
    <t>撑杆</t>
    <phoneticPr fontId="15" type="noConversion"/>
  </si>
  <si>
    <t>机械镀锌，锌层平均厚度≥55um，局部厚度≥45um</t>
  </si>
  <si>
    <t>热镀锌，锌层平均厚度≥55um，局部厚度≥45um</t>
  </si>
  <si>
    <t>外六角螺栓 M12x35</t>
    <phoneticPr fontId="16" type="noConversion"/>
  </si>
  <si>
    <t>GB/T 5783, 8.8级</t>
    <phoneticPr fontId="15" type="noConversion"/>
  </si>
  <si>
    <t>GB/T 5783, 8.8级</t>
    <phoneticPr fontId="16" type="noConversion"/>
  </si>
  <si>
    <t>檩条连接件，檩托与斜梁、檩条</t>
    <phoneticPr fontId="15" type="noConversion"/>
  </si>
  <si>
    <t>组件功率</t>
    <phoneticPr fontId="15" type="noConversion"/>
  </si>
  <si>
    <t>排列</t>
    <phoneticPr fontId="15" type="noConversion"/>
  </si>
  <si>
    <t>单套功率</t>
    <phoneticPr fontId="15" type="noConversion"/>
  </si>
  <si>
    <t>单套总重</t>
    <phoneticPr fontId="15" type="noConversion"/>
  </si>
  <si>
    <t>MW吨重</t>
    <phoneticPr fontId="15" type="noConversion"/>
  </si>
  <si>
    <t>组件垫板</t>
    <phoneticPr fontId="15" type="noConversion"/>
  </si>
  <si>
    <t>40x18x2.0</t>
    <phoneticPr fontId="15" type="noConversion"/>
  </si>
  <si>
    <t>檩条1</t>
    <phoneticPr fontId="15" type="noConversion"/>
  </si>
  <si>
    <t>檩条2</t>
    <phoneticPr fontId="15" type="noConversion"/>
  </si>
  <si>
    <t xml:space="preserve">单套数量2x14    </t>
    <phoneticPr fontId="15" type="noConversion"/>
  </si>
  <si>
    <t>立柱</t>
    <phoneticPr fontId="15" type="noConversion"/>
  </si>
  <si>
    <t>φ159x3.5-2342</t>
    <phoneticPr fontId="15" type="noConversion"/>
  </si>
  <si>
    <t>Q390B</t>
    <phoneticPr fontId="15" type="noConversion"/>
  </si>
  <si>
    <t>前斜撑</t>
    <phoneticPr fontId="15" type="noConversion"/>
  </si>
  <si>
    <t>后斜撑</t>
    <phoneticPr fontId="15" type="noConversion"/>
  </si>
  <si>
    <t>C100x50x20x2.0-7340</t>
    <phoneticPr fontId="15" type="noConversion"/>
  </si>
  <si>
    <t>C100x50x20x2.0-9000</t>
    <phoneticPr fontId="15" type="noConversion"/>
  </si>
  <si>
    <t>斜梁拉杆</t>
    <phoneticPr fontId="15" type="noConversion"/>
  </si>
  <si>
    <t>M8-4900</t>
    <phoneticPr fontId="15" type="noConversion"/>
  </si>
  <si>
    <t>拉杆封头</t>
    <phoneticPr fontId="15" type="noConversion"/>
  </si>
  <si>
    <t>L50x40x3.5-50</t>
    <phoneticPr fontId="15" type="noConversion"/>
  </si>
  <si>
    <t>C108x60x20x3.0-400</t>
    <phoneticPr fontId="15" type="noConversion"/>
  </si>
  <si>
    <t>斜拉条1</t>
    <phoneticPr fontId="15" type="noConversion"/>
  </si>
  <si>
    <t>M8-2600</t>
    <phoneticPr fontId="15" type="noConversion"/>
  </si>
  <si>
    <t>斜拉条2</t>
    <phoneticPr fontId="15" type="noConversion"/>
  </si>
  <si>
    <t>M8-1900</t>
    <phoneticPr fontId="15" type="noConversion"/>
  </si>
  <si>
    <t>拉条1</t>
    <phoneticPr fontId="15" type="noConversion"/>
  </si>
  <si>
    <t>M8-1500</t>
    <phoneticPr fontId="15" type="noConversion"/>
  </si>
  <si>
    <t>拉条2</t>
    <phoneticPr fontId="15" type="noConversion"/>
  </si>
  <si>
    <t>M8-1000</t>
    <phoneticPr fontId="15" type="noConversion"/>
  </si>
  <si>
    <t>φ25x2.0-1400</t>
    <phoneticPr fontId="15" type="noConversion"/>
  </si>
  <si>
    <t>80x6.0-459</t>
    <phoneticPr fontId="15" type="noConversion"/>
  </si>
  <si>
    <t>80x6.0-299</t>
    <phoneticPr fontId="15" type="noConversion"/>
  </si>
  <si>
    <t>铰连接件</t>
    <phoneticPr fontId="15" type="noConversion"/>
  </si>
  <si>
    <t>立柱拉杆</t>
    <phoneticPr fontId="15" type="noConversion"/>
  </si>
  <si>
    <t>M12-4800</t>
    <phoneticPr fontId="15" type="noConversion"/>
  </si>
  <si>
    <t>立柱拉杆连接件</t>
    <phoneticPr fontId="15" type="noConversion"/>
  </si>
  <si>
    <t>L75x50x5.0-50</t>
    <phoneticPr fontId="15" type="noConversion"/>
  </si>
  <si>
    <t>立柱拉杆抱箍1</t>
    <phoneticPr fontId="15" type="noConversion"/>
  </si>
  <si>
    <t>立柱拉杆抱箍2</t>
    <phoneticPr fontId="15" type="noConversion"/>
  </si>
  <si>
    <t>弹簧垫圈 16</t>
    <phoneticPr fontId="16" type="noConversion"/>
  </si>
  <si>
    <t>六角螺母 M16</t>
    <phoneticPr fontId="16" type="noConversion"/>
  </si>
  <si>
    <t>大垫圈 16</t>
    <phoneticPr fontId="16" type="noConversion"/>
  </si>
  <si>
    <t>GB/T 96.1</t>
    <phoneticPr fontId="16" type="noConversion"/>
  </si>
  <si>
    <t>外六角螺栓 M16x155</t>
    <phoneticPr fontId="16" type="noConversion"/>
  </si>
  <si>
    <t>立柱与铰连接件</t>
    <phoneticPr fontId="15" type="noConversion"/>
  </si>
  <si>
    <t>斜撑抱箍1</t>
    <phoneticPr fontId="15" type="noConversion"/>
  </si>
  <si>
    <t>斜撑抱箍2</t>
    <phoneticPr fontId="15" type="noConversion"/>
  </si>
  <si>
    <t>外六角螺栓 M14x65</t>
    <phoneticPr fontId="16" type="noConversion"/>
  </si>
  <si>
    <t>斜撑抱箍锁紧，斜撑与斜梁、斜撑抱箍</t>
    <phoneticPr fontId="15" type="noConversion"/>
  </si>
  <si>
    <t>大垫圈 14</t>
    <phoneticPr fontId="16" type="noConversion"/>
  </si>
  <si>
    <t>外六角螺栓 M12x60</t>
    <phoneticPr fontId="16" type="noConversion"/>
  </si>
  <si>
    <t>立柱拉杆抱箍锁紧</t>
    <phoneticPr fontId="15" type="noConversion"/>
  </si>
  <si>
    <t>铰连接件与斜梁，立柱拉杆抱箍与立柱拉杆</t>
    <phoneticPr fontId="15" type="noConversion"/>
  </si>
  <si>
    <t>大垫圈 12</t>
    <phoneticPr fontId="16" type="noConversion"/>
  </si>
  <si>
    <t>大垫圈 10</t>
    <phoneticPr fontId="16" type="noConversion"/>
  </si>
  <si>
    <t>GB/T 5783, A2-70</t>
    <phoneticPr fontId="16" type="noConversion"/>
  </si>
  <si>
    <t>2x14</t>
    <phoneticPr fontId="15" type="noConversion"/>
  </si>
  <si>
    <t>外六角螺栓 M8x25</t>
    <phoneticPr fontId="15" type="noConversion"/>
  </si>
  <si>
    <t>GB/T 96.1</t>
    <phoneticPr fontId="15" type="noConversion"/>
  </si>
  <si>
    <t>GB/T 93</t>
    <phoneticPr fontId="15" type="noConversion"/>
  </si>
  <si>
    <t>GB/T 6170, 8级</t>
    <phoneticPr fontId="15" type="noConversion"/>
  </si>
  <si>
    <t>M8拉杆连接</t>
    <phoneticPr fontId="15" type="noConversion"/>
  </si>
  <si>
    <t>40x40x2.5+C50x40x15x2.0-1559</t>
    <phoneticPr fontId="15" type="noConversion"/>
  </si>
  <si>
    <t>40x40x2.5+C60x50x15x2.0-2222</t>
    <phoneticPr fontId="15" type="noConversion"/>
  </si>
  <si>
    <t>C120x130x5.0-160</t>
    <phoneticPr fontId="15" type="noConversion"/>
  </si>
  <si>
    <t>50x4.0-344</t>
    <phoneticPr fontId="15" type="noConversion"/>
  </si>
  <si>
    <t>50x4.0-279</t>
    <phoneticPr fontId="15" type="noConversion"/>
  </si>
  <si>
    <t>零件分类</t>
  </si>
  <si>
    <t>圆管</t>
  </si>
  <si>
    <t>C型钢</t>
  </si>
  <si>
    <t>拉杆</t>
  </si>
  <si>
    <t>角钢</t>
  </si>
  <si>
    <t>折弯槽钢</t>
  </si>
  <si>
    <t>圆柱抱箍</t>
  </si>
  <si>
    <t>折弯角钢</t>
  </si>
  <si>
    <t>紧固件</t>
  </si>
  <si>
    <t>平板</t>
  </si>
  <si>
    <t>槽钢</t>
  </si>
  <si>
    <t>理论米重Kg/m</t>
  </si>
  <si>
    <t>理论单重(kg)</t>
  </si>
  <si>
    <t>成品壁厚偏差</t>
  </si>
  <si>
    <t>理论单套重量 kg</t>
  </si>
  <si>
    <t>实际米重Kg/m</t>
  </si>
  <si>
    <t>实际单重kg</t>
  </si>
  <si>
    <t>实际单套重量kg</t>
  </si>
  <si>
    <t>生成BOM-理论重量</t>
  </si>
  <si>
    <t>生成BOM-实际重量</t>
  </si>
  <si>
    <t>生成带价格BOM-理论重量</t>
  </si>
  <si>
    <t>生成带价格BOM-实际重量</t>
  </si>
  <si>
    <t>吨价</t>
  </si>
  <si>
    <t>总价</t>
  </si>
  <si>
    <t>表面处理</t>
  </si>
  <si>
    <t>AA10</t>
  </si>
  <si>
    <t>AA15</t>
  </si>
  <si>
    <t>AA20</t>
  </si>
  <si>
    <t>AA25</t>
  </si>
  <si>
    <t>热镀锌平均厚度65um, 最小厚度55um</t>
  </si>
  <si>
    <t>热镀锌平均厚度70um, 最小厚度55um</t>
  </si>
  <si>
    <t>热镀锌平均厚度85um, 最小厚度70um</t>
  </si>
  <si>
    <t>镀锌铝镁275g</t>
  </si>
  <si>
    <t>镀锌铝镁310g</t>
  </si>
  <si>
    <t>镀锌铝镁350g</t>
  </si>
  <si>
    <t>热镀锌平均厚度55um, 最小厚度45um</t>
  </si>
  <si>
    <t>理论值</t>
  </si>
  <si>
    <t>实际值</t>
  </si>
  <si>
    <t>总价格</t>
  </si>
  <si>
    <t>元</t>
  </si>
  <si>
    <t>W价</t>
  </si>
  <si>
    <t>镀锌铝镁400g</t>
  </si>
  <si>
    <t>机械镀锌平均厚度55, 最小厚度45um</t>
  </si>
  <si>
    <t>150x40x2.5+C80x50x15x2.0-3950</t>
  </si>
  <si>
    <t>零件种类</t>
  </si>
  <si>
    <t>矩形管</t>
  </si>
  <si>
    <t>U型钢</t>
  </si>
  <si>
    <t>几字形钢</t>
  </si>
  <si>
    <t>圆管抱箍</t>
  </si>
  <si>
    <t>矩形管抱箍</t>
  </si>
  <si>
    <t>矩形抱箍</t>
  </si>
  <si>
    <t>热轧槽钢</t>
  </si>
  <si>
    <t>热轧H型钢</t>
  </si>
  <si>
    <t>公差</t>
  </si>
  <si>
    <t>梯形件</t>
  </si>
  <si>
    <t>三角形</t>
  </si>
  <si>
    <t>异形件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</si>
</sst>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0.0_);[Red]\(0.0\)"/>
    <numFmt numFmtId="177" formatCode="[$$-409]#,##0.00"/>
    <numFmt numFmtId="178" formatCode="\¥#,##0;\¥\-#,##0"/>
    <numFmt numFmtId="179" formatCode="0.00_);[Red]\(0.00\)"/>
    <numFmt numFmtId="180" formatCode="\¥#,##0.0;\¥\-#,##0.0"/>
    <numFmt numFmtId="181" formatCode="0_);[Red]\(0\)"/>
    <numFmt numFmtId="182" formatCode="0.000_);[Red]\(0.000\)"/>
    <numFmt numFmtId="183" formatCode="\¥#,##0.00;\¥\-#,##0.00"/>
    <numFmt numFmtId="184" formatCode="0.000_ "/>
    <numFmt numFmtId="185" formatCode="\¥#,##0.000;\¥\-#,##0.000"/>
    <numFmt numFmtId="186" formatCode="0.0000_);[Red]\(0.0000\)"/>
    <numFmt numFmtId="187" formatCode="0.0"/>
    <numFmt numFmtId="188" formatCode="0.000"/>
    <numFmt numFmtId="189" formatCode="0.0000"/>
    <numFmt numFmtId="190" formatCode="0.00_ "/>
  </numFmts>
  <fonts count="23">
    <font>
      <sz val="11"/>
      <color theme="1"/>
      <name val="等线"/>
      <charset val="134"/>
      <scheme val="minor"/>
    </font>
    <font>
      <sz val="13"/>
      <color theme="1"/>
      <name val="仿宋_GB2312"/>
      <charset val="134"/>
    </font>
    <font>
      <sz val="13"/>
      <color theme="1"/>
      <name val="Calibri"/>
      <family val="2"/>
    </font>
    <font>
      <sz val="13"/>
      <name val="仿宋_GB2312"/>
      <charset val="134"/>
    </font>
    <font>
      <sz val="13"/>
      <color theme="1"/>
      <name val="仿宋_GB2312"/>
      <charset val="134"/>
    </font>
    <font>
      <b/>
      <sz val="13"/>
      <color theme="1"/>
      <name val="仿宋_GB2312"/>
      <charset val="134"/>
    </font>
    <font>
      <sz val="12"/>
      <name val="等线"/>
      <family val="3"/>
      <charset val="134"/>
      <scheme val="minor"/>
    </font>
    <font>
      <sz val="13"/>
      <color rgb="FF000000"/>
      <name val="仿宋_GB2312"/>
      <charset val="134"/>
    </font>
    <font>
      <sz val="13"/>
      <color rgb="FF3F3F76"/>
      <name val="仿宋_GB2312"/>
      <charset val="134"/>
    </font>
    <font>
      <sz val="12"/>
      <color theme="1"/>
      <name val="等线"/>
      <family val="3"/>
      <charset val="134"/>
      <scheme val="minor"/>
    </font>
    <font>
      <sz val="13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rgb="FF3F3F7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 Light"/>
      <family val="3"/>
      <charset val="134"/>
    </font>
    <font>
      <sz val="14"/>
      <name val="等线 Light"/>
      <family val="3"/>
      <charset val="134"/>
    </font>
    <font>
      <b/>
      <sz val="14"/>
      <color theme="1"/>
      <name val="等线 Light"/>
      <family val="3"/>
      <charset val="134"/>
    </font>
    <font>
      <b/>
      <sz val="11"/>
      <color theme="1"/>
      <name val="等线 Light"/>
      <family val="3"/>
      <charset val="134"/>
    </font>
    <font>
      <sz val="11"/>
      <color theme="1"/>
      <name val="等线 Light"/>
      <family val="3"/>
      <charset val="134"/>
    </font>
    <font>
      <sz val="6"/>
      <color rgb="FF333333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3" fillId="6" borderId="14" applyNumberFormat="0" applyAlignment="0" applyProtection="0">
      <alignment vertical="center"/>
    </xf>
    <xf numFmtId="0" fontId="12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177" fontId="14" fillId="0" borderId="0"/>
    <xf numFmtId="177" fontId="14" fillId="0" borderId="0">
      <alignment vertical="center"/>
    </xf>
    <xf numFmtId="0" fontId="12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9" fontId="1" fillId="2" borderId="0" xfId="0" applyNumberFormat="1" applyFont="1" applyFill="1" applyAlignment="1">
      <alignment horizontal="center" vertical="center" wrapText="1"/>
    </xf>
    <xf numFmtId="10" fontId="1" fillId="2" borderId="0" xfId="3" applyNumberFormat="1" applyFont="1" applyFill="1" applyAlignment="1">
      <alignment vertical="center" wrapText="1"/>
    </xf>
    <xf numFmtId="180" fontId="1" fillId="2" borderId="0" xfId="0" applyNumberFormat="1" applyFont="1" applyFill="1" applyAlignment="1">
      <alignment horizontal="center" vertical="center" wrapText="1"/>
    </xf>
    <xf numFmtId="18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9" fontId="6" fillId="2" borderId="1" xfId="0" applyNumberFormat="1" applyFont="1" applyFill="1" applyBorder="1" applyAlignment="1">
      <alignment horizontal="left" vertical="center"/>
    </xf>
    <xf numFmtId="177" fontId="6" fillId="2" borderId="1" xfId="7" applyFont="1" applyFill="1" applyBorder="1" applyAlignment="1">
      <alignment horizontal="left" vertical="center"/>
    </xf>
    <xf numFmtId="177" fontId="6" fillId="2" borderId="1" xfId="7" applyFont="1" applyFill="1" applyBorder="1" applyAlignment="1">
      <alignment horizontal="left" vertical="center" wrapText="1"/>
    </xf>
    <xf numFmtId="177" fontId="6" fillId="2" borderId="1" xfId="7" applyFont="1" applyFill="1" applyBorder="1" applyAlignment="1">
      <alignment vertical="center" wrapText="1"/>
    </xf>
    <xf numFmtId="179" fontId="6" fillId="2" borderId="1" xfId="7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0" fontId="1" fillId="2" borderId="1" xfId="3" applyNumberFormat="1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vertical="center" wrapText="1"/>
    </xf>
    <xf numFmtId="179" fontId="1" fillId="2" borderId="1" xfId="0" applyNumberFormat="1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vertical="center" wrapText="1"/>
    </xf>
    <xf numFmtId="181" fontId="1" fillId="2" borderId="1" xfId="0" applyNumberFormat="1" applyFont="1" applyFill="1" applyBorder="1" applyAlignment="1">
      <alignment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10" fontId="1" fillId="2" borderId="1" xfId="3" applyNumberFormat="1" applyFont="1" applyFill="1" applyBorder="1" applyAlignment="1">
      <alignment horizontal="center" vertical="center" wrapText="1"/>
    </xf>
    <xf numFmtId="10" fontId="1" fillId="2" borderId="1" xfId="3" applyNumberFormat="1" applyFont="1" applyFill="1" applyBorder="1" applyAlignment="1">
      <alignment horizontal="left" vertical="center" wrapText="1"/>
    </xf>
    <xf numFmtId="180" fontId="1" fillId="2" borderId="1" xfId="0" applyNumberFormat="1" applyFont="1" applyFill="1" applyBorder="1" applyAlignment="1">
      <alignment horizontal="left" vertical="center" wrapText="1"/>
    </xf>
    <xf numFmtId="181" fontId="1" fillId="2" borderId="1" xfId="0" applyNumberFormat="1" applyFont="1" applyFill="1" applyBorder="1" applyAlignment="1">
      <alignment horizontal="left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9" fontId="1" fillId="2" borderId="1" xfId="3" applyNumberFormat="1" applyFont="1" applyFill="1" applyBorder="1" applyAlignment="1">
      <alignment horizontal="center" vertical="center" wrapText="1"/>
    </xf>
    <xf numFmtId="182" fontId="1" fillId="2" borderId="1" xfId="3" applyNumberFormat="1" applyFont="1" applyFill="1" applyBorder="1" applyAlignment="1">
      <alignment horizontal="center" vertical="center" wrapText="1"/>
    </xf>
    <xf numFmtId="183" fontId="1" fillId="2" borderId="1" xfId="0" applyNumberFormat="1" applyFont="1" applyFill="1" applyBorder="1" applyAlignment="1">
      <alignment horizontal="center" vertical="center" wrapText="1"/>
    </xf>
    <xf numFmtId="184" fontId="7" fillId="4" borderId="1" xfId="3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83" fontId="1" fillId="2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186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77" fontId="6" fillId="2" borderId="1" xfId="8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 wrapText="1"/>
    </xf>
    <xf numFmtId="187" fontId="1" fillId="2" borderId="1" xfId="0" applyNumberFormat="1" applyFont="1" applyFill="1" applyBorder="1" applyAlignment="1">
      <alignment horizontal="left" vertical="center" wrapText="1"/>
    </xf>
    <xf numFmtId="188" fontId="1" fillId="2" borderId="1" xfId="0" applyNumberFormat="1" applyFont="1" applyFill="1" applyBorder="1" applyAlignment="1">
      <alignment horizontal="left" vertical="center" wrapText="1"/>
    </xf>
    <xf numFmtId="189" fontId="8" fillId="2" borderId="1" xfId="1" applyNumberFormat="1" applyFont="1" applyFill="1" applyBorder="1" applyAlignment="1">
      <alignment horizontal="left" vertical="center" wrapText="1"/>
    </xf>
    <xf numFmtId="1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9" fontId="1" fillId="2" borderId="1" xfId="3" applyFont="1" applyFill="1" applyBorder="1" applyAlignment="1">
      <alignment horizontal="center" vertical="center" wrapText="1"/>
    </xf>
    <xf numFmtId="9" fontId="1" fillId="5" borderId="1" xfId="3" applyFont="1" applyFill="1" applyBorder="1" applyAlignment="1">
      <alignment horizontal="center" vertical="center" wrapText="1"/>
    </xf>
    <xf numFmtId="182" fontId="1" fillId="2" borderId="1" xfId="0" applyNumberFormat="1" applyFont="1" applyFill="1" applyBorder="1" applyAlignment="1">
      <alignment horizontal="center" vertical="center" wrapText="1"/>
    </xf>
    <xf numFmtId="182" fontId="1" fillId="5" borderId="1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82" fontId="1" fillId="2" borderId="9" xfId="0" applyNumberFormat="1" applyFont="1" applyFill="1" applyBorder="1" applyAlignment="1">
      <alignment horizontal="center" vertical="center" wrapText="1"/>
    </xf>
    <xf numFmtId="182" fontId="1" fillId="5" borderId="9" xfId="0" applyNumberFormat="1" applyFont="1" applyFill="1" applyBorder="1" applyAlignment="1">
      <alignment horizontal="center" vertical="center" wrapText="1"/>
    </xf>
    <xf numFmtId="186" fontId="1" fillId="2" borderId="1" xfId="0" applyNumberFormat="1" applyFont="1" applyFill="1" applyBorder="1" applyAlignment="1">
      <alignment horizontal="center" vertical="center" wrapText="1"/>
    </xf>
    <xf numFmtId="176" fontId="1" fillId="2" borderId="1" xfId="3" applyNumberFormat="1" applyFont="1" applyFill="1" applyBorder="1" applyAlignment="1">
      <alignment horizontal="center" vertical="center" wrapText="1"/>
    </xf>
    <xf numFmtId="9" fontId="1" fillId="2" borderId="11" xfId="3" applyFont="1" applyFill="1" applyBorder="1" applyAlignment="1">
      <alignment horizontal="center" vertical="center" wrapText="1"/>
    </xf>
    <xf numFmtId="182" fontId="1" fillId="2" borderId="11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182" fontId="1" fillId="2" borderId="12" xfId="0" applyNumberFormat="1" applyFont="1" applyFill="1" applyBorder="1" applyAlignment="1">
      <alignment horizontal="center" vertical="center" wrapText="1"/>
    </xf>
    <xf numFmtId="10" fontId="1" fillId="2" borderId="0" xfId="3" applyNumberFormat="1" applyFont="1" applyFill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0" fontId="0" fillId="0" borderId="1" xfId="3" applyNumberFormat="1" applyFont="1" applyBorder="1">
      <alignment vertical="center"/>
    </xf>
    <xf numFmtId="176" fontId="10" fillId="0" borderId="1" xfId="0" applyNumberFormat="1" applyFont="1" applyBorder="1" applyAlignment="1">
      <alignment vertical="center" wrapText="1"/>
    </xf>
    <xf numFmtId="179" fontId="10" fillId="0" borderId="1" xfId="0" applyNumberFormat="1" applyFont="1" applyBorder="1" applyAlignment="1">
      <alignment vertical="center" wrapText="1"/>
    </xf>
    <xf numFmtId="10" fontId="10" fillId="0" borderId="1" xfId="3" applyNumberFormat="1" applyFont="1" applyFill="1" applyBorder="1" applyAlignment="1">
      <alignment vertical="center" wrapText="1"/>
    </xf>
    <xf numFmtId="180" fontId="10" fillId="0" borderId="1" xfId="0" applyNumberFormat="1" applyFont="1" applyBorder="1" applyAlignment="1">
      <alignment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0" fontId="10" fillId="2" borderId="1" xfId="3" applyNumberFormat="1" applyFont="1" applyFill="1" applyBorder="1" applyAlignment="1">
      <alignment horizontal="center" vertical="center" wrapText="1"/>
    </xf>
    <xf numFmtId="179" fontId="10" fillId="2" borderId="1" xfId="3" applyNumberFormat="1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181" fontId="10" fillId="0" borderId="1" xfId="0" applyNumberFormat="1" applyFont="1" applyBorder="1" applyAlignment="1">
      <alignment vertical="center" wrapText="1"/>
    </xf>
    <xf numFmtId="181" fontId="10" fillId="2" borderId="1" xfId="0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vertical="center" wrapText="1"/>
    </xf>
    <xf numFmtId="181" fontId="1" fillId="2" borderId="1" xfId="3" quotePrefix="1" applyNumberFormat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84" fontId="17" fillId="0" borderId="13" xfId="0" applyNumberFormat="1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13" xfId="0" applyFont="1" applyBorder="1" applyAlignment="1">
      <alignment horizontal="left" vertical="center"/>
    </xf>
    <xf numFmtId="0" fontId="17" fillId="3" borderId="0" xfId="0" applyFont="1" applyFill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2" fontId="17" fillId="5" borderId="1" xfId="0" applyNumberFormat="1" applyFont="1" applyFill="1" applyBorder="1" applyAlignment="1">
      <alignment horizontal="center" vertical="center"/>
    </xf>
    <xf numFmtId="188" fontId="17" fillId="0" borderId="1" xfId="8" applyNumberFormat="1" applyFont="1" applyBorder="1" applyAlignment="1">
      <alignment horizontal="center" vertical="center" wrapText="1"/>
    </xf>
    <xf numFmtId="190" fontId="19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8" fontId="17" fillId="5" borderId="1" xfId="8" applyNumberFormat="1" applyFont="1" applyFill="1" applyBorder="1" applyAlignment="1">
      <alignment horizontal="center" vertical="center" wrapText="1"/>
    </xf>
    <xf numFmtId="190" fontId="17" fillId="0" borderId="1" xfId="0" applyNumberFormat="1" applyFont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1" fillId="2" borderId="0" xfId="0" applyFont="1" applyFill="1">
      <alignment vertical="center"/>
    </xf>
    <xf numFmtId="0" fontId="21" fillId="2" borderId="1" xfId="0" applyFont="1" applyFill="1" applyBorder="1">
      <alignment vertical="center"/>
    </xf>
    <xf numFmtId="0" fontId="21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90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0">
    <cellStyle name="百分比" xfId="3" builtinId="5"/>
    <cellStyle name="常规" xfId="0" builtinId="0"/>
    <cellStyle name="常规 10" xfId="5" xr:uid="{00000000-0005-0000-0000-000031000000}"/>
    <cellStyle name="常规 13" xfId="6" xr:uid="{00000000-0005-0000-0000-000034000000}"/>
    <cellStyle name="常规 13 2" xfId="2" xr:uid="{00000000-0005-0000-0000-000005000000}"/>
    <cellStyle name="常规 2" xfId="7" xr:uid="{00000000-0005-0000-0000-000035000000}"/>
    <cellStyle name="常规 2 2" xfId="4" xr:uid="{00000000-0005-0000-0000-00002D000000}"/>
    <cellStyle name="常规 3" xfId="8" xr:uid="{00000000-0005-0000-0000-000036000000}"/>
    <cellStyle name="常规 4" xfId="9" xr:uid="{00000000-0005-0000-0000-000037000000}"/>
    <cellStyle name="输入" xfId="1" builtinId="20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518160</xdr:colOff>
      <xdr:row>8</xdr:row>
      <xdr:rowOff>99060</xdr:rowOff>
    </xdr:from>
    <xdr:to>
      <xdr:col>21</xdr:col>
      <xdr:colOff>459931</xdr:colOff>
      <xdr:row>20</xdr:row>
      <xdr:rowOff>129273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3230" y="2310130"/>
          <a:ext cx="8695055" cy="2132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  <wetp:taskpane dockstate="right" visibility="0" width="84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BC11C47-0D60-4924-A9BF-7B4842335084}">
  <we:reference id="7cba5e03-916c-4f8e-aece-a480575fa60a" version="1.0.0.0" store="\\DESKTOP-NUVFRMH\Excel_Addin" storeType="Filesystem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22FE16D-BC70-4408-AED7-4BC1362D6C2E}">
  <we:reference id="wa104380862" version="1.5.0.0" store="zh-CN" storeType="OMEX"/>
  <we:alternateReferences>
    <we:reference id="wa104380862" version="1.5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FF9-050F-45DB-AE13-12B873092DEF}">
  <dimension ref="A1:S66"/>
  <sheetViews>
    <sheetView showGridLines="0" tabSelected="1" zoomScale="70" zoomScaleNormal="70" workbookViewId="0">
      <selection activeCell="T25" sqref="T25"/>
    </sheetView>
  </sheetViews>
  <sheetFormatPr defaultColWidth="8.75" defaultRowHeight="17.5"/>
  <cols>
    <col min="1" max="1" width="8.25" style="121" customWidth="1"/>
    <col min="2" max="2" width="13.6640625" style="121" customWidth="1"/>
    <col min="3" max="3" width="10.83203125" style="121" customWidth="1"/>
    <col min="4" max="4" width="26.4140625" style="121" customWidth="1"/>
    <col min="5" max="5" width="25.4140625" style="121" customWidth="1"/>
    <col min="6" max="6" width="17.75" style="121" customWidth="1"/>
    <col min="7" max="7" width="10.25" style="126" customWidth="1"/>
    <col min="8" max="8" width="13.83203125" style="126" customWidth="1"/>
    <col min="9" max="9" width="9.08203125" style="126" bestFit="1" customWidth="1"/>
    <col min="10" max="10" width="9.83203125" style="126" customWidth="1"/>
    <col min="11" max="11" width="11.25" style="126" customWidth="1"/>
    <col min="12" max="13" width="9.83203125" style="126" customWidth="1"/>
    <col min="14" max="17" width="11.25" style="126" customWidth="1"/>
    <col min="18" max="18" width="57.5" style="121" customWidth="1"/>
    <col min="19" max="19" width="29.6640625" style="121" bestFit="1" customWidth="1"/>
    <col min="20" max="16384" width="8.75" style="121"/>
  </cols>
  <sheetData>
    <row r="1" spans="1:19" s="110" customFormat="1" ht="42.4" customHeight="1">
      <c r="A1" s="107" t="s">
        <v>0</v>
      </c>
      <c r="B1" s="107" t="s">
        <v>291</v>
      </c>
      <c r="C1" s="107" t="s">
        <v>304</v>
      </c>
      <c r="D1" s="107" t="s">
        <v>1</v>
      </c>
      <c r="E1" s="107" t="s">
        <v>2</v>
      </c>
      <c r="F1" s="107" t="s">
        <v>3</v>
      </c>
      <c r="G1" s="107" t="s">
        <v>232</v>
      </c>
      <c r="H1" s="108" t="s">
        <v>4</v>
      </c>
      <c r="I1" s="147" t="s">
        <v>302</v>
      </c>
      <c r="J1" s="147" t="s">
        <v>303</v>
      </c>
      <c r="K1" s="147" t="s">
        <v>305</v>
      </c>
      <c r="L1" s="141" t="s">
        <v>306</v>
      </c>
      <c r="M1" s="141" t="s">
        <v>307</v>
      </c>
      <c r="N1" s="141" t="s">
        <v>308</v>
      </c>
      <c r="O1" s="144" t="s">
        <v>313</v>
      </c>
      <c r="P1" s="144" t="s">
        <v>16</v>
      </c>
      <c r="Q1" s="144" t="s">
        <v>314</v>
      </c>
      <c r="R1" s="109" t="s">
        <v>6</v>
      </c>
    </row>
    <row r="2" spans="1:19" s="110" customFormat="1" ht="36.75" customHeight="1">
      <c r="A2" s="111" t="s">
        <v>196</v>
      </c>
      <c r="B2" s="111"/>
      <c r="C2" s="111"/>
      <c r="D2" s="107"/>
      <c r="E2" s="107"/>
      <c r="F2" s="107"/>
      <c r="G2" s="107"/>
      <c r="H2" s="108"/>
      <c r="I2" s="148"/>
      <c r="J2" s="148"/>
      <c r="K2" s="148"/>
      <c r="L2" s="142"/>
      <c r="M2" s="142"/>
      <c r="N2" s="142"/>
      <c r="O2" s="145"/>
      <c r="P2" s="145"/>
      <c r="Q2" s="145"/>
      <c r="R2" s="109"/>
      <c r="S2" s="112" t="s">
        <v>309</v>
      </c>
    </row>
    <row r="3" spans="1:19" s="110" customFormat="1" ht="25" customHeight="1">
      <c r="A3" s="113">
        <v>1</v>
      </c>
      <c r="B3" s="113" t="s">
        <v>292</v>
      </c>
      <c r="C3" s="113">
        <v>-0.1</v>
      </c>
      <c r="D3" s="114" t="s">
        <v>233</v>
      </c>
      <c r="E3" s="115" t="s">
        <v>234</v>
      </c>
      <c r="F3" s="116" t="s">
        <v>235</v>
      </c>
      <c r="G3" s="117">
        <v>4</v>
      </c>
      <c r="H3" s="117" t="str">
        <f>RIGHT(E3,4)</f>
        <v>2342</v>
      </c>
      <c r="I3" s="118">
        <v>13.43</v>
      </c>
      <c r="J3" s="118">
        <f>H3*I3*10^-3</f>
        <v>31.453059999999997</v>
      </c>
      <c r="K3" s="118">
        <f>G3*J3</f>
        <v>125.81223999999999</v>
      </c>
      <c r="L3" s="143"/>
      <c r="M3" s="143"/>
      <c r="N3" s="143">
        <f>J3*M3</f>
        <v>0</v>
      </c>
      <c r="O3" s="146"/>
      <c r="P3" s="146"/>
      <c r="Q3" s="146"/>
      <c r="R3" s="114" t="s">
        <v>320</v>
      </c>
      <c r="S3" s="112" t="s">
        <v>310</v>
      </c>
    </row>
    <row r="4" spans="1:19" s="110" customFormat="1" ht="35">
      <c r="A4" s="113">
        <v>2</v>
      </c>
      <c r="B4" s="113" t="s">
        <v>293</v>
      </c>
      <c r="C4" s="113">
        <v>-0.1</v>
      </c>
      <c r="D4" s="170" t="s">
        <v>203</v>
      </c>
      <c r="E4" s="115" t="s">
        <v>334</v>
      </c>
      <c r="F4" s="116" t="s">
        <v>235</v>
      </c>
      <c r="G4" s="117">
        <f>G3</f>
        <v>4</v>
      </c>
      <c r="H4" s="117" t="str">
        <f>RIGHT(E4,4)</f>
        <v>3950</v>
      </c>
      <c r="I4" s="118">
        <v>3.1086</v>
      </c>
      <c r="J4" s="118">
        <f>H4*I4*10^-3+2*0.15*0.04*2.5*7.85</f>
        <v>12.514469999999999</v>
      </c>
      <c r="K4" s="118">
        <f>G4*J4</f>
        <v>50.057879999999997</v>
      </c>
      <c r="L4" s="143"/>
      <c r="M4" s="143"/>
      <c r="N4" s="143">
        <f>J4*M4</f>
        <v>0</v>
      </c>
      <c r="O4" s="146"/>
      <c r="P4" s="146"/>
      <c r="Q4" s="146"/>
      <c r="R4" s="114" t="s">
        <v>320</v>
      </c>
    </row>
    <row r="5" spans="1:19" s="110" customFormat="1" ht="33" customHeight="1">
      <c r="A5" s="113"/>
      <c r="B5" s="113" t="s">
        <v>293</v>
      </c>
      <c r="C5" s="113">
        <v>-0.1</v>
      </c>
      <c r="D5" s="171"/>
      <c r="E5" s="115"/>
      <c r="F5" s="116"/>
      <c r="G5" s="117"/>
      <c r="H5" s="117"/>
      <c r="I5" s="118"/>
      <c r="J5" s="118"/>
      <c r="K5" s="118"/>
      <c r="L5" s="143"/>
      <c r="M5" s="143"/>
      <c r="N5" s="143"/>
      <c r="O5" s="146"/>
      <c r="P5" s="146"/>
      <c r="Q5" s="146"/>
      <c r="R5" s="114"/>
    </row>
    <row r="6" spans="1:19" s="110" customFormat="1" ht="35">
      <c r="A6" s="113">
        <v>3</v>
      </c>
      <c r="B6" s="113" t="s">
        <v>293</v>
      </c>
      <c r="C6" s="113">
        <v>-0.1</v>
      </c>
      <c r="D6" s="114" t="s">
        <v>236</v>
      </c>
      <c r="E6" s="115" t="s">
        <v>286</v>
      </c>
      <c r="F6" s="116" t="s">
        <v>213</v>
      </c>
      <c r="G6" s="117">
        <f>G3</f>
        <v>4</v>
      </c>
      <c r="H6" s="117" t="str">
        <f t="shared" ref="H6:H10" si="0">RIGHT(E6,4)</f>
        <v>1559</v>
      </c>
      <c r="I6" s="118">
        <v>2.3235999999999999</v>
      </c>
      <c r="J6" s="118">
        <f>H6*I6*10^-3+2*0.04*0.04*2.5*7.85</f>
        <v>3.6852923999999998</v>
      </c>
      <c r="K6" s="118">
        <f t="shared" ref="K6:K26" si="1">G6*J6</f>
        <v>14.741169599999999</v>
      </c>
      <c r="L6" s="143"/>
      <c r="M6" s="143"/>
      <c r="N6" s="143">
        <f t="shared" ref="N6:N26" si="2">J6*M6</f>
        <v>0</v>
      </c>
      <c r="O6" s="146"/>
      <c r="P6" s="146"/>
      <c r="Q6" s="146"/>
      <c r="R6" s="114" t="s">
        <v>320</v>
      </c>
      <c r="S6" s="112" t="s">
        <v>311</v>
      </c>
    </row>
    <row r="7" spans="1:19" s="110" customFormat="1" ht="35">
      <c r="A7" s="113">
        <v>4</v>
      </c>
      <c r="B7" s="113" t="s">
        <v>293</v>
      </c>
      <c r="C7" s="113">
        <v>-0.1</v>
      </c>
      <c r="D7" s="114" t="s">
        <v>237</v>
      </c>
      <c r="E7" s="115" t="s">
        <v>287</v>
      </c>
      <c r="F7" s="116" t="s">
        <v>213</v>
      </c>
      <c r="G7" s="117">
        <f>G3</f>
        <v>4</v>
      </c>
      <c r="H7" s="117" t="str">
        <f t="shared" si="0"/>
        <v>2222</v>
      </c>
      <c r="I7" s="118">
        <v>2.7946</v>
      </c>
      <c r="J7" s="118">
        <f>H7*I7*10^-3+2*0.04*0.04*2.5*7.85</f>
        <v>6.2724012</v>
      </c>
      <c r="K7" s="118">
        <f t="shared" si="1"/>
        <v>25.0896048</v>
      </c>
      <c r="L7" s="143"/>
      <c r="M7" s="143"/>
      <c r="N7" s="143">
        <f t="shared" si="2"/>
        <v>0</v>
      </c>
      <c r="O7" s="146"/>
      <c r="P7" s="146"/>
      <c r="Q7" s="146"/>
      <c r="R7" s="114" t="s">
        <v>320</v>
      </c>
      <c r="S7" s="112" t="s">
        <v>312</v>
      </c>
    </row>
    <row r="8" spans="1:19" s="110" customFormat="1" ht="25" customHeight="1">
      <c r="A8" s="113">
        <v>5</v>
      </c>
      <c r="B8" s="113" t="s">
        <v>293</v>
      </c>
      <c r="C8" s="113">
        <v>-0.1</v>
      </c>
      <c r="D8" s="114" t="s">
        <v>230</v>
      </c>
      <c r="E8" s="115" t="s">
        <v>238</v>
      </c>
      <c r="F8" s="116" t="s">
        <v>235</v>
      </c>
      <c r="G8" s="117">
        <f>4</f>
        <v>4</v>
      </c>
      <c r="H8" s="117" t="str">
        <f t="shared" si="0"/>
        <v>7340</v>
      </c>
      <c r="I8" s="118">
        <v>3.5796000000000001</v>
      </c>
      <c r="J8" s="118">
        <f t="shared" ref="J8:J18" si="3">H8*I8*10^-3</f>
        <v>26.274263999999999</v>
      </c>
      <c r="K8" s="118">
        <f t="shared" si="1"/>
        <v>105.09705599999999</v>
      </c>
      <c r="L8" s="143"/>
      <c r="M8" s="143"/>
      <c r="N8" s="143">
        <f t="shared" si="2"/>
        <v>0</v>
      </c>
      <c r="O8" s="146"/>
      <c r="P8" s="146"/>
      <c r="Q8" s="146"/>
      <c r="R8" s="114" t="s">
        <v>320</v>
      </c>
    </row>
    <row r="9" spans="1:19" s="110" customFormat="1" ht="25" customHeight="1">
      <c r="A9" s="113">
        <v>6</v>
      </c>
      <c r="B9" s="113" t="s">
        <v>293</v>
      </c>
      <c r="C9" s="113">
        <v>-0.1</v>
      </c>
      <c r="D9" s="114" t="s">
        <v>231</v>
      </c>
      <c r="E9" s="115" t="s">
        <v>239</v>
      </c>
      <c r="F9" s="116" t="s">
        <v>235</v>
      </c>
      <c r="G9" s="117">
        <f>4</f>
        <v>4</v>
      </c>
      <c r="H9" s="117" t="str">
        <f t="shared" si="0"/>
        <v>9000</v>
      </c>
      <c r="I9" s="118">
        <v>3.5796000000000001</v>
      </c>
      <c r="J9" s="118">
        <f t="shared" si="3"/>
        <v>32.2164</v>
      </c>
      <c r="K9" s="118">
        <f t="shared" si="1"/>
        <v>128.8656</v>
      </c>
      <c r="L9" s="143"/>
      <c r="M9" s="143"/>
      <c r="N9" s="143">
        <f t="shared" si="2"/>
        <v>0</v>
      </c>
      <c r="O9" s="146"/>
      <c r="P9" s="146"/>
      <c r="Q9" s="146"/>
      <c r="R9" s="114" t="s">
        <v>320</v>
      </c>
    </row>
    <row r="10" spans="1:19" s="110" customFormat="1" ht="25" customHeight="1">
      <c r="A10" s="113">
        <v>7</v>
      </c>
      <c r="B10" s="113" t="s">
        <v>294</v>
      </c>
      <c r="C10" s="113">
        <v>-0.1</v>
      </c>
      <c r="D10" s="114" t="s">
        <v>240</v>
      </c>
      <c r="E10" s="115" t="s">
        <v>241</v>
      </c>
      <c r="F10" s="116" t="s">
        <v>197</v>
      </c>
      <c r="G10" s="117">
        <f>4</f>
        <v>4</v>
      </c>
      <c r="H10" s="117" t="str">
        <f t="shared" si="0"/>
        <v>4900</v>
      </c>
      <c r="I10" s="118">
        <v>0.39500000000000002</v>
      </c>
      <c r="J10" s="118">
        <f t="shared" si="3"/>
        <v>1.9355</v>
      </c>
      <c r="K10" s="118">
        <f t="shared" si="1"/>
        <v>7.742</v>
      </c>
      <c r="L10" s="143"/>
      <c r="M10" s="143"/>
      <c r="N10" s="143">
        <f t="shared" si="2"/>
        <v>0</v>
      </c>
      <c r="O10" s="146"/>
      <c r="P10" s="146"/>
      <c r="Q10" s="146"/>
      <c r="R10" s="114" t="s">
        <v>320</v>
      </c>
    </row>
    <row r="11" spans="1:19" s="110" customFormat="1" ht="25" customHeight="1">
      <c r="A11" s="113">
        <v>8</v>
      </c>
      <c r="B11" s="113" t="s">
        <v>347</v>
      </c>
      <c r="C11" s="113">
        <v>-0.1</v>
      </c>
      <c r="D11" s="114" t="s">
        <v>242</v>
      </c>
      <c r="E11" s="114" t="s">
        <v>243</v>
      </c>
      <c r="F11" s="116" t="s">
        <v>197</v>
      </c>
      <c r="G11" s="117">
        <f>G10*2</f>
        <v>8</v>
      </c>
      <c r="H11" s="117" t="str">
        <f>RIGHT(E11,2)</f>
        <v>50</v>
      </c>
      <c r="I11" s="118">
        <v>2.3765875000000003</v>
      </c>
      <c r="J11" s="118">
        <f t="shared" si="3"/>
        <v>0.11882937500000001</v>
      </c>
      <c r="K11" s="118">
        <f t="shared" si="1"/>
        <v>0.95063500000000012</v>
      </c>
      <c r="L11" s="143"/>
      <c r="M11" s="143"/>
      <c r="N11" s="143">
        <f t="shared" si="2"/>
        <v>0</v>
      </c>
      <c r="O11" s="146"/>
      <c r="P11" s="146"/>
      <c r="Q11" s="146"/>
      <c r="R11" s="114" t="s">
        <v>320</v>
      </c>
    </row>
    <row r="12" spans="1:19" s="110" customFormat="1" ht="25" customHeight="1">
      <c r="A12" s="113">
        <v>9</v>
      </c>
      <c r="B12" s="113" t="s">
        <v>295</v>
      </c>
      <c r="C12" s="113">
        <v>-0.1</v>
      </c>
      <c r="D12" s="114" t="s">
        <v>215</v>
      </c>
      <c r="E12" s="114" t="s">
        <v>214</v>
      </c>
      <c r="F12" s="116" t="s">
        <v>197</v>
      </c>
      <c r="G12" s="117">
        <f>MID(G1,5,1)*2*G3</f>
        <v>16</v>
      </c>
      <c r="H12" s="117" t="str">
        <f>RIGHT(E12,2)</f>
        <v>50</v>
      </c>
      <c r="I12" s="118">
        <v>6.7169999999999996</v>
      </c>
      <c r="J12" s="118">
        <f t="shared" si="3"/>
        <v>0.33584999999999998</v>
      </c>
      <c r="K12" s="118">
        <f t="shared" si="1"/>
        <v>5.3735999999999997</v>
      </c>
      <c r="L12" s="143"/>
      <c r="M12" s="143"/>
      <c r="N12" s="143">
        <f t="shared" si="2"/>
        <v>0</v>
      </c>
      <c r="O12" s="146"/>
      <c r="P12" s="146"/>
      <c r="Q12" s="146"/>
      <c r="R12" s="114" t="s">
        <v>320</v>
      </c>
    </row>
    <row r="13" spans="1:19" s="110" customFormat="1" ht="25" customHeight="1">
      <c r="A13" s="113">
        <v>10</v>
      </c>
      <c r="B13" s="113" t="s">
        <v>296</v>
      </c>
      <c r="C13" s="113">
        <v>-0.1</v>
      </c>
      <c r="D13" s="114" t="s">
        <v>204</v>
      </c>
      <c r="E13" s="115" t="s">
        <v>244</v>
      </c>
      <c r="F13" s="116" t="s">
        <v>235</v>
      </c>
      <c r="G13" s="117">
        <f>4</f>
        <v>4</v>
      </c>
      <c r="H13" s="117" t="str">
        <f>RIGHT(E13,3)</f>
        <v>400</v>
      </c>
      <c r="I13" s="118">
        <v>5.8875000000000002</v>
      </c>
      <c r="J13" s="118">
        <f t="shared" si="3"/>
        <v>2.355</v>
      </c>
      <c r="K13" s="118">
        <f t="shared" si="1"/>
        <v>9.42</v>
      </c>
      <c r="L13" s="143"/>
      <c r="M13" s="143"/>
      <c r="N13" s="143">
        <f t="shared" si="2"/>
        <v>0</v>
      </c>
      <c r="O13" s="146"/>
      <c r="P13" s="146"/>
      <c r="Q13" s="146"/>
      <c r="R13" s="114" t="s">
        <v>320</v>
      </c>
    </row>
    <row r="14" spans="1:19" s="110" customFormat="1" ht="25" customHeight="1">
      <c r="A14" s="113">
        <v>11</v>
      </c>
      <c r="B14" s="113" t="s">
        <v>294</v>
      </c>
      <c r="C14" s="113">
        <v>-0.1</v>
      </c>
      <c r="D14" s="115" t="s">
        <v>245</v>
      </c>
      <c r="E14" s="114" t="s">
        <v>246</v>
      </c>
      <c r="F14" s="116" t="s">
        <v>197</v>
      </c>
      <c r="G14" s="117">
        <f>(G4-1)*4</f>
        <v>12</v>
      </c>
      <c r="H14" s="117" t="str">
        <f>RIGHT(E14,4)</f>
        <v>2600</v>
      </c>
      <c r="I14" s="118">
        <v>0.39500000000000002</v>
      </c>
      <c r="J14" s="118">
        <f t="shared" si="3"/>
        <v>1.0269999999999999</v>
      </c>
      <c r="K14" s="118">
        <f t="shared" si="1"/>
        <v>12.323999999999998</v>
      </c>
      <c r="L14" s="143"/>
      <c r="M14" s="143"/>
      <c r="N14" s="143">
        <f t="shared" si="2"/>
        <v>0</v>
      </c>
      <c r="O14" s="146"/>
      <c r="P14" s="146"/>
      <c r="Q14" s="146"/>
      <c r="R14" s="114" t="s">
        <v>320</v>
      </c>
    </row>
    <row r="15" spans="1:19" s="110" customFormat="1" ht="25" customHeight="1">
      <c r="A15" s="113">
        <v>12</v>
      </c>
      <c r="B15" s="113" t="s">
        <v>294</v>
      </c>
      <c r="C15" s="113">
        <v>-0.1</v>
      </c>
      <c r="D15" s="115" t="s">
        <v>247</v>
      </c>
      <c r="E15" s="114" t="s">
        <v>248</v>
      </c>
      <c r="F15" s="116" t="s">
        <v>197</v>
      </c>
      <c r="G15" s="117">
        <f>2*2</f>
        <v>4</v>
      </c>
      <c r="H15" s="117" t="str">
        <f>RIGHT(E15,4)</f>
        <v>1900</v>
      </c>
      <c r="I15" s="118">
        <v>0.39500000000000002</v>
      </c>
      <c r="J15" s="118">
        <f t="shared" si="3"/>
        <v>0.75050000000000006</v>
      </c>
      <c r="K15" s="118">
        <f t="shared" si="1"/>
        <v>3.0020000000000002</v>
      </c>
      <c r="L15" s="143"/>
      <c r="M15" s="143"/>
      <c r="N15" s="143">
        <f t="shared" si="2"/>
        <v>0</v>
      </c>
      <c r="O15" s="146"/>
      <c r="P15" s="146"/>
      <c r="Q15" s="146"/>
      <c r="R15" s="114" t="s">
        <v>320</v>
      </c>
    </row>
    <row r="16" spans="1:19" s="110" customFormat="1" ht="25" customHeight="1">
      <c r="A16" s="113">
        <v>13</v>
      </c>
      <c r="B16" s="113" t="s">
        <v>294</v>
      </c>
      <c r="C16" s="113">
        <v>-0.1</v>
      </c>
      <c r="D16" s="114" t="s">
        <v>249</v>
      </c>
      <c r="E16" s="114" t="s">
        <v>250</v>
      </c>
      <c r="F16" s="116" t="s">
        <v>197</v>
      </c>
      <c r="G16" s="117">
        <f>(G4+1)*2</f>
        <v>10</v>
      </c>
      <c r="H16" s="117" t="str">
        <f>RIGHT(E16,4)</f>
        <v>1500</v>
      </c>
      <c r="I16" s="118">
        <v>0.39500000000000002</v>
      </c>
      <c r="J16" s="118">
        <f t="shared" si="3"/>
        <v>0.59250000000000003</v>
      </c>
      <c r="K16" s="118">
        <f t="shared" si="1"/>
        <v>5.9250000000000007</v>
      </c>
      <c r="L16" s="143"/>
      <c r="M16" s="143"/>
      <c r="N16" s="143">
        <f t="shared" si="2"/>
        <v>0</v>
      </c>
      <c r="O16" s="146"/>
      <c r="P16" s="146"/>
      <c r="Q16" s="146"/>
      <c r="R16" s="114" t="s">
        <v>320</v>
      </c>
    </row>
    <row r="17" spans="1:19" s="110" customFormat="1" ht="25" customHeight="1">
      <c r="A17" s="113">
        <v>14</v>
      </c>
      <c r="B17" s="113" t="s">
        <v>294</v>
      </c>
      <c r="C17" s="113">
        <v>-0.1</v>
      </c>
      <c r="D17" s="114" t="s">
        <v>251</v>
      </c>
      <c r="E17" s="114" t="s">
        <v>252</v>
      </c>
      <c r="F17" s="116" t="s">
        <v>197</v>
      </c>
      <c r="G17" s="117">
        <f>(G4+1)</f>
        <v>5</v>
      </c>
      <c r="H17" s="117" t="str">
        <f>RIGHT(E17,4)</f>
        <v>1000</v>
      </c>
      <c r="I17" s="118">
        <v>0.39500000000000002</v>
      </c>
      <c r="J17" s="118">
        <f t="shared" si="3"/>
        <v>0.39500000000000002</v>
      </c>
      <c r="K17" s="118">
        <f t="shared" si="1"/>
        <v>1.9750000000000001</v>
      </c>
      <c r="L17" s="143"/>
      <c r="M17" s="143"/>
      <c r="N17" s="143">
        <f t="shared" si="2"/>
        <v>0</v>
      </c>
      <c r="O17" s="146"/>
      <c r="P17" s="146"/>
      <c r="Q17" s="146"/>
      <c r="R17" s="114" t="s">
        <v>320</v>
      </c>
      <c r="S17" s="151"/>
    </row>
    <row r="18" spans="1:19" s="110" customFormat="1" ht="25" customHeight="1">
      <c r="A18" s="113">
        <v>15</v>
      </c>
      <c r="B18" s="113" t="s">
        <v>292</v>
      </c>
      <c r="C18" s="113">
        <v>-0.1</v>
      </c>
      <c r="D18" s="114" t="s">
        <v>216</v>
      </c>
      <c r="E18" s="114" t="s">
        <v>253</v>
      </c>
      <c r="F18" s="116" t="s">
        <v>197</v>
      </c>
      <c r="G18" s="117">
        <f>G16</f>
        <v>10</v>
      </c>
      <c r="H18" s="117" t="str">
        <f>RIGHT(E18,4)</f>
        <v>1400</v>
      </c>
      <c r="I18" s="118">
        <v>1.1339999999999999</v>
      </c>
      <c r="J18" s="118">
        <f t="shared" si="3"/>
        <v>1.5875999999999999</v>
      </c>
      <c r="K18" s="118">
        <f t="shared" si="1"/>
        <v>15.875999999999999</v>
      </c>
      <c r="L18" s="143"/>
      <c r="M18" s="143"/>
      <c r="N18" s="143">
        <f t="shared" si="2"/>
        <v>0</v>
      </c>
      <c r="O18" s="146"/>
      <c r="P18" s="146"/>
      <c r="Q18" s="146"/>
      <c r="R18" s="114" t="s">
        <v>320</v>
      </c>
      <c r="S18" s="151"/>
    </row>
    <row r="19" spans="1:19" s="110" customFormat="1" ht="25" customHeight="1">
      <c r="A19" s="113">
        <v>16</v>
      </c>
      <c r="B19" s="113" t="s">
        <v>297</v>
      </c>
      <c r="C19" s="113">
        <v>-0.1</v>
      </c>
      <c r="D19" s="114" t="s">
        <v>269</v>
      </c>
      <c r="E19" s="114" t="s">
        <v>254</v>
      </c>
      <c r="F19" s="116" t="s">
        <v>213</v>
      </c>
      <c r="G19" s="117">
        <f>G3</f>
        <v>4</v>
      </c>
      <c r="H19" s="117">
        <v>540</v>
      </c>
      <c r="I19" s="118">
        <v>3.7679999999999998</v>
      </c>
      <c r="J19" s="118">
        <f t="shared" ref="J19:J23" si="4">H19*I19*10^-3</f>
        <v>2.0347199999999996</v>
      </c>
      <c r="K19" s="118">
        <f t="shared" si="1"/>
        <v>8.1388799999999986</v>
      </c>
      <c r="L19" s="143"/>
      <c r="M19" s="143"/>
      <c r="N19" s="143">
        <f t="shared" si="2"/>
        <v>0</v>
      </c>
      <c r="O19" s="146"/>
      <c r="P19" s="146"/>
      <c r="Q19" s="146"/>
      <c r="R19" s="114" t="s">
        <v>320</v>
      </c>
      <c r="S19" s="151"/>
    </row>
    <row r="20" spans="1:19" s="110" customFormat="1" ht="25" customHeight="1">
      <c r="A20" s="113">
        <v>17</v>
      </c>
      <c r="B20" s="113" t="s">
        <v>297</v>
      </c>
      <c r="C20" s="113">
        <v>-0.1</v>
      </c>
      <c r="D20" s="114" t="s">
        <v>270</v>
      </c>
      <c r="E20" s="114" t="s">
        <v>255</v>
      </c>
      <c r="F20" s="116" t="s">
        <v>213</v>
      </c>
      <c r="G20" s="117">
        <f>G3</f>
        <v>4</v>
      </c>
      <c r="H20" s="117">
        <v>370</v>
      </c>
      <c r="I20" s="118">
        <v>3.7679999999999998</v>
      </c>
      <c r="J20" s="118">
        <f t="shared" si="4"/>
        <v>1.3941599999999998</v>
      </c>
      <c r="K20" s="118">
        <f t="shared" si="1"/>
        <v>5.5766399999999994</v>
      </c>
      <c r="L20" s="143"/>
      <c r="M20" s="143"/>
      <c r="N20" s="143">
        <f t="shared" si="2"/>
        <v>0</v>
      </c>
      <c r="O20" s="146"/>
      <c r="P20" s="146"/>
      <c r="Q20" s="146"/>
      <c r="R20" s="114" t="s">
        <v>320</v>
      </c>
      <c r="S20" s="151"/>
    </row>
    <row r="21" spans="1:19" s="110" customFormat="1" ht="25" customHeight="1">
      <c r="A21" s="113">
        <v>18</v>
      </c>
      <c r="B21" s="113" t="s">
        <v>347</v>
      </c>
      <c r="C21" s="113">
        <v>-0.1</v>
      </c>
      <c r="D21" s="114" t="s">
        <v>256</v>
      </c>
      <c r="E21" s="114" t="s">
        <v>288</v>
      </c>
      <c r="F21" s="116" t="s">
        <v>235</v>
      </c>
      <c r="G21" s="117">
        <f>G3</f>
        <v>4</v>
      </c>
      <c r="H21" s="117" t="str">
        <f>RIGHT(E21,3)</f>
        <v>160</v>
      </c>
      <c r="I21" s="118">
        <v>14.32625</v>
      </c>
      <c r="J21" s="118">
        <f t="shared" si="4"/>
        <v>2.2921999999999998</v>
      </c>
      <c r="K21" s="118">
        <f t="shared" si="1"/>
        <v>9.1687999999999992</v>
      </c>
      <c r="L21" s="143"/>
      <c r="M21" s="143"/>
      <c r="N21" s="143">
        <f t="shared" si="2"/>
        <v>0</v>
      </c>
      <c r="O21" s="146"/>
      <c r="P21" s="146"/>
      <c r="Q21" s="146"/>
      <c r="R21" s="114" t="s">
        <v>320</v>
      </c>
    </row>
    <row r="22" spans="1:19" s="110" customFormat="1" ht="25" customHeight="1">
      <c r="A22" s="113">
        <v>19</v>
      </c>
      <c r="B22" s="113" t="s">
        <v>294</v>
      </c>
      <c r="C22" s="113">
        <v>-0.1</v>
      </c>
      <c r="D22" s="114" t="s">
        <v>257</v>
      </c>
      <c r="E22" s="114" t="s">
        <v>258</v>
      </c>
      <c r="F22" s="116" t="s">
        <v>235</v>
      </c>
      <c r="G22" s="117">
        <f>2</f>
        <v>2</v>
      </c>
      <c r="H22" s="117" t="str">
        <f>RIGHT(E22,4)</f>
        <v>4800</v>
      </c>
      <c r="I22" s="118">
        <v>0.88800000000000001</v>
      </c>
      <c r="J22" s="118">
        <f t="shared" si="4"/>
        <v>4.2623999999999995</v>
      </c>
      <c r="K22" s="118">
        <f t="shared" si="1"/>
        <v>8.524799999999999</v>
      </c>
      <c r="L22" s="143"/>
      <c r="M22" s="143"/>
      <c r="N22" s="143">
        <f t="shared" si="2"/>
        <v>0</v>
      </c>
      <c r="O22" s="146"/>
      <c r="P22" s="146"/>
      <c r="Q22" s="146"/>
      <c r="R22" s="114" t="s">
        <v>320</v>
      </c>
    </row>
    <row r="23" spans="1:19" s="110" customFormat="1" ht="25" customHeight="1">
      <c r="A23" s="113">
        <v>20</v>
      </c>
      <c r="B23" s="113" t="s">
        <v>298</v>
      </c>
      <c r="C23" s="113">
        <v>-0.1</v>
      </c>
      <c r="D23" s="114" t="s">
        <v>259</v>
      </c>
      <c r="E23" s="114" t="s">
        <v>260</v>
      </c>
      <c r="F23" s="116" t="s">
        <v>213</v>
      </c>
      <c r="G23" s="117">
        <f>G22*2</f>
        <v>4</v>
      </c>
      <c r="H23" s="117" t="str">
        <f>RIGHT(E23,2)</f>
        <v>50</v>
      </c>
      <c r="I23" s="118">
        <v>4.71</v>
      </c>
      <c r="J23" s="118">
        <f t="shared" si="4"/>
        <v>0.23550000000000001</v>
      </c>
      <c r="K23" s="118">
        <f t="shared" si="1"/>
        <v>0.94200000000000006</v>
      </c>
      <c r="L23" s="143"/>
      <c r="M23" s="143"/>
      <c r="N23" s="143">
        <f t="shared" si="2"/>
        <v>0</v>
      </c>
      <c r="O23" s="146"/>
      <c r="P23" s="146"/>
      <c r="Q23" s="146"/>
      <c r="R23" s="114" t="s">
        <v>326</v>
      </c>
    </row>
    <row r="24" spans="1:19" s="110" customFormat="1" ht="25" customHeight="1">
      <c r="A24" s="113">
        <v>21</v>
      </c>
      <c r="B24" s="113" t="s">
        <v>297</v>
      </c>
      <c r="C24" s="113">
        <v>-0.1</v>
      </c>
      <c r="D24" s="114" t="s">
        <v>261</v>
      </c>
      <c r="E24" s="114" t="s">
        <v>289</v>
      </c>
      <c r="F24" s="116" t="s">
        <v>213</v>
      </c>
      <c r="G24" s="117">
        <f>G22*2</f>
        <v>4</v>
      </c>
      <c r="H24" s="117">
        <v>420</v>
      </c>
      <c r="I24" s="118">
        <v>1.57</v>
      </c>
      <c r="J24" s="118">
        <f t="shared" ref="J24" si="5">H24*I24*10^-3</f>
        <v>0.65939999999999999</v>
      </c>
      <c r="K24" s="118">
        <f t="shared" si="1"/>
        <v>2.6375999999999999</v>
      </c>
      <c r="L24" s="143"/>
      <c r="M24" s="143"/>
      <c r="N24" s="143">
        <f t="shared" si="2"/>
        <v>0</v>
      </c>
      <c r="O24" s="146"/>
      <c r="P24" s="146"/>
      <c r="Q24" s="146"/>
      <c r="R24" s="114" t="s">
        <v>326</v>
      </c>
    </row>
    <row r="25" spans="1:19" s="110" customFormat="1" ht="25" customHeight="1">
      <c r="A25" s="113">
        <v>22</v>
      </c>
      <c r="B25" s="113" t="s">
        <v>297</v>
      </c>
      <c r="C25" s="113">
        <v>-0.1</v>
      </c>
      <c r="D25" s="114" t="s">
        <v>262</v>
      </c>
      <c r="E25" s="114" t="s">
        <v>290</v>
      </c>
      <c r="F25" s="116" t="s">
        <v>213</v>
      </c>
      <c r="G25" s="117">
        <f>G24</f>
        <v>4</v>
      </c>
      <c r="H25" s="117">
        <v>355</v>
      </c>
      <c r="I25" s="118">
        <v>1.57</v>
      </c>
      <c r="J25" s="118">
        <f t="shared" ref="J25" si="6">H25*I25*10^-3</f>
        <v>0.55735000000000001</v>
      </c>
      <c r="K25" s="118">
        <f t="shared" si="1"/>
        <v>2.2294</v>
      </c>
      <c r="L25" s="143"/>
      <c r="M25" s="143"/>
      <c r="N25" s="143">
        <f t="shared" si="2"/>
        <v>0</v>
      </c>
      <c r="O25" s="146"/>
      <c r="P25" s="146"/>
      <c r="Q25" s="146"/>
      <c r="R25" s="114" t="s">
        <v>326</v>
      </c>
    </row>
    <row r="26" spans="1:19" s="110" customFormat="1" ht="25" customHeight="1">
      <c r="A26" s="113">
        <v>23</v>
      </c>
      <c r="B26" s="113" t="s">
        <v>300</v>
      </c>
      <c r="C26" s="113">
        <v>-0.1</v>
      </c>
      <c r="D26" s="114" t="s">
        <v>228</v>
      </c>
      <c r="E26" s="114" t="s">
        <v>229</v>
      </c>
      <c r="F26" s="116" t="s">
        <v>213</v>
      </c>
      <c r="G26" s="117">
        <f>LEFT(E60,1)*RIGHT(E60,2)*4</f>
        <v>112</v>
      </c>
      <c r="H26" s="117"/>
      <c r="I26" s="118"/>
      <c r="J26" s="118">
        <f>0.04*0.018*2*7.85</f>
        <v>1.1303999999999998E-2</v>
      </c>
      <c r="K26" s="118">
        <f t="shared" si="1"/>
        <v>1.2660479999999998</v>
      </c>
      <c r="L26" s="143"/>
      <c r="M26" s="143"/>
      <c r="N26" s="143">
        <f t="shared" si="2"/>
        <v>0</v>
      </c>
      <c r="O26" s="146"/>
      <c r="P26" s="146"/>
      <c r="Q26" s="146"/>
      <c r="R26" s="114" t="s">
        <v>326</v>
      </c>
    </row>
    <row r="27" spans="1:19" s="110" customFormat="1" ht="25" customHeight="1">
      <c r="A27" s="113"/>
      <c r="B27" s="113" t="s">
        <v>341</v>
      </c>
      <c r="C27" s="113">
        <v>-0.1</v>
      </c>
      <c r="D27" s="114"/>
      <c r="E27" s="114"/>
      <c r="F27" s="116"/>
      <c r="G27" s="117"/>
      <c r="H27" s="117"/>
      <c r="I27" s="118"/>
      <c r="J27" s="118"/>
      <c r="K27" s="118"/>
      <c r="L27" s="143"/>
      <c r="M27" s="143"/>
      <c r="N27" s="143"/>
      <c r="O27" s="146"/>
      <c r="P27" s="146"/>
      <c r="Q27" s="146"/>
      <c r="R27" s="114"/>
    </row>
    <row r="28" spans="1:19" s="110" customFormat="1" ht="25" customHeight="1">
      <c r="A28" s="113"/>
      <c r="B28" s="113" t="s">
        <v>300</v>
      </c>
      <c r="C28" s="113">
        <v>-0.1</v>
      </c>
      <c r="D28" s="114"/>
      <c r="E28" s="114"/>
      <c r="F28" s="116"/>
      <c r="G28" s="117"/>
      <c r="H28" s="117"/>
      <c r="I28" s="118"/>
      <c r="J28" s="118"/>
      <c r="K28" s="118"/>
      <c r="L28" s="143"/>
      <c r="M28" s="143"/>
      <c r="N28" s="143"/>
      <c r="O28" s="146"/>
      <c r="P28" s="146"/>
      <c r="Q28" s="146"/>
      <c r="R28" s="114"/>
    </row>
    <row r="29" spans="1:19" s="110" customFormat="1" ht="25" customHeight="1">
      <c r="A29" s="113"/>
      <c r="B29" s="113" t="s">
        <v>301</v>
      </c>
      <c r="C29" s="113">
        <v>-0.1</v>
      </c>
      <c r="D29" s="114"/>
      <c r="E29" s="114"/>
      <c r="F29" s="116"/>
      <c r="G29" s="117"/>
      <c r="H29" s="117"/>
      <c r="I29" s="118"/>
      <c r="J29" s="118"/>
      <c r="K29" s="118"/>
      <c r="L29" s="143"/>
      <c r="M29" s="143"/>
      <c r="N29" s="143"/>
      <c r="O29" s="146"/>
      <c r="P29" s="146"/>
      <c r="Q29" s="146"/>
      <c r="R29" s="114"/>
    </row>
    <row r="30" spans="1:19" ht="24.65" customHeight="1">
      <c r="A30" s="164" t="s">
        <v>198</v>
      </c>
      <c r="B30" s="172"/>
      <c r="C30" s="172"/>
      <c r="D30" s="172"/>
      <c r="E30" s="172"/>
      <c r="F30" s="172"/>
      <c r="G30" s="172"/>
      <c r="H30" s="172"/>
      <c r="I30" s="165"/>
      <c r="J30" s="119"/>
      <c r="K30" s="120"/>
      <c r="L30" s="119"/>
      <c r="M30" s="119"/>
      <c r="N30" s="120"/>
      <c r="O30" s="120"/>
      <c r="P30" s="120"/>
      <c r="Q30" s="120"/>
      <c r="R30" s="116"/>
    </row>
    <row r="31" spans="1:19" ht="24.65" customHeight="1">
      <c r="A31" s="116">
        <v>1</v>
      </c>
      <c r="B31" s="116" t="s">
        <v>299</v>
      </c>
      <c r="C31" s="116"/>
      <c r="D31" s="114" t="s">
        <v>267</v>
      </c>
      <c r="E31" s="114" t="s">
        <v>202</v>
      </c>
      <c r="F31" s="114"/>
      <c r="G31" s="116">
        <f>G21</f>
        <v>4</v>
      </c>
      <c r="H31" s="164" t="s">
        <v>268</v>
      </c>
      <c r="I31" s="165"/>
      <c r="J31" s="122">
        <v>0.27900000000000003</v>
      </c>
      <c r="K31" s="123">
        <f t="shared" ref="K31:K39" si="7">J31*G31</f>
        <v>1.1160000000000001</v>
      </c>
      <c r="L31" s="122"/>
      <c r="M31" s="122"/>
      <c r="N31" s="123">
        <f t="shared" ref="N31:N39" si="8">M31*J31</f>
        <v>0</v>
      </c>
      <c r="O31" s="123"/>
      <c r="P31" s="123"/>
      <c r="Q31" s="123"/>
      <c r="R31" s="114" t="s">
        <v>326</v>
      </c>
    </row>
    <row r="32" spans="1:19" ht="24.65" customHeight="1">
      <c r="A32" s="116">
        <v>2</v>
      </c>
      <c r="B32" s="116" t="s">
        <v>299</v>
      </c>
      <c r="C32" s="116"/>
      <c r="D32" s="114" t="s">
        <v>265</v>
      </c>
      <c r="E32" s="114" t="s">
        <v>266</v>
      </c>
      <c r="F32" s="114"/>
      <c r="G32" s="116">
        <f>G31*2</f>
        <v>8</v>
      </c>
      <c r="H32" s="164"/>
      <c r="I32" s="165"/>
      <c r="J32" s="122">
        <v>4.1000000000000002E-2</v>
      </c>
      <c r="K32" s="123">
        <f t="shared" si="7"/>
        <v>0.32800000000000001</v>
      </c>
      <c r="L32" s="122"/>
      <c r="M32" s="122"/>
      <c r="N32" s="123">
        <f t="shared" si="8"/>
        <v>0</v>
      </c>
      <c r="O32" s="123"/>
      <c r="P32" s="123"/>
      <c r="Q32" s="123"/>
      <c r="R32" s="114" t="s">
        <v>333</v>
      </c>
    </row>
    <row r="33" spans="1:18" ht="24.65" customHeight="1">
      <c r="A33" s="116">
        <v>3</v>
      </c>
      <c r="B33" s="116" t="s">
        <v>299</v>
      </c>
      <c r="C33" s="116"/>
      <c r="D33" s="114" t="s">
        <v>263</v>
      </c>
      <c r="E33" s="114" t="s">
        <v>188</v>
      </c>
      <c r="F33" s="114"/>
      <c r="G33" s="116">
        <f>G31</f>
        <v>4</v>
      </c>
      <c r="H33" s="164"/>
      <c r="I33" s="165"/>
      <c r="J33" s="122">
        <v>8.9999999999999993E-3</v>
      </c>
      <c r="K33" s="123">
        <f t="shared" si="7"/>
        <v>3.5999999999999997E-2</v>
      </c>
      <c r="L33" s="122"/>
      <c r="M33" s="122"/>
      <c r="N33" s="123">
        <f t="shared" si="8"/>
        <v>0</v>
      </c>
      <c r="O33" s="123"/>
      <c r="P33" s="123"/>
      <c r="Q33" s="123"/>
      <c r="R33" s="114" t="s">
        <v>333</v>
      </c>
    </row>
    <row r="34" spans="1:18" ht="24.65" customHeight="1">
      <c r="A34" s="116">
        <v>4</v>
      </c>
      <c r="B34" s="116" t="s">
        <v>299</v>
      </c>
      <c r="C34" s="116"/>
      <c r="D34" s="114" t="s">
        <v>264</v>
      </c>
      <c r="E34" s="114" t="s">
        <v>189</v>
      </c>
      <c r="F34" s="114"/>
      <c r="G34" s="116">
        <f>G31</f>
        <v>4</v>
      </c>
      <c r="H34" s="164"/>
      <c r="I34" s="165"/>
      <c r="J34" s="122">
        <v>3.9600000000000003E-2</v>
      </c>
      <c r="K34" s="123">
        <f t="shared" si="7"/>
        <v>0.15840000000000001</v>
      </c>
      <c r="L34" s="122"/>
      <c r="M34" s="122"/>
      <c r="N34" s="123">
        <f t="shared" si="8"/>
        <v>0</v>
      </c>
      <c r="O34" s="123"/>
      <c r="P34" s="123"/>
      <c r="Q34" s="123"/>
      <c r="R34" s="114" t="s">
        <v>218</v>
      </c>
    </row>
    <row r="35" spans="1:18" ht="43.5" customHeight="1">
      <c r="A35" s="116">
        <v>5</v>
      </c>
      <c r="B35" s="116" t="s">
        <v>299</v>
      </c>
      <c r="C35" s="116"/>
      <c r="D35" s="114" t="s">
        <v>271</v>
      </c>
      <c r="E35" s="114" t="s">
        <v>220</v>
      </c>
      <c r="F35" s="116"/>
      <c r="G35" s="117">
        <f>G4*6</f>
        <v>24</v>
      </c>
      <c r="H35" s="164" t="s">
        <v>272</v>
      </c>
      <c r="I35" s="165"/>
      <c r="J35" s="122">
        <v>0.10299999999999999</v>
      </c>
      <c r="K35" s="123">
        <f t="shared" si="7"/>
        <v>2.472</v>
      </c>
      <c r="L35" s="122"/>
      <c r="M35" s="122"/>
      <c r="N35" s="123">
        <f t="shared" si="8"/>
        <v>0</v>
      </c>
      <c r="O35" s="123"/>
      <c r="P35" s="123"/>
      <c r="Q35" s="123"/>
      <c r="R35" s="114" t="s">
        <v>326</v>
      </c>
    </row>
    <row r="36" spans="1:18" ht="25" customHeight="1">
      <c r="A36" s="116">
        <v>6</v>
      </c>
      <c r="B36" s="116" t="s">
        <v>299</v>
      </c>
      <c r="C36" s="116"/>
      <c r="D36" s="114" t="s">
        <v>273</v>
      </c>
      <c r="E36" s="114" t="s">
        <v>266</v>
      </c>
      <c r="F36" s="116"/>
      <c r="G36" s="117">
        <f>G35*2</f>
        <v>48</v>
      </c>
      <c r="H36" s="173"/>
      <c r="I36" s="174"/>
      <c r="J36" s="122">
        <v>3.2000000000000001E-2</v>
      </c>
      <c r="K36" s="123">
        <f t="shared" si="7"/>
        <v>1.536</v>
      </c>
      <c r="L36" s="122"/>
      <c r="M36" s="122"/>
      <c r="N36" s="123">
        <f t="shared" si="8"/>
        <v>0</v>
      </c>
      <c r="O36" s="123"/>
      <c r="P36" s="123"/>
      <c r="Q36" s="123"/>
      <c r="R36" s="114" t="s">
        <v>326</v>
      </c>
    </row>
    <row r="37" spans="1:18" ht="25" customHeight="1">
      <c r="A37" s="116">
        <v>7</v>
      </c>
      <c r="B37" s="116" t="s">
        <v>299</v>
      </c>
      <c r="C37" s="116"/>
      <c r="D37" s="114" t="s">
        <v>199</v>
      </c>
      <c r="E37" s="114" t="s">
        <v>188</v>
      </c>
      <c r="F37" s="116"/>
      <c r="G37" s="117">
        <f>G35</f>
        <v>24</v>
      </c>
      <c r="H37" s="173"/>
      <c r="I37" s="174"/>
      <c r="J37" s="122">
        <v>6.0000000000000001E-3</v>
      </c>
      <c r="K37" s="123">
        <f t="shared" si="7"/>
        <v>0.14400000000000002</v>
      </c>
      <c r="L37" s="122"/>
      <c r="M37" s="122"/>
      <c r="N37" s="123">
        <f t="shared" si="8"/>
        <v>0</v>
      </c>
      <c r="O37" s="123"/>
      <c r="P37" s="123"/>
      <c r="Q37" s="123"/>
      <c r="R37" s="114" t="s">
        <v>326</v>
      </c>
    </row>
    <row r="38" spans="1:18" ht="25" customHeight="1">
      <c r="A38" s="116">
        <v>8</v>
      </c>
      <c r="B38" s="116" t="s">
        <v>299</v>
      </c>
      <c r="C38" s="116"/>
      <c r="D38" s="114" t="s">
        <v>200</v>
      </c>
      <c r="E38" s="114" t="s">
        <v>189</v>
      </c>
      <c r="F38" s="116"/>
      <c r="G38" s="117">
        <f>G37+G19*2</f>
        <v>32</v>
      </c>
      <c r="H38" s="173"/>
      <c r="I38" s="174"/>
      <c r="J38" s="122">
        <v>2.12E-2</v>
      </c>
      <c r="K38" s="123">
        <f t="shared" si="7"/>
        <v>0.6784</v>
      </c>
      <c r="L38" s="122"/>
      <c r="M38" s="122"/>
      <c r="N38" s="123">
        <f t="shared" si="8"/>
        <v>0</v>
      </c>
      <c r="O38" s="123"/>
      <c r="P38" s="123"/>
      <c r="Q38" s="123"/>
      <c r="R38" s="114" t="s">
        <v>326</v>
      </c>
    </row>
    <row r="39" spans="1:18" ht="25" customHeight="1">
      <c r="A39" s="116">
        <v>9</v>
      </c>
      <c r="B39" s="116" t="s">
        <v>299</v>
      </c>
      <c r="C39" s="116"/>
      <c r="D39" s="114" t="s">
        <v>274</v>
      </c>
      <c r="E39" s="114" t="s">
        <v>221</v>
      </c>
      <c r="F39" s="116"/>
      <c r="G39" s="117">
        <f>G24*2</f>
        <v>8</v>
      </c>
      <c r="H39" s="164" t="s">
        <v>275</v>
      </c>
      <c r="I39" s="165"/>
      <c r="J39" s="122">
        <v>6.8000000000000005E-2</v>
      </c>
      <c r="K39" s="123">
        <f t="shared" si="7"/>
        <v>0.54400000000000004</v>
      </c>
      <c r="L39" s="122"/>
      <c r="M39" s="122"/>
      <c r="N39" s="123">
        <f t="shared" si="8"/>
        <v>0</v>
      </c>
      <c r="O39" s="123"/>
      <c r="P39" s="123"/>
      <c r="Q39" s="123"/>
      <c r="R39" s="114" t="s">
        <v>326</v>
      </c>
    </row>
    <row r="40" spans="1:18" ht="25" customHeight="1">
      <c r="A40" s="116"/>
      <c r="B40" s="116" t="s">
        <v>299</v>
      </c>
      <c r="C40" s="116"/>
      <c r="D40" s="114" t="s">
        <v>277</v>
      </c>
      <c r="E40" s="114"/>
      <c r="F40" s="116"/>
      <c r="G40" s="117"/>
      <c r="H40" s="149"/>
      <c r="I40" s="150"/>
      <c r="J40" s="122"/>
      <c r="K40" s="123"/>
      <c r="L40" s="122"/>
      <c r="M40" s="122"/>
      <c r="N40" s="123"/>
      <c r="O40" s="123"/>
      <c r="P40" s="123"/>
      <c r="Q40" s="123"/>
      <c r="R40" s="114"/>
    </row>
    <row r="41" spans="1:18" ht="25" customHeight="1">
      <c r="A41" s="116"/>
      <c r="B41" s="116" t="s">
        <v>299</v>
      </c>
      <c r="C41" s="116"/>
      <c r="D41" s="114" t="s">
        <v>192</v>
      </c>
      <c r="E41" s="114"/>
      <c r="F41" s="116"/>
      <c r="G41" s="117"/>
      <c r="H41" s="149"/>
      <c r="I41" s="150"/>
      <c r="J41" s="122"/>
      <c r="K41" s="123"/>
      <c r="L41" s="122"/>
      <c r="M41" s="122"/>
      <c r="N41" s="123"/>
      <c r="O41" s="123"/>
      <c r="P41" s="123"/>
      <c r="Q41" s="123"/>
      <c r="R41" s="114"/>
    </row>
    <row r="42" spans="1:18" ht="25" customHeight="1">
      <c r="A42" s="116"/>
      <c r="B42" s="116" t="s">
        <v>299</v>
      </c>
      <c r="C42" s="116"/>
      <c r="D42" s="114" t="s">
        <v>187</v>
      </c>
      <c r="E42" s="114"/>
      <c r="F42" s="116"/>
      <c r="G42" s="117"/>
      <c r="H42" s="149"/>
      <c r="I42" s="150"/>
      <c r="J42" s="122"/>
      <c r="K42" s="123"/>
      <c r="L42" s="122"/>
      <c r="M42" s="122"/>
      <c r="N42" s="123"/>
      <c r="O42" s="123"/>
      <c r="P42" s="123"/>
      <c r="Q42" s="123"/>
      <c r="R42" s="114"/>
    </row>
    <row r="43" spans="1:18" ht="45.75" customHeight="1">
      <c r="A43" s="116">
        <v>10</v>
      </c>
      <c r="B43" s="116" t="s">
        <v>299</v>
      </c>
      <c r="C43" s="116"/>
      <c r="D43" s="114" t="s">
        <v>219</v>
      </c>
      <c r="E43" s="114" t="s">
        <v>221</v>
      </c>
      <c r="F43" s="116"/>
      <c r="G43" s="117">
        <f>G21*2+G23</f>
        <v>12</v>
      </c>
      <c r="H43" s="164" t="s">
        <v>276</v>
      </c>
      <c r="I43" s="165"/>
      <c r="J43" s="122">
        <v>4.7E-2</v>
      </c>
      <c r="K43" s="123">
        <f t="shared" ref="K43:K57" si="9">J43*G43</f>
        <v>0.56400000000000006</v>
      </c>
      <c r="L43" s="122"/>
      <c r="M43" s="122"/>
      <c r="N43" s="123">
        <f t="shared" ref="N43:N57" si="10">M43*J43</f>
        <v>0</v>
      </c>
      <c r="O43" s="123"/>
      <c r="P43" s="123"/>
      <c r="Q43" s="123"/>
      <c r="R43" s="114"/>
    </row>
    <row r="44" spans="1:18" ht="25" customHeight="1">
      <c r="A44" s="116">
        <v>11</v>
      </c>
      <c r="B44" s="116" t="s">
        <v>299</v>
      </c>
      <c r="C44" s="116"/>
      <c r="D44" s="114" t="s">
        <v>277</v>
      </c>
      <c r="E44" s="114" t="s">
        <v>266</v>
      </c>
      <c r="F44" s="116"/>
      <c r="G44" s="117">
        <f>SUM(G39:G43)*2+G22*2</f>
        <v>44</v>
      </c>
      <c r="H44" s="164"/>
      <c r="I44" s="165"/>
      <c r="J44" s="122">
        <v>6.3E-3</v>
      </c>
      <c r="K44" s="123">
        <f t="shared" si="9"/>
        <v>0.2772</v>
      </c>
      <c r="L44" s="122"/>
      <c r="M44" s="122"/>
      <c r="N44" s="123">
        <f t="shared" si="10"/>
        <v>0</v>
      </c>
      <c r="O44" s="123"/>
      <c r="P44" s="123"/>
      <c r="Q44" s="123"/>
      <c r="R44" s="114" t="s">
        <v>326</v>
      </c>
    </row>
    <row r="45" spans="1:18" ht="25" customHeight="1">
      <c r="A45" s="116">
        <v>12</v>
      </c>
      <c r="B45" s="116" t="s">
        <v>299</v>
      </c>
      <c r="C45" s="116"/>
      <c r="D45" s="114" t="s">
        <v>192</v>
      </c>
      <c r="E45" s="114" t="s">
        <v>188</v>
      </c>
      <c r="F45" s="116"/>
      <c r="G45" s="117">
        <f>SUM(G39:G43)+G22*2</f>
        <v>24</v>
      </c>
      <c r="H45" s="164"/>
      <c r="I45" s="165"/>
      <c r="J45" s="122">
        <v>2.1999999999999999E-2</v>
      </c>
      <c r="K45" s="123">
        <f t="shared" si="9"/>
        <v>0.52800000000000002</v>
      </c>
      <c r="L45" s="122"/>
      <c r="M45" s="122"/>
      <c r="N45" s="123">
        <f t="shared" si="10"/>
        <v>0</v>
      </c>
      <c r="O45" s="123"/>
      <c r="P45" s="123"/>
      <c r="Q45" s="123"/>
      <c r="R45" s="114" t="s">
        <v>326</v>
      </c>
    </row>
    <row r="46" spans="1:18" ht="25" customHeight="1">
      <c r="A46" s="116">
        <v>13</v>
      </c>
      <c r="B46" s="116" t="s">
        <v>299</v>
      </c>
      <c r="C46" s="116"/>
      <c r="D46" s="114" t="s">
        <v>187</v>
      </c>
      <c r="E46" s="114" t="s">
        <v>189</v>
      </c>
      <c r="F46" s="116"/>
      <c r="G46" s="117">
        <f>G45+G22*4+G24*2</f>
        <v>40</v>
      </c>
      <c r="H46" s="164"/>
      <c r="I46" s="165"/>
      <c r="J46" s="122">
        <v>1.37E-2</v>
      </c>
      <c r="K46" s="123">
        <f t="shared" si="9"/>
        <v>0.54800000000000004</v>
      </c>
      <c r="L46" s="122"/>
      <c r="M46" s="122"/>
      <c r="N46" s="123">
        <f t="shared" si="10"/>
        <v>0</v>
      </c>
      <c r="O46" s="123"/>
      <c r="P46" s="123"/>
      <c r="Q46" s="123"/>
      <c r="R46" s="114" t="s">
        <v>326</v>
      </c>
    </row>
    <row r="47" spans="1:18" ht="39.75" customHeight="1">
      <c r="A47" s="116">
        <v>14</v>
      </c>
      <c r="B47" s="116" t="s">
        <v>299</v>
      </c>
      <c r="C47" s="116"/>
      <c r="D47" s="114" t="s">
        <v>210</v>
      </c>
      <c r="E47" s="114" t="s">
        <v>201</v>
      </c>
      <c r="F47" s="116"/>
      <c r="G47" s="117">
        <f>G12*2+G13*12</f>
        <v>80</v>
      </c>
      <c r="H47" s="164" t="s">
        <v>222</v>
      </c>
      <c r="I47" s="165"/>
      <c r="J47" s="122">
        <v>2.9000000000000001E-2</v>
      </c>
      <c r="K47" s="123">
        <f t="shared" si="9"/>
        <v>2.3200000000000003</v>
      </c>
      <c r="L47" s="122"/>
      <c r="M47" s="122"/>
      <c r="N47" s="123">
        <f t="shared" si="10"/>
        <v>0</v>
      </c>
      <c r="O47" s="123"/>
      <c r="P47" s="123"/>
      <c r="Q47" s="123"/>
      <c r="R47" s="114" t="s">
        <v>326</v>
      </c>
    </row>
    <row r="48" spans="1:18" ht="24.75" customHeight="1">
      <c r="A48" s="116">
        <v>15</v>
      </c>
      <c r="B48" s="116" t="s">
        <v>299</v>
      </c>
      <c r="C48" s="116"/>
      <c r="D48" s="114" t="s">
        <v>278</v>
      </c>
      <c r="E48" s="114" t="s">
        <v>266</v>
      </c>
      <c r="F48" s="124"/>
      <c r="G48" s="117">
        <f>G47*2</f>
        <v>160</v>
      </c>
      <c r="H48" s="164"/>
      <c r="I48" s="165"/>
      <c r="J48" s="122">
        <v>1.2E-2</v>
      </c>
      <c r="K48" s="123">
        <f t="shared" si="9"/>
        <v>1.92</v>
      </c>
      <c r="L48" s="122"/>
      <c r="M48" s="122"/>
      <c r="N48" s="123">
        <f t="shared" si="10"/>
        <v>0</v>
      </c>
      <c r="O48" s="123"/>
      <c r="P48" s="123"/>
      <c r="Q48" s="123"/>
      <c r="R48" s="114" t="s">
        <v>326</v>
      </c>
    </row>
    <row r="49" spans="1:18" ht="25" customHeight="1">
      <c r="A49" s="116">
        <v>16</v>
      </c>
      <c r="B49" s="116" t="s">
        <v>299</v>
      </c>
      <c r="C49" s="116"/>
      <c r="D49" s="114" t="s">
        <v>190</v>
      </c>
      <c r="E49" s="114" t="s">
        <v>188</v>
      </c>
      <c r="F49" s="124"/>
      <c r="G49" s="117">
        <f>G47+G19*2+G18*2</f>
        <v>108</v>
      </c>
      <c r="H49" s="164"/>
      <c r="I49" s="165"/>
      <c r="J49" s="122">
        <v>2.3E-3</v>
      </c>
      <c r="K49" s="123">
        <f t="shared" si="9"/>
        <v>0.24840000000000001</v>
      </c>
      <c r="L49" s="122"/>
      <c r="M49" s="122"/>
      <c r="N49" s="123">
        <f t="shared" si="10"/>
        <v>0</v>
      </c>
      <c r="O49" s="123"/>
      <c r="P49" s="123"/>
      <c r="Q49" s="123"/>
      <c r="R49" s="114" t="s">
        <v>326</v>
      </c>
    </row>
    <row r="50" spans="1:18" ht="25" customHeight="1">
      <c r="A50" s="116">
        <v>17</v>
      </c>
      <c r="B50" s="116" t="s">
        <v>299</v>
      </c>
      <c r="C50" s="116"/>
      <c r="D50" s="114" t="s">
        <v>191</v>
      </c>
      <c r="E50" s="114" t="s">
        <v>189</v>
      </c>
      <c r="F50" s="124"/>
      <c r="G50" s="117">
        <f>G47+G14*4+G19*2+G18*4</f>
        <v>176</v>
      </c>
      <c r="H50" s="164"/>
      <c r="I50" s="165"/>
      <c r="J50" s="122">
        <v>9.4999999999999998E-3</v>
      </c>
      <c r="K50" s="123">
        <f t="shared" si="9"/>
        <v>1.6719999999999999</v>
      </c>
      <c r="L50" s="122"/>
      <c r="M50" s="122"/>
      <c r="N50" s="123">
        <f t="shared" si="10"/>
        <v>0</v>
      </c>
      <c r="O50" s="123"/>
      <c r="P50" s="123"/>
      <c r="Q50" s="123"/>
      <c r="R50" s="114" t="s">
        <v>326</v>
      </c>
    </row>
    <row r="51" spans="1:18" ht="25" customHeight="1">
      <c r="A51" s="116">
        <v>18</v>
      </c>
      <c r="B51" s="116" t="s">
        <v>299</v>
      </c>
      <c r="C51" s="116"/>
      <c r="D51" s="114" t="s">
        <v>281</v>
      </c>
      <c r="E51" s="114" t="s">
        <v>279</v>
      </c>
      <c r="F51" s="116" t="s">
        <v>208</v>
      </c>
      <c r="G51" s="117">
        <f>LEFT(E60,1)*RIGHT(E60,2)*4</f>
        <v>112</v>
      </c>
      <c r="H51" s="164" t="s">
        <v>209</v>
      </c>
      <c r="I51" s="165"/>
      <c r="J51" s="122">
        <v>1.55E-2</v>
      </c>
      <c r="K51" s="123">
        <f t="shared" si="9"/>
        <v>1.736</v>
      </c>
      <c r="L51" s="122"/>
      <c r="M51" s="122"/>
      <c r="N51" s="123">
        <f t="shared" si="10"/>
        <v>0</v>
      </c>
      <c r="O51" s="123"/>
      <c r="P51" s="123"/>
      <c r="Q51" s="123"/>
      <c r="R51" s="114"/>
    </row>
    <row r="52" spans="1:18" ht="25" customHeight="1">
      <c r="A52" s="116">
        <v>19</v>
      </c>
      <c r="B52" s="116" t="s">
        <v>299</v>
      </c>
      <c r="C52" s="116"/>
      <c r="D52" s="114" t="s">
        <v>195</v>
      </c>
      <c r="E52" s="114" t="s">
        <v>205</v>
      </c>
      <c r="F52" s="116" t="s">
        <v>208</v>
      </c>
      <c r="G52" s="117">
        <f>G51</f>
        <v>112</v>
      </c>
      <c r="H52" s="164"/>
      <c r="I52" s="165"/>
      <c r="J52" s="122">
        <v>6.3E-3</v>
      </c>
      <c r="K52" s="123">
        <f t="shared" si="9"/>
        <v>0.7056</v>
      </c>
      <c r="L52" s="122"/>
      <c r="M52" s="122"/>
      <c r="N52" s="123">
        <f t="shared" si="10"/>
        <v>0</v>
      </c>
      <c r="O52" s="123"/>
      <c r="P52" s="123"/>
      <c r="Q52" s="123"/>
      <c r="R52" s="114"/>
    </row>
    <row r="53" spans="1:18" ht="25" customHeight="1">
      <c r="A53" s="116">
        <v>20</v>
      </c>
      <c r="B53" s="116" t="s">
        <v>299</v>
      </c>
      <c r="C53" s="116"/>
      <c r="D53" s="114" t="s">
        <v>193</v>
      </c>
      <c r="E53" s="114" t="s">
        <v>206</v>
      </c>
      <c r="F53" s="116" t="s">
        <v>208</v>
      </c>
      <c r="G53" s="117">
        <f>G52</f>
        <v>112</v>
      </c>
      <c r="H53" s="164"/>
      <c r="I53" s="165"/>
      <c r="J53" s="122">
        <v>1.1999999999999999E-3</v>
      </c>
      <c r="K53" s="123">
        <f t="shared" si="9"/>
        <v>0.13439999999999999</v>
      </c>
      <c r="L53" s="122"/>
      <c r="M53" s="122"/>
      <c r="N53" s="123">
        <f t="shared" si="10"/>
        <v>0</v>
      </c>
      <c r="O53" s="123"/>
      <c r="P53" s="123"/>
      <c r="Q53" s="123"/>
      <c r="R53" s="114"/>
    </row>
    <row r="54" spans="1:18" ht="25" customHeight="1">
      <c r="A54" s="116">
        <v>21</v>
      </c>
      <c r="B54" s="116" t="s">
        <v>299</v>
      </c>
      <c r="C54" s="116"/>
      <c r="D54" s="114" t="s">
        <v>194</v>
      </c>
      <c r="E54" s="114" t="s">
        <v>207</v>
      </c>
      <c r="F54" s="116" t="s">
        <v>208</v>
      </c>
      <c r="G54" s="117">
        <f>G51*2</f>
        <v>224</v>
      </c>
      <c r="H54" s="164"/>
      <c r="I54" s="165"/>
      <c r="J54" s="122">
        <v>4.1999999999999997E-3</v>
      </c>
      <c r="K54" s="123">
        <f t="shared" si="9"/>
        <v>0.94079999999999997</v>
      </c>
      <c r="L54" s="122"/>
      <c r="M54" s="122"/>
      <c r="N54" s="123">
        <f t="shared" si="10"/>
        <v>0</v>
      </c>
      <c r="O54" s="123"/>
      <c r="P54" s="123"/>
      <c r="Q54" s="123"/>
      <c r="R54" s="114"/>
    </row>
    <row r="55" spans="1:18" ht="25" customHeight="1">
      <c r="A55" s="116">
        <v>22</v>
      </c>
      <c r="B55" s="116" t="s">
        <v>299</v>
      </c>
      <c r="C55" s="116"/>
      <c r="D55" s="114" t="s">
        <v>195</v>
      </c>
      <c r="E55" s="114" t="s">
        <v>282</v>
      </c>
      <c r="F55" s="116"/>
      <c r="G55" s="117">
        <f>(SUM(G14:G17)+G10)*2</f>
        <v>70</v>
      </c>
      <c r="H55" s="154" t="s">
        <v>285</v>
      </c>
      <c r="I55" s="155"/>
      <c r="J55" s="122">
        <v>6.3E-3</v>
      </c>
      <c r="K55" s="123">
        <f t="shared" si="9"/>
        <v>0.441</v>
      </c>
      <c r="L55" s="122"/>
      <c r="M55" s="122"/>
      <c r="N55" s="123">
        <f t="shared" si="10"/>
        <v>0</v>
      </c>
      <c r="O55" s="123"/>
      <c r="P55" s="123"/>
      <c r="Q55" s="123"/>
      <c r="R55" s="114" t="s">
        <v>217</v>
      </c>
    </row>
    <row r="56" spans="1:18" ht="25" customHeight="1">
      <c r="A56" s="116">
        <v>23</v>
      </c>
      <c r="B56" s="116" t="s">
        <v>299</v>
      </c>
      <c r="C56" s="116"/>
      <c r="D56" s="114" t="s">
        <v>193</v>
      </c>
      <c r="E56" s="114" t="s">
        <v>283</v>
      </c>
      <c r="F56" s="116"/>
      <c r="G56" s="117">
        <f>(SUM(G14:G17)+G10)*2</f>
        <v>70</v>
      </c>
      <c r="H56" s="156"/>
      <c r="I56" s="157"/>
      <c r="J56" s="122">
        <v>1.1999999999999999E-3</v>
      </c>
      <c r="K56" s="123">
        <f t="shared" si="9"/>
        <v>8.3999999999999991E-2</v>
      </c>
      <c r="L56" s="122"/>
      <c r="M56" s="122"/>
      <c r="N56" s="123">
        <f t="shared" si="10"/>
        <v>0</v>
      </c>
      <c r="O56" s="123"/>
      <c r="P56" s="123"/>
      <c r="Q56" s="123"/>
      <c r="R56" s="114" t="s">
        <v>217</v>
      </c>
    </row>
    <row r="57" spans="1:18" ht="25" customHeight="1">
      <c r="A57" s="116">
        <v>24</v>
      </c>
      <c r="B57" s="116" t="s">
        <v>299</v>
      </c>
      <c r="C57" s="116"/>
      <c r="D57" s="114" t="s">
        <v>194</v>
      </c>
      <c r="E57" s="114" t="s">
        <v>284</v>
      </c>
      <c r="F57" s="116"/>
      <c r="G57" s="117">
        <f>(SUM(G14:G17)+G10)*4</f>
        <v>140</v>
      </c>
      <c r="H57" s="158"/>
      <c r="I57" s="159"/>
      <c r="J57" s="122">
        <v>4.1999999999999997E-3</v>
      </c>
      <c r="K57" s="123">
        <f t="shared" si="9"/>
        <v>0.58799999999999997</v>
      </c>
      <c r="L57" s="122"/>
      <c r="M57" s="122"/>
      <c r="N57" s="123">
        <f t="shared" si="10"/>
        <v>0</v>
      </c>
      <c r="O57" s="123"/>
      <c r="P57" s="123"/>
      <c r="Q57" s="123"/>
      <c r="R57" s="114" t="s">
        <v>217</v>
      </c>
    </row>
    <row r="58" spans="1:18" ht="25" customHeight="1" thickBot="1">
      <c r="D58" s="125"/>
      <c r="E58" s="125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5"/>
    </row>
    <row r="59" spans="1:18" ht="25" customHeight="1">
      <c r="D59" s="160" t="s">
        <v>327</v>
      </c>
      <c r="E59" s="161"/>
      <c r="F59" s="162"/>
      <c r="H59" s="167" t="s">
        <v>328</v>
      </c>
      <c r="I59" s="168"/>
      <c r="J59" s="168"/>
      <c r="K59" s="169"/>
      <c r="L59" s="121"/>
      <c r="M59" s="121"/>
      <c r="N59" s="121"/>
      <c r="O59" s="121"/>
      <c r="P59" s="121"/>
      <c r="Q59" s="121"/>
      <c r="R59" s="125"/>
    </row>
    <row r="60" spans="1:18" ht="25" customHeight="1">
      <c r="D60" s="127" t="s">
        <v>224</v>
      </c>
      <c r="E60" s="116" t="s">
        <v>280</v>
      </c>
      <c r="F60" s="128"/>
      <c r="H60" s="127" t="s">
        <v>224</v>
      </c>
      <c r="I60" s="152" t="str">
        <f>E60</f>
        <v>2x14</v>
      </c>
      <c r="J60" s="152"/>
      <c r="K60" s="128"/>
    </row>
    <row r="61" spans="1:18" ht="25" customHeight="1">
      <c r="D61" s="127" t="s">
        <v>225</v>
      </c>
      <c r="E61" s="116">
        <f>LEFT(E60,1)*RIGHT(E60,2)*E63/1000</f>
        <v>15.4</v>
      </c>
      <c r="F61" s="128" t="s">
        <v>211</v>
      </c>
      <c r="H61" s="127" t="s">
        <v>225</v>
      </c>
      <c r="I61" s="152">
        <f>LEFT(I60,1)*RIGHT(I60,2)*I63/1000</f>
        <v>15.4</v>
      </c>
      <c r="J61" s="152"/>
      <c r="K61" s="128" t="s">
        <v>211</v>
      </c>
    </row>
    <row r="62" spans="1:18" ht="25" customHeight="1">
      <c r="D62" s="127" t="s">
        <v>226</v>
      </c>
      <c r="E62" s="123">
        <f>SUM(K3:K57)</f>
        <v>570.45615339999983</v>
      </c>
      <c r="F62" s="128" t="s">
        <v>14</v>
      </c>
      <c r="H62" s="127" t="s">
        <v>226</v>
      </c>
      <c r="I62" s="163">
        <f>SUM(O3:O57)</f>
        <v>0</v>
      </c>
      <c r="J62" s="163"/>
      <c r="K62" s="128" t="s">
        <v>14</v>
      </c>
    </row>
    <row r="63" spans="1:18" ht="25" customHeight="1">
      <c r="D63" s="127" t="s">
        <v>223</v>
      </c>
      <c r="E63" s="116">
        <v>550</v>
      </c>
      <c r="F63" s="128" t="s">
        <v>174</v>
      </c>
      <c r="H63" s="127" t="s">
        <v>223</v>
      </c>
      <c r="I63" s="152">
        <v>550</v>
      </c>
      <c r="J63" s="152"/>
      <c r="K63" s="128" t="s">
        <v>174</v>
      </c>
    </row>
    <row r="64" spans="1:18" ht="25" customHeight="1">
      <c r="D64" s="127" t="s">
        <v>227</v>
      </c>
      <c r="E64" s="129">
        <f>E62/E61</f>
        <v>37.04260736363635</v>
      </c>
      <c r="F64" s="128" t="s">
        <v>212</v>
      </c>
      <c r="H64" s="127" t="s">
        <v>227</v>
      </c>
      <c r="I64" s="153">
        <f>I62/I61</f>
        <v>0</v>
      </c>
      <c r="J64" s="153"/>
      <c r="K64" s="128" t="s">
        <v>212</v>
      </c>
    </row>
    <row r="65" spans="4:11" ht="25" customHeight="1">
      <c r="D65" s="127" t="s">
        <v>329</v>
      </c>
      <c r="E65" s="116"/>
      <c r="F65" s="130" t="s">
        <v>330</v>
      </c>
      <c r="G65" s="131"/>
      <c r="H65" s="127" t="s">
        <v>329</v>
      </c>
      <c r="I65" s="152"/>
      <c r="J65" s="152"/>
      <c r="K65" s="130" t="s">
        <v>330</v>
      </c>
    </row>
    <row r="66" spans="4:11" ht="26.65" customHeight="1" thickBot="1">
      <c r="D66" s="132" t="s">
        <v>331</v>
      </c>
      <c r="E66" s="133"/>
      <c r="F66" s="134" t="s">
        <v>17</v>
      </c>
      <c r="H66" s="132" t="s">
        <v>331</v>
      </c>
      <c r="I66" s="166"/>
      <c r="J66" s="166"/>
      <c r="K66" s="134" t="s">
        <v>17</v>
      </c>
    </row>
  </sheetData>
  <mergeCells count="33">
    <mergeCell ref="I65:J65"/>
    <mergeCell ref="I66:J66"/>
    <mergeCell ref="H59:K59"/>
    <mergeCell ref="D4:D5"/>
    <mergeCell ref="H48:I48"/>
    <mergeCell ref="A30:I30"/>
    <mergeCell ref="H35:I35"/>
    <mergeCell ref="H32:I32"/>
    <mergeCell ref="H36:I36"/>
    <mergeCell ref="H37:I37"/>
    <mergeCell ref="H38:I38"/>
    <mergeCell ref="H39:I39"/>
    <mergeCell ref="H44:I44"/>
    <mergeCell ref="H45:I45"/>
    <mergeCell ref="H46:I46"/>
    <mergeCell ref="H47:I47"/>
    <mergeCell ref="H31:I31"/>
    <mergeCell ref="H33:I33"/>
    <mergeCell ref="H34:I34"/>
    <mergeCell ref="H43:I43"/>
    <mergeCell ref="H49:I49"/>
    <mergeCell ref="H50:I50"/>
    <mergeCell ref="H51:I51"/>
    <mergeCell ref="H52:I52"/>
    <mergeCell ref="H53:I53"/>
    <mergeCell ref="H54:I54"/>
    <mergeCell ref="I63:J63"/>
    <mergeCell ref="I64:J64"/>
    <mergeCell ref="H55:I57"/>
    <mergeCell ref="D59:F59"/>
    <mergeCell ref="I60:J60"/>
    <mergeCell ref="I61:J61"/>
    <mergeCell ref="I62:J62"/>
  </mergeCells>
  <phoneticPr fontId="15" type="noConversion"/>
  <conditionalFormatting sqref="F48:F50">
    <cfRule type="expression" dxfId="0" priority="1">
      <formula>FIND("Q345",#REF!,1)</formula>
    </cfRule>
  </conditionalFormatting>
  <dataValidations disablePrompts="1" count="1">
    <dataValidation type="list" allowBlank="1" showInputMessage="1" sqref="C3:C29" xr:uid="{CEA53EF3-CEA2-4918-96EB-F70AD32380FA}">
      <formula1>"-0.025,-0.05,-0.10,-0.15,-0.20,-0.25,-0.30,-0.40,-0.50,Φ7.0,Φ8.8,Φ10.8"</formula1>
    </dataValidation>
  </dataValidations>
  <pageMargins left="0.39370078740157499" right="0.39370078740157499" top="0.74803149606299202" bottom="0.74803149606299202" header="0.31496062992126" footer="0.31496062992126"/>
  <pageSetup paperSize="9" scale="63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116AFCB-F9D2-42D2-A2D3-146F4885B986}">
          <x14:formula1>
            <xm:f>Sheet1!$A$2:$A$19</xm:f>
          </x14:formula1>
          <xm:sqref>B3:B29</xm:sqref>
        </x14:dataValidation>
        <x14:dataValidation type="list" allowBlank="1" showInputMessage="1" showErrorMessage="1" xr:uid="{AFF00268-BCF5-437C-AD7B-A572E1DFCB9F}">
          <x14:formula1>
            <xm:f>Sheet1!$B$2:$B$15</xm:f>
          </x14:formula1>
          <xm:sqref>R3:R57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CA73-9A1E-4EEF-AEF8-4BE54BAFC2B1}">
  <dimension ref="A1:C19"/>
  <sheetViews>
    <sheetView workbookViewId="0">
      <selection activeCell="L19" sqref="L19"/>
    </sheetView>
  </sheetViews>
  <sheetFormatPr defaultColWidth="9.08203125" defaultRowHeight="14"/>
  <cols>
    <col min="1" max="1" width="15.4140625" style="135" customWidth="1"/>
    <col min="2" max="2" width="33.5" style="135" customWidth="1"/>
    <col min="3" max="3" width="11.75" style="137" customWidth="1"/>
    <col min="4" max="16384" width="9.08203125" style="135"/>
  </cols>
  <sheetData>
    <row r="1" spans="1:3" ht="24" customHeight="1">
      <c r="A1" s="138" t="s">
        <v>335</v>
      </c>
      <c r="B1" s="138" t="s">
        <v>315</v>
      </c>
      <c r="C1" s="138" t="s">
        <v>344</v>
      </c>
    </row>
    <row r="2" spans="1:3" ht="24" customHeight="1">
      <c r="A2" s="136" t="s">
        <v>292</v>
      </c>
      <c r="B2" s="136" t="s">
        <v>316</v>
      </c>
      <c r="C2" s="139">
        <v>-2.5000000000000001E-2</v>
      </c>
    </row>
    <row r="3" spans="1:3" ht="24" customHeight="1">
      <c r="A3" s="136" t="s">
        <v>336</v>
      </c>
      <c r="B3" s="136" t="s">
        <v>317</v>
      </c>
      <c r="C3" s="140">
        <v>-0.05</v>
      </c>
    </row>
    <row r="4" spans="1:3" ht="24" customHeight="1">
      <c r="A4" s="136" t="s">
        <v>293</v>
      </c>
      <c r="B4" s="136" t="s">
        <v>318</v>
      </c>
      <c r="C4" s="140">
        <v>-0.1</v>
      </c>
    </row>
    <row r="5" spans="1:3" ht="24" customHeight="1">
      <c r="A5" s="136" t="s">
        <v>337</v>
      </c>
      <c r="B5" s="136" t="s">
        <v>319</v>
      </c>
      <c r="C5" s="140">
        <v>-0.15</v>
      </c>
    </row>
    <row r="6" spans="1:3" ht="24" customHeight="1">
      <c r="A6" s="136" t="s">
        <v>338</v>
      </c>
      <c r="B6" s="136" t="s">
        <v>326</v>
      </c>
      <c r="C6" s="140">
        <v>-0.2</v>
      </c>
    </row>
    <row r="7" spans="1:3" ht="24" customHeight="1">
      <c r="A7" s="136" t="s">
        <v>298</v>
      </c>
      <c r="B7" s="136" t="s">
        <v>320</v>
      </c>
      <c r="C7" s="140">
        <v>-0.25</v>
      </c>
    </row>
    <row r="8" spans="1:3" ht="24" customHeight="1">
      <c r="A8" s="136" t="s">
        <v>296</v>
      </c>
      <c r="B8" s="136" t="s">
        <v>321</v>
      </c>
      <c r="C8" s="140">
        <v>-0.3</v>
      </c>
    </row>
    <row r="9" spans="1:3" ht="24" customHeight="1">
      <c r="A9" s="136" t="s">
        <v>339</v>
      </c>
      <c r="B9" s="136" t="s">
        <v>321</v>
      </c>
      <c r="C9" s="140">
        <v>-0.4</v>
      </c>
    </row>
    <row r="10" spans="1:3" ht="24" customHeight="1">
      <c r="A10" s="136" t="s">
        <v>340</v>
      </c>
      <c r="B10" s="136" t="s">
        <v>322</v>
      </c>
      <c r="C10" s="140">
        <v>-0.5</v>
      </c>
    </row>
    <row r="11" spans="1:3" ht="24" customHeight="1">
      <c r="A11" s="136" t="s">
        <v>295</v>
      </c>
      <c r="B11" s="136" t="s">
        <v>333</v>
      </c>
      <c r="C11" s="139"/>
    </row>
    <row r="12" spans="1:3" ht="24" customHeight="1">
      <c r="A12" s="136" t="s">
        <v>342</v>
      </c>
      <c r="B12" s="136" t="s">
        <v>323</v>
      </c>
      <c r="C12" s="139"/>
    </row>
    <row r="13" spans="1:3" ht="23.65" customHeight="1">
      <c r="A13" s="136" t="s">
        <v>343</v>
      </c>
      <c r="B13" s="136" t="s">
        <v>324</v>
      </c>
      <c r="C13" s="139"/>
    </row>
    <row r="14" spans="1:3" ht="24" customHeight="1">
      <c r="A14" s="136" t="s">
        <v>300</v>
      </c>
      <c r="B14" s="136" t="s">
        <v>325</v>
      </c>
      <c r="C14" s="139"/>
    </row>
    <row r="15" spans="1:3" ht="24" customHeight="1">
      <c r="A15" s="136" t="s">
        <v>346</v>
      </c>
      <c r="B15" s="136" t="s">
        <v>332</v>
      </c>
      <c r="C15" s="139"/>
    </row>
    <row r="16" spans="1:3" ht="24" customHeight="1">
      <c r="A16" s="136" t="s">
        <v>294</v>
      </c>
      <c r="B16" s="136"/>
      <c r="C16" s="139"/>
    </row>
    <row r="17" spans="1:3" ht="24" customHeight="1">
      <c r="A17" s="136" t="s">
        <v>345</v>
      </c>
      <c r="B17" s="136"/>
      <c r="C17" s="139"/>
    </row>
    <row r="18" spans="1:3" ht="24" customHeight="1">
      <c r="A18" s="136" t="s">
        <v>347</v>
      </c>
      <c r="B18" s="136"/>
      <c r="C18" s="139"/>
    </row>
    <row r="19" spans="1:3" ht="24" customHeight="1">
      <c r="A19" s="136" t="s">
        <v>299</v>
      </c>
      <c r="B19" s="136"/>
      <c r="C19" s="139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6:R31"/>
  <sheetViews>
    <sheetView topLeftCell="A7" workbookViewId="0">
      <selection activeCell="J17" sqref="J17"/>
    </sheetView>
  </sheetViews>
  <sheetFormatPr defaultColWidth="9" defaultRowHeight="14"/>
  <cols>
    <col min="5" max="5" width="19.5" customWidth="1"/>
    <col min="12" max="12" width="6.5" customWidth="1"/>
    <col min="13" max="13" width="10.1640625" customWidth="1"/>
    <col min="15" max="15" width="10.1640625" customWidth="1"/>
    <col min="18" max="18" width="28.83203125" customWidth="1"/>
  </cols>
  <sheetData>
    <row r="6" spans="1:18" s="82" customFormat="1" ht="49.5">
      <c r="A6" s="85" t="s">
        <v>0</v>
      </c>
      <c r="B6" s="85" t="s">
        <v>20</v>
      </c>
      <c r="C6" s="85" t="s">
        <v>73</v>
      </c>
      <c r="D6" s="86" t="s">
        <v>74</v>
      </c>
      <c r="E6" s="85" t="s">
        <v>2</v>
      </c>
      <c r="F6" s="85" t="s">
        <v>18</v>
      </c>
      <c r="G6" s="87" t="s">
        <v>75</v>
      </c>
      <c r="H6" s="85" t="s">
        <v>21</v>
      </c>
      <c r="I6" s="85" t="s">
        <v>76</v>
      </c>
      <c r="J6" s="85" t="s">
        <v>5</v>
      </c>
      <c r="K6" s="85" t="s">
        <v>77</v>
      </c>
      <c r="L6" s="93" t="s">
        <v>78</v>
      </c>
      <c r="M6" s="85" t="s">
        <v>79</v>
      </c>
      <c r="N6" s="94" t="s">
        <v>80</v>
      </c>
      <c r="O6" s="95" t="s">
        <v>81</v>
      </c>
      <c r="P6" s="96" t="s">
        <v>16</v>
      </c>
      <c r="Q6" s="103" t="s">
        <v>82</v>
      </c>
      <c r="R6" s="85" t="s">
        <v>6</v>
      </c>
    </row>
    <row r="7" spans="1:18" s="83" customFormat="1" ht="37.9" customHeight="1">
      <c r="A7" s="88">
        <v>1</v>
      </c>
      <c r="B7" s="88" t="s">
        <v>83</v>
      </c>
      <c r="C7" s="89" t="s">
        <v>84</v>
      </c>
      <c r="D7" s="89" t="s">
        <v>85</v>
      </c>
      <c r="E7" s="89" t="s">
        <v>86</v>
      </c>
      <c r="F7" s="88">
        <v>3</v>
      </c>
      <c r="G7" s="88">
        <v>109.5</v>
      </c>
      <c r="H7" s="89" t="s">
        <v>8</v>
      </c>
      <c r="I7" s="88">
        <f t="shared" ref="I7" si="0">F7*$C$1</f>
        <v>0</v>
      </c>
      <c r="J7" s="97">
        <v>3.0000000000000001E-3</v>
      </c>
      <c r="K7" s="88">
        <f t="shared" ref="K7" si="1">ROUNDUP(I7*(1+J7),0)</f>
        <v>0</v>
      </c>
      <c r="L7" s="98">
        <f t="shared" ref="L7" si="2">G7*K7*10^-3</f>
        <v>0</v>
      </c>
      <c r="M7" s="99" t="e">
        <f t="shared" ref="M7" si="3">L7/SUM($L$4:$L$78)</f>
        <v>#DIV/0!</v>
      </c>
      <c r="N7" s="100">
        <v>6.73</v>
      </c>
      <c r="O7" s="99" t="e">
        <f t="shared" ref="O7" si="4">Q7/$Q$79</f>
        <v>#DIV/0!</v>
      </c>
      <c r="P7" s="101">
        <f t="shared" ref="P7" si="5">G7*N7</f>
        <v>736.93500000000006</v>
      </c>
      <c r="Q7" s="104">
        <f t="shared" ref="Q7" si="6">P7*K7</f>
        <v>0</v>
      </c>
      <c r="R7" s="89" t="s">
        <v>87</v>
      </c>
    </row>
    <row r="8" spans="1:18" s="84" customFormat="1" ht="16.5">
      <c r="E8" s="89" t="s">
        <v>88</v>
      </c>
      <c r="F8" s="90" t="s">
        <v>89</v>
      </c>
      <c r="G8" s="90">
        <v>107.4</v>
      </c>
      <c r="H8" s="90"/>
    </row>
    <row r="9" spans="1:18">
      <c r="E9" s="91"/>
      <c r="F9" s="91" t="s">
        <v>90</v>
      </c>
      <c r="G9" s="91">
        <v>4.782</v>
      </c>
      <c r="H9" s="91"/>
    </row>
    <row r="10" spans="1:18">
      <c r="E10" s="91"/>
      <c r="F10" s="91" t="s">
        <v>91</v>
      </c>
      <c r="G10" s="91">
        <f>G8+G9</f>
        <v>112.182</v>
      </c>
      <c r="H10" s="92">
        <f>G9/G8</f>
        <v>4.4525139664804467E-2</v>
      </c>
    </row>
    <row r="25" spans="5:10">
      <c r="E25" s="84"/>
      <c r="F25" s="84"/>
      <c r="G25" s="84"/>
      <c r="H25" s="84"/>
      <c r="I25" s="102"/>
      <c r="J25" s="84"/>
    </row>
    <row r="26" spans="5:10">
      <c r="E26" s="84"/>
      <c r="F26" s="84"/>
      <c r="G26" s="84"/>
      <c r="H26" s="84"/>
      <c r="I26" s="102"/>
      <c r="J26" s="84"/>
    </row>
    <row r="27" spans="5:10">
      <c r="E27" s="84"/>
      <c r="F27" s="84"/>
      <c r="G27" s="84"/>
      <c r="H27" s="84"/>
      <c r="I27" s="102"/>
      <c r="J27" s="84"/>
    </row>
    <row r="28" spans="5:10">
      <c r="E28" s="84">
        <f>(140*4/3.14-2*2.74)*3.14</f>
        <v>542.79279999999994</v>
      </c>
      <c r="F28" s="84">
        <f>E28*2.74*1000*7850*10^-9</f>
        <v>11.674930335199999</v>
      </c>
      <c r="G28" s="84">
        <v>9.1999999999999993</v>
      </c>
      <c r="H28" s="84">
        <f>F28*G28</f>
        <v>107.40935908383999</v>
      </c>
      <c r="I28" s="102"/>
      <c r="J28" s="84"/>
    </row>
    <row r="29" spans="5:10">
      <c r="E29" s="84">
        <f>100*3.14-2*2.25</f>
        <v>309.5</v>
      </c>
      <c r="F29" s="84">
        <v>393</v>
      </c>
      <c r="G29" s="84"/>
      <c r="H29" s="84"/>
      <c r="I29" s="102"/>
      <c r="J29" s="84"/>
    </row>
    <row r="30" spans="5:10">
      <c r="E30" s="84"/>
      <c r="F30" s="84"/>
      <c r="G30" s="84"/>
      <c r="H30" s="84"/>
      <c r="I30" s="102"/>
      <c r="J30" s="84"/>
    </row>
    <row r="31" spans="5:10">
      <c r="E31" s="84"/>
      <c r="F31" s="84"/>
      <c r="G31" s="84"/>
      <c r="H31" s="84"/>
      <c r="I31" s="102"/>
      <c r="J31" s="84"/>
    </row>
  </sheetData>
  <phoneticPr fontId="15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R96"/>
  <sheetViews>
    <sheetView zoomScale="85" zoomScaleNormal="85" zoomScalePageLayoutView="40" workbookViewId="0">
      <selection activeCell="O5" sqref="O5"/>
    </sheetView>
  </sheetViews>
  <sheetFormatPr defaultColWidth="8.83203125" defaultRowHeight="16.5"/>
  <cols>
    <col min="1" max="1" width="8.83203125" style="2" customWidth="1"/>
    <col min="2" max="2" width="12.25" style="2" customWidth="1"/>
    <col min="3" max="3" width="33.5" style="1" customWidth="1"/>
    <col min="4" max="4" width="47.75" style="1" customWidth="1"/>
    <col min="5" max="5" width="12.25" style="2" customWidth="1"/>
    <col min="6" max="6" width="9.25" style="2" customWidth="1"/>
    <col min="7" max="7" width="19.4140625" style="1" customWidth="1"/>
    <col min="8" max="10" width="10.5" style="2" customWidth="1"/>
    <col min="11" max="11" width="13.75" style="3" customWidth="1"/>
    <col min="12" max="12" width="10.5" style="2" customWidth="1"/>
    <col min="13" max="13" width="9.5" style="4" customWidth="1"/>
    <col min="14" max="14" width="10.5" style="5" customWidth="1"/>
    <col min="15" max="15" width="11.83203125" style="6" customWidth="1"/>
    <col min="16" max="16" width="16.5" style="7" customWidth="1"/>
    <col min="17" max="17" width="69.4140625" style="1" customWidth="1"/>
    <col min="18" max="16384" width="8.83203125" style="8"/>
  </cols>
  <sheetData>
    <row r="1" spans="1:18" ht="28.15" customHeight="1">
      <c r="A1" s="9" t="s">
        <v>92</v>
      </c>
      <c r="B1" s="9"/>
      <c r="C1" s="10">
        <v>4400</v>
      </c>
      <c r="D1" s="10" t="s">
        <v>13</v>
      </c>
      <c r="E1" s="175" t="s">
        <v>93</v>
      </c>
      <c r="F1" s="176"/>
      <c r="G1" s="177"/>
      <c r="H1" s="9">
        <f>C1/100+1</f>
        <v>45</v>
      </c>
      <c r="I1" s="9" t="s">
        <v>13</v>
      </c>
      <c r="J1" s="9"/>
      <c r="K1" s="32"/>
      <c r="L1" s="9"/>
      <c r="M1" s="33"/>
      <c r="N1" s="34"/>
      <c r="O1" s="35"/>
      <c r="P1" s="36"/>
      <c r="Q1" s="10"/>
    </row>
    <row r="2" spans="1:18" ht="32.5" customHeight="1">
      <c r="A2" s="11" t="s">
        <v>0</v>
      </c>
      <c r="B2" s="11" t="s">
        <v>20</v>
      </c>
      <c r="C2" s="11" t="s">
        <v>73</v>
      </c>
      <c r="D2" s="11" t="s">
        <v>2</v>
      </c>
      <c r="E2" s="11" t="s">
        <v>18</v>
      </c>
      <c r="F2" s="11" t="s">
        <v>75</v>
      </c>
      <c r="G2" s="11" t="s">
        <v>21</v>
      </c>
      <c r="H2" s="11" t="s">
        <v>76</v>
      </c>
      <c r="I2" s="11" t="s">
        <v>5</v>
      </c>
      <c r="J2" s="11" t="s">
        <v>77</v>
      </c>
      <c r="K2" s="37" t="s">
        <v>78</v>
      </c>
      <c r="L2" s="11" t="s">
        <v>79</v>
      </c>
      <c r="M2" s="38" t="s">
        <v>80</v>
      </c>
      <c r="N2" s="34" t="s">
        <v>81</v>
      </c>
      <c r="O2" s="39" t="s">
        <v>16</v>
      </c>
      <c r="P2" s="40" t="s">
        <v>82</v>
      </c>
      <c r="Q2" s="11" t="s">
        <v>6</v>
      </c>
    </row>
    <row r="3" spans="1:18" s="1" customFormat="1" ht="19.899999999999999" customHeight="1">
      <c r="A3" s="12" t="s">
        <v>94</v>
      </c>
      <c r="B3" s="12"/>
      <c r="C3" s="10"/>
      <c r="D3" s="10"/>
      <c r="E3" s="10"/>
      <c r="F3" s="10"/>
      <c r="G3" s="10"/>
      <c r="H3" s="10"/>
      <c r="I3" s="10"/>
      <c r="J3" s="10"/>
      <c r="K3" s="41"/>
      <c r="L3" s="42"/>
      <c r="M3" s="33"/>
      <c r="N3" s="43"/>
      <c r="O3" s="44"/>
      <c r="P3" s="45"/>
      <c r="Q3" s="10"/>
    </row>
    <row r="4" spans="1:18" ht="19.899999999999999" customHeight="1">
      <c r="A4" s="9">
        <v>1</v>
      </c>
      <c r="B4" s="9"/>
      <c r="C4" s="10" t="s">
        <v>95</v>
      </c>
      <c r="D4" s="9"/>
      <c r="E4" s="9">
        <v>1</v>
      </c>
      <c r="F4" s="9">
        <v>4</v>
      </c>
      <c r="G4" s="10"/>
      <c r="H4" s="9">
        <f t="shared" ref="H4:H14" si="0">E4*$C$1</f>
        <v>4400</v>
      </c>
      <c r="I4" s="46">
        <v>3.0000000000000001E-3</v>
      </c>
      <c r="J4" s="9">
        <f>ROUNDUP(H4*(1+I4),0)</f>
        <v>4414</v>
      </c>
      <c r="K4" s="32">
        <f>F4*J4*10^-3</f>
        <v>17.655999999999999</v>
      </c>
      <c r="L4" s="42">
        <f t="shared" ref="L4:L14" si="1">K4/SUM($K$4:$K$77)</f>
        <v>3.8009751134866366E-3</v>
      </c>
      <c r="M4" s="33"/>
      <c r="N4" s="42">
        <f t="shared" ref="N4:N14" si="2">P4/$P$78</f>
        <v>9.5853927794804755E-2</v>
      </c>
      <c r="O4" s="35">
        <v>950</v>
      </c>
      <c r="P4" s="36">
        <f t="shared" ref="P4:P14" si="3">O4*J4</f>
        <v>4193300</v>
      </c>
      <c r="R4" s="53">
        <f>O4/D80</f>
        <v>4.1520979020979024E-2</v>
      </c>
    </row>
    <row r="5" spans="1:18" ht="19.899999999999999" customHeight="1">
      <c r="A5" s="9">
        <v>2</v>
      </c>
      <c r="B5" s="9"/>
      <c r="C5" s="10" t="s">
        <v>22</v>
      </c>
      <c r="D5" s="9"/>
      <c r="E5" s="9">
        <v>1</v>
      </c>
      <c r="F5" s="9">
        <v>25</v>
      </c>
      <c r="G5" s="10"/>
      <c r="H5" s="9">
        <f t="shared" si="0"/>
        <v>4400</v>
      </c>
      <c r="I5" s="46">
        <v>3.0000000000000001E-3</v>
      </c>
      <c r="J5" s="9">
        <f>ROUNDUP(H5*(1+I5),0)</f>
        <v>4414</v>
      </c>
      <c r="K5" s="32">
        <f>F5*J5*10^-3</f>
        <v>110.35000000000001</v>
      </c>
      <c r="L5" s="42">
        <f t="shared" si="1"/>
        <v>2.3756094459291482E-2</v>
      </c>
      <c r="M5" s="33"/>
      <c r="N5" s="42">
        <f t="shared" si="2"/>
        <v>7.7692130949473331E-2</v>
      </c>
      <c r="O5" s="35">
        <f>770</f>
        <v>770</v>
      </c>
      <c r="P5" s="36">
        <f t="shared" si="3"/>
        <v>3398780</v>
      </c>
      <c r="Q5" s="10" t="s">
        <v>96</v>
      </c>
    </row>
    <row r="6" spans="1:18" ht="19.899999999999999" customHeight="1">
      <c r="A6" s="9">
        <v>3</v>
      </c>
      <c r="B6" s="13"/>
      <c r="C6" s="14" t="s">
        <v>22</v>
      </c>
      <c r="D6" s="15"/>
      <c r="E6" s="9">
        <v>1</v>
      </c>
      <c r="F6" s="9">
        <v>25</v>
      </c>
      <c r="G6" s="10"/>
      <c r="H6" s="9">
        <f t="shared" si="0"/>
        <v>4400</v>
      </c>
      <c r="I6" s="46">
        <v>3.0000000000000001E-3</v>
      </c>
      <c r="J6" s="9">
        <f>ROUNDUP(H6*(1+I6),0)</f>
        <v>4414</v>
      </c>
      <c r="K6" s="32">
        <f>F6*J6*10^-3</f>
        <v>110.35000000000001</v>
      </c>
      <c r="L6" s="42">
        <f t="shared" si="1"/>
        <v>2.3756094459291482E-2</v>
      </c>
      <c r="M6" s="33"/>
      <c r="N6" s="42">
        <f t="shared" si="2"/>
        <v>8.3342467745798662E-2</v>
      </c>
      <c r="O6" s="35">
        <f>O5+14*4</f>
        <v>826</v>
      </c>
      <c r="P6" s="36">
        <f t="shared" si="3"/>
        <v>3645964</v>
      </c>
      <c r="Q6" s="10" t="s">
        <v>97</v>
      </c>
    </row>
    <row r="7" spans="1:18" ht="19.899999999999999" customHeight="1">
      <c r="A7" s="9">
        <v>4</v>
      </c>
      <c r="B7" s="13"/>
      <c r="C7" s="14" t="s">
        <v>23</v>
      </c>
      <c r="D7" s="10" t="s">
        <v>24</v>
      </c>
      <c r="E7" s="9">
        <v>2</v>
      </c>
      <c r="F7" s="9">
        <v>0.2</v>
      </c>
      <c r="G7" s="10"/>
      <c r="H7" s="9">
        <f t="shared" si="0"/>
        <v>8800</v>
      </c>
      <c r="I7" s="46">
        <v>5.0000000000000001E-3</v>
      </c>
      <c r="J7" s="9">
        <f>ROUNDUP(H7*(1+I7),0)</f>
        <v>8844</v>
      </c>
      <c r="K7" s="32">
        <f>F7*J7*10^-3</f>
        <v>1.7688000000000001</v>
      </c>
      <c r="L7" s="42">
        <f t="shared" si="1"/>
        <v>3.8078640579605592E-4</v>
      </c>
      <c r="M7" s="33"/>
      <c r="N7" s="42">
        <f t="shared" si="2"/>
        <v>1.212980903942842E-3</v>
      </c>
      <c r="O7" s="35">
        <v>6</v>
      </c>
      <c r="P7" s="36">
        <f t="shared" si="3"/>
        <v>53064</v>
      </c>
      <c r="Q7" s="10"/>
    </row>
    <row r="8" spans="1:18" ht="19.899999999999999" customHeight="1">
      <c r="A8" s="9">
        <v>5</v>
      </c>
      <c r="B8" s="13"/>
      <c r="C8" s="14" t="s">
        <v>25</v>
      </c>
      <c r="D8" s="16" t="s">
        <v>98</v>
      </c>
      <c r="E8" s="9">
        <v>2</v>
      </c>
      <c r="F8" s="9">
        <v>0.21099999999999999</v>
      </c>
      <c r="G8" s="10" t="s">
        <v>7</v>
      </c>
      <c r="H8" s="9">
        <f t="shared" si="0"/>
        <v>8800</v>
      </c>
      <c r="I8" s="46">
        <v>5.0000000000000001E-3</v>
      </c>
      <c r="J8" s="9">
        <f>ROUNDUP(H8*(1+I8),0)</f>
        <v>8844</v>
      </c>
      <c r="K8" s="32">
        <f>F8*J8*10^-3</f>
        <v>1.8660839999999999</v>
      </c>
      <c r="L8" s="42">
        <f t="shared" si="1"/>
        <v>4.0172965811483897E-4</v>
      </c>
      <c r="M8" s="47">
        <v>8.5</v>
      </c>
      <c r="N8" s="42">
        <f t="shared" si="2"/>
        <v>3.6258020853691445E-4</v>
      </c>
      <c r="O8" s="35">
        <f>M8*F8</f>
        <v>1.7934999999999999</v>
      </c>
      <c r="P8" s="36">
        <f t="shared" si="3"/>
        <v>15861.713999999998</v>
      </c>
      <c r="Q8" s="53"/>
    </row>
    <row r="9" spans="1:18" ht="19.899999999999999" customHeight="1">
      <c r="A9" s="9">
        <v>6</v>
      </c>
      <c r="B9" s="13"/>
      <c r="C9" s="14" t="s">
        <v>26</v>
      </c>
      <c r="D9" s="10" t="s">
        <v>99</v>
      </c>
      <c r="E9" s="9">
        <v>2</v>
      </c>
      <c r="F9" s="9">
        <v>0.73099999999999998</v>
      </c>
      <c r="G9" s="10" t="s">
        <v>7</v>
      </c>
      <c r="H9" s="9">
        <f t="shared" si="0"/>
        <v>8800</v>
      </c>
      <c r="I9" s="46">
        <v>5.0000000000000001E-3</v>
      </c>
      <c r="J9" s="9">
        <f t="shared" ref="J9:J14" si="4">ROUNDUP(H9*(1+I9),0)</f>
        <v>8844</v>
      </c>
      <c r="K9" s="32">
        <f t="shared" ref="K9:K14" si="5">F9*J9*10^-3</f>
        <v>6.4649640000000002</v>
      </c>
      <c r="L9" s="42">
        <f t="shared" si="1"/>
        <v>1.3917743131845843E-3</v>
      </c>
      <c r="M9" s="47">
        <v>8.5</v>
      </c>
      <c r="N9" s="42">
        <f t="shared" si="2"/>
        <v>1.256142807774808E-3</v>
      </c>
      <c r="O9" s="35">
        <f>M9*F9</f>
        <v>6.2134999999999998</v>
      </c>
      <c r="P9" s="36">
        <f t="shared" si="3"/>
        <v>54952.193999999996</v>
      </c>
      <c r="Q9" s="53"/>
    </row>
    <row r="10" spans="1:18" ht="19.899999999999999" customHeight="1">
      <c r="A10" s="9">
        <v>7</v>
      </c>
      <c r="B10" s="13"/>
      <c r="C10" s="14" t="s">
        <v>27</v>
      </c>
      <c r="D10" s="10" t="s">
        <v>28</v>
      </c>
      <c r="E10" s="9">
        <v>4</v>
      </c>
      <c r="F10" s="9">
        <v>0.1487</v>
      </c>
      <c r="G10" s="10"/>
      <c r="H10" s="9">
        <f t="shared" si="0"/>
        <v>17600</v>
      </c>
      <c r="I10" s="46">
        <v>0.03</v>
      </c>
      <c r="J10" s="9">
        <f t="shared" si="4"/>
        <v>18128</v>
      </c>
      <c r="K10" s="32">
        <f t="shared" si="5"/>
        <v>2.6956336000000003</v>
      </c>
      <c r="L10" s="42">
        <f t="shared" si="1"/>
        <v>5.8031469351372861E-4</v>
      </c>
      <c r="M10" s="47"/>
      <c r="N10" s="42">
        <f t="shared" si="2"/>
        <v>7.4589273496186703E-5</v>
      </c>
      <c r="O10" s="47">
        <v>0.18</v>
      </c>
      <c r="P10" s="36">
        <f t="shared" si="3"/>
        <v>3263.04</v>
      </c>
      <c r="Q10" s="53"/>
    </row>
    <row r="11" spans="1:18" ht="19.899999999999999" customHeight="1">
      <c r="A11" s="9">
        <v>8</v>
      </c>
      <c r="B11" s="13"/>
      <c r="C11" s="14" t="s">
        <v>29</v>
      </c>
      <c r="D11" s="10" t="s">
        <v>28</v>
      </c>
      <c r="E11" s="9">
        <v>4</v>
      </c>
      <c r="F11" s="9">
        <v>9.2399999999999999E-3</v>
      </c>
      <c r="G11" s="10"/>
      <c r="H11" s="9">
        <f t="shared" si="0"/>
        <v>17600</v>
      </c>
      <c r="I11" s="46">
        <v>0.03</v>
      </c>
      <c r="J11" s="9">
        <f t="shared" si="4"/>
        <v>18128</v>
      </c>
      <c r="K11" s="32">
        <f t="shared" si="5"/>
        <v>0.16750272000000002</v>
      </c>
      <c r="L11" s="42">
        <f t="shared" si="1"/>
        <v>3.6059904290967399E-5</v>
      </c>
      <c r="M11" s="47"/>
      <c r="N11" s="42">
        <f t="shared" si="2"/>
        <v>4.1438485275659282E-5</v>
      </c>
      <c r="O11" s="47">
        <v>0.1</v>
      </c>
      <c r="P11" s="36">
        <f t="shared" si="3"/>
        <v>1812.8000000000002</v>
      </c>
      <c r="Q11" s="53"/>
    </row>
    <row r="12" spans="1:18" ht="19.899999999999999" customHeight="1">
      <c r="A12" s="9">
        <v>9</v>
      </c>
      <c r="B12" s="13"/>
      <c r="C12" s="14" t="s">
        <v>30</v>
      </c>
      <c r="D12" s="10" t="s">
        <v>19</v>
      </c>
      <c r="E12" s="9">
        <v>12</v>
      </c>
      <c r="F12" s="9">
        <v>1.72E-3</v>
      </c>
      <c r="G12" s="10"/>
      <c r="H12" s="9">
        <f t="shared" si="0"/>
        <v>52800</v>
      </c>
      <c r="I12" s="46">
        <v>0.03</v>
      </c>
      <c r="J12" s="9">
        <f t="shared" si="4"/>
        <v>54384</v>
      </c>
      <c r="K12" s="32">
        <f t="shared" si="5"/>
        <v>9.3540480000000009E-2</v>
      </c>
      <c r="L12" s="42">
        <f t="shared" si="1"/>
        <v>2.0137349149501276E-5</v>
      </c>
      <c r="M12" s="48"/>
      <c r="N12" s="42">
        <f t="shared" si="2"/>
        <v>2.4863091165395568E-5</v>
      </c>
      <c r="O12" s="48">
        <v>0.02</v>
      </c>
      <c r="P12" s="36">
        <f t="shared" si="3"/>
        <v>1087.68</v>
      </c>
      <c r="Q12" s="53"/>
    </row>
    <row r="13" spans="1:18" ht="19.899999999999999" customHeight="1">
      <c r="A13" s="9">
        <v>10</v>
      </c>
      <c r="B13" s="13"/>
      <c r="C13" s="14" t="s">
        <v>31</v>
      </c>
      <c r="D13" s="10" t="s">
        <v>10</v>
      </c>
      <c r="E13" s="9">
        <v>8</v>
      </c>
      <c r="F13" s="9">
        <v>1.08E-3</v>
      </c>
      <c r="G13" s="10"/>
      <c r="H13" s="9">
        <f t="shared" si="0"/>
        <v>35200</v>
      </c>
      <c r="I13" s="46">
        <v>0.03</v>
      </c>
      <c r="J13" s="9">
        <f t="shared" si="4"/>
        <v>36256</v>
      </c>
      <c r="K13" s="32">
        <f t="shared" si="5"/>
        <v>3.915648E-2</v>
      </c>
      <c r="L13" s="42">
        <f t="shared" si="1"/>
        <v>8.4295880160703006E-6</v>
      </c>
      <c r="M13" s="48"/>
      <c r="N13" s="42">
        <f t="shared" si="2"/>
        <v>9.1164667606450411E-5</v>
      </c>
      <c r="O13" s="48">
        <v>0.11</v>
      </c>
      <c r="P13" s="36">
        <f t="shared" si="3"/>
        <v>3988.16</v>
      </c>
      <c r="Q13" s="53"/>
    </row>
    <row r="14" spans="1:18" ht="19.899999999999999" customHeight="1">
      <c r="A14" s="9">
        <v>11</v>
      </c>
      <c r="B14" s="13"/>
      <c r="C14" s="14" t="s">
        <v>100</v>
      </c>
      <c r="D14" s="10" t="s">
        <v>55</v>
      </c>
      <c r="E14" s="9">
        <v>4</v>
      </c>
      <c r="F14" s="9">
        <v>4.2199999999999998E-3</v>
      </c>
      <c r="G14" s="10"/>
      <c r="H14" s="9">
        <f t="shared" si="0"/>
        <v>17600</v>
      </c>
      <c r="I14" s="46">
        <v>0.03</v>
      </c>
      <c r="J14" s="9">
        <f t="shared" si="4"/>
        <v>18128</v>
      </c>
      <c r="K14" s="32">
        <f t="shared" si="5"/>
        <v>7.6500159999999998E-2</v>
      </c>
      <c r="L14" s="42">
        <f t="shared" si="1"/>
        <v>1.6468917327692901E-5</v>
      </c>
      <c r="M14" s="48"/>
      <c r="N14" s="42">
        <f t="shared" si="2"/>
        <v>1.5332239551993932E-5</v>
      </c>
      <c r="O14" s="48">
        <v>3.6999999999999998E-2</v>
      </c>
      <c r="P14" s="36">
        <f t="shared" si="3"/>
        <v>670.73599999999999</v>
      </c>
      <c r="Q14" s="53"/>
    </row>
    <row r="15" spans="1:18" ht="19.899999999999999" customHeight="1">
      <c r="A15" s="12" t="s">
        <v>34</v>
      </c>
      <c r="B15" s="17"/>
      <c r="C15" s="14"/>
      <c r="D15" s="10"/>
      <c r="E15" s="9"/>
      <c r="F15" s="9"/>
      <c r="G15" s="10"/>
      <c r="H15" s="9"/>
      <c r="I15" s="46"/>
      <c r="J15" s="9"/>
      <c r="K15" s="32"/>
      <c r="L15" s="42"/>
      <c r="M15" s="48"/>
      <c r="N15" s="42"/>
      <c r="O15" s="35"/>
      <c r="P15" s="36"/>
      <c r="Q15" s="10"/>
    </row>
    <row r="16" spans="1:18" ht="19.899999999999999" customHeight="1">
      <c r="A16" s="9">
        <v>1</v>
      </c>
      <c r="B16" s="13" t="s">
        <v>101</v>
      </c>
      <c r="C16" s="14" t="s">
        <v>35</v>
      </c>
      <c r="D16" s="10" t="s">
        <v>36</v>
      </c>
      <c r="E16" s="9">
        <v>10</v>
      </c>
      <c r="F16" s="9">
        <v>0.314</v>
      </c>
      <c r="G16" s="10" t="s">
        <v>37</v>
      </c>
      <c r="H16" s="9">
        <f>E16*$C$1</f>
        <v>44000</v>
      </c>
      <c r="I16" s="46">
        <v>5.0000000000000001E-3</v>
      </c>
      <c r="J16" s="9">
        <f>ROUNDUP(H16*(1+I16),0)</f>
        <v>44220</v>
      </c>
      <c r="K16" s="32">
        <f>F16*J16*10^-3</f>
        <v>13.88508</v>
      </c>
      <c r="L16" s="42">
        <f>K16/SUM($K$4:$K$77)</f>
        <v>2.9891732854990388E-3</v>
      </c>
      <c r="M16" s="47"/>
      <c r="N16" s="42">
        <f>P16/$P$78</f>
        <v>1.4151443879333156E-2</v>
      </c>
      <c r="O16" s="35">
        <v>14</v>
      </c>
      <c r="P16" s="36">
        <f>O16*J16</f>
        <v>619080</v>
      </c>
      <c r="Q16" s="10"/>
    </row>
    <row r="17" spans="1:17" ht="19.899999999999999" customHeight="1">
      <c r="A17" s="9">
        <v>2</v>
      </c>
      <c r="B17" s="13"/>
      <c r="C17" s="14" t="s">
        <v>102</v>
      </c>
      <c r="D17" s="18" t="s">
        <v>103</v>
      </c>
      <c r="E17" s="9">
        <f>E25</f>
        <v>54</v>
      </c>
      <c r="F17" s="9">
        <v>7.0000000000000001E-3</v>
      </c>
      <c r="G17" s="10" t="s">
        <v>37</v>
      </c>
      <c r="H17" s="9">
        <f>E17*$C$1</f>
        <v>237600</v>
      </c>
      <c r="I17" s="46">
        <v>0.03</v>
      </c>
      <c r="J17" s="9">
        <f>ROUNDUP(H17*(1+I17),0)</f>
        <v>244728</v>
      </c>
      <c r="K17" s="32">
        <f>F17*J17*10^-3</f>
        <v>1.713096</v>
      </c>
      <c r="L17" s="42">
        <f>K17/SUM($K$4:$K$77)</f>
        <v>3.6879447570307565E-4</v>
      </c>
      <c r="M17" s="47"/>
      <c r="N17" s="42">
        <f>P17/$P$78</f>
        <v>3.3565173073284013E-3</v>
      </c>
      <c r="O17" s="35">
        <v>0.6</v>
      </c>
      <c r="P17" s="36">
        <f>O17*J17</f>
        <v>146836.79999999999</v>
      </c>
      <c r="Q17" s="10"/>
    </row>
    <row r="18" spans="1:17" ht="19.899999999999999" customHeight="1">
      <c r="A18" s="9">
        <v>3</v>
      </c>
      <c r="B18" s="13"/>
      <c r="C18" s="14" t="s">
        <v>38</v>
      </c>
      <c r="D18" s="10" t="s">
        <v>39</v>
      </c>
      <c r="E18" s="9">
        <f>E24</f>
        <v>27</v>
      </c>
      <c r="F18" s="9">
        <v>0.12</v>
      </c>
      <c r="G18" s="10" t="s">
        <v>40</v>
      </c>
      <c r="H18" s="9">
        <f t="shared" ref="H18:H19" si="6">E18*$C$1</f>
        <v>118800</v>
      </c>
      <c r="I18" s="46">
        <v>5.0000000000000001E-3</v>
      </c>
      <c r="J18" s="9">
        <f>ROUNDUP(H18*(1+I18),0)</f>
        <v>119394</v>
      </c>
      <c r="K18" s="32">
        <f>F18*J18*10^-3</f>
        <v>14.32728</v>
      </c>
      <c r="L18" s="42">
        <f>K18/SUM($K$4:$K$77)</f>
        <v>3.0843698869480528E-3</v>
      </c>
      <c r="M18" s="47">
        <v>24</v>
      </c>
      <c r="N18" s="42">
        <f>P18/$P$78</f>
        <v>7.8601162575496156E-3</v>
      </c>
      <c r="O18" s="35">
        <f>F18*M18</f>
        <v>2.88</v>
      </c>
      <c r="P18" s="36">
        <f>O18*J18</f>
        <v>343854.72</v>
      </c>
      <c r="Q18" s="10" t="s">
        <v>104</v>
      </c>
    </row>
    <row r="19" spans="1:17" ht="19.899999999999999" customHeight="1">
      <c r="A19" s="9">
        <v>4</v>
      </c>
      <c r="B19" s="13" t="s">
        <v>105</v>
      </c>
      <c r="C19" s="14" t="s">
        <v>106</v>
      </c>
      <c r="D19" s="10" t="s">
        <v>107</v>
      </c>
      <c r="E19" s="9">
        <v>5</v>
      </c>
      <c r="F19" s="9">
        <v>1.87</v>
      </c>
      <c r="G19" s="10" t="s">
        <v>40</v>
      </c>
      <c r="H19" s="9">
        <f t="shared" si="6"/>
        <v>22000</v>
      </c>
      <c r="I19" s="46">
        <v>5.0000000000000001E-3</v>
      </c>
      <c r="J19" s="9">
        <f>ROUNDUP(H19*(1+I19),0)</f>
        <v>22110</v>
      </c>
      <c r="K19" s="32">
        <f>F19*J19*10^-3</f>
        <v>41.345700000000008</v>
      </c>
      <c r="L19" s="42">
        <f>K19/SUM($K$4:$K$77)</f>
        <v>8.9008822354828092E-3</v>
      </c>
      <c r="M19" s="47">
        <v>25</v>
      </c>
      <c r="N19" s="42">
        <f>P19/$P$78</f>
        <v>2.362785719138661E-2</v>
      </c>
      <c r="O19" s="35">
        <f>F19*M19</f>
        <v>46.75</v>
      </c>
      <c r="P19" s="36">
        <f>O19*J19</f>
        <v>1033642.5</v>
      </c>
      <c r="Q19" s="10" t="s">
        <v>108</v>
      </c>
    </row>
    <row r="20" spans="1:17" ht="19.899999999999999" customHeight="1">
      <c r="A20" s="9" t="s">
        <v>41</v>
      </c>
      <c r="B20" s="13"/>
      <c r="C20" s="14"/>
      <c r="D20" s="9"/>
      <c r="E20" s="9"/>
      <c r="F20" s="9"/>
      <c r="G20" s="10"/>
      <c r="H20" s="9"/>
      <c r="I20" s="46"/>
      <c r="J20" s="9"/>
      <c r="K20" s="32"/>
      <c r="L20" s="42"/>
      <c r="M20" s="47"/>
      <c r="N20" s="42"/>
      <c r="O20" s="35"/>
      <c r="P20" s="36"/>
      <c r="Q20" s="10"/>
    </row>
    <row r="21" spans="1:17" ht="19.899999999999999" customHeight="1">
      <c r="A21" s="9">
        <v>1</v>
      </c>
      <c r="B21" s="13"/>
      <c r="C21" s="14" t="s">
        <v>84</v>
      </c>
      <c r="D21" s="10" t="s">
        <v>86</v>
      </c>
      <c r="E21" s="9">
        <v>3</v>
      </c>
      <c r="F21" s="9">
        <v>109.5</v>
      </c>
      <c r="G21" s="10" t="s">
        <v>8</v>
      </c>
      <c r="H21" s="9">
        <f t="shared" ref="H21:H33" si="7">E21*$C$1</f>
        <v>13200</v>
      </c>
      <c r="I21" s="46">
        <v>3.0000000000000001E-3</v>
      </c>
      <c r="J21" s="9">
        <f t="shared" ref="J21:J53" si="8">ROUNDUP(H21*(1+I21),0)</f>
        <v>13240</v>
      </c>
      <c r="K21" s="32">
        <f t="shared" ref="K21:K34" si="9">F21*J21*10^-3</f>
        <v>1449.78</v>
      </c>
      <c r="L21" s="42">
        <f t="shared" ref="L21:L55" si="10">K21/SUM($K$4:$K$77)</f>
        <v>0.31210793498134665</v>
      </c>
      <c r="M21" s="47">
        <v>6.73</v>
      </c>
      <c r="N21" s="42">
        <f t="shared" ref="N21:N34" si="11">P21/$P$78</f>
        <v>0.22303403836122129</v>
      </c>
      <c r="O21" s="35">
        <f t="shared" ref="O21:O33" si="12">F21*M21</f>
        <v>736.93500000000006</v>
      </c>
      <c r="P21" s="36">
        <f t="shared" ref="P21:P34" si="13">O21*J21</f>
        <v>9757019.4000000004</v>
      </c>
      <c r="Q21" s="10" t="s">
        <v>108</v>
      </c>
    </row>
    <row r="22" spans="1:17" ht="19.899999999999999" customHeight="1">
      <c r="A22" s="9">
        <v>2</v>
      </c>
      <c r="B22" s="13"/>
      <c r="C22" s="14" t="s">
        <v>109</v>
      </c>
      <c r="D22" s="19" t="s">
        <v>110</v>
      </c>
      <c r="E22" s="9">
        <v>2</v>
      </c>
      <c r="F22" s="20">
        <v>7.63</v>
      </c>
      <c r="G22" s="10" t="s">
        <v>8</v>
      </c>
      <c r="H22" s="9">
        <f t="shared" si="7"/>
        <v>8800</v>
      </c>
      <c r="I22" s="46">
        <v>3.0000000000000001E-3</v>
      </c>
      <c r="J22" s="9">
        <f t="shared" si="8"/>
        <v>8827</v>
      </c>
      <c r="K22" s="32">
        <f t="shared" si="9"/>
        <v>67.350009999999997</v>
      </c>
      <c r="L22" s="42">
        <f t="shared" si="10"/>
        <v>1.4499077475253518E-2</v>
      </c>
      <c r="M22" s="47">
        <v>7.6</v>
      </c>
      <c r="N22" s="42">
        <f t="shared" si="11"/>
        <v>1.1700521967411651E-2</v>
      </c>
      <c r="O22" s="35">
        <f t="shared" si="12"/>
        <v>57.988</v>
      </c>
      <c r="P22" s="36">
        <f t="shared" si="13"/>
        <v>511860.076</v>
      </c>
      <c r="Q22" s="10" t="s">
        <v>108</v>
      </c>
    </row>
    <row r="23" spans="1:17" ht="19.899999999999999" customHeight="1">
      <c r="A23" s="9">
        <v>3</v>
      </c>
      <c r="B23" s="13"/>
      <c r="C23" s="21" t="s">
        <v>42</v>
      </c>
      <c r="D23" s="10" t="s">
        <v>43</v>
      </c>
      <c r="E23" s="9">
        <v>27</v>
      </c>
      <c r="F23" s="9">
        <v>1.52</v>
      </c>
      <c r="G23" s="10" t="s">
        <v>8</v>
      </c>
      <c r="H23" s="9">
        <f t="shared" si="7"/>
        <v>118800</v>
      </c>
      <c r="I23" s="46">
        <v>3.0000000000000001E-3</v>
      </c>
      <c r="J23" s="9">
        <f t="shared" si="8"/>
        <v>119157</v>
      </c>
      <c r="K23" s="32">
        <f t="shared" si="9"/>
        <v>181.11864000000003</v>
      </c>
      <c r="L23" s="42">
        <f t="shared" si="10"/>
        <v>3.8991132942260164E-2</v>
      </c>
      <c r="M23" s="47">
        <v>7.6</v>
      </c>
      <c r="N23" s="42">
        <f t="shared" si="11"/>
        <v>3.1465216204536899E-2</v>
      </c>
      <c r="O23" s="35">
        <f t="shared" si="12"/>
        <v>11.552</v>
      </c>
      <c r="P23" s="36">
        <f t="shared" si="13"/>
        <v>1376501.6639999999</v>
      </c>
      <c r="Q23" s="10" t="s">
        <v>108</v>
      </c>
    </row>
    <row r="24" spans="1:17" ht="19.899999999999999" customHeight="1">
      <c r="A24" s="9">
        <v>4</v>
      </c>
      <c r="B24" s="13"/>
      <c r="C24" s="14" t="s">
        <v>111</v>
      </c>
      <c r="D24" s="10" t="s">
        <v>112</v>
      </c>
      <c r="E24" s="9">
        <f>E23</f>
        <v>27</v>
      </c>
      <c r="F24" s="20">
        <v>8</v>
      </c>
      <c r="G24" s="10" t="s">
        <v>113</v>
      </c>
      <c r="H24" s="9">
        <f t="shared" si="7"/>
        <v>118800</v>
      </c>
      <c r="I24" s="46">
        <v>3.0000000000000001E-3</v>
      </c>
      <c r="J24" s="9">
        <f t="shared" si="8"/>
        <v>119157</v>
      </c>
      <c r="K24" s="32">
        <f t="shared" si="9"/>
        <v>953.25599999999997</v>
      </c>
      <c r="L24" s="42">
        <f t="shared" si="10"/>
        <v>0.20521648916979029</v>
      </c>
      <c r="M24" s="47">
        <v>6.3</v>
      </c>
      <c r="N24" s="42">
        <f t="shared" si="11"/>
        <v>0.13727899036605434</v>
      </c>
      <c r="O24" s="35">
        <f t="shared" si="12"/>
        <v>50.4</v>
      </c>
      <c r="P24" s="36">
        <f t="shared" si="13"/>
        <v>6005512.7999999998</v>
      </c>
      <c r="Q24" s="10" t="s">
        <v>114</v>
      </c>
    </row>
    <row r="25" spans="1:17" ht="19.899999999999999" customHeight="1">
      <c r="A25" s="9">
        <v>5</v>
      </c>
      <c r="B25" s="13"/>
      <c r="C25" s="14" t="s">
        <v>44</v>
      </c>
      <c r="D25" s="10" t="s">
        <v>45</v>
      </c>
      <c r="E25" s="9">
        <f>E24*2</f>
        <v>54</v>
      </c>
      <c r="F25" s="9">
        <v>1.6160000000000001</v>
      </c>
      <c r="G25" s="10" t="s">
        <v>113</v>
      </c>
      <c r="H25" s="9">
        <f t="shared" si="7"/>
        <v>237600</v>
      </c>
      <c r="I25" s="46">
        <v>3.0000000000000001E-3</v>
      </c>
      <c r="J25" s="9">
        <f t="shared" si="8"/>
        <v>238313</v>
      </c>
      <c r="K25" s="32">
        <f t="shared" si="9"/>
        <v>385.11380800000001</v>
      </c>
      <c r="L25" s="42">
        <f t="shared" si="10"/>
        <v>8.2907113732899343E-2</v>
      </c>
      <c r="M25" s="47">
        <v>6.3</v>
      </c>
      <c r="N25" s="42">
        <f t="shared" si="11"/>
        <v>5.5460479386719309E-2</v>
      </c>
      <c r="O25" s="35">
        <f t="shared" si="12"/>
        <v>10.1808</v>
      </c>
      <c r="P25" s="36">
        <f t="shared" si="13"/>
        <v>2426216.9904</v>
      </c>
      <c r="Q25" s="10" t="s">
        <v>114</v>
      </c>
    </row>
    <row r="26" spans="1:17" ht="19.899999999999999" customHeight="1">
      <c r="A26" s="9">
        <v>6</v>
      </c>
      <c r="B26" s="13"/>
      <c r="C26" s="14" t="s">
        <v>115</v>
      </c>
      <c r="D26" s="10" t="s">
        <v>116</v>
      </c>
      <c r="E26" s="9">
        <v>3</v>
      </c>
      <c r="F26" s="9">
        <v>29.55</v>
      </c>
      <c r="G26" s="10" t="s">
        <v>8</v>
      </c>
      <c r="H26" s="9">
        <f t="shared" si="7"/>
        <v>13200</v>
      </c>
      <c r="I26" s="46">
        <v>3.0000000000000001E-3</v>
      </c>
      <c r="J26" s="9">
        <f t="shared" si="8"/>
        <v>13240</v>
      </c>
      <c r="K26" s="32">
        <f t="shared" si="9"/>
        <v>391.24200000000002</v>
      </c>
      <c r="L26" s="42">
        <f t="shared" si="10"/>
        <v>8.4226387933322322E-2</v>
      </c>
      <c r="M26" s="47">
        <v>7.2</v>
      </c>
      <c r="N26" s="42">
        <f t="shared" si="11"/>
        <v>6.4392004724614038E-2</v>
      </c>
      <c r="O26" s="35">
        <f t="shared" si="12"/>
        <v>212.76000000000002</v>
      </c>
      <c r="P26" s="36">
        <f t="shared" si="13"/>
        <v>2816942.4000000004</v>
      </c>
      <c r="Q26" s="10" t="s">
        <v>108</v>
      </c>
    </row>
    <row r="27" spans="1:17" ht="19.899999999999999" customHeight="1">
      <c r="A27" s="9">
        <v>7</v>
      </c>
      <c r="B27" s="13"/>
      <c r="C27" s="14" t="s">
        <v>46</v>
      </c>
      <c r="D27" s="10" t="s">
        <v>117</v>
      </c>
      <c r="E27" s="9">
        <v>2</v>
      </c>
      <c r="F27" s="9">
        <v>38.119999999999997</v>
      </c>
      <c r="G27" s="10" t="s">
        <v>8</v>
      </c>
      <c r="H27" s="9">
        <f t="shared" si="7"/>
        <v>8800</v>
      </c>
      <c r="I27" s="46">
        <v>3.0000000000000001E-3</v>
      </c>
      <c r="J27" s="9">
        <f t="shared" si="8"/>
        <v>8827</v>
      </c>
      <c r="K27" s="32">
        <f t="shared" si="9"/>
        <v>336.48523999999998</v>
      </c>
      <c r="L27" s="42">
        <f t="shared" si="10"/>
        <v>7.2438379207950737E-2</v>
      </c>
      <c r="M27" s="47">
        <v>7.2</v>
      </c>
      <c r="N27" s="42">
        <f t="shared" si="11"/>
        <v>5.5379941733870307E-2</v>
      </c>
      <c r="O27" s="35">
        <f t="shared" si="12"/>
        <v>274.464</v>
      </c>
      <c r="P27" s="36">
        <f t="shared" si="13"/>
        <v>2422693.7280000001</v>
      </c>
      <c r="Q27" s="10" t="s">
        <v>108</v>
      </c>
    </row>
    <row r="28" spans="1:17" ht="19.899999999999999" customHeight="1">
      <c r="A28" s="9">
        <v>8</v>
      </c>
      <c r="B28" s="13"/>
      <c r="C28" s="14" t="s">
        <v>47</v>
      </c>
      <c r="D28" s="10" t="s">
        <v>48</v>
      </c>
      <c r="E28" s="9">
        <v>5</v>
      </c>
      <c r="F28" s="9">
        <v>4.55</v>
      </c>
      <c r="G28" s="10" t="s">
        <v>8</v>
      </c>
      <c r="H28" s="9">
        <f t="shared" si="7"/>
        <v>22000</v>
      </c>
      <c r="I28" s="46">
        <v>5.0000000000000001E-3</v>
      </c>
      <c r="J28" s="9">
        <f t="shared" si="8"/>
        <v>22110</v>
      </c>
      <c r="K28" s="32">
        <f t="shared" si="9"/>
        <v>100.6005</v>
      </c>
      <c r="L28" s="42">
        <f t="shared" si="10"/>
        <v>2.165722682965068E-2</v>
      </c>
      <c r="M28" s="47">
        <v>8</v>
      </c>
      <c r="N28" s="42">
        <f t="shared" si="11"/>
        <v>1.8396877043133104E-2</v>
      </c>
      <c r="O28" s="35">
        <f t="shared" si="12"/>
        <v>36.4</v>
      </c>
      <c r="P28" s="36">
        <f t="shared" si="13"/>
        <v>804804</v>
      </c>
      <c r="Q28" s="10" t="s">
        <v>108</v>
      </c>
    </row>
    <row r="29" spans="1:17" ht="20.5" customHeight="1">
      <c r="A29" s="9">
        <v>9</v>
      </c>
      <c r="B29" s="13"/>
      <c r="C29" s="14" t="s">
        <v>118</v>
      </c>
      <c r="D29" s="19" t="s">
        <v>119</v>
      </c>
      <c r="E29" s="9">
        <v>2</v>
      </c>
      <c r="F29" s="9">
        <f>16.6/2</f>
        <v>8.3000000000000007</v>
      </c>
      <c r="G29" s="10" t="s">
        <v>8</v>
      </c>
      <c r="H29" s="9">
        <f t="shared" si="7"/>
        <v>8800</v>
      </c>
      <c r="I29" s="46">
        <v>5.0000000000000001E-3</v>
      </c>
      <c r="J29" s="9">
        <f t="shared" si="8"/>
        <v>8844</v>
      </c>
      <c r="K29" s="32">
        <f t="shared" si="9"/>
        <v>73.405200000000008</v>
      </c>
      <c r="L29" s="42">
        <f t="shared" si="10"/>
        <v>1.5802635840536323E-2</v>
      </c>
      <c r="M29" s="47">
        <v>8.6</v>
      </c>
      <c r="N29" s="42">
        <f t="shared" si="11"/>
        <v>1.4430429487240012E-2</v>
      </c>
      <c r="O29" s="35">
        <f t="shared" si="12"/>
        <v>71.38000000000001</v>
      </c>
      <c r="P29" s="36">
        <f t="shared" si="13"/>
        <v>631284.72000000009</v>
      </c>
      <c r="Q29" s="10"/>
    </row>
    <row r="30" spans="1:17" ht="19.899999999999999" customHeight="1">
      <c r="A30" s="9">
        <v>10</v>
      </c>
      <c r="B30" s="13"/>
      <c r="C30" s="14" t="s">
        <v>120</v>
      </c>
      <c r="D30" s="19" t="s">
        <v>119</v>
      </c>
      <c r="E30" s="9">
        <v>2</v>
      </c>
      <c r="F30" s="9">
        <f>16.6/2</f>
        <v>8.3000000000000007</v>
      </c>
      <c r="G30" s="10" t="s">
        <v>8</v>
      </c>
      <c r="H30" s="9">
        <f t="shared" si="7"/>
        <v>8800</v>
      </c>
      <c r="I30" s="46">
        <v>5.0000000000000001E-3</v>
      </c>
      <c r="J30" s="9">
        <f t="shared" si="8"/>
        <v>8844</v>
      </c>
      <c r="K30" s="32">
        <f t="shared" si="9"/>
        <v>73.405200000000008</v>
      </c>
      <c r="L30" s="42">
        <f t="shared" si="10"/>
        <v>1.5802635840536323E-2</v>
      </c>
      <c r="M30" s="47">
        <v>8.6</v>
      </c>
      <c r="N30" s="42">
        <f t="shared" si="11"/>
        <v>1.4430429487240012E-2</v>
      </c>
      <c r="O30" s="35">
        <f t="shared" si="12"/>
        <v>71.38000000000001</v>
      </c>
      <c r="P30" s="36">
        <f t="shared" si="13"/>
        <v>631284.72000000009</v>
      </c>
      <c r="Q30" s="10"/>
    </row>
    <row r="31" spans="1:17" ht="19.899999999999999" customHeight="1">
      <c r="A31" s="9">
        <v>11</v>
      </c>
      <c r="B31" s="13"/>
      <c r="C31" s="14" t="s">
        <v>121</v>
      </c>
      <c r="D31" s="10" t="s">
        <v>49</v>
      </c>
      <c r="E31" s="9">
        <v>4</v>
      </c>
      <c r="F31" s="9">
        <v>2.67</v>
      </c>
      <c r="G31" s="10" t="s">
        <v>8</v>
      </c>
      <c r="H31" s="9">
        <f t="shared" si="7"/>
        <v>17600</v>
      </c>
      <c r="I31" s="46">
        <v>5.0000000000000001E-3</v>
      </c>
      <c r="J31" s="9">
        <f t="shared" si="8"/>
        <v>17688</v>
      </c>
      <c r="K31" s="32">
        <f t="shared" si="9"/>
        <v>47.226959999999998</v>
      </c>
      <c r="L31" s="42">
        <f t="shared" si="10"/>
        <v>1.0166997034754693E-2</v>
      </c>
      <c r="M31" s="47">
        <v>8.6</v>
      </c>
      <c r="N31" s="42">
        <f t="shared" si="11"/>
        <v>9.2841558387785125E-3</v>
      </c>
      <c r="O31" s="35">
        <f t="shared" si="12"/>
        <v>22.962</v>
      </c>
      <c r="P31" s="36">
        <f t="shared" si="13"/>
        <v>406151.85599999997</v>
      </c>
      <c r="Q31" s="10"/>
    </row>
    <row r="32" spans="1:17" ht="19.899999999999999" customHeight="1">
      <c r="A32" s="9">
        <v>12</v>
      </c>
      <c r="B32" s="13"/>
      <c r="C32" s="14" t="s">
        <v>50</v>
      </c>
      <c r="D32" s="19" t="s">
        <v>122</v>
      </c>
      <c r="E32" s="9">
        <v>2</v>
      </c>
      <c r="F32" s="9">
        <v>3.2130000000000001</v>
      </c>
      <c r="G32" s="10" t="s">
        <v>8</v>
      </c>
      <c r="H32" s="9">
        <f t="shared" si="7"/>
        <v>8800</v>
      </c>
      <c r="I32" s="46">
        <v>5.0000000000000001E-3</v>
      </c>
      <c r="J32" s="9">
        <f t="shared" si="8"/>
        <v>8844</v>
      </c>
      <c r="K32" s="32">
        <f t="shared" si="9"/>
        <v>28.415772</v>
      </c>
      <c r="L32" s="42">
        <f t="shared" si="10"/>
        <v>6.117333609113638E-3</v>
      </c>
      <c r="M32" s="47">
        <v>8</v>
      </c>
      <c r="N32" s="42">
        <f t="shared" si="11"/>
        <v>5.1964101924911353E-3</v>
      </c>
      <c r="O32" s="35">
        <f t="shared" si="12"/>
        <v>25.704000000000001</v>
      </c>
      <c r="P32" s="36">
        <f t="shared" si="13"/>
        <v>227326.17600000001</v>
      </c>
      <c r="Q32" s="10"/>
    </row>
    <row r="33" spans="1:17" ht="19.899999999999999" customHeight="1">
      <c r="A33" s="9">
        <v>13</v>
      </c>
      <c r="B33" s="13"/>
      <c r="C33" s="14" t="s">
        <v>51</v>
      </c>
      <c r="D33" s="10" t="s">
        <v>52</v>
      </c>
      <c r="E33" s="9">
        <v>6</v>
      </c>
      <c r="F33" s="9">
        <v>0.45</v>
      </c>
      <c r="G33" s="10" t="s">
        <v>7</v>
      </c>
      <c r="H33" s="9">
        <f t="shared" si="7"/>
        <v>26400</v>
      </c>
      <c r="I33" s="46">
        <v>5.0000000000000001E-3</v>
      </c>
      <c r="J33" s="9">
        <f t="shared" si="8"/>
        <v>26532</v>
      </c>
      <c r="K33" s="32">
        <f t="shared" si="9"/>
        <v>11.939399999999999</v>
      </c>
      <c r="L33" s="42">
        <f t="shared" si="10"/>
        <v>2.5703082391233772E-3</v>
      </c>
      <c r="M33" s="47">
        <v>8</v>
      </c>
      <c r="N33" s="42">
        <f t="shared" si="11"/>
        <v>2.1833656270971156E-3</v>
      </c>
      <c r="O33" s="35">
        <f t="shared" si="12"/>
        <v>3.6</v>
      </c>
      <c r="P33" s="36">
        <f t="shared" si="13"/>
        <v>95515.199999999997</v>
      </c>
      <c r="Q33" s="10" t="s">
        <v>108</v>
      </c>
    </row>
    <row r="34" spans="1:17" ht="19.899999999999999" customHeight="1">
      <c r="A34" s="9">
        <v>14</v>
      </c>
      <c r="B34" s="13"/>
      <c r="C34" s="14" t="s">
        <v>53</v>
      </c>
      <c r="D34" s="10" t="s">
        <v>123</v>
      </c>
      <c r="E34" s="9">
        <v>2</v>
      </c>
      <c r="F34" s="10">
        <v>0.20399999999999999</v>
      </c>
      <c r="G34" s="10" t="s">
        <v>54</v>
      </c>
      <c r="H34" s="9">
        <f>E34*$C$1</f>
        <v>8800</v>
      </c>
      <c r="I34" s="46">
        <v>0.02</v>
      </c>
      <c r="J34" s="9">
        <f t="shared" si="8"/>
        <v>8976</v>
      </c>
      <c r="K34" s="32">
        <f t="shared" si="9"/>
        <v>1.8311039999999998</v>
      </c>
      <c r="L34" s="42">
        <f t="shared" si="10"/>
        <v>3.9419918068678262E-4</v>
      </c>
      <c r="M34" s="47">
        <v>22.55</v>
      </c>
      <c r="N34" s="42">
        <f t="shared" si="11"/>
        <v>9.4387294351645421E-4</v>
      </c>
      <c r="O34" s="49">
        <f>M34*F34</f>
        <v>4.6002000000000001</v>
      </c>
      <c r="P34" s="36">
        <f t="shared" si="13"/>
        <v>41291.395199999999</v>
      </c>
      <c r="Q34" s="10"/>
    </row>
    <row r="35" spans="1:17" ht="19.899999999999999" customHeight="1">
      <c r="A35" s="12" t="s">
        <v>124</v>
      </c>
      <c r="B35" s="17"/>
      <c r="C35" s="14"/>
      <c r="D35" s="10"/>
      <c r="E35" s="9"/>
      <c r="F35" s="9"/>
      <c r="G35" s="10"/>
      <c r="H35" s="9"/>
      <c r="I35" s="46"/>
      <c r="J35" s="9"/>
      <c r="K35" s="32"/>
      <c r="L35" s="42">
        <f t="shared" si="10"/>
        <v>0</v>
      </c>
      <c r="M35" s="47"/>
      <c r="N35" s="42"/>
      <c r="O35" s="35"/>
      <c r="P35" s="36"/>
      <c r="Q35" s="10"/>
    </row>
    <row r="36" spans="1:17" ht="19.899999999999999" customHeight="1">
      <c r="A36" s="9">
        <v>1</v>
      </c>
      <c r="B36" s="9"/>
      <c r="C36" s="10" t="s">
        <v>56</v>
      </c>
      <c r="D36" s="10" t="s">
        <v>57</v>
      </c>
      <c r="E36" s="9">
        <v>4</v>
      </c>
      <c r="F36" s="9">
        <v>0.33600000000000002</v>
      </c>
      <c r="G36" s="10" t="s">
        <v>125</v>
      </c>
      <c r="H36" s="9">
        <f t="shared" ref="H36:H50" si="14">E36*$C$1</f>
        <v>17600</v>
      </c>
      <c r="I36" s="46">
        <v>0.03</v>
      </c>
      <c r="J36" s="9">
        <f t="shared" ref="J36:J50" si="15">ROUNDUP(H36*(1+I36),0)</f>
        <v>18128</v>
      </c>
      <c r="K36" s="32">
        <f t="shared" ref="K36:K50" si="16">F36*J36*10^-3</f>
        <v>6.0910080000000004</v>
      </c>
      <c r="L36" s="42">
        <f t="shared" si="10"/>
        <v>1.311269246944269E-3</v>
      </c>
      <c r="M36" s="47"/>
      <c r="N36" s="42">
        <f t="shared" ref="N36:N55" si="17">P36/$P$78</f>
        <v>1.147846042135762E-3</v>
      </c>
      <c r="O36" s="35">
        <v>2.77</v>
      </c>
      <c r="P36" s="36">
        <f t="shared" ref="P36:P48" si="18">O36*J36</f>
        <v>50214.559999999998</v>
      </c>
      <c r="Q36" s="54" t="s">
        <v>126</v>
      </c>
    </row>
    <row r="37" spans="1:17" ht="19.899999999999999" customHeight="1">
      <c r="A37" s="9">
        <v>2</v>
      </c>
      <c r="B37" s="9"/>
      <c r="C37" s="10" t="s">
        <v>58</v>
      </c>
      <c r="D37" s="10" t="s">
        <v>59</v>
      </c>
      <c r="E37" s="9">
        <f>E22*4+E28*4+E32*4+E31*4</f>
        <v>52</v>
      </c>
      <c r="F37" s="9">
        <v>0.11600000000000001</v>
      </c>
      <c r="G37" s="10" t="s">
        <v>125</v>
      </c>
      <c r="H37" s="9">
        <f t="shared" si="14"/>
        <v>228800</v>
      </c>
      <c r="I37" s="46">
        <v>0.03</v>
      </c>
      <c r="J37" s="9">
        <f t="shared" si="15"/>
        <v>235664</v>
      </c>
      <c r="K37" s="32">
        <f t="shared" si="16"/>
        <v>27.337024000000003</v>
      </c>
      <c r="L37" s="42">
        <f t="shared" si="10"/>
        <v>5.8851012630713028E-3</v>
      </c>
      <c r="M37" s="47"/>
      <c r="N37" s="42">
        <f t="shared" si="17"/>
        <v>4.7944327463937788E-3</v>
      </c>
      <c r="O37" s="35">
        <v>0.89</v>
      </c>
      <c r="P37" s="36">
        <f t="shared" si="18"/>
        <v>209740.96</v>
      </c>
      <c r="Q37" s="54" t="s">
        <v>126</v>
      </c>
    </row>
    <row r="38" spans="1:17" ht="19.899999999999999" customHeight="1">
      <c r="A38" s="9">
        <v>3</v>
      </c>
      <c r="B38" s="9"/>
      <c r="C38" s="10" t="s">
        <v>60</v>
      </c>
      <c r="D38" s="10" t="s">
        <v>9</v>
      </c>
      <c r="E38" s="9">
        <f>E28*2</f>
        <v>10</v>
      </c>
      <c r="F38" s="9">
        <v>4.1000000000000002E-2</v>
      </c>
      <c r="G38" s="10"/>
      <c r="H38" s="9">
        <f t="shared" si="14"/>
        <v>44000</v>
      </c>
      <c r="I38" s="46">
        <v>0.03</v>
      </c>
      <c r="J38" s="9">
        <f t="shared" si="15"/>
        <v>45320</v>
      </c>
      <c r="K38" s="32">
        <f t="shared" si="16"/>
        <v>1.8581200000000002</v>
      </c>
      <c r="L38" s="42">
        <f t="shared" si="10"/>
        <v>4.0001517205889164E-4</v>
      </c>
      <c r="M38" s="47"/>
      <c r="N38" s="42">
        <f t="shared" si="17"/>
        <v>1.8647318374046673E-4</v>
      </c>
      <c r="O38" s="50">
        <v>0.18</v>
      </c>
      <c r="P38" s="36">
        <f t="shared" si="18"/>
        <v>8157.5999999999995</v>
      </c>
      <c r="Q38" s="54" t="s">
        <v>127</v>
      </c>
    </row>
    <row r="39" spans="1:17" ht="19.899999999999999" customHeight="1">
      <c r="A39" s="9">
        <v>4</v>
      </c>
      <c r="B39" s="9"/>
      <c r="C39" s="10" t="s">
        <v>61</v>
      </c>
      <c r="D39" s="10" t="s">
        <v>19</v>
      </c>
      <c r="E39" s="9">
        <f>SUM(E36:E37)*2-E38</f>
        <v>102</v>
      </c>
      <c r="F39" s="9">
        <v>1.0999999999999999E-2</v>
      </c>
      <c r="G39" s="10"/>
      <c r="H39" s="9">
        <f t="shared" si="14"/>
        <v>448800</v>
      </c>
      <c r="I39" s="46">
        <v>0.03</v>
      </c>
      <c r="J39" s="9">
        <f t="shared" si="15"/>
        <v>462264</v>
      </c>
      <c r="K39" s="32">
        <f t="shared" si="16"/>
        <v>5.0849039999999999</v>
      </c>
      <c r="L39" s="42">
        <f t="shared" si="10"/>
        <v>1.094675665975796E-3</v>
      </c>
      <c r="M39" s="47"/>
      <c r="N39" s="42">
        <f t="shared" si="17"/>
        <v>8.4534509962344931E-4</v>
      </c>
      <c r="O39" s="50">
        <v>0.08</v>
      </c>
      <c r="P39" s="36">
        <f t="shared" si="18"/>
        <v>36981.120000000003</v>
      </c>
      <c r="Q39" s="54" t="s">
        <v>127</v>
      </c>
    </row>
    <row r="40" spans="1:17" ht="19.899999999999999" customHeight="1">
      <c r="A40" s="9">
        <v>5</v>
      </c>
      <c r="B40" s="9"/>
      <c r="C40" s="10" t="s">
        <v>62</v>
      </c>
      <c r="D40" s="10" t="s">
        <v>32</v>
      </c>
      <c r="E40" s="9">
        <f>E41</f>
        <v>56</v>
      </c>
      <c r="F40" s="9">
        <v>8.0000000000000002E-3</v>
      </c>
      <c r="G40" s="10"/>
      <c r="H40" s="9">
        <f t="shared" si="14"/>
        <v>246400</v>
      </c>
      <c r="I40" s="46">
        <v>0.03</v>
      </c>
      <c r="J40" s="9">
        <f t="shared" si="15"/>
        <v>253792</v>
      </c>
      <c r="K40" s="32">
        <f t="shared" si="16"/>
        <v>2.0303360000000001</v>
      </c>
      <c r="L40" s="42">
        <f t="shared" si="10"/>
        <v>4.3708974898142304E-4</v>
      </c>
      <c r="M40" s="47"/>
      <c r="N40" s="42">
        <f t="shared" si="17"/>
        <v>3.4228188837694563E-4</v>
      </c>
      <c r="O40" s="50">
        <v>5.8999999999999997E-2</v>
      </c>
      <c r="P40" s="36">
        <f t="shared" si="18"/>
        <v>14973.727999999999</v>
      </c>
      <c r="Q40" s="54" t="s">
        <v>127</v>
      </c>
    </row>
    <row r="41" spans="1:17" ht="19.899999999999999" customHeight="1">
      <c r="A41" s="9">
        <v>6</v>
      </c>
      <c r="B41" s="9"/>
      <c r="C41" s="10" t="s">
        <v>63</v>
      </c>
      <c r="D41" s="10" t="s">
        <v>55</v>
      </c>
      <c r="E41" s="9">
        <f>E36+E37</f>
        <v>56</v>
      </c>
      <c r="F41" s="9">
        <v>0.04</v>
      </c>
      <c r="G41" s="10" t="s">
        <v>125</v>
      </c>
      <c r="H41" s="9">
        <f t="shared" si="14"/>
        <v>246400</v>
      </c>
      <c r="I41" s="46">
        <v>0.03</v>
      </c>
      <c r="J41" s="9">
        <f t="shared" si="15"/>
        <v>253792</v>
      </c>
      <c r="K41" s="32">
        <f t="shared" si="16"/>
        <v>10.151680000000001</v>
      </c>
      <c r="L41" s="42">
        <f t="shared" si="10"/>
        <v>2.1854487449071151E-3</v>
      </c>
      <c r="M41" s="47"/>
      <c r="N41" s="42">
        <f t="shared" si="17"/>
        <v>1.3923331052621516E-3</v>
      </c>
      <c r="O41" s="50">
        <v>0.24</v>
      </c>
      <c r="P41" s="36">
        <f t="shared" si="18"/>
        <v>60910.079999999994</v>
      </c>
      <c r="Q41" s="54" t="s">
        <v>126</v>
      </c>
    </row>
    <row r="42" spans="1:17" ht="19.899999999999999" customHeight="1">
      <c r="A42" s="9">
        <v>7</v>
      </c>
      <c r="B42" s="9"/>
      <c r="C42" s="10" t="s">
        <v>64</v>
      </c>
      <c r="D42" s="10" t="s">
        <v>57</v>
      </c>
      <c r="E42" s="9">
        <f>E24*2+E33</f>
        <v>60</v>
      </c>
      <c r="F42" s="9">
        <v>0.17499999999999999</v>
      </c>
      <c r="G42" s="10" t="s">
        <v>125</v>
      </c>
      <c r="H42" s="9">
        <f t="shared" si="14"/>
        <v>264000</v>
      </c>
      <c r="I42" s="46">
        <v>0.03</v>
      </c>
      <c r="J42" s="9">
        <f t="shared" si="15"/>
        <v>271920</v>
      </c>
      <c r="K42" s="32">
        <f t="shared" si="16"/>
        <v>47.585999999999999</v>
      </c>
      <c r="L42" s="42">
        <f t="shared" si="10"/>
        <v>1.02442909917521E-2</v>
      </c>
      <c r="M42" s="47"/>
      <c r="N42" s="42">
        <f t="shared" si="17"/>
        <v>8.2669778124940269E-3</v>
      </c>
      <c r="O42" s="35">
        <v>1.33</v>
      </c>
      <c r="P42" s="36">
        <f t="shared" si="18"/>
        <v>361653.60000000003</v>
      </c>
      <c r="Q42" s="54" t="s">
        <v>126</v>
      </c>
    </row>
    <row r="43" spans="1:17" ht="19.899999999999999" customHeight="1">
      <c r="A43" s="9">
        <v>8</v>
      </c>
      <c r="B43" s="9"/>
      <c r="C43" s="10" t="s">
        <v>65</v>
      </c>
      <c r="D43" s="10" t="s">
        <v>57</v>
      </c>
      <c r="E43" s="9">
        <v>108</v>
      </c>
      <c r="F43" s="9">
        <v>7.8E-2</v>
      </c>
      <c r="G43" s="10" t="s">
        <v>125</v>
      </c>
      <c r="H43" s="9">
        <f t="shared" si="14"/>
        <v>475200</v>
      </c>
      <c r="I43" s="46">
        <v>0.03</v>
      </c>
      <c r="J43" s="9">
        <f t="shared" si="15"/>
        <v>489456</v>
      </c>
      <c r="K43" s="32">
        <f t="shared" si="16"/>
        <v>38.177568000000001</v>
      </c>
      <c r="L43" s="42">
        <f t="shared" si="10"/>
        <v>8.2188483156685425E-3</v>
      </c>
      <c r="M43" s="47"/>
      <c r="N43" s="42">
        <f t="shared" si="17"/>
        <v>6.8025417428522273E-3</v>
      </c>
      <c r="O43" s="35">
        <v>0.60799999999999998</v>
      </c>
      <c r="P43" s="36">
        <f t="shared" si="18"/>
        <v>297589.24800000002</v>
      </c>
      <c r="Q43" s="54" t="s">
        <v>126</v>
      </c>
    </row>
    <row r="44" spans="1:17" ht="19.899999999999999" customHeight="1">
      <c r="A44" s="9">
        <v>9</v>
      </c>
      <c r="B44" s="9"/>
      <c r="C44" s="10" t="s">
        <v>128</v>
      </c>
      <c r="D44" s="10" t="s">
        <v>129</v>
      </c>
      <c r="E44" s="9">
        <f>E19*4</f>
        <v>20</v>
      </c>
      <c r="F44" s="9">
        <v>0.09</v>
      </c>
      <c r="G44" s="10" t="s">
        <v>125</v>
      </c>
      <c r="H44" s="9">
        <f t="shared" si="14"/>
        <v>88000</v>
      </c>
      <c r="I44" s="46">
        <v>0.03</v>
      </c>
      <c r="J44" s="9">
        <f t="shared" si="15"/>
        <v>90640</v>
      </c>
      <c r="K44" s="32">
        <f t="shared" si="16"/>
        <v>8.1576000000000004</v>
      </c>
      <c r="L44" s="42">
        <f t="shared" si="10"/>
        <v>1.756164170014646E-3</v>
      </c>
      <c r="M44" s="47"/>
      <c r="N44" s="42">
        <f t="shared" si="17"/>
        <v>1.2431545582697783E-3</v>
      </c>
      <c r="O44" s="49">
        <v>0.6</v>
      </c>
      <c r="P44" s="36">
        <f t="shared" si="18"/>
        <v>54384</v>
      </c>
      <c r="Q44" s="54" t="s">
        <v>126</v>
      </c>
    </row>
    <row r="45" spans="1:17" ht="19.899999999999999" customHeight="1">
      <c r="A45" s="9">
        <v>10</v>
      </c>
      <c r="B45" s="9"/>
      <c r="C45" s="10" t="s">
        <v>66</v>
      </c>
      <c r="D45" s="10" t="s">
        <v>9</v>
      </c>
      <c r="E45" s="9">
        <f>E44</f>
        <v>20</v>
      </c>
      <c r="F45" s="9">
        <v>4.1000000000000002E-2</v>
      </c>
      <c r="G45" s="10"/>
      <c r="H45" s="9">
        <f t="shared" si="14"/>
        <v>88000</v>
      </c>
      <c r="I45" s="46">
        <v>0.03</v>
      </c>
      <c r="J45" s="9">
        <f t="shared" si="15"/>
        <v>90640</v>
      </c>
      <c r="K45" s="32">
        <f t="shared" si="16"/>
        <v>3.7162400000000004</v>
      </c>
      <c r="L45" s="42">
        <f t="shared" si="10"/>
        <v>8.0003034411778328E-4</v>
      </c>
      <c r="M45" s="47"/>
      <c r="N45" s="42">
        <f t="shared" si="17"/>
        <v>3.1493248809501051E-4</v>
      </c>
      <c r="O45" s="50">
        <v>0.152</v>
      </c>
      <c r="P45" s="36">
        <f t="shared" si="18"/>
        <v>13777.279999999999</v>
      </c>
      <c r="Q45" s="54" t="s">
        <v>127</v>
      </c>
    </row>
    <row r="46" spans="1:17" ht="19.899999999999999" customHeight="1">
      <c r="A46" s="9">
        <v>11</v>
      </c>
      <c r="B46" s="9"/>
      <c r="C46" s="10" t="s">
        <v>67</v>
      </c>
      <c r="D46" s="10" t="s">
        <v>19</v>
      </c>
      <c r="E46" s="9">
        <f>E43*2+E42*2</f>
        <v>336</v>
      </c>
      <c r="F46" s="9">
        <v>6.0000000000000001E-3</v>
      </c>
      <c r="G46" s="10"/>
      <c r="H46" s="9">
        <f t="shared" si="14"/>
        <v>1478400</v>
      </c>
      <c r="I46" s="46">
        <v>0.03</v>
      </c>
      <c r="J46" s="9">
        <f t="shared" si="15"/>
        <v>1522752</v>
      </c>
      <c r="K46" s="32">
        <f t="shared" si="16"/>
        <v>9.1365120000000015</v>
      </c>
      <c r="L46" s="42">
        <f t="shared" si="10"/>
        <v>1.9669038704164038E-3</v>
      </c>
      <c r="M46" s="47"/>
      <c r="N46" s="42">
        <f t="shared" si="17"/>
        <v>1.5663747434199206E-3</v>
      </c>
      <c r="O46" s="50">
        <v>4.4999999999999998E-2</v>
      </c>
      <c r="P46" s="36">
        <f t="shared" si="18"/>
        <v>68523.839999999997</v>
      </c>
      <c r="Q46" s="54" t="s">
        <v>127</v>
      </c>
    </row>
    <row r="47" spans="1:17" ht="19.899999999999999" customHeight="1">
      <c r="A47" s="9">
        <v>12</v>
      </c>
      <c r="B47" s="9"/>
      <c r="C47" s="10" t="s">
        <v>68</v>
      </c>
      <c r="D47" s="10" t="s">
        <v>32</v>
      </c>
      <c r="E47" s="9">
        <f>E48</f>
        <v>188</v>
      </c>
      <c r="F47" s="9">
        <v>4.0000000000000001E-3</v>
      </c>
      <c r="G47" s="10"/>
      <c r="H47" s="9">
        <f t="shared" si="14"/>
        <v>827200</v>
      </c>
      <c r="I47" s="46">
        <v>0.03</v>
      </c>
      <c r="J47" s="9">
        <f t="shared" si="15"/>
        <v>852016</v>
      </c>
      <c r="K47" s="32">
        <f t="shared" si="16"/>
        <v>3.408064</v>
      </c>
      <c r="L47" s="42">
        <f t="shared" si="10"/>
        <v>7.3368636436167429E-4</v>
      </c>
      <c r="M47" s="47"/>
      <c r="N47" s="42">
        <f t="shared" si="17"/>
        <v>6.2323481854591547E-4</v>
      </c>
      <c r="O47" s="50">
        <v>3.2000000000000001E-2</v>
      </c>
      <c r="P47" s="36">
        <f t="shared" si="18"/>
        <v>27264.511999999999</v>
      </c>
      <c r="Q47" s="54" t="s">
        <v>127</v>
      </c>
    </row>
    <row r="48" spans="1:17" ht="19.899999999999999" customHeight="1">
      <c r="A48" s="9">
        <v>13</v>
      </c>
      <c r="B48" s="9"/>
      <c r="C48" s="10" t="s">
        <v>11</v>
      </c>
      <c r="D48" s="10" t="s">
        <v>55</v>
      </c>
      <c r="E48" s="9">
        <f>E44+E43+E42</f>
        <v>188</v>
      </c>
      <c r="F48" s="9">
        <v>1.7000000000000001E-2</v>
      </c>
      <c r="G48" s="10" t="s">
        <v>125</v>
      </c>
      <c r="H48" s="9">
        <f t="shared" si="14"/>
        <v>827200</v>
      </c>
      <c r="I48" s="46">
        <v>0.03</v>
      </c>
      <c r="J48" s="9">
        <f t="shared" si="15"/>
        <v>852016</v>
      </c>
      <c r="K48" s="32">
        <f t="shared" si="16"/>
        <v>14.484272000000001</v>
      </c>
      <c r="L48" s="42">
        <f t="shared" si="10"/>
        <v>3.118167048537116E-3</v>
      </c>
      <c r="M48" s="47"/>
      <c r="N48" s="42">
        <f t="shared" si="17"/>
        <v>2.1423696887515847E-3</v>
      </c>
      <c r="O48" s="50">
        <v>0.11</v>
      </c>
      <c r="P48" s="36">
        <f t="shared" si="18"/>
        <v>93721.76</v>
      </c>
      <c r="Q48" s="54" t="s">
        <v>126</v>
      </c>
    </row>
    <row r="49" spans="1:17" ht="19.899999999999999" customHeight="1">
      <c r="A49" s="9">
        <v>14</v>
      </c>
      <c r="B49" s="9"/>
      <c r="C49" s="10" t="s">
        <v>69</v>
      </c>
      <c r="D49" s="10" t="s">
        <v>59</v>
      </c>
      <c r="E49" s="9">
        <f>52*4</f>
        <v>208</v>
      </c>
      <c r="F49" s="9">
        <v>1.2E-2</v>
      </c>
      <c r="G49" s="10" t="s">
        <v>125</v>
      </c>
      <c r="H49" s="9">
        <f t="shared" si="14"/>
        <v>915200</v>
      </c>
      <c r="I49" s="46">
        <v>0.03</v>
      </c>
      <c r="J49" s="9">
        <f t="shared" si="15"/>
        <v>942656</v>
      </c>
      <c r="K49" s="32">
        <f t="shared" si="16"/>
        <v>11.311871999999999</v>
      </c>
      <c r="L49" s="42">
        <f t="shared" si="10"/>
        <v>2.4352143157536422E-3</v>
      </c>
      <c r="M49" s="47"/>
      <c r="N49" s="42">
        <f t="shared" si="17"/>
        <v>2.3487333454243679E-3</v>
      </c>
      <c r="O49" s="51">
        <v>0.109</v>
      </c>
      <c r="P49" s="36">
        <f t="shared" ref="P49:P55" si="19">O49*J49</f>
        <v>102749.504</v>
      </c>
      <c r="Q49" s="54" t="s">
        <v>127</v>
      </c>
    </row>
    <row r="50" spans="1:17" ht="19.899999999999999" customHeight="1">
      <c r="A50" s="9">
        <v>15</v>
      </c>
      <c r="B50" s="9"/>
      <c r="C50" s="10" t="s">
        <v>30</v>
      </c>
      <c r="D50" s="10" t="s">
        <v>19</v>
      </c>
      <c r="E50" s="9">
        <f>E49*2</f>
        <v>416</v>
      </c>
      <c r="F50" s="9">
        <v>2E-3</v>
      </c>
      <c r="G50" s="10"/>
      <c r="H50" s="9">
        <f t="shared" si="14"/>
        <v>1830400</v>
      </c>
      <c r="I50" s="46">
        <v>0.03</v>
      </c>
      <c r="J50" s="9">
        <f t="shared" si="15"/>
        <v>1885312</v>
      </c>
      <c r="K50" s="32">
        <f t="shared" si="16"/>
        <v>3.7706240000000002</v>
      </c>
      <c r="L50" s="42">
        <f t="shared" si="10"/>
        <v>8.117381052512141E-4</v>
      </c>
      <c r="M50" s="47"/>
      <c r="N50" s="42">
        <f t="shared" si="17"/>
        <v>8.6192049373371295E-4</v>
      </c>
      <c r="O50" s="50">
        <v>0.02</v>
      </c>
      <c r="P50" s="36">
        <f t="shared" si="19"/>
        <v>37706.239999999998</v>
      </c>
      <c r="Q50" s="54" t="s">
        <v>127</v>
      </c>
    </row>
    <row r="51" spans="1:17" ht="19.899999999999999" customHeight="1">
      <c r="A51" s="9">
        <v>16</v>
      </c>
      <c r="B51" s="9"/>
      <c r="C51" s="10" t="s">
        <v>31</v>
      </c>
      <c r="D51" s="10" t="s">
        <v>32</v>
      </c>
      <c r="E51" s="9">
        <f>E49</f>
        <v>208</v>
      </c>
      <c r="F51" s="9">
        <v>1E-3</v>
      </c>
      <c r="G51" s="10"/>
      <c r="H51" s="9">
        <f t="shared" ref="H51" si="20">E51*$C$1</f>
        <v>915200</v>
      </c>
      <c r="I51" s="46">
        <v>0.03</v>
      </c>
      <c r="J51" s="9">
        <f t="shared" si="8"/>
        <v>942656</v>
      </c>
      <c r="K51" s="32">
        <f t="shared" ref="K51:K53" si="21">F51*J51*10^-3</f>
        <v>0.94265600000000005</v>
      </c>
      <c r="L51" s="42">
        <f t="shared" si="10"/>
        <v>2.0293452631280353E-4</v>
      </c>
      <c r="M51" s="47"/>
      <c r="N51" s="42">
        <f t="shared" si="17"/>
        <v>2.3702813577677103E-4</v>
      </c>
      <c r="O51" s="50">
        <v>1.0999999999999999E-2</v>
      </c>
      <c r="P51" s="36">
        <f t="shared" si="19"/>
        <v>10369.215999999999</v>
      </c>
      <c r="Q51" s="54" t="s">
        <v>127</v>
      </c>
    </row>
    <row r="52" spans="1:17" ht="19.899999999999999" customHeight="1">
      <c r="A52" s="9">
        <v>17</v>
      </c>
      <c r="B52" s="9"/>
      <c r="C52" s="10" t="s">
        <v>12</v>
      </c>
      <c r="D52" s="10" t="s">
        <v>55</v>
      </c>
      <c r="E52" s="9">
        <f>E49</f>
        <v>208</v>
      </c>
      <c r="F52" s="9">
        <v>6.0000000000000001E-3</v>
      </c>
      <c r="G52" s="10" t="s">
        <v>130</v>
      </c>
      <c r="H52" s="9">
        <f>E52*$C$1</f>
        <v>915200</v>
      </c>
      <c r="I52" s="46">
        <v>0.03</v>
      </c>
      <c r="J52" s="9">
        <f t="shared" si="8"/>
        <v>942656</v>
      </c>
      <c r="K52" s="32">
        <f t="shared" si="21"/>
        <v>5.6559359999999996</v>
      </c>
      <c r="L52" s="42">
        <f t="shared" si="10"/>
        <v>1.2176071578768211E-3</v>
      </c>
      <c r="M52" s="47"/>
      <c r="N52" s="42">
        <f t="shared" si="17"/>
        <v>7.972764567036845E-4</v>
      </c>
      <c r="O52" s="50">
        <v>3.6999999999999998E-2</v>
      </c>
      <c r="P52" s="36">
        <f t="shared" si="19"/>
        <v>34878.271999999997</v>
      </c>
      <c r="Q52" s="54" t="s">
        <v>127</v>
      </c>
    </row>
    <row r="53" spans="1:17" ht="19.899999999999999" customHeight="1">
      <c r="A53" s="9">
        <v>18</v>
      </c>
      <c r="B53" s="9"/>
      <c r="C53" s="10" t="s">
        <v>131</v>
      </c>
      <c r="D53" s="10" t="s">
        <v>132</v>
      </c>
      <c r="E53" s="9">
        <v>2</v>
      </c>
      <c r="F53" s="20">
        <f>0.4*30^2/25^2</f>
        <v>0.57599999999999996</v>
      </c>
      <c r="G53" s="10" t="s">
        <v>125</v>
      </c>
      <c r="H53" s="9">
        <f>E53*$C$1</f>
        <v>8800</v>
      </c>
      <c r="I53" s="46">
        <v>0.03</v>
      </c>
      <c r="J53" s="9">
        <f t="shared" si="8"/>
        <v>9064</v>
      </c>
      <c r="K53" s="32">
        <f t="shared" si="21"/>
        <v>5.2208639999999997</v>
      </c>
      <c r="L53" s="42">
        <f t="shared" si="10"/>
        <v>1.1239450688093732E-3</v>
      </c>
      <c r="M53" s="47"/>
      <c r="N53" s="42">
        <f t="shared" si="17"/>
        <v>2.7970977561070014E-3</v>
      </c>
      <c r="O53" s="35">
        <v>13.5</v>
      </c>
      <c r="P53" s="36">
        <f t="shared" si="19"/>
        <v>122364</v>
      </c>
      <c r="Q53" s="54"/>
    </row>
    <row r="54" spans="1:17" ht="19.899999999999999" customHeight="1">
      <c r="A54" s="9">
        <v>19</v>
      </c>
      <c r="B54" s="9"/>
      <c r="C54" s="10" t="s">
        <v>133</v>
      </c>
      <c r="D54" s="10" t="s">
        <v>132</v>
      </c>
      <c r="E54" s="9">
        <v>2</v>
      </c>
      <c r="F54" s="9">
        <v>1.32</v>
      </c>
      <c r="G54" s="10" t="s">
        <v>125</v>
      </c>
      <c r="H54" s="9">
        <f t="shared" ref="H54:H55" si="22">E54*$C$1</f>
        <v>8800</v>
      </c>
      <c r="I54" s="46">
        <v>0.03</v>
      </c>
      <c r="J54" s="9">
        <f t="shared" ref="J54:J55" si="23">ROUNDUP(H54*(1+I54),0)</f>
        <v>9064</v>
      </c>
      <c r="K54" s="32">
        <f t="shared" ref="K54:K55" si="24">F54*J54*10^-3</f>
        <v>11.964480000000002</v>
      </c>
      <c r="L54" s="42">
        <f t="shared" si="10"/>
        <v>2.5757074493548142E-3</v>
      </c>
      <c r="M54" s="47"/>
      <c r="N54" s="42">
        <f t="shared" si="17"/>
        <v>5.8013879385922992E-3</v>
      </c>
      <c r="O54" s="35">
        <v>28</v>
      </c>
      <c r="P54" s="36">
        <f t="shared" si="19"/>
        <v>253792</v>
      </c>
      <c r="Q54" s="54"/>
    </row>
    <row r="55" spans="1:17" ht="19.899999999999999" customHeight="1">
      <c r="A55" s="9">
        <v>20</v>
      </c>
      <c r="B55" s="9"/>
      <c r="C55" s="10" t="s">
        <v>134</v>
      </c>
      <c r="D55" s="22" t="s">
        <v>70</v>
      </c>
      <c r="E55" s="9">
        <v>4</v>
      </c>
      <c r="F55" s="9">
        <v>0.01</v>
      </c>
      <c r="G55" s="10">
        <v>304</v>
      </c>
      <c r="H55" s="9">
        <f t="shared" si="22"/>
        <v>17600</v>
      </c>
      <c r="I55" s="46">
        <v>0.03</v>
      </c>
      <c r="J55" s="9">
        <f t="shared" si="23"/>
        <v>18128</v>
      </c>
      <c r="K55" s="32">
        <f t="shared" si="24"/>
        <v>0.18128</v>
      </c>
      <c r="L55" s="42">
        <f t="shared" si="10"/>
        <v>3.9025870444769906E-5</v>
      </c>
      <c r="M55" s="47"/>
      <c r="N55" s="42">
        <f t="shared" si="17"/>
        <v>2.0719242637829639E-4</v>
      </c>
      <c r="O55" s="49">
        <v>0.5</v>
      </c>
      <c r="P55" s="36">
        <f t="shared" si="19"/>
        <v>9064</v>
      </c>
      <c r="Q55" s="10"/>
    </row>
    <row r="56" spans="1:17" ht="19.899999999999999" customHeight="1">
      <c r="A56" s="23" t="s">
        <v>135</v>
      </c>
      <c r="B56" s="24"/>
      <c r="D56" s="10"/>
      <c r="E56" s="9"/>
      <c r="F56" s="9"/>
      <c r="G56" s="10"/>
      <c r="H56" s="9"/>
      <c r="I56" s="46"/>
      <c r="J56" s="9"/>
      <c r="K56" s="32"/>
      <c r="L56" s="42"/>
      <c r="M56" s="47"/>
      <c r="N56" s="42"/>
      <c r="O56" s="49"/>
      <c r="P56" s="36"/>
      <c r="Q56" s="10"/>
    </row>
    <row r="57" spans="1:17" ht="19.899999999999999" customHeight="1">
      <c r="A57" s="9">
        <v>1</v>
      </c>
      <c r="B57" s="9"/>
      <c r="C57" s="25" t="s">
        <v>135</v>
      </c>
      <c r="D57" s="105" t="s">
        <v>136</v>
      </c>
      <c r="E57" s="9">
        <v>1</v>
      </c>
      <c r="F57" s="27">
        <v>21.05</v>
      </c>
      <c r="G57" s="25" t="s">
        <v>7</v>
      </c>
      <c r="H57" s="9">
        <f>E57*$H$1</f>
        <v>45</v>
      </c>
      <c r="I57" s="46">
        <v>0</v>
      </c>
      <c r="J57" s="9">
        <f t="shared" ref="J57:J77" si="25">ROUNDUP(H57*(1+I57),0)</f>
        <v>45</v>
      </c>
      <c r="K57" s="33">
        <f t="shared" ref="K57:K77" si="26">F57*J57*10^-3</f>
        <v>0.94725000000000004</v>
      </c>
      <c r="L57" s="42">
        <f t="shared" ref="L57:L77" si="27">K57/SUM($K$4:$K$79)</f>
        <v>1.0465758724447257E-4</v>
      </c>
      <c r="M57" s="106" t="s">
        <v>136</v>
      </c>
      <c r="N57" s="42">
        <f t="shared" ref="N57:N78" si="28">P57/$P$78</f>
        <v>3.9088597650803929E-3</v>
      </c>
      <c r="O57" s="52">
        <v>3800</v>
      </c>
      <c r="P57" s="36">
        <f t="shared" ref="P57:P77" si="29">O57*J57</f>
        <v>171000</v>
      </c>
      <c r="Q57" s="26"/>
    </row>
    <row r="58" spans="1:17" ht="19.899999999999999" customHeight="1">
      <c r="A58" s="9">
        <v>2</v>
      </c>
      <c r="B58" s="9"/>
      <c r="C58" s="25" t="s">
        <v>137</v>
      </c>
      <c r="D58" s="26" t="s">
        <v>138</v>
      </c>
      <c r="E58" s="9">
        <v>2</v>
      </c>
      <c r="F58" s="27">
        <v>0.81499999999999995</v>
      </c>
      <c r="G58" s="25" t="s">
        <v>7</v>
      </c>
      <c r="H58" s="9">
        <f t="shared" ref="H58:H77" si="30">E58*$H$1</f>
        <v>90</v>
      </c>
      <c r="I58" s="46">
        <v>0</v>
      </c>
      <c r="J58" s="9">
        <f t="shared" si="25"/>
        <v>90</v>
      </c>
      <c r="K58" s="33">
        <f t="shared" si="26"/>
        <v>7.3349999999999999E-2</v>
      </c>
      <c r="L58" s="42">
        <f t="shared" si="27"/>
        <v>8.1041267082418185E-6</v>
      </c>
      <c r="M58" s="47">
        <v>8</v>
      </c>
      <c r="N58" s="42">
        <f t="shared" si="28"/>
        <v>1.3413560878065348E-5</v>
      </c>
      <c r="O58" s="35">
        <f t="shared" ref="O58:O64" si="31">F58*M58</f>
        <v>6.52</v>
      </c>
      <c r="P58" s="36">
        <f t="shared" si="29"/>
        <v>586.79999999999995</v>
      </c>
      <c r="Q58" s="26" t="s">
        <v>139</v>
      </c>
    </row>
    <row r="59" spans="1:17" ht="19.899999999999999" customHeight="1">
      <c r="A59" s="9">
        <v>3</v>
      </c>
      <c r="B59" s="9"/>
      <c r="C59" s="25" t="s">
        <v>140</v>
      </c>
      <c r="D59" s="26" t="s">
        <v>141</v>
      </c>
      <c r="E59" s="9">
        <v>2</v>
      </c>
      <c r="F59" s="27">
        <v>0.28100000000000003</v>
      </c>
      <c r="G59" s="25" t="s">
        <v>142</v>
      </c>
      <c r="H59" s="9">
        <f t="shared" si="30"/>
        <v>90</v>
      </c>
      <c r="I59" s="46">
        <v>0</v>
      </c>
      <c r="J59" s="9">
        <f t="shared" si="25"/>
        <v>90</v>
      </c>
      <c r="K59" s="33">
        <f t="shared" si="26"/>
        <v>2.5290000000000003E-2</v>
      </c>
      <c r="L59" s="42">
        <f t="shared" si="27"/>
        <v>2.79418356443675E-6</v>
      </c>
      <c r="M59" s="47">
        <v>8</v>
      </c>
      <c r="N59" s="42">
        <f t="shared" si="28"/>
        <v>4.6247982904740654E-6</v>
      </c>
      <c r="O59" s="35">
        <f t="shared" si="31"/>
        <v>2.2480000000000002</v>
      </c>
      <c r="P59" s="36">
        <f t="shared" si="29"/>
        <v>202.32000000000002</v>
      </c>
      <c r="Q59" s="26" t="s">
        <v>139</v>
      </c>
    </row>
    <row r="60" spans="1:17" ht="19.899999999999999" customHeight="1">
      <c r="A60" s="9">
        <v>4</v>
      </c>
      <c r="B60" s="9"/>
      <c r="C60" s="25" t="s">
        <v>143</v>
      </c>
      <c r="D60" s="26" t="s">
        <v>144</v>
      </c>
      <c r="E60" s="9">
        <v>1</v>
      </c>
      <c r="F60" s="27">
        <v>18.844999999999999</v>
      </c>
      <c r="G60" s="28" t="s">
        <v>7</v>
      </c>
      <c r="H60" s="9">
        <f t="shared" si="30"/>
        <v>45</v>
      </c>
      <c r="I60" s="46">
        <v>0</v>
      </c>
      <c r="J60" s="9">
        <f t="shared" si="25"/>
        <v>45</v>
      </c>
      <c r="K60" s="33">
        <f t="shared" si="26"/>
        <v>0.84802500000000003</v>
      </c>
      <c r="L60" s="42">
        <f t="shared" si="27"/>
        <v>9.3694642832403113E-5</v>
      </c>
      <c r="M60" s="47">
        <v>8</v>
      </c>
      <c r="N60" s="42">
        <f t="shared" si="28"/>
        <v>1.5507886794303158E-4</v>
      </c>
      <c r="O60" s="35">
        <f t="shared" si="31"/>
        <v>150.76</v>
      </c>
      <c r="P60" s="36">
        <f t="shared" si="29"/>
        <v>6784.2</v>
      </c>
      <c r="Q60" s="26" t="s">
        <v>145</v>
      </c>
    </row>
    <row r="61" spans="1:17" ht="31">
      <c r="A61" s="9">
        <v>5</v>
      </c>
      <c r="B61" s="9"/>
      <c r="C61" s="29" t="s">
        <v>146</v>
      </c>
      <c r="D61" s="30" t="s">
        <v>147</v>
      </c>
      <c r="E61" s="9">
        <v>1</v>
      </c>
      <c r="F61" s="31">
        <v>42.51</v>
      </c>
      <c r="G61" s="28" t="s">
        <v>7</v>
      </c>
      <c r="H61" s="9">
        <f t="shared" si="30"/>
        <v>45</v>
      </c>
      <c r="I61" s="46">
        <v>0</v>
      </c>
      <c r="J61" s="9">
        <f t="shared" si="25"/>
        <v>45</v>
      </c>
      <c r="K61" s="33">
        <f t="shared" si="26"/>
        <v>1.9129499999999999</v>
      </c>
      <c r="L61" s="42">
        <f t="shared" si="27"/>
        <v>2.1135363580819614E-4</v>
      </c>
      <c r="M61" s="47">
        <v>8</v>
      </c>
      <c r="N61" s="42">
        <f t="shared" si="28"/>
        <v>3.4982237602856317E-4</v>
      </c>
      <c r="O61" s="35">
        <f t="shared" si="31"/>
        <v>340.08</v>
      </c>
      <c r="P61" s="36">
        <f t="shared" si="29"/>
        <v>15303.599999999999</v>
      </c>
      <c r="Q61" s="26" t="s">
        <v>148</v>
      </c>
    </row>
    <row r="62" spans="1:17">
      <c r="A62" s="9">
        <v>6</v>
      </c>
      <c r="B62" s="9"/>
      <c r="C62" s="29" t="s">
        <v>149</v>
      </c>
      <c r="D62" s="30" t="s">
        <v>150</v>
      </c>
      <c r="E62" s="9">
        <v>1</v>
      </c>
      <c r="F62" s="31">
        <v>9.98</v>
      </c>
      <c r="G62" s="28" t="s">
        <v>7</v>
      </c>
      <c r="H62" s="9">
        <f t="shared" si="30"/>
        <v>45</v>
      </c>
      <c r="I62" s="46">
        <v>0</v>
      </c>
      <c r="J62" s="9">
        <f t="shared" si="25"/>
        <v>45</v>
      </c>
      <c r="K62" s="33">
        <f t="shared" si="26"/>
        <v>0.44910000000000005</v>
      </c>
      <c r="L62" s="42">
        <f t="shared" si="27"/>
        <v>4.9619131624695315E-5</v>
      </c>
      <c r="M62" s="47">
        <v>8</v>
      </c>
      <c r="N62" s="42">
        <f t="shared" si="28"/>
        <v>8.212720095895226E-5</v>
      </c>
      <c r="O62" s="35">
        <f t="shared" si="31"/>
        <v>79.84</v>
      </c>
      <c r="P62" s="36">
        <f t="shared" si="29"/>
        <v>3592.8</v>
      </c>
      <c r="Q62" s="26" t="s">
        <v>148</v>
      </c>
    </row>
    <row r="63" spans="1:17" ht="19.899999999999999" customHeight="1">
      <c r="A63" s="9">
        <v>7</v>
      </c>
      <c r="B63" s="9"/>
      <c r="C63" s="29" t="s">
        <v>151</v>
      </c>
      <c r="D63" s="30" t="s">
        <v>152</v>
      </c>
      <c r="E63" s="9">
        <v>1</v>
      </c>
      <c r="F63" s="31">
        <v>6.75</v>
      </c>
      <c r="G63" s="29" t="s">
        <v>40</v>
      </c>
      <c r="H63" s="9">
        <f t="shared" si="30"/>
        <v>45</v>
      </c>
      <c r="I63" s="46">
        <v>0</v>
      </c>
      <c r="J63" s="9">
        <f t="shared" si="25"/>
        <v>45</v>
      </c>
      <c r="K63" s="33">
        <f t="shared" si="26"/>
        <v>0.30375000000000002</v>
      </c>
      <c r="L63" s="42">
        <f t="shared" si="27"/>
        <v>3.356003391449833E-5</v>
      </c>
      <c r="M63" s="47">
        <v>8</v>
      </c>
      <c r="N63" s="42">
        <f t="shared" si="28"/>
        <v>5.5546954556405585E-5</v>
      </c>
      <c r="O63" s="35">
        <f t="shared" si="31"/>
        <v>54</v>
      </c>
      <c r="P63" s="36">
        <f t="shared" si="29"/>
        <v>2430</v>
      </c>
      <c r="Q63" s="26" t="s">
        <v>148</v>
      </c>
    </row>
    <row r="64" spans="1:17" ht="19.899999999999999" customHeight="1">
      <c r="A64" s="9">
        <v>8</v>
      </c>
      <c r="B64" s="9"/>
      <c r="C64" s="29" t="s">
        <v>153</v>
      </c>
      <c r="D64" s="30" t="s">
        <v>154</v>
      </c>
      <c r="E64" s="9">
        <v>4</v>
      </c>
      <c r="F64" s="31">
        <v>1.1000000000000001</v>
      </c>
      <c r="G64" s="25" t="s">
        <v>136</v>
      </c>
      <c r="H64" s="9">
        <f t="shared" si="30"/>
        <v>180</v>
      </c>
      <c r="I64" s="46">
        <v>0.03</v>
      </c>
      <c r="J64" s="9">
        <f t="shared" si="25"/>
        <v>186</v>
      </c>
      <c r="K64" s="33">
        <f t="shared" si="26"/>
        <v>0.20460000000000003</v>
      </c>
      <c r="L64" s="42">
        <f t="shared" si="27"/>
        <v>2.2605375930555916E-5</v>
      </c>
      <c r="M64" s="47">
        <v>32</v>
      </c>
      <c r="N64" s="42">
        <f t="shared" si="28"/>
        <v>1.4966132546160441E-4</v>
      </c>
      <c r="O64" s="35">
        <f t="shared" si="31"/>
        <v>35.200000000000003</v>
      </c>
      <c r="P64" s="36">
        <f t="shared" si="29"/>
        <v>6547.2000000000007</v>
      </c>
      <c r="Q64" s="26" t="s">
        <v>155</v>
      </c>
    </row>
    <row r="65" spans="1:17" ht="19.899999999999999" customHeight="1">
      <c r="A65" s="9">
        <v>9</v>
      </c>
      <c r="B65" s="9"/>
      <c r="C65" s="25" t="s">
        <v>156</v>
      </c>
      <c r="D65" s="26" t="s">
        <v>157</v>
      </c>
      <c r="E65" s="9">
        <v>8</v>
      </c>
      <c r="F65" s="55">
        <v>0.11855</v>
      </c>
      <c r="G65" s="25" t="s">
        <v>136</v>
      </c>
      <c r="H65" s="9">
        <f t="shared" si="30"/>
        <v>360</v>
      </c>
      <c r="I65" s="46">
        <v>0.03</v>
      </c>
      <c r="J65" s="9">
        <f t="shared" si="25"/>
        <v>371</v>
      </c>
      <c r="K65" s="33">
        <f t="shared" si="26"/>
        <v>4.3982050000000002E-2</v>
      </c>
      <c r="L65" s="42">
        <f t="shared" si="27"/>
        <v>4.8593879493964163E-6</v>
      </c>
      <c r="M65" s="47"/>
      <c r="N65" s="42">
        <f t="shared" si="28"/>
        <v>7.6325630149727685E-6</v>
      </c>
      <c r="O65" s="49">
        <v>0.9</v>
      </c>
      <c r="P65" s="36">
        <f t="shared" si="29"/>
        <v>333.90000000000003</v>
      </c>
      <c r="Q65" s="80" t="s">
        <v>158</v>
      </c>
    </row>
    <row r="66" spans="1:17" ht="19.899999999999999" customHeight="1">
      <c r="A66" s="9">
        <v>10</v>
      </c>
      <c r="B66" s="9"/>
      <c r="C66" s="25" t="s">
        <v>159</v>
      </c>
      <c r="D66" s="26" t="s">
        <v>160</v>
      </c>
      <c r="E66" s="9">
        <v>8</v>
      </c>
      <c r="F66" s="55">
        <v>4.0489999999999998E-2</v>
      </c>
      <c r="G66" s="25" t="s">
        <v>136</v>
      </c>
      <c r="H66" s="9">
        <f t="shared" si="30"/>
        <v>360</v>
      </c>
      <c r="I66" s="46">
        <v>0.03</v>
      </c>
      <c r="J66" s="9">
        <f t="shared" si="25"/>
        <v>371</v>
      </c>
      <c r="K66" s="33">
        <f t="shared" si="26"/>
        <v>1.502179E-2</v>
      </c>
      <c r="L66" s="42">
        <f t="shared" si="27"/>
        <v>1.6596931089925E-6</v>
      </c>
      <c r="M66" s="47"/>
      <c r="N66" s="42">
        <f t="shared" si="28"/>
        <v>1.5265126029945536E-6</v>
      </c>
      <c r="O66" s="49">
        <v>0.18</v>
      </c>
      <c r="P66" s="36">
        <f t="shared" si="29"/>
        <v>66.78</v>
      </c>
      <c r="Q66" s="80" t="s">
        <v>161</v>
      </c>
    </row>
    <row r="67" spans="1:17" ht="19.899999999999999" customHeight="1">
      <c r="A67" s="9">
        <v>11</v>
      </c>
      <c r="B67" s="9"/>
      <c r="C67" s="25" t="s">
        <v>162</v>
      </c>
      <c r="D67" s="26" t="s">
        <v>163</v>
      </c>
      <c r="E67" s="9">
        <v>8</v>
      </c>
      <c r="F67" s="55">
        <v>1.098E-2</v>
      </c>
      <c r="G67" s="56" t="s">
        <v>136</v>
      </c>
      <c r="H67" s="9">
        <f t="shared" si="30"/>
        <v>360</v>
      </c>
      <c r="I67" s="46">
        <v>0.03</v>
      </c>
      <c r="J67" s="9">
        <f t="shared" si="25"/>
        <v>371</v>
      </c>
      <c r="K67" s="33">
        <f t="shared" si="26"/>
        <v>4.0735800000000003E-3</v>
      </c>
      <c r="L67" s="42">
        <f t="shared" si="27"/>
        <v>4.5007237186311808E-7</v>
      </c>
      <c r="M67" s="47"/>
      <c r="N67" s="42">
        <f t="shared" si="28"/>
        <v>6.7845004577535712E-7</v>
      </c>
      <c r="O67" s="49">
        <v>0.08</v>
      </c>
      <c r="P67" s="36">
        <f t="shared" si="29"/>
        <v>29.68</v>
      </c>
      <c r="Q67" s="80" t="s">
        <v>161</v>
      </c>
    </row>
    <row r="68" spans="1:17" ht="19.899999999999999" customHeight="1">
      <c r="A68" s="9">
        <v>12</v>
      </c>
      <c r="B68" s="9"/>
      <c r="C68" s="25" t="s">
        <v>164</v>
      </c>
      <c r="D68" s="26" t="s">
        <v>165</v>
      </c>
      <c r="E68" s="9">
        <v>8</v>
      </c>
      <c r="F68" s="55">
        <v>8.9499999999999996E-3</v>
      </c>
      <c r="G68" s="57" t="s">
        <v>136</v>
      </c>
      <c r="H68" s="9">
        <f t="shared" si="30"/>
        <v>360</v>
      </c>
      <c r="I68" s="46">
        <v>0.03</v>
      </c>
      <c r="J68" s="9">
        <f t="shared" si="25"/>
        <v>371</v>
      </c>
      <c r="K68" s="33">
        <f t="shared" si="26"/>
        <v>3.32045E-3</v>
      </c>
      <c r="L68" s="42">
        <f t="shared" si="27"/>
        <v>3.6686227032558344E-7</v>
      </c>
      <c r="M68" s="47"/>
      <c r="N68" s="42">
        <f t="shared" si="28"/>
        <v>5.0035690875932583E-7</v>
      </c>
      <c r="O68" s="49">
        <v>5.8999999999999997E-2</v>
      </c>
      <c r="P68" s="36">
        <f t="shared" si="29"/>
        <v>21.888999999999999</v>
      </c>
      <c r="Q68" s="81" t="s">
        <v>161</v>
      </c>
    </row>
    <row r="69" spans="1:17" ht="19.899999999999999" customHeight="1">
      <c r="A69" s="9">
        <v>13</v>
      </c>
      <c r="B69" s="9"/>
      <c r="C69" s="25" t="s">
        <v>166</v>
      </c>
      <c r="D69" s="26" t="s">
        <v>167</v>
      </c>
      <c r="E69" s="9">
        <v>8</v>
      </c>
      <c r="F69" s="55">
        <v>3.1859999999999999E-2</v>
      </c>
      <c r="G69" s="57" t="s">
        <v>136</v>
      </c>
      <c r="H69" s="9">
        <f t="shared" si="30"/>
        <v>360</v>
      </c>
      <c r="I69" s="46">
        <v>0.03</v>
      </c>
      <c r="J69" s="9">
        <f t="shared" si="25"/>
        <v>371</v>
      </c>
      <c r="K69" s="33">
        <f t="shared" si="26"/>
        <v>1.182006E-2</v>
      </c>
      <c r="L69" s="42">
        <f t="shared" si="27"/>
        <v>1.3059477019634737E-6</v>
      </c>
      <c r="M69" s="47"/>
      <c r="N69" s="42">
        <f t="shared" si="28"/>
        <v>2.0353501373260711E-6</v>
      </c>
      <c r="O69" s="49">
        <v>0.24</v>
      </c>
      <c r="P69" s="36">
        <f t="shared" si="29"/>
        <v>89.039999999999992</v>
      </c>
      <c r="Q69" s="81" t="s">
        <v>158</v>
      </c>
    </row>
    <row r="70" spans="1:17" ht="19.899999999999999" customHeight="1">
      <c r="A70" s="9">
        <v>14</v>
      </c>
      <c r="B70" s="9"/>
      <c r="C70" s="25" t="s">
        <v>168</v>
      </c>
      <c r="D70" s="26" t="s">
        <v>157</v>
      </c>
      <c r="E70" s="9">
        <v>16</v>
      </c>
      <c r="F70" s="55">
        <v>3.5709999999999999E-2</v>
      </c>
      <c r="G70" s="57" t="s">
        <v>136</v>
      </c>
      <c r="H70" s="9">
        <f t="shared" si="30"/>
        <v>720</v>
      </c>
      <c r="I70" s="46">
        <v>0.03</v>
      </c>
      <c r="J70" s="9">
        <f t="shared" si="25"/>
        <v>742</v>
      </c>
      <c r="K70" s="33">
        <f t="shared" si="26"/>
        <v>2.6496820000000001E-2</v>
      </c>
      <c r="L70" s="42">
        <f t="shared" si="27"/>
        <v>2.9275199270003544E-6</v>
      </c>
      <c r="M70" s="47"/>
      <c r="N70" s="42">
        <f t="shared" si="28"/>
        <v>5.4511765052935505E-6</v>
      </c>
      <c r="O70" s="49">
        <f>F70*9</f>
        <v>0.32139000000000001</v>
      </c>
      <c r="P70" s="36">
        <f t="shared" si="29"/>
        <v>238.47138000000001</v>
      </c>
      <c r="Q70" s="81" t="s">
        <v>158</v>
      </c>
    </row>
    <row r="71" spans="1:17" ht="19.899999999999999" customHeight="1">
      <c r="A71" s="9">
        <v>15</v>
      </c>
      <c r="B71" s="9"/>
      <c r="C71" s="25" t="s">
        <v>169</v>
      </c>
      <c r="D71" s="26" t="s">
        <v>163</v>
      </c>
      <c r="E71" s="9">
        <v>32</v>
      </c>
      <c r="F71" s="55">
        <v>3.63E-3</v>
      </c>
      <c r="G71" s="57" t="s">
        <v>136</v>
      </c>
      <c r="H71" s="9">
        <f t="shared" si="30"/>
        <v>1440</v>
      </c>
      <c r="I71" s="46">
        <v>0.03</v>
      </c>
      <c r="J71" s="9">
        <f t="shared" si="25"/>
        <v>1484</v>
      </c>
      <c r="K71" s="33">
        <f t="shared" si="26"/>
        <v>5.3869199999999999E-3</v>
      </c>
      <c r="L71" s="42">
        <f t="shared" si="27"/>
        <v>5.9517767208128174E-7</v>
      </c>
      <c r="M71" s="47"/>
      <c r="N71" s="42">
        <f t="shared" si="28"/>
        <v>1.1082481497740457E-6</v>
      </c>
      <c r="O71" s="49">
        <f t="shared" ref="O71:O77" si="32">F71*9</f>
        <v>3.2669999999999998E-2</v>
      </c>
      <c r="P71" s="36">
        <f t="shared" si="29"/>
        <v>48.482279999999996</v>
      </c>
      <c r="Q71" s="81" t="s">
        <v>161</v>
      </c>
    </row>
    <row r="72" spans="1:17" ht="19.899999999999999" customHeight="1">
      <c r="A72" s="9">
        <v>16</v>
      </c>
      <c r="B72" s="9"/>
      <c r="C72" s="25" t="s">
        <v>170</v>
      </c>
      <c r="D72" s="26" t="s">
        <v>165</v>
      </c>
      <c r="E72" s="9">
        <v>16</v>
      </c>
      <c r="F72" s="55">
        <v>2.7100000000000002E-3</v>
      </c>
      <c r="G72" s="57" t="s">
        <v>136</v>
      </c>
      <c r="H72" s="9">
        <f t="shared" si="30"/>
        <v>720</v>
      </c>
      <c r="I72" s="46">
        <v>0.03</v>
      </c>
      <c r="J72" s="9">
        <f t="shared" si="25"/>
        <v>742</v>
      </c>
      <c r="K72" s="33">
        <f t="shared" si="26"/>
        <v>2.0108200000000004E-3</v>
      </c>
      <c r="L72" s="42">
        <f t="shared" si="27"/>
        <v>2.2216687208543719E-7</v>
      </c>
      <c r="M72" s="47"/>
      <c r="N72" s="42">
        <f t="shared" si="28"/>
        <v>4.1368491541152405E-7</v>
      </c>
      <c r="O72" s="49">
        <f t="shared" si="32"/>
        <v>2.4390000000000002E-2</v>
      </c>
      <c r="P72" s="36">
        <f t="shared" si="29"/>
        <v>18.097380000000001</v>
      </c>
      <c r="Q72" s="81" t="s">
        <v>161</v>
      </c>
    </row>
    <row r="73" spans="1:17" ht="19.899999999999999" customHeight="1">
      <c r="A73" s="9">
        <v>17</v>
      </c>
      <c r="B73" s="9"/>
      <c r="C73" s="25" t="s">
        <v>171</v>
      </c>
      <c r="D73" s="26" t="s">
        <v>167</v>
      </c>
      <c r="E73" s="9">
        <v>16</v>
      </c>
      <c r="F73" s="55">
        <v>9.5300000000000003E-3</v>
      </c>
      <c r="G73" s="57" t="s">
        <v>136</v>
      </c>
      <c r="H73" s="9">
        <f t="shared" si="30"/>
        <v>720</v>
      </c>
      <c r="I73" s="46">
        <v>0.03</v>
      </c>
      <c r="J73" s="9">
        <f t="shared" si="25"/>
        <v>742</v>
      </c>
      <c r="K73" s="33">
        <f t="shared" si="26"/>
        <v>7.0712600000000011E-3</v>
      </c>
      <c r="L73" s="42">
        <f t="shared" si="27"/>
        <v>7.8127317010118679E-7</v>
      </c>
      <c r="M73" s="47"/>
      <c r="N73" s="42">
        <f t="shared" si="28"/>
        <v>1.4547665106538096E-6</v>
      </c>
      <c r="O73" s="49">
        <f t="shared" si="32"/>
        <v>8.5769999999999999E-2</v>
      </c>
      <c r="P73" s="36">
        <f t="shared" si="29"/>
        <v>63.64134</v>
      </c>
      <c r="Q73" s="81" t="s">
        <v>158</v>
      </c>
    </row>
    <row r="74" spans="1:17" ht="19.899999999999999" customHeight="1">
      <c r="A74" s="9">
        <v>18</v>
      </c>
      <c r="B74" s="9"/>
      <c r="C74" s="25" t="s">
        <v>172</v>
      </c>
      <c r="D74" s="26" t="s">
        <v>157</v>
      </c>
      <c r="E74" s="9">
        <v>4</v>
      </c>
      <c r="F74" s="55">
        <v>1.3310000000000001E-2</v>
      </c>
      <c r="G74" s="57" t="s">
        <v>136</v>
      </c>
      <c r="H74" s="9">
        <f t="shared" si="30"/>
        <v>180</v>
      </c>
      <c r="I74" s="46">
        <v>0.03</v>
      </c>
      <c r="J74" s="9">
        <f t="shared" si="25"/>
        <v>186</v>
      </c>
      <c r="K74" s="33">
        <f t="shared" si="26"/>
        <v>2.4756600000000002E-3</v>
      </c>
      <c r="L74" s="42">
        <f t="shared" si="27"/>
        <v>2.7352504875972653E-7</v>
      </c>
      <c r="M74" s="47"/>
      <c r="N74" s="42">
        <f t="shared" si="28"/>
        <v>5.0931619821152248E-7</v>
      </c>
      <c r="O74" s="49">
        <f t="shared" si="32"/>
        <v>0.11979000000000001</v>
      </c>
      <c r="P74" s="36">
        <f t="shared" si="29"/>
        <v>22.280940000000001</v>
      </c>
      <c r="Q74" s="81" t="s">
        <v>161</v>
      </c>
    </row>
    <row r="75" spans="1:17" ht="19.899999999999999" customHeight="1">
      <c r="A75" s="9">
        <v>19</v>
      </c>
      <c r="B75" s="9"/>
      <c r="C75" s="25" t="s">
        <v>71</v>
      </c>
      <c r="D75" s="26" t="s">
        <v>163</v>
      </c>
      <c r="E75" s="9">
        <v>8</v>
      </c>
      <c r="F75" s="55">
        <v>1.72E-3</v>
      </c>
      <c r="G75" s="57" t="s">
        <v>136</v>
      </c>
      <c r="H75" s="9">
        <f t="shared" si="30"/>
        <v>360</v>
      </c>
      <c r="I75" s="46">
        <v>0.03</v>
      </c>
      <c r="J75" s="9">
        <f t="shared" si="25"/>
        <v>371</v>
      </c>
      <c r="K75" s="33">
        <f t="shared" si="26"/>
        <v>6.3812000000000005E-4</v>
      </c>
      <c r="L75" s="42">
        <f t="shared" si="27"/>
        <v>7.0503140218994821E-8</v>
      </c>
      <c r="M75" s="47"/>
      <c r="N75" s="42">
        <f t="shared" si="28"/>
        <v>1.3128008385753161E-7</v>
      </c>
      <c r="O75" s="49">
        <f t="shared" si="32"/>
        <v>1.5479999999999999E-2</v>
      </c>
      <c r="P75" s="36">
        <f t="shared" si="29"/>
        <v>5.74308</v>
      </c>
      <c r="Q75" s="81" t="s">
        <v>161</v>
      </c>
    </row>
    <row r="76" spans="1:17" ht="19.899999999999999" customHeight="1">
      <c r="A76" s="9">
        <v>20</v>
      </c>
      <c r="B76" s="9"/>
      <c r="C76" s="25" t="s">
        <v>72</v>
      </c>
      <c r="D76" s="26" t="s">
        <v>165</v>
      </c>
      <c r="E76" s="9">
        <v>4</v>
      </c>
      <c r="F76" s="55">
        <v>1.08E-3</v>
      </c>
      <c r="G76" s="57" t="s">
        <v>136</v>
      </c>
      <c r="H76" s="9">
        <f t="shared" si="30"/>
        <v>180</v>
      </c>
      <c r="I76" s="46">
        <v>0.03</v>
      </c>
      <c r="J76" s="9">
        <f t="shared" si="25"/>
        <v>186</v>
      </c>
      <c r="K76" s="33">
        <f t="shared" si="26"/>
        <v>2.0088000000000001E-4</v>
      </c>
      <c r="L76" s="42">
        <f t="shared" si="27"/>
        <v>2.2194369095454898E-8</v>
      </c>
      <c r="M76" s="47"/>
      <c r="N76" s="42">
        <f t="shared" si="28"/>
        <v>4.1326934189965755E-8</v>
      </c>
      <c r="O76" s="49">
        <f t="shared" si="32"/>
        <v>9.7199999999999995E-3</v>
      </c>
      <c r="P76" s="36">
        <f t="shared" si="29"/>
        <v>1.80792</v>
      </c>
      <c r="Q76" s="81" t="s">
        <v>161</v>
      </c>
    </row>
    <row r="77" spans="1:17" ht="19.899999999999999" customHeight="1">
      <c r="A77" s="9">
        <v>21</v>
      </c>
      <c r="B77" s="9"/>
      <c r="C77" s="25" t="s">
        <v>33</v>
      </c>
      <c r="D77" s="26" t="s">
        <v>167</v>
      </c>
      <c r="E77" s="9">
        <v>4</v>
      </c>
      <c r="F77" s="55">
        <v>4.2199999999999998E-3</v>
      </c>
      <c r="G77" s="57" t="s">
        <v>136</v>
      </c>
      <c r="H77" s="9">
        <f t="shared" si="30"/>
        <v>180</v>
      </c>
      <c r="I77" s="46">
        <v>0.03</v>
      </c>
      <c r="J77" s="9">
        <f t="shared" si="25"/>
        <v>186</v>
      </c>
      <c r="K77" s="33">
        <f t="shared" si="26"/>
        <v>7.8491999999999993E-4</v>
      </c>
      <c r="L77" s="42">
        <f t="shared" si="27"/>
        <v>8.6722442206314491E-8</v>
      </c>
      <c r="M77" s="47"/>
      <c r="N77" s="42">
        <f t="shared" si="28"/>
        <v>1.6148116877931064E-7</v>
      </c>
      <c r="O77" s="49">
        <f t="shared" si="32"/>
        <v>3.798E-2</v>
      </c>
      <c r="P77" s="36">
        <f t="shared" si="29"/>
        <v>7.0642800000000001</v>
      </c>
      <c r="Q77" s="81" t="s">
        <v>161</v>
      </c>
    </row>
    <row r="78" spans="1:17" ht="19.899999999999999" customHeight="1">
      <c r="A78" s="178" t="s">
        <v>173</v>
      </c>
      <c r="B78" s="178"/>
      <c r="C78" s="178"/>
      <c r="D78" s="10">
        <v>440</v>
      </c>
      <c r="E78" s="9" t="s">
        <v>174</v>
      </c>
      <c r="F78" s="58">
        <v>1</v>
      </c>
      <c r="G78" s="10" t="s">
        <v>13</v>
      </c>
      <c r="H78" s="10"/>
      <c r="I78" s="10"/>
      <c r="J78" s="10"/>
      <c r="K78" s="32">
        <f>SUM(K7:K77)-K57</f>
        <v>4405.8205597699989</v>
      </c>
      <c r="L78" s="66">
        <f>SUM(L4:L77)</f>
        <v>0.99948780996660258</v>
      </c>
      <c r="M78" s="33"/>
      <c r="N78" s="42">
        <f t="shared" si="28"/>
        <v>1</v>
      </c>
      <c r="O78" s="9"/>
      <c r="P78" s="36">
        <f>SUM(P4:P77)</f>
        <v>43746772.787200019</v>
      </c>
      <c r="Q78" s="10"/>
    </row>
    <row r="79" spans="1:17" ht="19.899999999999999" customHeight="1">
      <c r="A79" s="178" t="s">
        <v>175</v>
      </c>
      <c r="B79" s="178"/>
      <c r="C79" s="178"/>
      <c r="D79" s="10">
        <f>2*26</f>
        <v>52</v>
      </c>
      <c r="E79" s="9"/>
      <c r="F79" s="58"/>
      <c r="G79" s="10"/>
      <c r="H79" s="10"/>
      <c r="I79" s="10"/>
      <c r="J79" s="10"/>
      <c r="K79" s="32"/>
      <c r="L79" s="9"/>
      <c r="M79" s="33"/>
      <c r="N79" s="34"/>
      <c r="O79" s="35"/>
      <c r="P79" s="73"/>
      <c r="Q79" s="10"/>
    </row>
    <row r="80" spans="1:17" ht="19.899999999999999" customHeight="1">
      <c r="A80" s="178" t="s">
        <v>176</v>
      </c>
      <c r="B80" s="178"/>
      <c r="C80" s="178"/>
      <c r="D80" s="10">
        <f>D78*D79</f>
        <v>22880</v>
      </c>
      <c r="E80" s="9" t="s">
        <v>174</v>
      </c>
      <c r="F80" s="9">
        <f>(F78+F79)*D78*D79/1000000</f>
        <v>2.2880000000000001E-2</v>
      </c>
      <c r="G80" s="10" t="s">
        <v>177</v>
      </c>
      <c r="H80" s="10"/>
      <c r="I80" s="10"/>
      <c r="J80" s="10"/>
      <c r="K80" s="32"/>
      <c r="L80" s="9"/>
      <c r="M80" s="33"/>
      <c r="N80" s="34"/>
      <c r="O80" s="35"/>
      <c r="P80" s="36"/>
      <c r="Q80" s="10"/>
    </row>
    <row r="81" spans="1:17" ht="19.899999999999999" customHeight="1">
      <c r="A81" s="178" t="s">
        <v>178</v>
      </c>
      <c r="B81" s="178"/>
      <c r="C81" s="178"/>
      <c r="D81" s="59">
        <f>K78/$C$1*10^3</f>
        <v>1001.3228544931816</v>
      </c>
      <c r="E81" s="9" t="s">
        <v>14</v>
      </c>
      <c r="F81" s="58"/>
      <c r="G81" s="10"/>
      <c r="H81" s="10"/>
      <c r="I81" s="10"/>
      <c r="J81" s="10"/>
      <c r="K81" s="32"/>
      <c r="L81" s="46"/>
      <c r="M81" s="33"/>
      <c r="N81" s="46"/>
      <c r="O81" s="9"/>
      <c r="P81" s="36"/>
      <c r="Q81" s="10"/>
    </row>
    <row r="82" spans="1:17" ht="19.899999999999999" customHeight="1">
      <c r="A82" s="178" t="s">
        <v>179</v>
      </c>
      <c r="B82" s="178"/>
      <c r="C82" s="178"/>
      <c r="D82" s="59">
        <f>D81/F80/1000</f>
        <v>43.764110773303386</v>
      </c>
      <c r="E82" s="9" t="s">
        <v>15</v>
      </c>
      <c r="F82" s="58"/>
      <c r="G82" s="10"/>
      <c r="H82" s="9"/>
      <c r="I82" s="10"/>
      <c r="J82" s="10"/>
      <c r="K82" s="32"/>
      <c r="L82" s="46"/>
      <c r="M82" s="33"/>
      <c r="N82" s="46"/>
      <c r="O82" s="9"/>
      <c r="P82" s="36"/>
      <c r="Q82" s="10"/>
    </row>
    <row r="83" spans="1:17" ht="19.899999999999999" customHeight="1">
      <c r="A83" s="178" t="s">
        <v>16</v>
      </c>
      <c r="B83" s="178"/>
      <c r="C83" s="178"/>
      <c r="D83" s="60">
        <f>P78/$C$1/D80</f>
        <v>0.4345475682136048</v>
      </c>
      <c r="E83" s="9" t="s">
        <v>17</v>
      </c>
      <c r="F83" s="58"/>
      <c r="G83" s="10"/>
      <c r="H83" s="9"/>
      <c r="I83" s="10"/>
      <c r="J83" s="10"/>
      <c r="K83" s="32"/>
      <c r="L83" s="46"/>
      <c r="M83" s="33"/>
      <c r="N83" s="46"/>
      <c r="O83" s="9"/>
      <c r="P83" s="36"/>
      <c r="Q83" s="10"/>
    </row>
    <row r="84" spans="1:17" ht="19.899999999999999" customHeight="1">
      <c r="A84" s="178" t="s">
        <v>180</v>
      </c>
      <c r="B84" s="178"/>
      <c r="C84" s="178"/>
      <c r="D84" s="61">
        <f>SUM(K4:K77)/C1*G84/D80</f>
        <v>1.1996704054158053E-2</v>
      </c>
      <c r="E84" s="9" t="s">
        <v>17</v>
      </c>
      <c r="F84" s="9"/>
      <c r="G84" s="10">
        <v>260</v>
      </c>
      <c r="H84" s="9" t="s">
        <v>181</v>
      </c>
      <c r="J84" s="10"/>
      <c r="K84" s="32"/>
      <c r="L84" s="46"/>
      <c r="M84" s="33"/>
      <c r="N84" s="46"/>
      <c r="O84" s="9"/>
      <c r="P84" s="36"/>
      <c r="Q84" s="10"/>
    </row>
    <row r="85" spans="1:17" ht="19.149999999999999" customHeight="1">
      <c r="A85" s="178" t="s">
        <v>182</v>
      </c>
      <c r="B85" s="178"/>
      <c r="C85" s="178"/>
      <c r="D85" s="62">
        <f>SUM(P21:P77)/SUM(K21:K77)</f>
        <v>6994.0641052576602</v>
      </c>
      <c r="E85" s="63" t="s">
        <v>183</v>
      </c>
      <c r="F85" s="9"/>
      <c r="G85" s="10"/>
      <c r="H85" s="9"/>
      <c r="I85" s="9"/>
      <c r="J85" s="9"/>
      <c r="K85" s="32"/>
      <c r="L85" s="9"/>
      <c r="M85" s="33"/>
      <c r="N85" s="34"/>
      <c r="O85" s="35"/>
      <c r="P85" s="36"/>
      <c r="Q85" s="10"/>
    </row>
    <row r="86" spans="1:17">
      <c r="A86" s="178"/>
      <c r="B86" s="178"/>
      <c r="C86" s="178"/>
      <c r="D86" s="64">
        <f>D85+G84</f>
        <v>7254.0641052576602</v>
      </c>
      <c r="E86" s="9" t="s">
        <v>184</v>
      </c>
      <c r="F86" s="9"/>
      <c r="G86" s="10"/>
      <c r="H86" s="9"/>
      <c r="I86" s="9"/>
      <c r="J86" s="9"/>
      <c r="K86" s="32"/>
      <c r="L86" s="9"/>
      <c r="M86" s="33"/>
      <c r="N86" s="34"/>
      <c r="O86" s="35"/>
      <c r="P86" s="36"/>
      <c r="Q86" s="10"/>
    </row>
    <row r="88" spans="1:17" s="2" customFormat="1" ht="24" customHeight="1">
      <c r="C88" s="179" t="s">
        <v>185</v>
      </c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1"/>
      <c r="P88" s="7"/>
      <c r="Q88" s="1"/>
    </row>
    <row r="89" spans="1:17" s="2" customFormat="1" ht="24" customHeight="1">
      <c r="C89" s="65"/>
      <c r="D89" s="66">
        <v>0.05</v>
      </c>
      <c r="E89" s="66">
        <f>D89+0.01</f>
        <v>6.0000000000000005E-2</v>
      </c>
      <c r="F89" s="66">
        <f>E89+0.01</f>
        <v>7.0000000000000007E-2</v>
      </c>
      <c r="G89" s="67">
        <f>F89+0.01</f>
        <v>0.08</v>
      </c>
      <c r="H89" s="66">
        <f>G89+0.01</f>
        <v>0.09</v>
      </c>
      <c r="I89" s="66">
        <v>0.1</v>
      </c>
      <c r="J89" s="66">
        <f t="shared" ref="J89:O89" si="33">I89+0.01</f>
        <v>0.11</v>
      </c>
      <c r="K89" s="66">
        <f t="shared" si="33"/>
        <v>0.12</v>
      </c>
      <c r="L89" s="66">
        <f t="shared" si="33"/>
        <v>0.13</v>
      </c>
      <c r="M89" s="74">
        <f t="shared" si="33"/>
        <v>0.14000000000000001</v>
      </c>
      <c r="N89" s="66">
        <f t="shared" si="33"/>
        <v>0.15000000000000002</v>
      </c>
      <c r="O89" s="75">
        <f t="shared" si="33"/>
        <v>0.16000000000000003</v>
      </c>
      <c r="P89" s="7"/>
    </row>
    <row r="90" spans="1:17" s="2" customFormat="1" ht="24" customHeight="1">
      <c r="C90" s="65"/>
      <c r="D90" s="68">
        <f>$D$83/(1-D89)</f>
        <v>0.45741849285642611</v>
      </c>
      <c r="E90" s="68">
        <f t="shared" ref="E90:O90" si="34">$D$83/(1-E89)</f>
        <v>0.46228464703574979</v>
      </c>
      <c r="F90" s="68">
        <f t="shared" si="34"/>
        <v>0.46725544969204819</v>
      </c>
      <c r="G90" s="69">
        <f t="shared" si="34"/>
        <v>0.47233431327565739</v>
      </c>
      <c r="H90" s="68">
        <f t="shared" si="34"/>
        <v>0.47752480023473054</v>
      </c>
      <c r="I90" s="68">
        <f t="shared" si="34"/>
        <v>0.48283063134844978</v>
      </c>
      <c r="J90" s="68">
        <f t="shared" si="34"/>
        <v>0.48825569462202784</v>
      </c>
      <c r="K90" s="68">
        <f t="shared" si="34"/>
        <v>0.49380405478818729</v>
      </c>
      <c r="L90" s="68">
        <f t="shared" si="34"/>
        <v>0.49947996346391355</v>
      </c>
      <c r="M90" s="32">
        <f t="shared" si="34"/>
        <v>0.50528787001581954</v>
      </c>
      <c r="N90" s="68">
        <f t="shared" si="34"/>
        <v>0.51123243319247624</v>
      </c>
      <c r="O90" s="76">
        <f t="shared" si="34"/>
        <v>0.51731853358762481</v>
      </c>
      <c r="P90" s="7"/>
    </row>
    <row r="91" spans="1:17" s="2" customFormat="1" ht="24" customHeight="1">
      <c r="C91" s="70" t="s">
        <v>184</v>
      </c>
      <c r="D91" s="71">
        <f>D90+$D$84</f>
        <v>0.46941519691058414</v>
      </c>
      <c r="E91" s="71">
        <f>E90+$D$84</f>
        <v>0.47428135108990782</v>
      </c>
      <c r="F91" s="71">
        <f>F90+$D$84</f>
        <v>0.47925215374620622</v>
      </c>
      <c r="G91" s="72">
        <f>G90+$D$84</f>
        <v>0.48433101732981543</v>
      </c>
      <c r="H91" s="71">
        <f>H90+$D$84</f>
        <v>0.48952150428888858</v>
      </c>
      <c r="I91" s="71">
        <f t="shared" ref="I91:O91" si="35">I90+$D$84</f>
        <v>0.49482733540260782</v>
      </c>
      <c r="J91" s="71">
        <f t="shared" si="35"/>
        <v>0.50025239867618587</v>
      </c>
      <c r="K91" s="71">
        <f t="shared" si="35"/>
        <v>0.50580075884234532</v>
      </c>
      <c r="L91" s="71">
        <f t="shared" si="35"/>
        <v>0.51147666751807164</v>
      </c>
      <c r="M91" s="77">
        <f t="shared" si="35"/>
        <v>0.51728457406997763</v>
      </c>
      <c r="N91" s="71">
        <f t="shared" si="35"/>
        <v>0.52322913724663433</v>
      </c>
      <c r="O91" s="78">
        <f t="shared" si="35"/>
        <v>0.5293152376417829</v>
      </c>
      <c r="P91" s="7"/>
    </row>
    <row r="92" spans="1:17" s="2" customFormat="1" ht="24" customHeight="1">
      <c r="G92" s="1"/>
      <c r="N92" s="79"/>
      <c r="O92" s="6"/>
      <c r="P92" s="7"/>
    </row>
    <row r="93" spans="1:17" s="2" customFormat="1" ht="24" customHeight="1">
      <c r="C93" s="179" t="s">
        <v>186</v>
      </c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1"/>
      <c r="P93" s="7"/>
      <c r="Q93" s="1"/>
    </row>
    <row r="94" spans="1:17" s="2" customFormat="1" ht="24" customHeight="1">
      <c r="C94" s="65"/>
      <c r="D94" s="66">
        <v>0.05</v>
      </c>
      <c r="E94" s="66">
        <v>0.06</v>
      </c>
      <c r="F94" s="66">
        <v>7.0000000000000007E-2</v>
      </c>
      <c r="G94" s="67">
        <v>0.08</v>
      </c>
      <c r="H94" s="66">
        <v>0.09</v>
      </c>
      <c r="I94" s="66">
        <v>0.1</v>
      </c>
      <c r="J94" s="66">
        <v>0.11</v>
      </c>
      <c r="K94" s="66">
        <v>0.12</v>
      </c>
      <c r="L94" s="66">
        <v>0.13</v>
      </c>
      <c r="M94" s="66">
        <v>0.14000000000000001</v>
      </c>
      <c r="N94" s="66">
        <v>0.15</v>
      </c>
      <c r="O94" s="75">
        <v>0.16</v>
      </c>
      <c r="P94" s="7"/>
    </row>
    <row r="95" spans="1:17" s="2" customFormat="1" ht="24" customHeight="1">
      <c r="C95" s="65"/>
      <c r="D95" s="68">
        <v>0.43726235162445198</v>
      </c>
      <c r="E95" s="68">
        <v>0.44191407876939298</v>
      </c>
      <c r="F95" s="68">
        <v>0.446665843057236</v>
      </c>
      <c r="G95" s="69">
        <v>0.45152090656872801</v>
      </c>
      <c r="H95" s="68">
        <v>0.45648267477277998</v>
      </c>
      <c r="I95" s="68">
        <v>0.46155470449247699</v>
      </c>
      <c r="J95" s="68">
        <v>0.46674071240812298</v>
      </c>
      <c r="K95" s="68">
        <v>0.47204458414003397</v>
      </c>
      <c r="L95" s="68">
        <v>0.477470383957735</v>
      </c>
      <c r="M95" s="32">
        <v>0.48302236516654601</v>
      </c>
      <c r="N95" s="68">
        <v>0.48870498122732903</v>
      </c>
      <c r="O95" s="76">
        <v>0.494522897670511</v>
      </c>
      <c r="P95" s="7"/>
    </row>
    <row r="96" spans="1:17" s="2" customFormat="1" ht="24" customHeight="1">
      <c r="C96" s="70" t="s">
        <v>184</v>
      </c>
      <c r="D96" s="71">
        <v>0.44922183536267501</v>
      </c>
      <c r="E96" s="71">
        <v>0.45387356250761601</v>
      </c>
      <c r="F96" s="71">
        <v>0.45862532679545898</v>
      </c>
      <c r="G96" s="72">
        <v>0.46348039030695098</v>
      </c>
      <c r="H96" s="71">
        <v>0.46844215851100302</v>
      </c>
      <c r="I96" s="71">
        <v>0.47351418823070102</v>
      </c>
      <c r="J96" s="71">
        <v>0.47870019614634601</v>
      </c>
      <c r="K96" s="71">
        <v>0.484004067878257</v>
      </c>
      <c r="L96" s="71">
        <v>0.48942986769595798</v>
      </c>
      <c r="M96" s="77">
        <v>0.49498184890476898</v>
      </c>
      <c r="N96" s="71">
        <v>0.50066446496555195</v>
      </c>
      <c r="O96" s="78">
        <v>0.50648238140873503</v>
      </c>
      <c r="P96" s="7"/>
    </row>
  </sheetData>
  <mergeCells count="11">
    <mergeCell ref="A82:C82"/>
    <mergeCell ref="A83:C83"/>
    <mergeCell ref="A84:C84"/>
    <mergeCell ref="C88:O88"/>
    <mergeCell ref="C93:O93"/>
    <mergeCell ref="A85:C86"/>
    <mergeCell ref="E1:G1"/>
    <mergeCell ref="A78:C78"/>
    <mergeCell ref="A79:C79"/>
    <mergeCell ref="A80:C80"/>
    <mergeCell ref="A81:C81"/>
  </mergeCells>
  <phoneticPr fontId="15" type="noConversion"/>
  <pageMargins left="0.70866141732283505" right="0.70866141732283505" top="0.74803149606299202" bottom="0.74803149606299202" header="0.31496062992126" footer="0.31496062992126"/>
  <pageSetup paperSize="8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2x14</vt:lpstr>
      <vt:lpstr>Sheet1</vt:lpstr>
      <vt:lpstr>'2x14'!Print_Area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Yang</dc:creator>
  <cp:lastModifiedBy>JinNan</cp:lastModifiedBy>
  <cp:lastPrinted>2021-06-28T05:19:00Z</cp:lastPrinted>
  <dcterms:created xsi:type="dcterms:W3CDTF">2020-07-22T13:46:00Z</dcterms:created>
  <dcterms:modified xsi:type="dcterms:W3CDTF">2023-12-07T05:38:14Z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DAFA2E794AD64A0DA0251BDFD93AF9DA</vt:lpwstr>
  </property>
  <property fmtid="{D5CDD505-2E9C-101B-9397-08002B2CF9AE}" pid="3" name="KSOProductBuildVer">
    <vt:lpwstr>2052-11.1.0.10667</vt:lpwstr>
  </property>
</Properties>
</file>