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530" activeTab="1"/>
  </bookViews>
  <sheets>
    <sheet name="SPOT3" sheetId="1" r:id="rId1"/>
    <sheet name="Feuil1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F16" i="3"/>
  <c r="O16" i="3"/>
  <c r="L16" i="3"/>
  <c r="K16" i="3"/>
  <c r="J16" i="3"/>
  <c r="C16" i="3"/>
  <c r="B16" i="3"/>
  <c r="J2" i="3"/>
  <c r="N16" i="3"/>
  <c r="O13" i="3" l="1"/>
  <c r="O14" i="3" s="1"/>
  <c r="N13" i="3"/>
  <c r="N14" i="3" s="1"/>
  <c r="K13" i="3"/>
  <c r="K14" i="3" s="1"/>
  <c r="J13" i="3"/>
  <c r="J14" i="3" s="1"/>
  <c r="G13" i="3"/>
  <c r="G14" i="3" s="1"/>
  <c r="F13" i="3"/>
  <c r="C13" i="3"/>
  <c r="C14" i="3" s="1"/>
  <c r="B13" i="3"/>
  <c r="P11" i="3"/>
  <c r="O11" i="3"/>
  <c r="N11" i="3"/>
  <c r="M11" i="3"/>
  <c r="M13" i="3" s="1"/>
  <c r="L11" i="3"/>
  <c r="K11" i="3"/>
  <c r="J11" i="3"/>
  <c r="I11" i="3"/>
  <c r="I13" i="3" s="1"/>
  <c r="H11" i="3"/>
  <c r="G11" i="3"/>
  <c r="F11" i="3"/>
  <c r="E11" i="3"/>
  <c r="E13" i="3" s="1"/>
  <c r="D11" i="3"/>
  <c r="C11" i="3"/>
  <c r="B11" i="3"/>
  <c r="H6" i="3"/>
  <c r="E6" i="3"/>
  <c r="H4" i="3"/>
  <c r="E4" i="3"/>
  <c r="B16" i="1"/>
  <c r="H4" i="1"/>
  <c r="E6" i="1"/>
  <c r="M14" i="3" l="1"/>
  <c r="M15" i="3"/>
  <c r="M16" i="3" s="1"/>
  <c r="I14" i="3"/>
  <c r="I15" i="3"/>
  <c r="I16" i="3" s="1"/>
  <c r="O12" i="3"/>
  <c r="K12" i="3"/>
  <c r="G12" i="3"/>
  <c r="C12" i="3"/>
  <c r="N12" i="3"/>
  <c r="J12" i="3"/>
  <c r="F12" i="3"/>
  <c r="B12" i="3"/>
  <c r="E12" i="3"/>
  <c r="I12" i="3"/>
  <c r="F14" i="3"/>
  <c r="F15" i="3"/>
  <c r="E14" i="3"/>
  <c r="E15" i="3"/>
  <c r="E16" i="3" s="1"/>
  <c r="B14" i="3"/>
  <c r="B15" i="3"/>
  <c r="D12" i="3"/>
  <c r="D13" i="3"/>
  <c r="H12" i="3"/>
  <c r="H13" i="3"/>
  <c r="L12" i="3"/>
  <c r="L13" i="3"/>
  <c r="P12" i="3"/>
  <c r="P13" i="3"/>
  <c r="M12" i="3"/>
  <c r="J15" i="3"/>
  <c r="N15" i="3"/>
  <c r="C15" i="3"/>
  <c r="G15" i="3"/>
  <c r="K15" i="3"/>
  <c r="O15" i="3"/>
  <c r="H6" i="1"/>
  <c r="B17" i="3" l="1"/>
  <c r="B18" i="3" s="1"/>
  <c r="B19" i="3"/>
  <c r="F17" i="3"/>
  <c r="F18" i="3" s="1"/>
  <c r="F19" i="3"/>
  <c r="I17" i="3"/>
  <c r="I18" i="3" s="1"/>
  <c r="I19" i="3"/>
  <c r="G19" i="3"/>
  <c r="G17" i="3"/>
  <c r="G18" i="3" s="1"/>
  <c r="C19" i="3"/>
  <c r="C17" i="3"/>
  <c r="C18" i="3" s="1"/>
  <c r="P15" i="3"/>
  <c r="P16" i="3" s="1"/>
  <c r="P14" i="3"/>
  <c r="H15" i="3"/>
  <c r="H16" i="3" s="1"/>
  <c r="H14" i="3"/>
  <c r="O19" i="3"/>
  <c r="O17" i="3"/>
  <c r="O18" i="3" s="1"/>
  <c r="E17" i="3"/>
  <c r="E18" i="3" s="1"/>
  <c r="E19" i="3"/>
  <c r="M17" i="3"/>
  <c r="M18" i="3" s="1"/>
  <c r="M19" i="3"/>
  <c r="N17" i="3"/>
  <c r="N18" i="3" s="1"/>
  <c r="N19" i="3"/>
  <c r="K19" i="3"/>
  <c r="K17" i="3"/>
  <c r="K18" i="3" s="1"/>
  <c r="J17" i="3"/>
  <c r="J18" i="3" s="1"/>
  <c r="J19" i="3"/>
  <c r="L15" i="3"/>
  <c r="L14" i="3"/>
  <c r="D15" i="3"/>
  <c r="D16" i="3" s="1"/>
  <c r="D14" i="3"/>
  <c r="E4" i="1"/>
  <c r="L19" i="3" l="1"/>
  <c r="L17" i="3"/>
  <c r="L18" i="3" s="1"/>
  <c r="P19" i="3"/>
  <c r="P17" i="3"/>
  <c r="P18" i="3" s="1"/>
  <c r="D19" i="3"/>
  <c r="D17" i="3"/>
  <c r="D18" i="3" s="1"/>
  <c r="H19" i="3"/>
  <c r="H17" i="3"/>
  <c r="H18" i="3" s="1"/>
  <c r="H11" i="1"/>
  <c r="H13" i="1" s="1"/>
  <c r="H15" i="1" s="1"/>
  <c r="H16" i="1" s="1"/>
  <c r="P11" i="1"/>
  <c r="E11" i="1"/>
  <c r="E13" i="1" s="1"/>
  <c r="D11" i="1"/>
  <c r="D13" i="1" s="1"/>
  <c r="D15" i="1" s="1"/>
  <c r="D16" i="1" s="1"/>
  <c r="N11" i="1"/>
  <c r="N13" i="1" s="1"/>
  <c r="N15" i="1" s="1"/>
  <c r="N16" i="1" s="1"/>
  <c r="F11" i="1"/>
  <c r="F13" i="1" s="1"/>
  <c r="K11" i="1"/>
  <c r="K13" i="1" s="1"/>
  <c r="I11" i="1"/>
  <c r="I12" i="1" s="1"/>
  <c r="C11" i="1"/>
  <c r="C13" i="1" s="1"/>
  <c r="C15" i="1" s="1"/>
  <c r="J11" i="1"/>
  <c r="J13" i="1" s="1"/>
  <c r="M11" i="1"/>
  <c r="M13" i="1" s="1"/>
  <c r="M15" i="1" s="1"/>
  <c r="M16" i="1" s="1"/>
  <c r="B11" i="1"/>
  <c r="B12" i="1" s="1"/>
  <c r="O11" i="1"/>
  <c r="O13" i="1" s="1"/>
  <c r="G11" i="1"/>
  <c r="G12" i="1" s="1"/>
  <c r="F12" i="1"/>
  <c r="L11" i="1"/>
  <c r="L13" i="1" s="1"/>
  <c r="L15" i="1" s="1"/>
  <c r="L16" i="1" s="1"/>
  <c r="L12" i="1"/>
  <c r="P13" i="1" l="1"/>
  <c r="P15" i="1" s="1"/>
  <c r="P16" i="1" s="1"/>
  <c r="L14" i="1"/>
  <c r="D12" i="1"/>
  <c r="D19" i="1" s="1"/>
  <c r="P12" i="1"/>
  <c r="N12" i="1"/>
  <c r="G13" i="1"/>
  <c r="M12" i="1"/>
  <c r="M19" i="1" s="1"/>
  <c r="E12" i="1"/>
  <c r="J15" i="1"/>
  <c r="J16" i="1" s="1"/>
  <c r="J14" i="1"/>
  <c r="K15" i="1"/>
  <c r="K16" i="1" s="1"/>
  <c r="K17" i="1" s="1"/>
  <c r="K14" i="1"/>
  <c r="E15" i="1"/>
  <c r="E16" i="1" s="1"/>
  <c r="E17" i="1" s="1"/>
  <c r="E14" i="1"/>
  <c r="C16" i="1"/>
  <c r="C19" i="1" s="1"/>
  <c r="C14" i="1"/>
  <c r="N14" i="1"/>
  <c r="C12" i="1"/>
  <c r="B13" i="1"/>
  <c r="B14" i="1" s="1"/>
  <c r="K12" i="1"/>
  <c r="J12" i="1"/>
  <c r="J19" i="1" s="1"/>
  <c r="H12" i="1"/>
  <c r="H19" i="1" s="1"/>
  <c r="I13" i="1"/>
  <c r="I14" i="1" s="1"/>
  <c r="O14" i="1"/>
  <c r="O15" i="1"/>
  <c r="O16" i="1" s="1"/>
  <c r="M17" i="1"/>
  <c r="P17" i="1"/>
  <c r="P19" i="1"/>
  <c r="N19" i="1"/>
  <c r="N17" i="1"/>
  <c r="D17" i="1"/>
  <c r="D18" i="1" s="1"/>
  <c r="L19" i="1"/>
  <c r="L17" i="1"/>
  <c r="L18" i="1" s="1"/>
  <c r="J17" i="1"/>
  <c r="F15" i="1"/>
  <c r="F16" i="1" s="1"/>
  <c r="F14" i="1"/>
  <c r="H17" i="1"/>
  <c r="H18" i="1" s="1"/>
  <c r="O12" i="1"/>
  <c r="D14" i="1"/>
  <c r="B15" i="1"/>
  <c r="P14" i="1"/>
  <c r="M14" i="1"/>
  <c r="H14" i="1"/>
  <c r="P18" i="1" l="1"/>
  <c r="E18" i="1"/>
  <c r="C17" i="1"/>
  <c r="I15" i="1"/>
  <c r="I16" i="1" s="1"/>
  <c r="I19" i="1" s="1"/>
  <c r="K19" i="1"/>
  <c r="E19" i="1"/>
  <c r="N18" i="1"/>
  <c r="J18" i="1"/>
  <c r="M18" i="1"/>
  <c r="G15" i="1"/>
  <c r="G16" i="1" s="1"/>
  <c r="G14" i="1"/>
  <c r="K18" i="1"/>
  <c r="C18" i="1"/>
  <c r="B19" i="1"/>
  <c r="B17" i="1"/>
  <c r="B18" i="1" s="1"/>
  <c r="I17" i="1"/>
  <c r="I18" i="1" s="1"/>
  <c r="O17" i="1"/>
  <c r="O18" i="1" s="1"/>
  <c r="O19" i="1"/>
  <c r="F19" i="1"/>
  <c r="F17" i="1"/>
  <c r="F18" i="1" s="1"/>
  <c r="G17" i="1" l="1"/>
  <c r="G18" i="1" s="1"/>
  <c r="G19" i="1"/>
</calcChain>
</file>

<file path=xl/sharedStrings.xml><?xml version="1.0" encoding="utf-8"?>
<sst xmlns="http://schemas.openxmlformats.org/spreadsheetml/2006/main" count="40" uniqueCount="20">
  <si>
    <t>V en °</t>
  </si>
  <si>
    <t>V en rad</t>
  </si>
  <si>
    <t>t en s</t>
  </si>
  <si>
    <t>la en rad</t>
  </si>
  <si>
    <t>Lo en rad</t>
  </si>
  <si>
    <t>la en degré</t>
  </si>
  <si>
    <t>Lo avec degré</t>
  </si>
  <si>
    <t>Ls en degré</t>
  </si>
  <si>
    <t>Ls en rad</t>
  </si>
  <si>
    <t xml:space="preserve">Lo en rad avec </t>
  </si>
  <si>
    <t>a  (km)</t>
  </si>
  <si>
    <t>e (sans unité)</t>
  </si>
  <si>
    <t>i (°)</t>
  </si>
  <si>
    <t>L(Ω) (°)</t>
  </si>
  <si>
    <t>w (°)</t>
  </si>
  <si>
    <t>μ (km^3 . S^(-2))</t>
  </si>
  <si>
    <t>i (rad)</t>
  </si>
  <si>
    <t>L(Ω) (rad)</t>
  </si>
  <si>
    <t>Tp (s)</t>
  </si>
  <si>
    <t>Vc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</si>
</sst>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Normal" xfId="0" builtinId="0"/>
    <cellStyle name="Titre 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Trace au sol</a:t>
            </a:r>
            <a:r>
              <a:rPr lang="fr-FR" baseline="0"/>
              <a:t> : SPOT3</a:t>
            </a:r>
            <a:endParaRPr lang="fr-FR"/>
          </a:p>
        </c:rich>
      </c:tx>
      <c:layout>
        <c:manualLayout>
          <c:xMode val="edge"/>
          <c:yMode val="edge"/>
          <c:x val="0.288964083039499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SPOT3!$B$16:$P$16</c:f>
              <c:numCache>
                <c:formatCode>General</c:formatCode>
                <c:ptCount val="15"/>
                <c:pt idx="0">
                  <c:v>7.4541285719048602</c:v>
                </c:pt>
                <c:pt idx="1">
                  <c:v>0.15148520981318525</c:v>
                </c:pt>
                <c:pt idx="2">
                  <c:v>-6.9461362934210102</c:v>
                </c:pt>
                <c:pt idx="3">
                  <c:v>-37.650540034738455</c:v>
                </c:pt>
                <c:pt idx="4">
                  <c:v>-164.76119273764891</c:v>
                </c:pt>
                <c:pt idx="5">
                  <c:v>-176.67669901915085</c:v>
                </c:pt>
                <c:pt idx="6">
                  <c:v>-182.95021042352167</c:v>
                </c:pt>
                <c:pt idx="7">
                  <c:v>-194.00206277568367</c:v>
                </c:pt>
                <c:pt idx="8">
                  <c:v>-315.95599316764952</c:v>
                </c:pt>
                <c:pt idx="9">
                  <c:v>-352.49832614626359</c:v>
                </c:pt>
                <c:pt idx="10">
                  <c:v>-359.82102196542354</c:v>
                </c:pt>
                <c:pt idx="11">
                  <c:v>-366.90144014279582</c:v>
                </c:pt>
                <c:pt idx="12">
                  <c:v>-397.18567819806469</c:v>
                </c:pt>
                <c:pt idx="13">
                  <c:v>-524.65129906303787</c:v>
                </c:pt>
                <c:pt idx="14">
                  <c:v>-536.64519774923144</c:v>
                </c:pt>
              </c:numCache>
            </c:numRef>
          </c:xVal>
          <c:yVal>
            <c:numRef>
              <c:f>SPOT3!$B$14:$P$14</c:f>
              <c:numCache>
                <c:formatCode>General</c:formatCode>
                <c:ptCount val="15"/>
                <c:pt idx="0">
                  <c:v>-40.441398815805378</c:v>
                </c:pt>
                <c:pt idx="1">
                  <c:v>-0.99490399457761125</c:v>
                </c:pt>
                <c:pt idx="2">
                  <c:v>38.467259482961325</c:v>
                </c:pt>
                <c:pt idx="3">
                  <c:v>76.037578192703066</c:v>
                </c:pt>
                <c:pt idx="4">
                  <c:v>59.937491139768809</c:v>
                </c:pt>
                <c:pt idx="5">
                  <c:v>20.846068071701207</c:v>
                </c:pt>
                <c:pt idx="6">
                  <c:v>-18.678991060322161</c:v>
                </c:pt>
                <c:pt idx="7">
                  <c:v>-57.837291118893589</c:v>
                </c:pt>
                <c:pt idx="8">
                  <c:v>-77.682228059719321</c:v>
                </c:pt>
                <c:pt idx="9">
                  <c:v>-40.620382230013178</c:v>
                </c:pt>
                <c:pt idx="10">
                  <c:v>-1.1754203741470621</c:v>
                </c:pt>
                <c:pt idx="11">
                  <c:v>38.288057459805557</c:v>
                </c:pt>
                <c:pt idx="12">
                  <c:v>75.894170012346578</c:v>
                </c:pt>
                <c:pt idx="13">
                  <c:v>60.111621964325977</c:v>
                </c:pt>
                <c:pt idx="14">
                  <c:v>21.026279057457682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A-49DB-81E7-950E930B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85640"/>
        <c:axId val="410983672"/>
      </c:scatterChart>
      <c:valAx>
        <c:axId val="41098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983672"/>
        <c:crosses val="autoZero"/>
        <c:crossBetween val="midCat"/>
      </c:valAx>
      <c:valAx>
        <c:axId val="4109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98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Feuil1!$B$16:$P$16</c:f>
              <c:numCache>
                <c:formatCode>General</c:formatCode>
                <c:ptCount val="15"/>
                <c:pt idx="0">
                  <c:v>175.50493721152446</c:v>
                </c:pt>
                <c:pt idx="1">
                  <c:v>207.45641830892933</c:v>
                </c:pt>
                <c:pt idx="2">
                  <c:v>-69.648771257020414</c:v>
                </c:pt>
                <c:pt idx="3">
                  <c:v>-59.773688606403454</c:v>
                </c:pt>
                <c:pt idx="4">
                  <c:v>-20.449515270405627</c:v>
                </c:pt>
                <c:pt idx="5">
                  <c:v>10.856130062240952</c:v>
                </c:pt>
                <c:pt idx="6">
                  <c:v>-226.57286089240455</c:v>
                </c:pt>
                <c:pt idx="7">
                  <c:v>-264.82458036882991</c:v>
                </c:pt>
                <c:pt idx="8">
                  <c:v>-218.46797227474485</c:v>
                </c:pt>
                <c:pt idx="9">
                  <c:v>-184.63560457552919</c:v>
                </c:pt>
                <c:pt idx="10">
                  <c:v>-152.70428179905397</c:v>
                </c:pt>
                <c:pt idx="11">
                  <c:v>-429.42254300673233</c:v>
                </c:pt>
                <c:pt idx="12">
                  <c:v>-419.98716477000249</c:v>
                </c:pt>
                <c:pt idx="13">
                  <c:v>-339.39848346921951</c:v>
                </c:pt>
                <c:pt idx="14">
                  <c:v>-550.71277008871243</c:v>
                </c:pt>
              </c:numCache>
            </c:numRef>
          </c:xVal>
          <c:yVal>
            <c:numRef>
              <c:f>Feuil1!$B$14:$P$14</c:f>
              <c:numCache>
                <c:formatCode>General</c:formatCode>
                <c:ptCount val="15"/>
                <c:pt idx="0">
                  <c:v>3.7598332881988989</c:v>
                </c:pt>
                <c:pt idx="1">
                  <c:v>-21.138647841305087</c:v>
                </c:pt>
                <c:pt idx="2">
                  <c:v>-38.185873220993173</c:v>
                </c:pt>
                <c:pt idx="3">
                  <c:v>-35.933070466572651</c:v>
                </c:pt>
                <c:pt idx="4">
                  <c:v>-16.329017324753867</c:v>
                </c:pt>
                <c:pt idx="5">
                  <c:v>8.974469809297533</c:v>
                </c:pt>
                <c:pt idx="6">
                  <c:v>31.345598437771702</c:v>
                </c:pt>
                <c:pt idx="7">
                  <c:v>39.882819308659478</c:v>
                </c:pt>
                <c:pt idx="8">
                  <c:v>27.550876427223901</c:v>
                </c:pt>
                <c:pt idx="9">
                  <c:v>3.8767831222344955</c:v>
                </c:pt>
                <c:pt idx="10">
                  <c:v>-21.034452221228197</c:v>
                </c:pt>
                <c:pt idx="11">
                  <c:v>-38.144787051807</c:v>
                </c:pt>
                <c:pt idx="12">
                  <c:v>-35.991997012866754</c:v>
                </c:pt>
                <c:pt idx="13">
                  <c:v>-16.43889845726418</c:v>
                </c:pt>
                <c:pt idx="14">
                  <c:v>8.8592181485942803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60-461F-8CD6-EDDD67B9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273640"/>
        <c:axId val="380272328"/>
      </c:scatterChart>
      <c:valAx>
        <c:axId val="38027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272328"/>
        <c:crosses val="autoZero"/>
        <c:crossBetween val="midCat"/>
      </c:valAx>
      <c:valAx>
        <c:axId val="380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27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20304</xdr:colOff>
      <xdr:row>19</xdr:row>
      <xdr:rowOff>186490</xdr:rowOff>
    </xdr:from>
    <xdr:to>
      <xdr:col>7</xdr:col>
      <xdr:colOff>10027</xdr:colOff>
      <xdr:row>35</xdr:row>
      <xdr:rowOff>10026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9A3C21D-BABF-44F3-A21A-6F1C2529D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20</xdr:row>
      <xdr:rowOff>0</xdr:rowOff>
    </xdr:from>
    <xdr:to>
      <xdr:col>10</xdr:col>
      <xdr:colOff>561975</xdr:colOff>
      <xdr:row>34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99586D2-9508-4BA9-923E-CC4A42094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au3" displayName="Tableau3" ref="A10:P19" headerRowCount="0">
  <tableColumns count="16">
    <tableColumn id="1" name="Colonne1" totalsRowLabel="Total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  <tableColumn id="9" name="Colonne9"/>
    <tableColumn id="10" name="Colonne10"/>
    <tableColumn id="11" name="Colonne11"/>
    <tableColumn id="12" name="Colonne12"/>
    <tableColumn id="13" name="Colonne13"/>
    <tableColumn id="14" name="Colonne14"/>
    <tableColumn id="15" name="Colonne15"/>
    <tableColumn id="16" name="Colonne16" totalsRowFunction="sum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id="5" name="Tableau36" displayName="Tableau36" ref="A10:P19" headerRowCount="0">
  <tableColumns count="16">
    <tableColumn id="1" name="Colonne1" totalsRowLabel="Total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  <tableColumn id="9" name="Colonne9"/>
    <tableColumn id="10" name="Colonne10"/>
    <tableColumn id="11" name="Colonne11"/>
    <tableColumn id="12" name="Colonne12"/>
    <tableColumn id="13" name="Colonne13"/>
    <tableColumn id="14" name="Colonne14"/>
    <tableColumn id="15" name="Colonne15"/>
    <tableColumn id="16" name="Colonne16" totalsRowFunction="sum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opLeftCell="A12" zoomScale="95" zoomScaleNormal="95" workbookViewId="0">
      <selection activeCell="F16" sqref="F16"/>
    </sheetView>
  </sheetViews>
  <sheetFormatPr baseColWidth="10" defaultRowHeight="15" x14ac:dyDescent="0.25"/>
  <cols>
    <col min="1" max="1" width="15.28515625" bestFit="1" customWidth="1"/>
    <col min="2" max="2" width="13.85546875" customWidth="1"/>
    <col min="3" max="10" width="11.5703125" customWidth="1"/>
    <col min="11" max="17" width="12.5703125" customWidth="1"/>
  </cols>
  <sheetData>
    <row r="2" spans="1:16" ht="15.75" thickBot="1" x14ac:dyDescent="0.3">
      <c r="A2" s="1" t="s">
        <v>10</v>
      </c>
      <c r="B2" s="1">
        <v>7203.4</v>
      </c>
      <c r="J2">
        <v>-2</v>
      </c>
    </row>
    <row r="3" spans="1:16" ht="15.75" thickBot="1" x14ac:dyDescent="0.3">
      <c r="A3" s="1" t="s">
        <v>11</v>
      </c>
      <c r="B3" s="1">
        <v>9.3200000000000002E-5</v>
      </c>
    </row>
    <row r="4" spans="1:16" ht="15.75" thickBot="1" x14ac:dyDescent="0.3">
      <c r="A4" s="1" t="s">
        <v>12</v>
      </c>
      <c r="B4" s="1">
        <v>98.706599999999995</v>
      </c>
      <c r="D4" s="1" t="s">
        <v>16</v>
      </c>
      <c r="E4" s="1">
        <f>B4*3.14/180</f>
        <v>1.7218817999999998</v>
      </c>
      <c r="G4" s="1" t="s">
        <v>19</v>
      </c>
      <c r="H4" s="1">
        <f>ACOS(-B3)</f>
        <v>1.5708895267950316</v>
      </c>
    </row>
    <row r="5" spans="1:16" ht="15.75" thickBot="1" x14ac:dyDescent="0.3">
      <c r="A5" s="1" t="s">
        <v>15</v>
      </c>
      <c r="B5" s="1">
        <v>398600</v>
      </c>
    </row>
    <row r="6" spans="1:16" ht="15.75" thickBot="1" x14ac:dyDescent="0.3">
      <c r="A6" s="1" t="s">
        <v>13</v>
      </c>
      <c r="B6" s="1">
        <v>-25</v>
      </c>
      <c r="D6" s="1" t="s">
        <v>17</v>
      </c>
      <c r="E6" s="1">
        <f>B6*3.14/180</f>
        <v>-0.43611111111111112</v>
      </c>
      <c r="G6" s="1" t="s">
        <v>18</v>
      </c>
      <c r="H6" s="1">
        <f>-(SQRT(B2^3/B5)*(ASIN((SQRT(1-B3^2)*SIN(-B7))/(1+B3*COS(-B7)))-B3*((SQRT(1-B3^2)*SIN(-B7))/(1+B3*COS(-B7)))))</f>
        <v>1334.2254077573568</v>
      </c>
    </row>
    <row r="7" spans="1:16" ht="15.75" thickBot="1" x14ac:dyDescent="0.3">
      <c r="A7" s="1" t="s">
        <v>14</v>
      </c>
      <c r="B7" s="1">
        <v>1.3779999999999999</v>
      </c>
    </row>
    <row r="10" spans="1:16" x14ac:dyDescent="0.25">
      <c r="A10" t="s">
        <v>0</v>
      </c>
      <c r="B10">
        <v>-120</v>
      </c>
      <c r="C10">
        <v>-80</v>
      </c>
      <c r="D10">
        <v>-40</v>
      </c>
      <c r="E10">
        <v>0</v>
      </c>
      <c r="F10">
        <v>40</v>
      </c>
      <c r="G10">
        <v>80</v>
      </c>
      <c r="H10">
        <v>120</v>
      </c>
      <c r="I10">
        <v>160</v>
      </c>
      <c r="J10">
        <v>200</v>
      </c>
      <c r="K10">
        <v>240</v>
      </c>
      <c r="L10">
        <v>280</v>
      </c>
      <c r="M10">
        <v>320</v>
      </c>
      <c r="N10">
        <v>360</v>
      </c>
      <c r="O10">
        <v>400</v>
      </c>
      <c r="P10">
        <v>440</v>
      </c>
    </row>
    <row r="11" spans="1:16" x14ac:dyDescent="0.25">
      <c r="A11" t="s">
        <v>1</v>
      </c>
      <c r="B11">
        <f t="shared" ref="B11:P11" si="0">B10*3.14/180</f>
        <v>-2.0933333333333333</v>
      </c>
      <c r="C11">
        <f t="shared" si="0"/>
        <v>-1.3955555555555557</v>
      </c>
      <c r="D11">
        <f t="shared" si="0"/>
        <v>-0.69777777777777783</v>
      </c>
      <c r="E11">
        <f t="shared" si="0"/>
        <v>0</v>
      </c>
      <c r="F11">
        <f t="shared" si="0"/>
        <v>0.69777777777777783</v>
      </c>
      <c r="G11">
        <f t="shared" si="0"/>
        <v>1.3955555555555557</v>
      </c>
      <c r="H11">
        <f t="shared" si="0"/>
        <v>2.0933333333333333</v>
      </c>
      <c r="I11">
        <f t="shared" si="0"/>
        <v>2.7911111111111113</v>
      </c>
      <c r="J11">
        <f t="shared" si="0"/>
        <v>3.4888888888888889</v>
      </c>
      <c r="K11">
        <f t="shared" si="0"/>
        <v>4.1866666666666665</v>
      </c>
      <c r="L11">
        <f t="shared" si="0"/>
        <v>4.884444444444445</v>
      </c>
      <c r="M11">
        <f t="shared" si="0"/>
        <v>5.5822222222222226</v>
      </c>
      <c r="N11">
        <f t="shared" si="0"/>
        <v>6.28</v>
      </c>
      <c r="O11">
        <f t="shared" si="0"/>
        <v>6.9777777777777779</v>
      </c>
      <c r="P11">
        <f t="shared" si="0"/>
        <v>7.6755555555555564</v>
      </c>
    </row>
    <row r="12" spans="1:16" x14ac:dyDescent="0.25">
      <c r="A12" t="s">
        <v>2</v>
      </c>
      <c r="B12">
        <f>(SQRT($B$2^3/$B$5)*(-3.14-ASIN((SQRT(1-$B$3^2)*SIN(B11))/(1+$B$3*COS(B11)))-$B$3*((SQRT(1-$B$3^2)*SIN(B11))/(1+$B$3*COS(B11)))))+H6</f>
        <v>-691.17994599019175</v>
      </c>
      <c r="C12">
        <f>(SQRT($B$2^3/$B$5)*(ASIN((SQRT(1-$B$3^2)*SIN(C11))/(1+$B$3*COS(C11)))-$B$3*((SQRT(1-$B$3^2)*SIN(C11))/(1+$B$3*COS(C11)))))+H6</f>
        <v>-16.999549383951262</v>
      </c>
      <c r="D12">
        <f>(SQRT($B$2^3/$B$5)*(ASIN((SQRT(1-$B$3^2)*SIN(D11))/(1+$B$3*COS(D11)))-$B$3*((SQRT(1-$B$3^2)*SIN(D11))/(1+$B$3*COS(D11)))))+H6</f>
        <v>658.64003088929769</v>
      </c>
      <c r="E12">
        <f>(SQRT($B$2^3/$B$5)*(ASIN((SQRT(1-$B$3^2)*SIN(E11))/(1+$B$3*COS(E11)))-$B$3*((SQRT(1-$B$3^2)*SIN(E11))/(1+$B$3*COS(E11)))))+H6</f>
        <v>1334.2254077573568</v>
      </c>
      <c r="F12">
        <f>(SQRT($B$2^3/$B$5)*(ASIN((SQRT(1-$B$3^2)*SIN(F11))/(1+$B$3*COS(F11)))-$B$3*((SQRT(1-$B$3^2)*SIN(F11))/(1+$B$3*COS(F11)))))+H6</f>
        <v>2009.8107846254161</v>
      </c>
      <c r="G12">
        <f>(SQRT($B$2^3/$B$5)*(ASIN((SQRT(1-$B$3^2)*SIN(G11))/(1+$B$3*COS(G11)))-$B$3*((SQRT(1-$B$3^2)*SIN(G11))/(1+$B$3*COS(G11)))))+H6</f>
        <v>2685.4503648986656</v>
      </c>
      <c r="H12">
        <f>(SQRT($B$2^3/$B$5)*((3.14)-(ASIN((SQRT(1-$B$3^2)*SIN(H11))/(1+$B$3*COS(H11)))-$B$3*((SQRT(1-$B$3^2)*SIN(H11))/(1+$B$3*COS(H11))))))+H6</f>
        <v>3359.7871843897137</v>
      </c>
      <c r="I12">
        <f>(SQRT($B$2^3/$B$5)*(3.14-ASIN((SQRT(1-$B$3^2)*SIN(I11))/(1+$B$3*COS(I11)))-$B$3*((SQRT(1-$B$3^2)*SIN(I11))/(1+$B$3*COS(I11)))))+H6</f>
        <v>4035.4265494714573</v>
      </c>
      <c r="J12">
        <f>(SQRT($B$2^3/$B$5)*(3.14-ASIN((SQRT(1-$B$3^2)*SIN(J11))/(1+$B$3*COS(J11)))-$B$3*((SQRT(1-$B$3^2)*SIN(J11))/(1+$B$3*COS(J11)))))+H6</f>
        <v>4711.2513150379045</v>
      </c>
      <c r="K12">
        <f>(SQRT($B$2^3/$B$5)*(3.14-ASIN((SQRT(1-$B$3^2)*SIN(K11))/(1+$B$3*COS(K11)))-$B$3*((SQRT(1-$B$3^2)*SIN(K11))/(1+$B$3*COS(K11)))))+H6</f>
        <v>5387.0473556297638</v>
      </c>
      <c r="L12">
        <f>(SQRT($B$2^3/$B$5)*(2*3.14+ASIN((SQRT(1-$B$3^2)*SIN(L11))/(1+$B$3*COS(L11)))-$B$3*((SQRT(1-$B$3^2)*SIN(L11))/(1+$B$3*COS(L11)))))+H6</f>
        <v>6061.2281393351341</v>
      </c>
      <c r="M12">
        <f>(SQRT($B$2^3/$B$5)*(2*3.14+ASIN((SQRT(1-$B$3^2)*SIN(M11))/(1+$B$3*COS(M11)))-$B$3*((SQRT(1-$B$3^2)*SIN(M11))/(1+$B$3*COS(M11)))))+H6</f>
        <v>6736.8680602084614</v>
      </c>
      <c r="N12">
        <f>(SQRT($B$2^3/$B$5)*(2*3.14+ASIN((SQRT(1-$B$3^2)*SIN(N11))/(1+$B$3*COS(N11)))-$B$3*((SQRT(1-$B$3^2)*SIN(N11))/(1+$B$3*COS(N11)))))+H6</f>
        <v>7412.4535720148051</v>
      </c>
      <c r="O12">
        <f>(SQRT($B$2^3/$B$5)*(2*3.14+ASIN((SQRT(1-$B$3^2)*SIN(O11))/(1+$B$3*COS(O11)))-$B$3*((SQRT(1-$B$3^2)*SIN(O11))/(1+$B$3*COS(O11)))))+H6</f>
        <v>8088.0388151210391</v>
      </c>
      <c r="P12">
        <f>(SQRT($B$2^3/$B$5)*(2*3.14+ASIN((SQRT(1-$B$3^2)*SIN(P11))/(1+$B$3*COS(P11)))-$B$3*((SQRT(1-$B$3^2)*SIN(P11))/(1+$B$3*COS(P11)))))+H6</f>
        <v>8763.6780554210254</v>
      </c>
    </row>
    <row r="13" spans="1:16" x14ac:dyDescent="0.25">
      <c r="A13" t="s">
        <v>3</v>
      </c>
      <c r="B13">
        <f t="shared" ref="B13:P13" si="1">ASIN(SIN($B$4*3.14/180)*SIN($B$7+B11))</f>
        <v>-0.7054777348979383</v>
      </c>
      <c r="C13">
        <f t="shared" si="1"/>
        <v>-1.7355547460964998E-2</v>
      </c>
      <c r="D13">
        <f t="shared" si="1"/>
        <v>0.67103997098054757</v>
      </c>
      <c r="E13">
        <f t="shared" si="1"/>
        <v>1.3264333084727091</v>
      </c>
      <c r="F13">
        <f t="shared" si="1"/>
        <v>1.0455762343270782</v>
      </c>
      <c r="G13">
        <f t="shared" si="1"/>
        <v>0.36364807636189883</v>
      </c>
      <c r="H13">
        <f t="shared" si="1"/>
        <v>-0.32584462183006441</v>
      </c>
      <c r="I13">
        <f t="shared" si="1"/>
        <v>-1.0089394117406993</v>
      </c>
      <c r="J13">
        <f t="shared" si="1"/>
        <v>-1.3551233117084369</v>
      </c>
      <c r="K13">
        <f t="shared" si="1"/>
        <v>-0.70860000112356325</v>
      </c>
      <c r="L13">
        <f t="shared" si="1"/>
        <v>-2.0504555415676529E-2</v>
      </c>
      <c r="M13">
        <f t="shared" si="1"/>
        <v>0.66791389124327483</v>
      </c>
      <c r="N13">
        <f t="shared" si="1"/>
        <v>1.3239316324376014</v>
      </c>
      <c r="O13">
        <f t="shared" si="1"/>
        <v>1.0486138498221309</v>
      </c>
      <c r="P13">
        <f t="shared" si="1"/>
        <v>0.36679175689120624</v>
      </c>
    </row>
    <row r="14" spans="1:16" x14ac:dyDescent="0.25">
      <c r="A14" t="s">
        <v>5</v>
      </c>
      <c r="B14">
        <f t="shared" ref="B14:P14" si="2">B13*180/3.14</f>
        <v>-40.441398815805378</v>
      </c>
      <c r="C14">
        <f t="shared" si="2"/>
        <v>-0.99490399457761125</v>
      </c>
      <c r="D14">
        <f t="shared" si="2"/>
        <v>38.467259482961325</v>
      </c>
      <c r="E14">
        <f t="shared" si="2"/>
        <v>76.037578192703066</v>
      </c>
      <c r="F14">
        <f t="shared" si="2"/>
        <v>59.937491139768809</v>
      </c>
      <c r="G14">
        <f t="shared" si="2"/>
        <v>20.846068071701207</v>
      </c>
      <c r="H14">
        <f t="shared" si="2"/>
        <v>-18.678991060322161</v>
      </c>
      <c r="I14">
        <f t="shared" si="2"/>
        <v>-57.837291118893589</v>
      </c>
      <c r="J14">
        <f t="shared" si="2"/>
        <v>-77.682228059719321</v>
      </c>
      <c r="K14">
        <f t="shared" si="2"/>
        <v>-40.620382230013178</v>
      </c>
      <c r="L14">
        <f t="shared" si="2"/>
        <v>-1.1754203741470621</v>
      </c>
      <c r="M14">
        <f t="shared" si="2"/>
        <v>38.288057459805557</v>
      </c>
      <c r="N14">
        <f t="shared" si="2"/>
        <v>75.894170012346578</v>
      </c>
      <c r="O14">
        <f t="shared" si="2"/>
        <v>60.111621964325977</v>
      </c>
      <c r="P14">
        <f t="shared" si="2"/>
        <v>21.026279057457682</v>
      </c>
    </row>
    <row r="15" spans="1:16" x14ac:dyDescent="0.25">
      <c r="A15" t="s">
        <v>4</v>
      </c>
      <c r="B15">
        <f t="shared" ref="B15:P15" si="3">ASIN(TAN(B13)/TAN($E$4))</f>
        <v>0.13003313175434034</v>
      </c>
      <c r="C15">
        <f t="shared" si="3"/>
        <v>2.6425753267411206E-3</v>
      </c>
      <c r="D15">
        <f t="shared" si="3"/>
        <v>-0.12117148867412207</v>
      </c>
      <c r="E15">
        <f t="shared" si="3"/>
        <v>-0.65679275393932635</v>
      </c>
      <c r="F15">
        <f t="shared" si="3"/>
        <v>-0.26583252668768026</v>
      </c>
      <c r="G15">
        <f t="shared" si="3"/>
        <v>-5.7973139332590969E-2</v>
      </c>
      <c r="H15">
        <f t="shared" si="3"/>
        <v>5.1464781832544444E-2</v>
      </c>
      <c r="I15">
        <f t="shared" si="3"/>
        <v>0.24425820619803745</v>
      </c>
      <c r="J15">
        <f t="shared" si="3"/>
        <v>0.76832323029766925</v>
      </c>
      <c r="K15">
        <f t="shared" si="3"/>
        <v>0.13086253278184595</v>
      </c>
      <c r="L15">
        <f t="shared" si="3"/>
        <v>3.1221723809453342E-3</v>
      </c>
      <c r="M15">
        <f t="shared" si="3"/>
        <v>-0.12039178915766051</v>
      </c>
      <c r="N15">
        <f t="shared" si="3"/>
        <v>-0.64868349745512854</v>
      </c>
      <c r="O15">
        <f t="shared" si="3"/>
        <v>-0.2677495607892279</v>
      </c>
      <c r="P15">
        <f t="shared" si="3"/>
        <v>-5.8522661485628791E-2</v>
      </c>
    </row>
    <row r="16" spans="1:16" x14ac:dyDescent="0.25">
      <c r="A16" t="s">
        <v>6</v>
      </c>
      <c r="B16">
        <f>(B15*180/3.14)</f>
        <v>7.4541285719048602</v>
      </c>
      <c r="C16">
        <f>C15*180/3.14</f>
        <v>0.15148520981318525</v>
      </c>
      <c r="D16">
        <f>D15*180/3.14</f>
        <v>-6.9461362934210102</v>
      </c>
      <c r="E16">
        <f>E15*180/3.14</f>
        <v>-37.650540034738455</v>
      </c>
      <c r="F16">
        <f>-180-F15*180/3.14</f>
        <v>-164.76119273764891</v>
      </c>
      <c r="G16">
        <f>-180-(G15*180/3.14)</f>
        <v>-176.67669901915085</v>
      </c>
      <c r="H16">
        <f>-180-(H15*180/3.14)</f>
        <v>-182.95021042352167</v>
      </c>
      <c r="I16">
        <f>-180-(I15*180/3.14)</f>
        <v>-194.00206277568367</v>
      </c>
      <c r="J16">
        <f>-360+(J15*180/3.14)</f>
        <v>-315.95599316764952</v>
      </c>
      <c r="K16">
        <f>-360+(K15*180/3.14)</f>
        <v>-352.49832614626359</v>
      </c>
      <c r="L16">
        <f>-360+(L15*180/3.14)</f>
        <v>-359.82102196542354</v>
      </c>
      <c r="M16">
        <f>-360+(M15*180/3.14)</f>
        <v>-366.90144014279582</v>
      </c>
      <c r="N16">
        <f>-360+(N15*180/3.14)</f>
        <v>-397.18567819806469</v>
      </c>
      <c r="O16">
        <f>-540-(O15*180/3.14)</f>
        <v>-524.65129906303787</v>
      </c>
      <c r="P16">
        <f>-540-(P15*180/3.14)</f>
        <v>-536.64519774923144</v>
      </c>
    </row>
    <row r="17" spans="1:16" x14ac:dyDescent="0.25">
      <c r="A17" t="s">
        <v>9</v>
      </c>
      <c r="B17">
        <f t="shared" ref="B17:P17" si="4">B16*3.14/180</f>
        <v>0.13003313175434034</v>
      </c>
      <c r="C17">
        <f t="shared" si="4"/>
        <v>2.6425753267411206E-3</v>
      </c>
      <c r="D17">
        <f t="shared" si="4"/>
        <v>-0.12117148867412207</v>
      </c>
      <c r="E17">
        <f t="shared" si="4"/>
        <v>-0.65679275393932635</v>
      </c>
      <c r="F17">
        <f t="shared" si="4"/>
        <v>-2.8741674733123199</v>
      </c>
      <c r="G17">
        <f t="shared" si="4"/>
        <v>-3.0820268606674093</v>
      </c>
      <c r="H17">
        <f t="shared" si="4"/>
        <v>-3.1914647818325443</v>
      </c>
      <c r="I17">
        <f t="shared" si="4"/>
        <v>-3.3842582061980377</v>
      </c>
      <c r="J17">
        <f t="shared" si="4"/>
        <v>-5.5116767697023308</v>
      </c>
      <c r="K17">
        <f t="shared" si="4"/>
        <v>-6.1491374672181536</v>
      </c>
      <c r="L17">
        <f t="shared" si="4"/>
        <v>-6.2768778276190549</v>
      </c>
      <c r="M17">
        <f t="shared" si="4"/>
        <v>-6.4003917891576609</v>
      </c>
      <c r="N17">
        <f t="shared" si="4"/>
        <v>-6.928683497455129</v>
      </c>
      <c r="O17">
        <f t="shared" si="4"/>
        <v>-9.1522504392107731</v>
      </c>
      <c r="P17">
        <f t="shared" si="4"/>
        <v>-9.361477338514371</v>
      </c>
    </row>
    <row r="18" spans="1:16" x14ac:dyDescent="0.25">
      <c r="A18" t="s">
        <v>8</v>
      </c>
      <c r="B18">
        <f t="shared" ref="B18:P18" si="5">$E$6+B17-(360/86144)*B12</f>
        <v>2.5823969063748997</v>
      </c>
      <c r="C18">
        <f t="shared" si="5"/>
        <v>-0.36242658534995259</v>
      </c>
      <c r="D18">
        <f t="shared" si="5"/>
        <v>-3.3097715847423652</v>
      </c>
      <c r="E18">
        <f t="shared" si="5"/>
        <v>-6.6686972667110105</v>
      </c>
      <c r="F18">
        <f t="shared" si="5"/>
        <v>-11.709376402787447</v>
      </c>
      <c r="G18">
        <f t="shared" si="5"/>
        <v>-14.740766725534087</v>
      </c>
      <c r="H18">
        <f t="shared" si="5"/>
        <v>-17.668291280902153</v>
      </c>
      <c r="I18">
        <f t="shared" si="5"/>
        <v>-20.684614741363347</v>
      </c>
      <c r="J18">
        <f t="shared" si="5"/>
        <v>-25.636338138679868</v>
      </c>
      <c r="K18">
        <f t="shared" si="5"/>
        <v>-29.097983626930617</v>
      </c>
      <c r="L18">
        <f t="shared" si="5"/>
        <v>-32.043158540335014</v>
      </c>
      <c r="M18">
        <f t="shared" si="5"/>
        <v>-34.990204860649598</v>
      </c>
      <c r="N18">
        <f t="shared" si="5"/>
        <v>-38.341801549564217</v>
      </c>
      <c r="O18">
        <f t="shared" si="5"/>
        <v>-43.388672349026081</v>
      </c>
      <c r="P18">
        <f t="shared" si="5"/>
        <v>-46.421428762956296</v>
      </c>
    </row>
    <row r="19" spans="1:16" x14ac:dyDescent="0.25">
      <c r="A19" t="s">
        <v>7</v>
      </c>
      <c r="B19">
        <f>-25+B16-(360/86400)*B12</f>
        <v>-14.665954986469341</v>
      </c>
      <c r="C19">
        <f>-25+C16-(360/86400)*C12</f>
        <v>-24.777683334420352</v>
      </c>
      <c r="D19">
        <f>-25+D16-(360/86400)*D12</f>
        <v>-34.690469755459752</v>
      </c>
      <c r="E19">
        <f>-25+E16-(360/86400)*E12</f>
        <v>-68.20981256706078</v>
      </c>
      <c r="F19">
        <f t="shared" ref="F19:N19" si="6">-25+F16-(360/86400)*F12+360</f>
        <v>161.86459565974519</v>
      </c>
      <c r="G19">
        <f t="shared" si="6"/>
        <v>147.13392446043804</v>
      </c>
      <c r="H19">
        <f t="shared" si="6"/>
        <v>138.05067630818786</v>
      </c>
      <c r="I19">
        <f t="shared" si="6"/>
        <v>124.18365993485193</v>
      </c>
      <c r="J19">
        <f t="shared" si="6"/>
        <v>-0.58620698030745189</v>
      </c>
      <c r="K19">
        <f t="shared" si="6"/>
        <v>-39.944356794720932</v>
      </c>
      <c r="L19">
        <f t="shared" si="6"/>
        <v>-50.076139212653288</v>
      </c>
      <c r="M19">
        <f t="shared" si="6"/>
        <v>-59.971723726997766</v>
      </c>
      <c r="N19">
        <f t="shared" si="6"/>
        <v>-93.07090141479307</v>
      </c>
      <c r="O19">
        <f>-25+O16-(360/86400)*O12+360+360</f>
        <v>136.64853920729115</v>
      </c>
      <c r="P19">
        <f>-25+P16-(360/86400)*P12+360+360</f>
        <v>121.83947701984766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abSelected="1" workbookViewId="0">
      <selection activeCell="M7" sqref="M7"/>
    </sheetView>
  </sheetViews>
  <sheetFormatPr baseColWidth="10" defaultRowHeight="15" x14ac:dyDescent="0.25"/>
  <cols>
    <col min="1" max="1" width="15.28515625" bestFit="1" customWidth="1"/>
  </cols>
  <sheetData>
    <row r="2" spans="1:16" ht="15.75" thickBot="1" x14ac:dyDescent="0.3">
      <c r="A2" s="1" t="s">
        <v>10</v>
      </c>
      <c r="B2" s="1">
        <v>12000</v>
      </c>
      <c r="J2">
        <f>-250</f>
        <v>-250</v>
      </c>
      <c r="L2">
        <v>-70</v>
      </c>
    </row>
    <row r="3" spans="1:16" ht="15.75" thickBot="1" x14ac:dyDescent="0.3">
      <c r="A3" s="1" t="s">
        <v>11</v>
      </c>
      <c r="B3" s="1">
        <v>0.13</v>
      </c>
      <c r="J3">
        <v>-70</v>
      </c>
      <c r="L3">
        <v>110</v>
      </c>
    </row>
    <row r="4" spans="1:16" ht="15.75" thickBot="1" x14ac:dyDescent="0.3">
      <c r="A4" s="1" t="s">
        <v>12</v>
      </c>
      <c r="B4" s="1">
        <v>40</v>
      </c>
      <c r="D4" s="1" t="s">
        <v>16</v>
      </c>
      <c r="E4" s="1">
        <f>B4*3.14/180</f>
        <v>0.69777777777777783</v>
      </c>
      <c r="G4" s="1" t="s">
        <v>19</v>
      </c>
      <c r="H4" s="1">
        <f>ACOS(-B3)</f>
        <v>1.7011653064980421</v>
      </c>
      <c r="J4">
        <v>110</v>
      </c>
      <c r="L4">
        <v>290</v>
      </c>
    </row>
    <row r="5" spans="1:16" ht="15.75" thickBot="1" x14ac:dyDescent="0.3">
      <c r="A5" s="1" t="s">
        <v>15</v>
      </c>
      <c r="B5" s="1">
        <v>398600</v>
      </c>
      <c r="J5">
        <v>290</v>
      </c>
      <c r="L5">
        <v>430</v>
      </c>
    </row>
    <row r="6" spans="1:16" ht="15.75" thickBot="1" x14ac:dyDescent="0.3">
      <c r="A6" s="1" t="s">
        <v>13</v>
      </c>
      <c r="B6" s="1">
        <v>-50</v>
      </c>
      <c r="D6" s="1" t="s">
        <v>17</v>
      </c>
      <c r="E6" s="1">
        <f>B6*3.14/180</f>
        <v>-0.87222222222222223</v>
      </c>
      <c r="G6" s="1" t="s">
        <v>18</v>
      </c>
      <c r="H6" s="1">
        <f>-(SQRT(B2^3/B5)*(ASIN((SQRT(1-B3^2)*SIN(-B7))/(1+B3*COS(-B7)))-B3*((SQRT(1-B3^2)*SIN(-B7))/(1+B3*COS(-B7)))))</f>
        <v>-1921.2249574840589</v>
      </c>
    </row>
    <row r="7" spans="1:16" ht="15.75" thickBot="1" x14ac:dyDescent="0.3">
      <c r="A7" s="1" t="s">
        <v>14</v>
      </c>
      <c r="B7" s="1">
        <v>-20</v>
      </c>
    </row>
    <row r="10" spans="1:16" x14ac:dyDescent="0.25">
      <c r="A10" t="s">
        <v>0</v>
      </c>
      <c r="B10">
        <v>-120</v>
      </c>
      <c r="C10">
        <v>-80</v>
      </c>
      <c r="D10">
        <v>-40</v>
      </c>
      <c r="E10">
        <v>0</v>
      </c>
      <c r="F10">
        <v>40</v>
      </c>
      <c r="G10">
        <v>80</v>
      </c>
      <c r="H10">
        <v>120</v>
      </c>
      <c r="I10">
        <v>160</v>
      </c>
      <c r="J10">
        <v>200</v>
      </c>
      <c r="K10">
        <v>240</v>
      </c>
      <c r="L10">
        <v>280</v>
      </c>
      <c r="M10">
        <v>320</v>
      </c>
      <c r="N10">
        <v>360</v>
      </c>
      <c r="O10">
        <v>400</v>
      </c>
      <c r="P10">
        <v>440</v>
      </c>
    </row>
    <row r="11" spans="1:16" x14ac:dyDescent="0.25">
      <c r="A11" t="s">
        <v>1</v>
      </c>
      <c r="B11">
        <f t="shared" ref="B11:P11" si="0">B10*3.14/180</f>
        <v>-2.0933333333333333</v>
      </c>
      <c r="C11">
        <f t="shared" si="0"/>
        <v>-1.3955555555555557</v>
      </c>
      <c r="D11">
        <f t="shared" si="0"/>
        <v>-0.69777777777777783</v>
      </c>
      <c r="E11">
        <f t="shared" si="0"/>
        <v>0</v>
      </c>
      <c r="F11">
        <f t="shared" si="0"/>
        <v>0.69777777777777783</v>
      </c>
      <c r="G11">
        <f t="shared" si="0"/>
        <v>1.3955555555555557</v>
      </c>
      <c r="H11">
        <f t="shared" si="0"/>
        <v>2.0933333333333333</v>
      </c>
      <c r="I11">
        <f t="shared" si="0"/>
        <v>2.7911111111111113</v>
      </c>
      <c r="J11">
        <f t="shared" si="0"/>
        <v>3.4888888888888889</v>
      </c>
      <c r="K11">
        <f t="shared" si="0"/>
        <v>4.1866666666666665</v>
      </c>
      <c r="L11">
        <f t="shared" si="0"/>
        <v>4.884444444444445</v>
      </c>
      <c r="M11">
        <f t="shared" si="0"/>
        <v>5.5822222222222226</v>
      </c>
      <c r="N11">
        <f t="shared" si="0"/>
        <v>6.28</v>
      </c>
      <c r="O11">
        <f t="shared" si="0"/>
        <v>6.9777777777777779</v>
      </c>
      <c r="P11">
        <f t="shared" si="0"/>
        <v>7.6755555555555564</v>
      </c>
    </row>
    <row r="12" spans="1:16" x14ac:dyDescent="0.25">
      <c r="A12" t="s">
        <v>2</v>
      </c>
      <c r="B12">
        <f>(SQRT($B$2^3/$B$5)*(-3.14-ASIN((SQRT(1-$B$3^2)*SIN(B11))/(1+$B$3*COS(B11)))-$B$3*((SQRT(1-$B$3^2)*SIN(B11))/(1+$B$3*COS(B11)))))+H6</f>
        <v>-5784.5461320996674</v>
      </c>
      <c r="C12">
        <f>(SQRT($B$2^3/$B$5)*(ASIN((SQRT(1-$B$3^2)*SIN(C11))/(1+$B$3*COS(C11)))-$B$3*((SQRT(1-$B$3^2)*SIN(C11))/(1+$B$3*COS(C11)))))+H6</f>
        <v>-4304.2153498210664</v>
      </c>
      <c r="D12">
        <f>(SQRT($B$2^3/$B$5)*(ASIN((SQRT(1-$B$3^2)*SIN(D11))/(1+$B$3*COS(D11)))-$B$3*((SQRT(1-$B$3^2)*SIN(D11))/(1+$B$3*COS(D11)))))+H6</f>
        <v>-3051.0128862652737</v>
      </c>
      <c r="E12">
        <f>(SQRT($B$2^3/$B$5)*(ASIN((SQRT(1-$B$3^2)*SIN(E11))/(1+$B$3*COS(E11)))-$B$3*((SQRT(1-$B$3^2)*SIN(E11))/(1+$B$3*COS(E11)))))+H6</f>
        <v>-1921.2249574840589</v>
      </c>
      <c r="F12">
        <f>(SQRT($B$2^3/$B$5)*(ASIN((SQRT(1-$B$3^2)*SIN(F11))/(1+$B$3*COS(F11)))-$B$3*((SQRT(1-$B$3^2)*SIN(F11))/(1+$B$3*COS(F11)))))+H6</f>
        <v>-791.43702870284369</v>
      </c>
      <c r="G12">
        <f>(SQRT($B$2^3/$B$5)*(ASIN((SQRT(1-$B$3^2)*SIN(G11))/(1+$B$3*COS(G11)))-$B$3*((SQRT(1-$B$3^2)*SIN(G11))/(1+$B$3*COS(G11)))))+H6</f>
        <v>461.76543485294815</v>
      </c>
      <c r="H12">
        <f>(SQRT($B$2^3/$B$5)*((3.14)-(ASIN((SQRT(1-$B$3^2)*SIN(H11))/(1+$B$3*COS(H11)))-$B$3*((SQRT(1-$B$3^2)*SIN(H11))/(1+$B$3*COS(H11))))))+H6</f>
        <v>2439.4950977084318</v>
      </c>
      <c r="I12">
        <f>(SQRT($B$2^3/$B$5)*(3.14-ASIN((SQRT(1-$B$3^2)*SIN(I11))/(1+$B$3*COS(I11)))-$B$3*((SQRT(1-$B$3^2)*SIN(I11))/(1+$B$3*COS(I11)))))+H6</f>
        <v>3682.481510606558</v>
      </c>
      <c r="J12">
        <f>(SQRT($B$2^3/$B$5)*(3.14-ASIN((SQRT(1-$B$3^2)*SIN(J11))/(1+$B$3*COS(J11)))-$B$3*((SQRT(1-$B$3^2)*SIN(J11))/(1+$B$3*COS(J11)))))+H6</f>
        <v>5542.3165362897062</v>
      </c>
      <c r="K12">
        <f>(SQRT($B$2^3/$B$5)*(3.14-ASIN((SQRT(1-$B$3^2)*SIN(K11))/(1+$B$3*COS(K11)))-$B$3*((SQRT(1-$B$3^2)*SIN(K11))/(1+$B$3*COS(K11)))))+H6</f>
        <v>7283.6954066343678</v>
      </c>
      <c r="L12">
        <f>(SQRT($B$2^3/$B$5)*(2*3.14+ASIN((SQRT(1-$B$3^2)*SIN(L11))/(1+$B$3*COS(L11)))-$B$3*((SQRT(1-$B$3^2)*SIN(L11))/(1+$B$3*COS(L11)))))+H6</f>
        <v>8765.2381272600196</v>
      </c>
      <c r="M12">
        <f>(SQRT($B$2^3/$B$5)*(2*3.14+ASIN((SQRT(1-$B$3^2)*SIN(M11))/(1+$B$3*COS(M11)))-$B$3*((SQRT(1-$B$3^2)*SIN(M11))/(1+$B$3*COS(M11)))))+H6</f>
        <v>10019.276627323137</v>
      </c>
      <c r="N12">
        <f>(SQRT($B$2^3/$B$5)*(2*3.14+ASIN((SQRT(1-$B$3^2)*SIN(N11))/(1+$B$3*COS(N11)))-$B$3*((SQRT(1-$B$3^2)*SIN(N11))/(1+$B$3*COS(N11)))))+H6</f>
        <v>11149.349508895992</v>
      </c>
      <c r="O12">
        <f>(SQRT($B$2^3/$B$5)*(2*3.14+ASIN((SQRT(1-$B$3^2)*SIN(O11))/(1+$B$3*COS(O11)))-$B$3*((SQRT(1-$B$3^2)*SIN(O11))/(1+$B$3*COS(O11)))))+H6</f>
        <v>12278.855072130747</v>
      </c>
      <c r="P12">
        <f>(SQRT($B$2^3/$B$5)*(2*3.14+ASIN((SQRT(1-$B$3^2)*SIN(P11))/(1+$B$3*COS(P11)))-$B$3*((SQRT(1-$B$3^2)*SIN(P11))/(1+$B$3*COS(P11)))))+H6</f>
        <v>13531.223841090983</v>
      </c>
    </row>
    <row r="13" spans="1:16" x14ac:dyDescent="0.25">
      <c r="A13" t="s">
        <v>3</v>
      </c>
      <c r="B13">
        <f t="shared" ref="B13:P13" si="1">ASIN(SIN($B$4*3.14/180)*SIN($B$7+B11))</f>
        <v>6.5588202916358571E-2</v>
      </c>
      <c r="C13">
        <f t="shared" si="1"/>
        <v>-0.3687519678983221</v>
      </c>
      <c r="D13">
        <f t="shared" si="1"/>
        <v>-0.66613134396621421</v>
      </c>
      <c r="E13">
        <f t="shared" si="1"/>
        <v>-0.62683245147243405</v>
      </c>
      <c r="F13">
        <f t="shared" si="1"/>
        <v>-0.28485063555403972</v>
      </c>
      <c r="G13">
        <f t="shared" si="1"/>
        <v>0.15655464000663474</v>
      </c>
      <c r="H13">
        <f t="shared" si="1"/>
        <v>0.54680655052557303</v>
      </c>
      <c r="I13">
        <f t="shared" si="1"/>
        <v>0.69573362571772646</v>
      </c>
      <c r="J13">
        <f t="shared" si="1"/>
        <v>0.48060973323046141</v>
      </c>
      <c r="K13">
        <f t="shared" si="1"/>
        <v>6.7628327798979537E-2</v>
      </c>
      <c r="L13">
        <f t="shared" si="1"/>
        <v>-0.36693433319253627</v>
      </c>
      <c r="M13">
        <f t="shared" si="1"/>
        <v>-0.66541461857041106</v>
      </c>
      <c r="N13">
        <f t="shared" si="1"/>
        <v>-0.62786039233556457</v>
      </c>
      <c r="O13">
        <f t="shared" si="1"/>
        <v>-0.28676745086560851</v>
      </c>
      <c r="P13">
        <f t="shared" si="1"/>
        <v>0.15454413881436688</v>
      </c>
    </row>
    <row r="14" spans="1:16" x14ac:dyDescent="0.25">
      <c r="A14" t="s">
        <v>5</v>
      </c>
      <c r="B14">
        <f t="shared" ref="B14:P14" si="2">B13*180/3.14</f>
        <v>3.7598332881988989</v>
      </c>
      <c r="C14">
        <f t="shared" si="2"/>
        <v>-21.138647841305087</v>
      </c>
      <c r="D14">
        <f t="shared" si="2"/>
        <v>-38.185873220993173</v>
      </c>
      <c r="E14">
        <f t="shared" si="2"/>
        <v>-35.933070466572651</v>
      </c>
      <c r="F14">
        <f t="shared" si="2"/>
        <v>-16.329017324753867</v>
      </c>
      <c r="G14">
        <f t="shared" si="2"/>
        <v>8.974469809297533</v>
      </c>
      <c r="H14">
        <f t="shared" si="2"/>
        <v>31.345598437771702</v>
      </c>
      <c r="I14">
        <f t="shared" si="2"/>
        <v>39.882819308659478</v>
      </c>
      <c r="J14">
        <f t="shared" si="2"/>
        <v>27.550876427223901</v>
      </c>
      <c r="K14">
        <f t="shared" si="2"/>
        <v>3.8767831222344955</v>
      </c>
      <c r="L14">
        <f t="shared" si="2"/>
        <v>-21.034452221228197</v>
      </c>
      <c r="M14">
        <f t="shared" si="2"/>
        <v>-38.144787051807</v>
      </c>
      <c r="N14">
        <f t="shared" si="2"/>
        <v>-35.991997012866754</v>
      </c>
      <c r="O14">
        <f t="shared" si="2"/>
        <v>-16.43889845726418</v>
      </c>
      <c r="P14">
        <f t="shared" si="2"/>
        <v>8.8592181485942803</v>
      </c>
    </row>
    <row r="15" spans="1:16" x14ac:dyDescent="0.25">
      <c r="A15" t="s">
        <v>4</v>
      </c>
      <c r="B15">
        <f t="shared" ref="B15:P15" si="3">ASIN(TAN(B13)/TAN($E$4))</f>
        <v>7.8413873087851194E-2</v>
      </c>
      <c r="C15">
        <f t="shared" si="3"/>
        <v>-0.47896196383354511</v>
      </c>
      <c r="D15">
        <f t="shared" si="3"/>
        <v>-1.2149841208169117</v>
      </c>
      <c r="E15">
        <f t="shared" si="3"/>
        <v>-1.042718790133927</v>
      </c>
      <c r="F15">
        <f t="shared" si="3"/>
        <v>-0.3567304330504093</v>
      </c>
      <c r="G15">
        <f t="shared" si="3"/>
        <v>0.18937915775242553</v>
      </c>
      <c r="H15">
        <f t="shared" si="3"/>
        <v>0.8124376844563902</v>
      </c>
      <c r="I15">
        <f t="shared" si="3"/>
        <v>1.4797176797673661</v>
      </c>
      <c r="J15">
        <f t="shared" si="3"/>
        <v>0.67105240523721577</v>
      </c>
      <c r="K15">
        <f t="shared" si="3"/>
        <v>8.0865546484231221E-2</v>
      </c>
      <c r="L15">
        <f t="shared" si="3"/>
        <v>-0.47615863972761413</v>
      </c>
      <c r="M15">
        <f t="shared" si="3"/>
        <v>-1.211037694672997</v>
      </c>
      <c r="N15">
        <f t="shared" si="3"/>
        <v>-1.0464427632100433</v>
      </c>
      <c r="O15">
        <f t="shared" si="3"/>
        <v>-0.35938201059250441</v>
      </c>
      <c r="P15">
        <f t="shared" si="3"/>
        <v>0.18687832265864951</v>
      </c>
    </row>
    <row r="16" spans="1:16" x14ac:dyDescent="0.25">
      <c r="A16" t="s">
        <v>6</v>
      </c>
      <c r="B16">
        <f>180-(B15*180/3.14)</f>
        <v>175.50493721152446</v>
      </c>
      <c r="C16">
        <f>180-(C15*180/3.14)</f>
        <v>207.45641830892933</v>
      </c>
      <c r="D16">
        <f>D15*180/3.14</f>
        <v>-69.648771257020414</v>
      </c>
      <c r="E16">
        <f>E15*180/3.14</f>
        <v>-59.773688606403454</v>
      </c>
      <c r="F16">
        <f>F15*180/3.14</f>
        <v>-20.449515270405627</v>
      </c>
      <c r="G16">
        <f>(G15*180/3.14)</f>
        <v>10.856130062240952</v>
      </c>
      <c r="H16">
        <f>-180-(H15*180/3.14)</f>
        <v>-226.57286089240455</v>
      </c>
      <c r="I16">
        <f>-180-(I15*180/3.14)</f>
        <v>-264.82458036882991</v>
      </c>
      <c r="J16">
        <f>-180-(J15*180/3.14)</f>
        <v>-218.46797227474485</v>
      </c>
      <c r="K16">
        <f>-180-(K15*180/3.14)</f>
        <v>-184.63560457552919</v>
      </c>
      <c r="L16">
        <f>-180-(L15*180/3.14)</f>
        <v>-152.70428179905397</v>
      </c>
      <c r="M16">
        <f>-360+(M15*180/3.14)</f>
        <v>-429.42254300673233</v>
      </c>
      <c r="N16">
        <f>-360+(N15*180/3.14)</f>
        <v>-419.98716477000249</v>
      </c>
      <c r="O16">
        <f>-360-(O15*180/3.14)</f>
        <v>-339.39848346921951</v>
      </c>
      <c r="P16">
        <f>-540-(P15*180/3.14)</f>
        <v>-550.71277008871243</v>
      </c>
    </row>
    <row r="17" spans="1:16" x14ac:dyDescent="0.25">
      <c r="A17" t="s">
        <v>9</v>
      </c>
      <c r="B17">
        <f t="shared" ref="B17:P17" si="4">B16*3.14/180</f>
        <v>3.0615861269121494</v>
      </c>
      <c r="C17">
        <f t="shared" si="4"/>
        <v>3.6189619638335451</v>
      </c>
      <c r="D17">
        <f t="shared" si="4"/>
        <v>-1.2149841208169117</v>
      </c>
      <c r="E17">
        <f t="shared" si="4"/>
        <v>-1.042718790133927</v>
      </c>
      <c r="F17">
        <f t="shared" si="4"/>
        <v>-0.35673043305040925</v>
      </c>
      <c r="G17">
        <f t="shared" si="4"/>
        <v>0.18937915775242553</v>
      </c>
      <c r="H17">
        <f t="shared" si="4"/>
        <v>-3.9524376844563904</v>
      </c>
      <c r="I17">
        <f t="shared" si="4"/>
        <v>-4.6197176797673665</v>
      </c>
      <c r="J17">
        <f t="shared" si="4"/>
        <v>-3.8110524052372159</v>
      </c>
      <c r="K17">
        <f t="shared" si="4"/>
        <v>-3.2208655464842315</v>
      </c>
      <c r="L17">
        <f t="shared" si="4"/>
        <v>-2.6638413602723863</v>
      </c>
      <c r="M17">
        <f t="shared" si="4"/>
        <v>-7.4910376946729977</v>
      </c>
      <c r="N17">
        <f t="shared" si="4"/>
        <v>-7.3264427632100437</v>
      </c>
      <c r="O17">
        <f t="shared" si="4"/>
        <v>-5.9206179894074955</v>
      </c>
      <c r="P17">
        <f t="shared" si="4"/>
        <v>-9.6068783226586518</v>
      </c>
    </row>
    <row r="18" spans="1:16" x14ac:dyDescent="0.25">
      <c r="A18" t="s">
        <v>8</v>
      </c>
      <c r="B18">
        <f t="shared" ref="B18:P18" si="5">$E$6+B17-(360/86144)*B12</f>
        <v>26.363265831183707</v>
      </c>
      <c r="C18">
        <f t="shared" si="5"/>
        <v>20.734266742163697</v>
      </c>
      <c r="D18">
        <f t="shared" si="5"/>
        <v>10.663126112564257</v>
      </c>
      <c r="E18">
        <f t="shared" si="5"/>
        <v>6.1139522906511559</v>
      </c>
      <c r="F18">
        <f t="shared" si="5"/>
        <v>2.0785014951385836</v>
      </c>
      <c r="G18">
        <f t="shared" si="5"/>
        <v>-2.6125834590075629</v>
      </c>
      <c r="H18">
        <f t="shared" si="5"/>
        <v>-15.019429538632497</v>
      </c>
      <c r="I18">
        <f t="shared" si="5"/>
        <v>-20.88121070225845</v>
      </c>
      <c r="J18">
        <f t="shared" si="5"/>
        <v>-27.844887195534916</v>
      </c>
      <c r="K18">
        <f t="shared" si="5"/>
        <v>-34.532008023029128</v>
      </c>
      <c r="L18">
        <f t="shared" si="5"/>
        <v>-40.166423512537406</v>
      </c>
      <c r="M18">
        <f t="shared" si="5"/>
        <v>-50.234308229445475</v>
      </c>
      <c r="N18">
        <f t="shared" si="5"/>
        <v>-54.792343282267296</v>
      </c>
      <c r="O18">
        <f t="shared" si="5"/>
        <v>-58.106777641596622</v>
      </c>
      <c r="P18">
        <f t="shared" si="5"/>
        <v>-67.026748469202403</v>
      </c>
    </row>
    <row r="19" spans="1:16" x14ac:dyDescent="0.25">
      <c r="A19" t="s">
        <v>7</v>
      </c>
      <c r="B19">
        <f>-25+B16-(360/86400)*B12</f>
        <v>174.60721276193973</v>
      </c>
      <c r="C19">
        <f>-25+C16-(360/86400)*C12</f>
        <v>200.39064893318377</v>
      </c>
      <c r="D19">
        <f>-25+D16-(360/86400)*D12</f>
        <v>-81.936217564248437</v>
      </c>
      <c r="E19">
        <f>-25+E16-(360/86400)*E12</f>
        <v>-76.768584616886542</v>
      </c>
      <c r="F19">
        <f t="shared" ref="F19:N19" si="6">-25+F16-(360/86400)*F12+360</f>
        <v>317.84813901585619</v>
      </c>
      <c r="G19">
        <f t="shared" si="6"/>
        <v>343.93210741702035</v>
      </c>
      <c r="H19">
        <f t="shared" si="6"/>
        <v>98.262576200476985</v>
      </c>
      <c r="I19">
        <f t="shared" si="6"/>
        <v>54.831746670309428</v>
      </c>
      <c r="J19">
        <f t="shared" si="6"/>
        <v>93.43904215738138</v>
      </c>
      <c r="K19">
        <f t="shared" si="6"/>
        <v>120.01566456349428</v>
      </c>
      <c r="L19">
        <f t="shared" si="6"/>
        <v>145.77389267069594</v>
      </c>
      <c r="M19">
        <f t="shared" si="6"/>
        <v>-136.16952895391205</v>
      </c>
      <c r="N19">
        <f t="shared" si="6"/>
        <v>-131.44278772373582</v>
      </c>
      <c r="O19">
        <f>-25+O16-(360/86400)*O12+360+360</f>
        <v>304.43962039690234</v>
      </c>
      <c r="P19">
        <f>-25+P16-(360/86400)*P12+360+360</f>
        <v>87.907130573408494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SPOT3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Culeux</dc:creator>
  <cp:lastModifiedBy>Valentin Steichen</cp:lastModifiedBy>
  <dcterms:created xsi:type="dcterms:W3CDTF">2016-11-07T09:46:00Z</dcterms:created>
  <dcterms:modified xsi:type="dcterms:W3CDTF">2017-02-13T21:11:06Z</dcterms:modified>
</cp:coreProperties>
</file>