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uur/Desktop/"/>
    </mc:Choice>
  </mc:AlternateContent>
  <xr:revisionPtr revIDLastSave="0" documentId="13_ncr:1_{50B56C61-EE8B-154B-9E0A-64D35C68721A}" xr6:coauthVersionLast="47" xr6:coauthVersionMax="47" xr10:uidLastSave="{00000000-0000-0000-0000-000000000000}"/>
  <bookViews>
    <workbookView xWindow="0" yWindow="500" windowWidth="28800" windowHeight="16080" firstSheet="1" activeTab="1" xr2:uid="{00000000-000D-0000-FFFF-FFFF00000000}"/>
  </bookViews>
  <sheets>
    <sheet name="Sheet2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5" i="1" l="1"/>
  <c r="D125" i="1"/>
  <c r="E125" i="1"/>
  <c r="F125" i="1"/>
  <c r="G125" i="1"/>
  <c r="C67" i="1"/>
  <c r="G77" i="1"/>
  <c r="G81" i="1"/>
  <c r="G78" i="1"/>
  <c r="F79" i="1"/>
  <c r="G65" i="1"/>
  <c r="F67" i="1"/>
  <c r="G57" i="1"/>
  <c r="G61" i="1"/>
  <c r="D95" i="1"/>
  <c r="E95" i="1" s="1"/>
  <c r="F95" i="1" s="1"/>
  <c r="G95" i="1" s="1"/>
  <c r="G11" i="1"/>
  <c r="G9" i="1"/>
  <c r="G10" i="1"/>
  <c r="C34" i="1"/>
  <c r="C98" i="1" s="1"/>
  <c r="C101" i="1" s="1"/>
  <c r="E34" i="1"/>
  <c r="E98" i="1" s="1"/>
  <c r="F34" i="1"/>
  <c r="F98" i="1" s="1"/>
  <c r="E97" i="1"/>
  <c r="D98" i="1"/>
  <c r="F91" i="1"/>
  <c r="E91" i="1"/>
  <c r="E93" i="1" s="1"/>
  <c r="D91" i="1"/>
  <c r="D93" i="1"/>
  <c r="C93" i="1"/>
  <c r="G74" i="1"/>
  <c r="G4" i="1"/>
  <c r="G3" i="1"/>
  <c r="G60" i="1"/>
  <c r="D41" i="1"/>
  <c r="E41" i="1"/>
  <c r="F41" i="1"/>
  <c r="D43" i="1"/>
  <c r="E43" i="1"/>
  <c r="F43" i="1"/>
  <c r="G15" i="1"/>
  <c r="G118" i="1"/>
  <c r="G117" i="1"/>
  <c r="G115" i="1"/>
  <c r="G112" i="1"/>
  <c r="G106" i="1"/>
  <c r="G72" i="1"/>
  <c r="G71" i="1"/>
  <c r="G64" i="1"/>
  <c r="G55" i="1"/>
  <c r="G53" i="1"/>
  <c r="G58" i="1"/>
  <c r="F18" i="1"/>
  <c r="F13" i="1"/>
  <c r="E59" i="1"/>
  <c r="D61" i="1"/>
  <c r="C29" i="1"/>
  <c r="C41" i="1"/>
  <c r="D6" i="1"/>
  <c r="E6" i="1"/>
  <c r="F6" i="1"/>
  <c r="C6" i="1"/>
  <c r="E13" i="1"/>
  <c r="D13" i="1"/>
  <c r="C13" i="1"/>
  <c r="D119" i="1"/>
  <c r="C119" i="1"/>
  <c r="E119" i="1"/>
  <c r="F119" i="1"/>
  <c r="C112" i="1"/>
  <c r="D112" i="1"/>
  <c r="E106" i="1"/>
  <c r="F106" i="1"/>
  <c r="D106" i="1"/>
  <c r="C106" i="1"/>
  <c r="C79" i="1"/>
  <c r="D79" i="1"/>
  <c r="C72" i="1"/>
  <c r="D72" i="1"/>
  <c r="F72" i="1"/>
  <c r="E72" i="1"/>
  <c r="C65" i="1"/>
  <c r="D65" i="1"/>
  <c r="C61" i="1"/>
  <c r="C55" i="1"/>
  <c r="D55" i="1"/>
  <c r="D36" i="1"/>
  <c r="E79" i="1"/>
  <c r="E112" i="1"/>
  <c r="F112" i="1"/>
  <c r="F65" i="1"/>
  <c r="E65" i="1"/>
  <c r="F61" i="1"/>
  <c r="E61" i="1"/>
  <c r="F55" i="1"/>
  <c r="E55" i="1"/>
  <c r="E36" i="1" l="1"/>
  <c r="F36" i="1"/>
  <c r="E101" i="1"/>
  <c r="F97" i="1" s="1"/>
  <c r="F101" i="1" s="1"/>
  <c r="C36" i="1"/>
  <c r="G13" i="1"/>
  <c r="C103" i="1"/>
  <c r="C44" i="1" s="1"/>
  <c r="D97" i="1"/>
  <c r="D101" i="1" s="1"/>
  <c r="D103" i="1" s="1"/>
  <c r="F93" i="1"/>
  <c r="G93" i="1" s="1"/>
  <c r="G119" i="1"/>
  <c r="G121" i="1" s="1"/>
  <c r="G67" i="1"/>
  <c r="G6" i="1"/>
  <c r="C18" i="1"/>
  <c r="E18" i="1"/>
  <c r="C43" i="1"/>
  <c r="C83" i="1"/>
  <c r="C46" i="1" s="1"/>
  <c r="F83" i="1"/>
  <c r="D67" i="1"/>
  <c r="D18" i="1"/>
  <c r="C25" i="1"/>
  <c r="D121" i="1"/>
  <c r="C121" i="1"/>
  <c r="D83" i="1"/>
  <c r="D46" i="1" s="1"/>
  <c r="E83" i="1"/>
  <c r="E67" i="1"/>
  <c r="F121" i="1"/>
  <c r="E121" i="1"/>
  <c r="C85" i="1" l="1"/>
  <c r="E46" i="1"/>
  <c r="G97" i="1"/>
  <c r="F103" i="1"/>
  <c r="F123" i="1" s="1"/>
  <c r="E103" i="1"/>
  <c r="E44" i="1" s="1"/>
  <c r="F46" i="1"/>
  <c r="C123" i="1"/>
  <c r="D44" i="1"/>
  <c r="D123" i="1"/>
  <c r="E123" i="1"/>
  <c r="G18" i="1"/>
  <c r="G41" i="1"/>
  <c r="F25" i="1"/>
  <c r="F29" i="1" s="1"/>
  <c r="E25" i="1"/>
  <c r="E29" i="1"/>
  <c r="D25" i="1"/>
  <c r="C42" i="1"/>
  <c r="F85" i="1"/>
  <c r="D85" i="1"/>
  <c r="E85" i="1"/>
  <c r="F42" i="1" l="1"/>
  <c r="E42" i="1"/>
  <c r="D42" i="1"/>
  <c r="D45" i="1"/>
  <c r="E45" i="1"/>
  <c r="F44" i="1"/>
  <c r="F45" i="1"/>
  <c r="G25" i="1"/>
  <c r="G43" i="1"/>
  <c r="D29" i="1"/>
  <c r="C45" i="1"/>
  <c r="G29" i="1" l="1"/>
  <c r="G34" i="1" s="1"/>
  <c r="G36" i="1" l="1"/>
  <c r="G98" i="1"/>
  <c r="G101" i="1" l="1"/>
  <c r="G103" i="1" l="1"/>
  <c r="G123" i="1" s="1"/>
  <c r="G79" i="1"/>
  <c r="G83" i="1" s="1"/>
  <c r="G44" i="1" l="1"/>
  <c r="G85" i="1"/>
  <c r="G46" i="1"/>
  <c r="G45" i="1" l="1"/>
  <c r="G42" i="1"/>
</calcChain>
</file>

<file path=xl/sharedStrings.xml><?xml version="1.0" encoding="utf-8"?>
<sst xmlns="http://schemas.openxmlformats.org/spreadsheetml/2006/main" count="88" uniqueCount="85">
  <si>
    <t>Årstal</t>
  </si>
  <si>
    <t>Note</t>
  </si>
  <si>
    <t>Budget 2021</t>
  </si>
  <si>
    <t>Noter</t>
  </si>
  <si>
    <t>Nettoomsætning</t>
  </si>
  <si>
    <t>1.</t>
  </si>
  <si>
    <t>Vareforbrug</t>
  </si>
  <si>
    <t>Bruttofortjenste</t>
  </si>
  <si>
    <t>Lønninger og gager</t>
  </si>
  <si>
    <t>Pensioner</t>
  </si>
  <si>
    <t>Andre omkostninger til social sikring</t>
  </si>
  <si>
    <t>Gennemsnitligt antal af medarbejdere</t>
  </si>
  <si>
    <t>Personaleomkostninger</t>
  </si>
  <si>
    <t>2.</t>
  </si>
  <si>
    <t>Af- og nedskrivninger af materielle og immaterielle anlægsaktiver</t>
  </si>
  <si>
    <t>Andre driftsomkostninger</t>
  </si>
  <si>
    <t>Driftsresultat</t>
  </si>
  <si>
    <t>Indtægt af kapitalandel i associeret virksomhed</t>
  </si>
  <si>
    <t>Øvrige finansielle omkostninger</t>
  </si>
  <si>
    <t>Finansielle udgifter tilknyttet virksomhed</t>
  </si>
  <si>
    <t>Andre finansielle indtægter</t>
  </si>
  <si>
    <t>Resultat før skat</t>
  </si>
  <si>
    <t>Skat af årets resultat</t>
  </si>
  <si>
    <t>Årets resultat</t>
  </si>
  <si>
    <t>Forslag til resultatdisponering:</t>
  </si>
  <si>
    <t>Overføres til øvrige lovpligtige reserver</t>
  </si>
  <si>
    <t>Disponeret fra overført resultat</t>
  </si>
  <si>
    <t>Disponeret i alt</t>
  </si>
  <si>
    <t>Beregning af nøgletal</t>
  </si>
  <si>
    <t>Dækningsgrad</t>
  </si>
  <si>
    <t>Afkastningsgrad</t>
  </si>
  <si>
    <t>Overskudsgrad</t>
  </si>
  <si>
    <t>Egenkapitalens forrentning</t>
  </si>
  <si>
    <t>Soliditetsgrad</t>
  </si>
  <si>
    <t>Likviditetsgrad</t>
  </si>
  <si>
    <t>Balance</t>
  </si>
  <si>
    <t>Anlægsaktiver</t>
  </si>
  <si>
    <t>Færdiggjorte udviklingsprojekter, herunder patenter og ligende rettigheder, der stammer fra udviklingsprojekter</t>
  </si>
  <si>
    <t>Udviklingsprojekter under udførelse og forudbetalinger for immaterielle anlægsaktiver</t>
  </si>
  <si>
    <t>Immaterielle anlægsaktiver i alt</t>
  </si>
  <si>
    <t>Produktionsanlæg og maskiner</t>
  </si>
  <si>
    <t>Andre anlæg, driftsmateriel og inventar</t>
  </si>
  <si>
    <t>Antal offentlige ladestandere</t>
  </si>
  <si>
    <t>Antal private ladestandere</t>
  </si>
  <si>
    <t>Materielle anlægsaktiver i alt</t>
  </si>
  <si>
    <t>Kapitalandel i associeret virksomhed</t>
  </si>
  <si>
    <t>Andre tilgodehavender</t>
  </si>
  <si>
    <t>Finanansielle anlægsaktiver i alt</t>
  </si>
  <si>
    <t>Anlægsaktiver i alt</t>
  </si>
  <si>
    <t>Omsætningsaktiver</t>
  </si>
  <si>
    <t>Fremstillede varer og handelsvarer</t>
  </si>
  <si>
    <t>Varebeholdninger i alt</t>
  </si>
  <si>
    <t>Tilgodehavender fra salg og tjenesteydelser</t>
  </si>
  <si>
    <t>Udskudte skatteaktiver</t>
  </si>
  <si>
    <t>Tilgodehavende selskabsskat</t>
  </si>
  <si>
    <t>Periodeafgrænsningsposter</t>
  </si>
  <si>
    <t>Tilgodehavender i alt</t>
  </si>
  <si>
    <t>Likvide beholdninger</t>
  </si>
  <si>
    <t>Omsætningsaktiver i alt</t>
  </si>
  <si>
    <t>Aktiver i alt</t>
  </si>
  <si>
    <t>Passiver</t>
  </si>
  <si>
    <t>Egenkapital</t>
  </si>
  <si>
    <t xml:space="preserve">Virksomhedskapital </t>
  </si>
  <si>
    <t>Kapitaltilskud til virksomhedskapital</t>
  </si>
  <si>
    <t>Virksomhedskapital i alt</t>
  </si>
  <si>
    <t>Reserve for udviklingsomkostninger</t>
  </si>
  <si>
    <t>Overført resultat primo</t>
  </si>
  <si>
    <t>Overført resultat ultimo</t>
  </si>
  <si>
    <t>Kapitalforhøjelse</t>
  </si>
  <si>
    <t>Kapitalbevægelse</t>
  </si>
  <si>
    <t>Overført resultat</t>
  </si>
  <si>
    <t>Egenkapital i alt</t>
  </si>
  <si>
    <t>Andre hensatte forpligtelser</t>
  </si>
  <si>
    <t>Hensatte forpligtelser</t>
  </si>
  <si>
    <t>Gældsforpligtelser</t>
  </si>
  <si>
    <t>Gæld til tilknyttede virksomheder</t>
  </si>
  <si>
    <t>Anden gæld</t>
  </si>
  <si>
    <t>Langfristede gældsforpligtelser i alt</t>
  </si>
  <si>
    <t>Gæld til pengeinstitutter</t>
  </si>
  <si>
    <t>Leverandører af varer og tjenesteydelser</t>
  </si>
  <si>
    <t>Selskabsskat</t>
  </si>
  <si>
    <t>Kortfristede gældforpligtelseer i alt</t>
  </si>
  <si>
    <t>Gældsforpligtelser i alt</t>
  </si>
  <si>
    <t>Passiver i alt</t>
  </si>
  <si>
    <t>Aktiver - Passiver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</si>
</sst>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000%"/>
    <numFmt numFmtId="167" formatCode="_(* #,##0.0_);_(* \(#,##0.0\);_(* &quot;-&quot;?_);_(@_)"/>
    <numFmt numFmtId="168" formatCode="_(* #,##0.000000000_);_(* \(#,##0.000000000\);_(* &quot;-&quot;??_);_(@_)"/>
    <numFmt numFmtId="169" formatCode="0.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1" fillId="0" borderId="4" xfId="0" applyFont="1" applyBorder="1"/>
    <xf numFmtId="0" fontId="2" fillId="0" borderId="4" xfId="0" applyFont="1" applyBorder="1"/>
    <xf numFmtId="0" fontId="4" fillId="0" borderId="4" xfId="0" applyFont="1" applyBorder="1"/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/>
    <xf numFmtId="165" fontId="1" fillId="3" borderId="0" xfId="1" applyNumberFormat="1" applyFont="1" applyFill="1"/>
    <xf numFmtId="165" fontId="1" fillId="0" borderId="0" xfId="1" applyNumberFormat="1" applyFont="1"/>
    <xf numFmtId="165" fontId="2" fillId="0" borderId="4" xfId="1" applyNumberFormat="1" applyFont="1" applyBorder="1"/>
    <xf numFmtId="165" fontId="2" fillId="3" borderId="4" xfId="1" applyNumberFormat="1" applyFont="1" applyFill="1" applyBorder="1"/>
    <xf numFmtId="165" fontId="1" fillId="0" borderId="0" xfId="1" applyNumberFormat="1" applyFont="1" applyBorder="1"/>
    <xf numFmtId="165" fontId="1" fillId="3" borderId="0" xfId="1" applyNumberFormat="1" applyFont="1" applyFill="1" applyBorder="1"/>
    <xf numFmtId="165" fontId="1" fillId="3" borderId="4" xfId="1" applyNumberFormat="1" applyFont="1" applyFill="1" applyBorder="1"/>
    <xf numFmtId="165" fontId="2" fillId="2" borderId="4" xfId="1" applyNumberFormat="1" applyFont="1" applyFill="1" applyBorder="1"/>
    <xf numFmtId="165" fontId="4" fillId="0" borderId="4" xfId="1" applyNumberFormat="1" applyFont="1" applyBorder="1"/>
    <xf numFmtId="165" fontId="4" fillId="3" borderId="4" xfId="1" applyNumberFormat="1" applyFont="1" applyFill="1" applyBorder="1"/>
    <xf numFmtId="165" fontId="1" fillId="0" borderId="4" xfId="1" applyNumberFormat="1" applyFont="1" applyBorder="1"/>
    <xf numFmtId="1" fontId="1" fillId="0" borderId="0" xfId="0" applyNumberFormat="1" applyFont="1"/>
    <xf numFmtId="165" fontId="1" fillId="3" borderId="0" xfId="1" applyNumberFormat="1" applyFont="1" applyFill="1" applyBorder="1" applyAlignment="1">
      <alignment horizontal="left"/>
    </xf>
    <xf numFmtId="165" fontId="1" fillId="3" borderId="0" xfId="1" applyNumberFormat="1" applyFont="1" applyFill="1" applyAlignment="1">
      <alignment horizontal="left"/>
    </xf>
    <xf numFmtId="165" fontId="1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center"/>
    </xf>
    <xf numFmtId="0" fontId="4" fillId="3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/>
    <xf numFmtId="0" fontId="7" fillId="3" borderId="1" xfId="0" applyFont="1" applyFill="1" applyBorder="1"/>
    <xf numFmtId="165" fontId="2" fillId="4" borderId="4" xfId="1" applyNumberFormat="1" applyFont="1" applyFill="1" applyBorder="1"/>
    <xf numFmtId="49" fontId="1" fillId="0" borderId="0" xfId="0" applyNumberFormat="1" applyFont="1" applyAlignment="1">
      <alignment horizontal="center"/>
    </xf>
    <xf numFmtId="9" fontId="1" fillId="0" borderId="0" xfId="3" applyFont="1"/>
    <xf numFmtId="166" fontId="1" fillId="0" borderId="0" xfId="3" applyNumberFormat="1" applyFont="1"/>
    <xf numFmtId="166" fontId="1" fillId="3" borderId="0" xfId="3" applyNumberFormat="1" applyFont="1" applyFill="1"/>
    <xf numFmtId="9" fontId="1" fillId="3" borderId="0" xfId="3" applyFont="1" applyFill="1"/>
    <xf numFmtId="164" fontId="1" fillId="0" borderId="0" xfId="0" applyNumberFormat="1" applyFont="1"/>
    <xf numFmtId="165" fontId="1" fillId="0" borderId="0" xfId="0" applyNumberFormat="1" applyFont="1"/>
    <xf numFmtId="165" fontId="2" fillId="4" borderId="0" xfId="1" applyNumberFormat="1" applyFont="1" applyFill="1"/>
    <xf numFmtId="165" fontId="1" fillId="0" borderId="0" xfId="1" applyNumberFormat="1" applyFont="1" applyFill="1"/>
    <xf numFmtId="167" fontId="1" fillId="0" borderId="0" xfId="0" applyNumberFormat="1" applyFont="1"/>
    <xf numFmtId="165" fontId="2" fillId="0" borderId="4" xfId="1" applyNumberFormat="1" applyFont="1" applyFill="1" applyBorder="1"/>
    <xf numFmtId="165" fontId="1" fillId="2" borderId="4" xfId="1" applyNumberFormat="1" applyFont="1" applyFill="1" applyBorder="1"/>
    <xf numFmtId="165" fontId="4" fillId="2" borderId="4" xfId="1" applyNumberFormat="1" applyFont="1" applyFill="1" applyBorder="1"/>
    <xf numFmtId="0" fontId="8" fillId="0" borderId="0" xfId="2"/>
    <xf numFmtId="165" fontId="1" fillId="0" borderId="5" xfId="0" applyNumberFormat="1" applyFont="1" applyBorder="1"/>
    <xf numFmtId="1" fontId="1" fillId="3" borderId="0" xfId="0" applyNumberFormat="1" applyFont="1" applyFill="1"/>
    <xf numFmtId="165" fontId="1" fillId="0" borderId="4" xfId="0" applyNumberFormat="1" applyFont="1" applyBorder="1"/>
    <xf numFmtId="165" fontId="1" fillId="3" borderId="0" xfId="0" applyNumberFormat="1" applyFont="1" applyFill="1"/>
    <xf numFmtId="165" fontId="1" fillId="0" borderId="4" xfId="1" applyNumberFormat="1" applyFont="1" applyFill="1" applyBorder="1"/>
    <xf numFmtId="165" fontId="1" fillId="0" borderId="0" xfId="1" applyNumberFormat="1" applyFont="1" applyFill="1" applyAlignment="1">
      <alignment horizontal="right"/>
    </xf>
    <xf numFmtId="165" fontId="1" fillId="3" borderId="4" xfId="0" applyNumberFormat="1" applyFont="1" applyFill="1" applyBorder="1"/>
    <xf numFmtId="165" fontId="1" fillId="0" borderId="0" xfId="1" applyNumberFormat="1" applyFont="1" applyFill="1" applyBorder="1"/>
    <xf numFmtId="165" fontId="4" fillId="0" borderId="4" xfId="1" applyNumberFormat="1" applyFont="1" applyFill="1" applyBorder="1"/>
    <xf numFmtId="166" fontId="1" fillId="0" borderId="0" xfId="3" applyNumberFormat="1" applyFont="1" applyFill="1"/>
    <xf numFmtId="9" fontId="1" fillId="0" borderId="0" xfId="3" applyFont="1" applyFill="1"/>
    <xf numFmtId="168" fontId="1" fillId="0" borderId="0" xfId="0" applyNumberFormat="1" applyFont="1"/>
    <xf numFmtId="169" fontId="1" fillId="0" borderId="0" xfId="0" applyNumberFormat="1" applyFont="1"/>
  </cellXfs>
  <cellStyles count="4">
    <cellStyle name="Komma" xfId="1" builtinId="3"/>
    <cellStyle name="Link" xfId="2" builtinId="8"/>
    <cellStyle name="Normal" xfId="0" builtinId="0"/>
    <cellStyle name="Pro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1057275</xdr:colOff>
      <xdr:row>3</xdr:row>
      <xdr:rowOff>146050</xdr:rowOff>
    </xdr:from>
    <xdr:to>
      <xdr:col>11</xdr:col>
      <xdr:colOff>200025</xdr:colOff>
      <xdr:row>25</xdr:row>
      <xdr:rowOff>120650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22E3FD-B441-4A60-81ED-EB97BC2E8ED7}"/>
            </a:ext>
          </a:extLst>
        </xdr:cNvPr>
        <xdr:cNvSpPr txBox="1"/>
      </xdr:nvSpPr>
      <xdr:spPr>
        <a:xfrm>
          <a:off x="12233275" y="730250"/>
          <a:ext cx="4718050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da-DK" sz="1400" b="1"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br>
            <a:rPr lang="da-DK" sz="110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da-DK" sz="1100" b="1">
              <a:latin typeface="Times New Roman" panose="02020603050405020304" pitchFamily="18" charset="0"/>
              <a:cs typeface="Times New Roman" panose="02020603050405020304" pitchFamily="18" charset="0"/>
            </a:rPr>
            <a:t>Omsætningen</a:t>
          </a:r>
          <a:r>
            <a:rPr lang="da-DK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er udledt fra følgende kilder:</a:t>
          </a:r>
          <a:br>
            <a:rPr lang="da-DK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br>
            <a:rPr lang="da-DK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da-DK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2017 - https://energiwatch.dk/Energinyt/Cleantech/article12379305.ece</a:t>
          </a:r>
        </a:p>
        <a:p>
          <a:pPr lvl="0"/>
          <a:r>
            <a:rPr lang="da-DK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2018 -https://regnskaber.cvrapi.dk/11251586/ZG9rdW1lbnRsYWdlcjovLzAzLzdlL2VlL2M1L2JiLzM3NjMtNGQxOC1iMzQ3LTlhZDI5OGVkOGZlOA.pdf</a:t>
          </a:r>
          <a:endParaRPr lang="da-DK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0"/>
          <a:r>
            <a:rPr lang="da-DK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2019 / 2020 - https://via.ritzau.dk/pressemeddelelse/clever-fordobler-atter-omsaetningen-og-er-godt-i-gang-med-at-realisere-udrulningen-af-danmarks-storste-investeringsplan-i-e-mobilitet?publisherId=12636953&amp;releaseId=13620725</a:t>
          </a:r>
        </a:p>
        <a:p>
          <a:pPr lvl="0"/>
          <a:endParaRPr lang="da-DK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0"/>
          <a:r>
            <a:rPr lang="da-DK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2.</a:t>
          </a:r>
        </a:p>
        <a:p>
          <a:pPr lvl="0"/>
          <a:r>
            <a:rPr lang="da-DK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Personaleomkostninger er udledt fra følgende kilder:</a:t>
          </a:r>
        </a:p>
        <a:p>
          <a:pPr lvl="0"/>
          <a:endParaRPr lang="da-DK" sz="11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0"/>
          <a:r>
            <a:rPr lang="da-DK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2017 / 2018 - Udledt af note 1 fra 2018 årsrapport</a:t>
          </a:r>
        </a:p>
        <a:p>
          <a:pPr lvl="0"/>
          <a:r>
            <a:rPr lang="da-DK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2019 / 2020 - Udledt af note 1 fra 2020 årsrapport</a:t>
          </a:r>
          <a:br>
            <a:rPr lang="da-DK" sz="11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LID4096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387A-A726-40E0-92EC-EA3AB8891A3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pane ySplit="1" topLeftCell="A32" activePane="bottomLeft" state="frozen"/>
      <selection pane="bottomLeft" activeCell="F306" sqref="F306"/>
    </sheetView>
  </sheetViews>
  <sheetFormatPr baseColWidth="10" defaultColWidth="8.83203125" defaultRowHeight="14" x14ac:dyDescent="0.15"/>
  <cols>
    <col min="1" max="1" width="54.1640625" style="1" bestFit="1" customWidth="1"/>
    <col min="2" max="2" width="6.33203125" style="1" customWidth="1"/>
    <col min="3" max="3" width="16.6640625" style="1" customWidth="1"/>
    <col min="4" max="4" width="16.83203125" style="16" customWidth="1"/>
    <col min="5" max="5" width="17.5" style="1" customWidth="1"/>
    <col min="6" max="6" width="17" style="16" customWidth="1"/>
    <col min="7" max="7" width="18.1640625" style="1" customWidth="1"/>
    <col min="8" max="8" width="14.33203125" style="1" bestFit="1" customWidth="1"/>
    <col min="9" max="9" width="32.33203125" style="1" bestFit="1" customWidth="1"/>
    <col min="10" max="10" width="17.6640625" style="1" customWidth="1"/>
    <col min="11" max="16384" width="8.83203125" style="1"/>
  </cols>
  <sheetData>
    <row r="1" spans="1:22" ht="18" x14ac:dyDescent="0.2">
      <c r="A1" s="35" t="s">
        <v>0</v>
      </c>
      <c r="B1" s="15" t="s">
        <v>1</v>
      </c>
      <c r="C1" s="33">
        <v>2017</v>
      </c>
      <c r="D1" s="34">
        <v>2018</v>
      </c>
      <c r="E1" s="33">
        <v>2019</v>
      </c>
      <c r="F1" s="34">
        <v>2020</v>
      </c>
      <c r="G1" s="35" t="s">
        <v>2</v>
      </c>
      <c r="I1" s="9" t="s">
        <v>3</v>
      </c>
      <c r="N1" s="9"/>
    </row>
    <row r="2" spans="1:22" x14ac:dyDescent="0.15">
      <c r="C2" s="19"/>
      <c r="D2" s="18"/>
      <c r="E2" s="19"/>
      <c r="F2" s="18"/>
      <c r="G2" s="19"/>
    </row>
    <row r="3" spans="1:22" x14ac:dyDescent="0.15">
      <c r="A3" s="1" t="s">
        <v>4</v>
      </c>
      <c r="B3" s="39" t="s">
        <v>5</v>
      </c>
      <c r="C3" s="19">
        <v>15000000</v>
      </c>
      <c r="D3" s="18">
        <v>31900000</v>
      </c>
      <c r="E3" s="19">
        <v>66400000</v>
      </c>
      <c r="F3" s="18">
        <v>155100000</v>
      </c>
      <c r="G3" s="19">
        <f>F3*2</f>
        <v>310200000</v>
      </c>
      <c r="H3" s="44"/>
      <c r="I3" s="44"/>
    </row>
    <row r="4" spans="1:22" x14ac:dyDescent="0.15">
      <c r="A4" s="1" t="s">
        <v>6</v>
      </c>
      <c r="C4" s="3">
        <v>14999327</v>
      </c>
      <c r="D4" s="17">
        <v>34049271</v>
      </c>
      <c r="E4" s="3">
        <v>56632253</v>
      </c>
      <c r="F4" s="17">
        <v>124182965</v>
      </c>
      <c r="G4" s="47">
        <f>G3/1.4</f>
        <v>221571428.5714286</v>
      </c>
      <c r="H4" s="48"/>
    </row>
    <row r="5" spans="1:22" x14ac:dyDescent="0.15">
      <c r="C5" s="19"/>
      <c r="D5" s="18"/>
      <c r="E5" s="47"/>
      <c r="F5" s="18"/>
      <c r="G5" s="47"/>
      <c r="H5" s="15"/>
    </row>
    <row r="6" spans="1:22" ht="15" thickBot="1" x14ac:dyDescent="0.2">
      <c r="A6" s="12" t="s">
        <v>7</v>
      </c>
      <c r="C6" s="20">
        <f>C3-C4</f>
        <v>673</v>
      </c>
      <c r="D6" s="21">
        <f>D3-D4</f>
        <v>-2149271</v>
      </c>
      <c r="E6" s="49">
        <f>E3-E4</f>
        <v>9767747</v>
      </c>
      <c r="F6" s="21">
        <f>F3-F4</f>
        <v>30917035</v>
      </c>
      <c r="G6" s="49">
        <f>G3-G4</f>
        <v>88628571.428571403</v>
      </c>
    </row>
    <row r="7" spans="1:22" ht="15" thickTop="1" x14ac:dyDescent="0.15">
      <c r="C7" s="19"/>
      <c r="D7" s="18"/>
      <c r="E7" s="47"/>
      <c r="F7" s="18"/>
    </row>
    <row r="9" spans="1:22" x14ac:dyDescent="0.15">
      <c r="A9" s="1" t="s">
        <v>8</v>
      </c>
      <c r="C9" s="19">
        <v>-15337813</v>
      </c>
      <c r="D9" s="18">
        <v>-17592730</v>
      </c>
      <c r="E9" s="47">
        <v>-20045277</v>
      </c>
      <c r="F9" s="18">
        <v>-27378572</v>
      </c>
      <c r="G9" s="44">
        <f>(F9/F12)*G12</f>
        <v>-78224491.428571433</v>
      </c>
      <c r="I9" s="45"/>
    </row>
    <row r="10" spans="1:22" x14ac:dyDescent="0.15">
      <c r="A10" s="1" t="s">
        <v>9</v>
      </c>
      <c r="C10" s="19">
        <v>-1234382</v>
      </c>
      <c r="D10" s="18">
        <v>-1299521</v>
      </c>
      <c r="E10" s="47">
        <v>-1396021</v>
      </c>
      <c r="F10" s="18">
        <v>-1946471</v>
      </c>
      <c r="G10" s="45">
        <f>(F10/F12)*G12</f>
        <v>-5561345.7142857136</v>
      </c>
    </row>
    <row r="11" spans="1:22" x14ac:dyDescent="0.15">
      <c r="A11" s="1" t="s">
        <v>10</v>
      </c>
      <c r="C11" s="19">
        <v>-198453</v>
      </c>
      <c r="D11" s="18">
        <v>-221786</v>
      </c>
      <c r="E11" s="47">
        <v>-351538</v>
      </c>
      <c r="F11" s="18">
        <v>-430588</v>
      </c>
      <c r="G11" s="45">
        <f>(F11/F12)*G12</f>
        <v>-1230251.4285714286</v>
      </c>
    </row>
    <row r="12" spans="1:22" s="4" customFormat="1" x14ac:dyDescent="0.15">
      <c r="A12" s="36" t="s">
        <v>11</v>
      </c>
      <c r="B12" s="1"/>
      <c r="C12" s="36">
        <v>31</v>
      </c>
      <c r="D12" s="37">
        <v>37</v>
      </c>
      <c r="E12" s="36">
        <v>46</v>
      </c>
      <c r="F12" s="37">
        <v>63</v>
      </c>
      <c r="G12" s="1">
        <v>180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thickBot="1" x14ac:dyDescent="0.2">
      <c r="A13" s="11" t="s">
        <v>12</v>
      </c>
      <c r="B13" s="15" t="s">
        <v>13</v>
      </c>
      <c r="C13" s="28">
        <f>SUM(C9:C11)</f>
        <v>-16770648</v>
      </c>
      <c r="D13" s="24">
        <f t="shared" ref="D13" si="0">SUM(D9:D11)</f>
        <v>-19114037</v>
      </c>
      <c r="E13" s="57">
        <f>SUM(E9:E11)</f>
        <v>-21792836</v>
      </c>
      <c r="F13" s="24">
        <f>SUM(F9:F11)</f>
        <v>-29755631</v>
      </c>
      <c r="G13" s="57">
        <f>SUM(G9:G11)</f>
        <v>-85016088.571428582</v>
      </c>
    </row>
    <row r="14" spans="1:22" ht="15" thickTop="1" x14ac:dyDescent="0.15"/>
    <row r="15" spans="1:22" x14ac:dyDescent="0.15">
      <c r="A15" s="1" t="s">
        <v>14</v>
      </c>
      <c r="C15" s="19">
        <v>-4448833</v>
      </c>
      <c r="D15" s="18">
        <v>-7735692</v>
      </c>
      <c r="E15" s="47">
        <v>-15519070</v>
      </c>
      <c r="F15" s="18">
        <v>-21781488</v>
      </c>
      <c r="G15" s="47">
        <f>-30000000</f>
        <v>-30000000</v>
      </c>
    </row>
    <row r="16" spans="1:22" s="5" customFormat="1" ht="15" thickBot="1" x14ac:dyDescent="0.2">
      <c r="A16" s="1" t="s">
        <v>15</v>
      </c>
      <c r="B16" s="1"/>
      <c r="C16" s="32">
        <v>0</v>
      </c>
      <c r="D16" s="31">
        <v>0</v>
      </c>
      <c r="E16" s="60">
        <v>-105403</v>
      </c>
      <c r="F16" s="30">
        <v>0</v>
      </c>
      <c r="G16" s="30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15">
      <c r="C17" s="19"/>
      <c r="D17" s="18"/>
      <c r="E17" s="47"/>
      <c r="F17" s="18"/>
    </row>
    <row r="18" spans="1:22" ht="15" thickBot="1" x14ac:dyDescent="0.2">
      <c r="A18" s="12" t="s">
        <v>16</v>
      </c>
      <c r="C18" s="38">
        <f>SUM(C6+C13+C15+C16)</f>
        <v>-21218808</v>
      </c>
      <c r="D18" s="21">
        <f>SUM(D6+D13+D15+D16)</f>
        <v>-28999000</v>
      </c>
      <c r="E18" s="49">
        <f>SUM(E6+E13+E15+E16)</f>
        <v>-27649562</v>
      </c>
      <c r="F18" s="21">
        <f>SUM(F6+F13+F15+F16)</f>
        <v>-20620084</v>
      </c>
      <c r="G18" s="49">
        <f>SUM(G6+G13+G15+G16)</f>
        <v>-26387517.142857179</v>
      </c>
    </row>
    <row r="19" spans="1:22" s="4" customFormat="1" ht="15" thickTop="1" x14ac:dyDescent="0.15">
      <c r="A19" s="1"/>
      <c r="B19" s="1"/>
      <c r="C19" s="19"/>
      <c r="D19" s="18"/>
      <c r="E19" s="47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s="5" customFormat="1" ht="15" thickBot="1" x14ac:dyDescent="0.2">
      <c r="A20" s="1" t="s">
        <v>17</v>
      </c>
      <c r="B20" s="1"/>
      <c r="C20" s="19"/>
      <c r="D20" s="18"/>
      <c r="E20" s="47">
        <v>-4249760</v>
      </c>
      <c r="F20" s="18">
        <v>-3228581</v>
      </c>
      <c r="G20" s="47">
        <v>-1800000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15">
      <c r="A21" s="1" t="s">
        <v>18</v>
      </c>
      <c r="C21" s="19">
        <v>-49818</v>
      </c>
      <c r="D21" s="18">
        <v>-24444</v>
      </c>
      <c r="E21" s="60">
        <v>-577230</v>
      </c>
      <c r="F21" s="23">
        <v>-1301348</v>
      </c>
      <c r="G21" s="60">
        <v>-2000000</v>
      </c>
    </row>
    <row r="22" spans="1:22" x14ac:dyDescent="0.15">
      <c r="A22" s="1" t="s">
        <v>19</v>
      </c>
      <c r="C22" s="22">
        <v>0</v>
      </c>
      <c r="D22" s="18">
        <v>-137915</v>
      </c>
      <c r="E22" s="60">
        <v>0</v>
      </c>
      <c r="F22" s="23">
        <v>0</v>
      </c>
    </row>
    <row r="23" spans="1:22" x14ac:dyDescent="0.15">
      <c r="A23" s="1" t="s">
        <v>20</v>
      </c>
      <c r="C23" s="19">
        <v>24513</v>
      </c>
      <c r="D23" s="18">
        <v>0</v>
      </c>
      <c r="E23" s="47">
        <v>0</v>
      </c>
      <c r="F23" s="18">
        <v>0</v>
      </c>
    </row>
    <row r="24" spans="1:22" s="4" customFormat="1" x14ac:dyDescent="0.15">
      <c r="A24" s="1"/>
      <c r="B24" s="1"/>
      <c r="C24" s="19"/>
      <c r="D24" s="18"/>
      <c r="E24" s="47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s="6" customFormat="1" ht="15" thickBot="1" x14ac:dyDescent="0.2">
      <c r="A25" s="14" t="s">
        <v>21</v>
      </c>
      <c r="B25" s="1"/>
      <c r="C25" s="25">
        <f>SUM(C18:C24)</f>
        <v>-21244113</v>
      </c>
      <c r="D25" s="21">
        <f t="shared" ref="D25:G25" si="1">SUM(D18:D24)</f>
        <v>-29161359</v>
      </c>
      <c r="E25" s="49">
        <f t="shared" si="1"/>
        <v>-32476552</v>
      </c>
      <c r="F25" s="21">
        <f t="shared" si="1"/>
        <v>-25150013</v>
      </c>
      <c r="G25" s="49">
        <f t="shared" si="1"/>
        <v>-30187517.142857179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thickTop="1" x14ac:dyDescent="0.15">
      <c r="C26" s="19"/>
      <c r="D26" s="18"/>
      <c r="E26" s="47"/>
      <c r="F26" s="18"/>
    </row>
    <row r="27" spans="1:22" x14ac:dyDescent="0.15">
      <c r="A27" s="1" t="s">
        <v>22</v>
      </c>
      <c r="C27" s="22">
        <v>2064870</v>
      </c>
      <c r="D27" s="23">
        <v>9585967</v>
      </c>
      <c r="E27" s="60">
        <v>13069911</v>
      </c>
      <c r="F27" s="23">
        <v>12399674</v>
      </c>
      <c r="G27" s="3">
        <v>13154720</v>
      </c>
    </row>
    <row r="28" spans="1:22" x14ac:dyDescent="0.15">
      <c r="C28" s="22"/>
      <c r="D28" s="23"/>
      <c r="E28" s="60"/>
      <c r="F28" s="23"/>
    </row>
    <row r="29" spans="1:22" ht="19" thickBot="1" x14ac:dyDescent="0.25">
      <c r="A29" s="13" t="s">
        <v>23</v>
      </c>
      <c r="C29" s="26">
        <f>SUM(C25:C27)</f>
        <v>-19179243</v>
      </c>
      <c r="D29" s="27">
        <f t="shared" ref="D29" si="2">SUM(D25:D27)</f>
        <v>-19575392</v>
      </c>
      <c r="E29" s="61">
        <f>SUM(E25:E27)</f>
        <v>-19406641</v>
      </c>
      <c r="F29" s="27">
        <f>SUM(F25:F27)</f>
        <v>-12750339</v>
      </c>
      <c r="G29" s="61">
        <f>SUM(G25:G27)</f>
        <v>-17032797.142857179</v>
      </c>
    </row>
    <row r="30" spans="1:22" ht="15" thickTop="1" x14ac:dyDescent="0.15">
      <c r="C30" s="19"/>
      <c r="D30" s="18"/>
      <c r="E30" s="47"/>
      <c r="F30" s="18"/>
    </row>
    <row r="31" spans="1:22" x14ac:dyDescent="0.15">
      <c r="A31" s="2" t="s">
        <v>24</v>
      </c>
    </row>
    <row r="33" spans="1:7" x14ac:dyDescent="0.15">
      <c r="A33" s="1" t="s">
        <v>25</v>
      </c>
      <c r="C33" s="19">
        <v>4252553</v>
      </c>
      <c r="D33" s="18">
        <v>7360247</v>
      </c>
      <c r="E33" s="47">
        <v>9791841</v>
      </c>
      <c r="F33" s="18">
        <v>10943236</v>
      </c>
      <c r="G33" s="47">
        <v>12000000</v>
      </c>
    </row>
    <row r="34" spans="1:7" x14ac:dyDescent="0.15">
      <c r="A34" s="1" t="s">
        <v>26</v>
      </c>
      <c r="C34" s="19">
        <f>C29-C33</f>
        <v>-23431796</v>
      </c>
      <c r="D34" s="18">
        <v>-25835639</v>
      </c>
      <c r="E34" s="60">
        <f>E29-E33</f>
        <v>-29198482</v>
      </c>
      <c r="F34" s="23">
        <f>F29-F33</f>
        <v>-23693575</v>
      </c>
      <c r="G34" s="60">
        <f>G29-G33</f>
        <v>-29032797.142857179</v>
      </c>
    </row>
    <row r="35" spans="1:7" x14ac:dyDescent="0.15">
      <c r="C35" s="19"/>
      <c r="D35" s="18"/>
      <c r="E35" s="60"/>
      <c r="F35" s="23"/>
    </row>
    <row r="36" spans="1:7" ht="15" thickBot="1" x14ac:dyDescent="0.2">
      <c r="A36" s="12" t="s">
        <v>27</v>
      </c>
      <c r="C36" s="20">
        <f t="shared" ref="C36:D36" si="3">C33+C34</f>
        <v>-19179243</v>
      </c>
      <c r="D36" s="21">
        <f t="shared" si="3"/>
        <v>-18475392</v>
      </c>
      <c r="E36" s="49">
        <f>E33+E34</f>
        <v>-19406641</v>
      </c>
      <c r="F36" s="21">
        <f>F33+F34</f>
        <v>-12750339</v>
      </c>
      <c r="G36" s="49">
        <f>G33+G34</f>
        <v>-17032797.142857179</v>
      </c>
    </row>
    <row r="37" spans="1:7" ht="15" thickTop="1" x14ac:dyDescent="0.15"/>
    <row r="39" spans="1:7" x14ac:dyDescent="0.15">
      <c r="A39" s="2" t="s">
        <v>28</v>
      </c>
    </row>
    <row r="41" spans="1:7" x14ac:dyDescent="0.15">
      <c r="A41" s="1" t="s">
        <v>29</v>
      </c>
      <c r="C41" s="41">
        <f>C6/C3</f>
        <v>4.4866666666666669E-5</v>
      </c>
      <c r="D41" s="42">
        <f>D6/D3</f>
        <v>-6.7375266457680244E-2</v>
      </c>
      <c r="E41" s="62">
        <f>E6/E3</f>
        <v>0.14710462349397591</v>
      </c>
      <c r="F41" s="42">
        <f>F6/F3</f>
        <v>0.19933613797549968</v>
      </c>
      <c r="G41" s="62">
        <f>G6/G3</f>
        <v>0.28571428571428564</v>
      </c>
    </row>
    <row r="42" spans="1:7" x14ac:dyDescent="0.15">
      <c r="A42" s="1" t="s">
        <v>30</v>
      </c>
      <c r="C42" s="40">
        <f>C18/C85</f>
        <v>-0.5447556403925059</v>
      </c>
      <c r="D42" s="43">
        <f>D18/D85</f>
        <v>-0.18623964955117073</v>
      </c>
      <c r="E42" s="63">
        <f>E18/E85</f>
        <v>-0.10219808838866434</v>
      </c>
      <c r="F42" s="43">
        <f>F18/F85</f>
        <v>-4.017496613563222E-2</v>
      </c>
      <c r="G42" s="63">
        <f>G18/G85</f>
        <v>-2.9046722545428772E-2</v>
      </c>
    </row>
    <row r="43" spans="1:7" x14ac:dyDescent="0.15">
      <c r="A43" s="1" t="s">
        <v>31</v>
      </c>
      <c r="C43" s="40">
        <f>C18/C3</f>
        <v>-1.4145871999999999</v>
      </c>
      <c r="D43" s="43">
        <f>D18/D3</f>
        <v>-0.90905956112852659</v>
      </c>
      <c r="E43" s="63">
        <f>E18/E3</f>
        <v>-0.41640906626506025</v>
      </c>
      <c r="F43" s="43">
        <f>F18/F3</f>
        <v>-0.13294702772404901</v>
      </c>
      <c r="G43" s="63">
        <f>G18/G3</f>
        <v>-8.5066141659758801E-2</v>
      </c>
    </row>
    <row r="44" spans="1:7" x14ac:dyDescent="0.15">
      <c r="A44" s="1" t="s">
        <v>32</v>
      </c>
      <c r="C44" s="40">
        <f>C25/C103</f>
        <v>-1.1748606270649751</v>
      </c>
      <c r="D44" s="43">
        <f>D25/D103</f>
        <v>-0.24901497435047543</v>
      </c>
      <c r="E44" s="63">
        <f>E25/E103</f>
        <v>-0.16748583049915469</v>
      </c>
      <c r="F44" s="43">
        <f>F25/F103</f>
        <v>-5.8348567405601355E-2</v>
      </c>
      <c r="G44" s="63">
        <f>G25/G103</f>
        <v>-4.0574744329025372E-2</v>
      </c>
    </row>
    <row r="45" spans="1:7" x14ac:dyDescent="0.15">
      <c r="A45" s="1" t="s">
        <v>33</v>
      </c>
      <c r="C45" s="40">
        <f>C103/C85</f>
        <v>0.46422978970763235</v>
      </c>
      <c r="D45" s="43">
        <f>D103/D85</f>
        <v>0.75209277967522559</v>
      </c>
      <c r="E45" s="63">
        <f>E103/E85</f>
        <v>0.71671477876517031</v>
      </c>
      <c r="F45" s="43">
        <f>F103/F85</f>
        <v>0.83979465376446327</v>
      </c>
      <c r="G45" s="63">
        <f>G103/G85</f>
        <v>0.81897418157932633</v>
      </c>
    </row>
    <row r="46" spans="1:7" x14ac:dyDescent="0.15">
      <c r="A46" s="1" t="s">
        <v>34</v>
      </c>
      <c r="C46" s="40">
        <f>C83/C119</f>
        <v>0.9141808146513184</v>
      </c>
      <c r="D46" s="43">
        <f>D83/D119</f>
        <v>2.6561312528027416</v>
      </c>
      <c r="E46" s="63">
        <f>E83/E119</f>
        <v>4.6029157459180841</v>
      </c>
      <c r="F46" s="43">
        <f>F83/F119</f>
        <v>3.5556558205837261</v>
      </c>
      <c r="G46" s="63">
        <f>G83/G119</f>
        <v>3.3334523115723211</v>
      </c>
    </row>
    <row r="47" spans="1:7" x14ac:dyDescent="0.15">
      <c r="C47" s="19"/>
      <c r="D47" s="18"/>
      <c r="E47" s="47"/>
      <c r="F47" s="18"/>
    </row>
    <row r="48" spans="1:7" x14ac:dyDescent="0.15">
      <c r="C48" s="19"/>
      <c r="D48" s="18"/>
      <c r="E48" s="47"/>
      <c r="F48" s="18"/>
    </row>
    <row r="49" spans="1:9" ht="20" x14ac:dyDescent="0.2">
      <c r="A49" s="10" t="s">
        <v>35</v>
      </c>
      <c r="C49" s="19"/>
      <c r="D49" s="18"/>
      <c r="E49" s="47"/>
      <c r="F49" s="18"/>
    </row>
    <row r="50" spans="1:9" x14ac:dyDescent="0.15">
      <c r="C50" s="19"/>
      <c r="D50" s="18"/>
      <c r="E50" s="47"/>
      <c r="F50" s="18"/>
    </row>
    <row r="51" spans="1:9" ht="18" x14ac:dyDescent="0.2">
      <c r="A51" s="9" t="s">
        <v>36</v>
      </c>
      <c r="C51" s="19"/>
      <c r="D51" s="18"/>
      <c r="E51" s="47"/>
      <c r="F51" s="18"/>
    </row>
    <row r="52" spans="1:9" x14ac:dyDescent="0.15">
      <c r="C52" s="19"/>
      <c r="D52" s="18"/>
      <c r="E52" s="47"/>
      <c r="F52" s="18"/>
    </row>
    <row r="53" spans="1:9" ht="30" x14ac:dyDescent="0.15">
      <c r="A53" s="7" t="s">
        <v>37</v>
      </c>
      <c r="C53" s="19">
        <v>9684824</v>
      </c>
      <c r="D53" s="18">
        <v>12123665</v>
      </c>
      <c r="E53" s="47">
        <v>29334066</v>
      </c>
      <c r="F53" s="18">
        <v>42745689</v>
      </c>
      <c r="G53" s="45">
        <f>(F53-E53)+F53</f>
        <v>56157312</v>
      </c>
    </row>
    <row r="54" spans="1:9" ht="30" x14ac:dyDescent="0.15">
      <c r="A54" s="8" t="s">
        <v>38</v>
      </c>
      <c r="C54" s="19">
        <v>1759238</v>
      </c>
      <c r="D54" s="18">
        <v>7694724</v>
      </c>
      <c r="E54" s="47">
        <v>3037967</v>
      </c>
      <c r="F54" s="18">
        <v>4139278</v>
      </c>
      <c r="G54" s="47">
        <v>4139278</v>
      </c>
    </row>
    <row r="55" spans="1:9" ht="15" thickBot="1" x14ac:dyDescent="0.2">
      <c r="A55" s="11" t="s">
        <v>39</v>
      </c>
      <c r="C55" s="28">
        <f t="shared" ref="C55:D55" si="4">C53+C54</f>
        <v>11444062</v>
      </c>
      <c r="D55" s="24">
        <f t="shared" si="4"/>
        <v>19818389</v>
      </c>
      <c r="E55" s="57">
        <f>E53+E54</f>
        <v>32372033</v>
      </c>
      <c r="F55" s="24">
        <f>F53+F54</f>
        <v>46884967</v>
      </c>
      <c r="G55" s="57">
        <f>G53+G54</f>
        <v>60296590</v>
      </c>
      <c r="H55" s="3"/>
      <c r="I55" s="45"/>
    </row>
    <row r="56" spans="1:9" ht="15" thickTop="1" x14ac:dyDescent="0.15">
      <c r="C56" s="19"/>
      <c r="D56" s="18"/>
      <c r="E56" s="60"/>
      <c r="F56" s="18"/>
      <c r="H56" s="44"/>
    </row>
    <row r="57" spans="1:9" x14ac:dyDescent="0.15">
      <c r="A57" s="1" t="s">
        <v>40</v>
      </c>
      <c r="C57" s="19">
        <v>5851238</v>
      </c>
      <c r="D57" s="17">
        <v>14365587</v>
      </c>
      <c r="E57" s="47">
        <v>28068752</v>
      </c>
      <c r="F57" s="18">
        <v>94190337</v>
      </c>
      <c r="G57" s="45">
        <f>(F57/(F58+F59))*(G58+G59)</f>
        <v>188380674</v>
      </c>
      <c r="H57" s="44"/>
    </row>
    <row r="58" spans="1:9" x14ac:dyDescent="0.15">
      <c r="A58" s="1" t="s">
        <v>41</v>
      </c>
      <c r="C58" s="19">
        <v>1450403</v>
      </c>
      <c r="D58" s="17">
        <v>1486093</v>
      </c>
      <c r="E58" s="47">
        <v>2616622</v>
      </c>
      <c r="F58" s="18">
        <v>4503960</v>
      </c>
      <c r="G58" s="45">
        <f>(F58/(F59+F60))*(G59+G60)</f>
        <v>9007920</v>
      </c>
    </row>
    <row r="59" spans="1:9" x14ac:dyDescent="0.15">
      <c r="A59" s="1" t="s">
        <v>42</v>
      </c>
      <c r="C59" s="1">
        <v>500</v>
      </c>
      <c r="D59" s="16">
        <v>775</v>
      </c>
      <c r="E59" s="1">
        <f>1100</f>
        <v>1100</v>
      </c>
      <c r="F59" s="16">
        <v>1500</v>
      </c>
      <c r="G59" s="1">
        <v>3000</v>
      </c>
    </row>
    <row r="60" spans="1:9" x14ac:dyDescent="0.15">
      <c r="A60" s="1" t="s">
        <v>43</v>
      </c>
      <c r="E60" s="1">
        <v>5900</v>
      </c>
      <c r="F60" s="16">
        <v>20500</v>
      </c>
      <c r="G60" s="1">
        <f>41000</f>
        <v>41000</v>
      </c>
    </row>
    <row r="61" spans="1:9" ht="15" thickBot="1" x14ac:dyDescent="0.2">
      <c r="A61" s="11" t="s">
        <v>44</v>
      </c>
      <c r="C61" s="28">
        <f>C57+C58</f>
        <v>7301641</v>
      </c>
      <c r="D61" s="24">
        <f>D57+D58</f>
        <v>15851680</v>
      </c>
      <c r="E61" s="57">
        <f>E57+E58</f>
        <v>30685374</v>
      </c>
      <c r="F61" s="24">
        <f>F57+F58</f>
        <v>98694297</v>
      </c>
      <c r="G61" s="57">
        <f>G57+G58</f>
        <v>197388594</v>
      </c>
      <c r="H61" s="3"/>
      <c r="I61" s="45"/>
    </row>
    <row r="62" spans="1:9" ht="15" thickTop="1" x14ac:dyDescent="0.15">
      <c r="C62" s="19"/>
      <c r="D62" s="18"/>
      <c r="E62" s="47"/>
      <c r="F62" s="18"/>
    </row>
    <row r="63" spans="1:9" x14ac:dyDescent="0.15">
      <c r="A63" s="1" t="s">
        <v>45</v>
      </c>
      <c r="C63" s="19">
        <v>0</v>
      </c>
      <c r="D63" s="17">
        <v>54983978</v>
      </c>
      <c r="E63" s="47">
        <v>50395246</v>
      </c>
      <c r="F63" s="18">
        <v>72739361</v>
      </c>
      <c r="G63" s="47">
        <v>100000000</v>
      </c>
      <c r="I63" s="45"/>
    </row>
    <row r="64" spans="1:9" x14ac:dyDescent="0.15">
      <c r="A64" s="1" t="s">
        <v>46</v>
      </c>
      <c r="C64" s="3">
        <v>1452070</v>
      </c>
      <c r="D64" s="17">
        <v>1452070</v>
      </c>
      <c r="E64" s="47">
        <v>9099746</v>
      </c>
      <c r="F64" s="18">
        <v>2569202</v>
      </c>
      <c r="G64" s="45">
        <f>F64</f>
        <v>2569202</v>
      </c>
    </row>
    <row r="65" spans="1:9" ht="15" thickBot="1" x14ac:dyDescent="0.2">
      <c r="A65" s="11" t="s">
        <v>47</v>
      </c>
      <c r="C65" s="28">
        <f t="shared" ref="C65:D65" si="5">C63+C64</f>
        <v>1452070</v>
      </c>
      <c r="D65" s="24">
        <f t="shared" si="5"/>
        <v>56436048</v>
      </c>
      <c r="E65" s="57">
        <f>E63+E64</f>
        <v>59494992</v>
      </c>
      <c r="F65" s="24">
        <f>F63+F64</f>
        <v>75308563</v>
      </c>
      <c r="G65" s="57">
        <f>G63+G64</f>
        <v>102569202</v>
      </c>
      <c r="H65" s="3"/>
      <c r="I65" s="45"/>
    </row>
    <row r="66" spans="1:9" ht="15" thickTop="1" x14ac:dyDescent="0.15">
      <c r="C66" s="19"/>
      <c r="D66" s="18"/>
      <c r="E66" s="47"/>
      <c r="F66" s="18"/>
    </row>
    <row r="67" spans="1:9" ht="15" thickBot="1" x14ac:dyDescent="0.2">
      <c r="A67" s="12" t="s">
        <v>48</v>
      </c>
      <c r="C67" s="20">
        <f>C55+C61+C65</f>
        <v>20197773</v>
      </c>
      <c r="D67" s="21">
        <f>D55+D61+D65</f>
        <v>92106117</v>
      </c>
      <c r="E67" s="49">
        <f>E55+E61+E65</f>
        <v>122552399</v>
      </c>
      <c r="F67" s="21">
        <f>F55+F61+F65</f>
        <v>220887827</v>
      </c>
      <c r="G67" s="49">
        <f>G55+G61+G65</f>
        <v>360254386</v>
      </c>
      <c r="H67" s="3"/>
      <c r="I67" s="45"/>
    </row>
    <row r="68" spans="1:9" ht="15" thickTop="1" x14ac:dyDescent="0.15">
      <c r="C68" s="19"/>
      <c r="D68" s="18"/>
      <c r="E68" s="47"/>
      <c r="F68" s="18"/>
      <c r="H68" s="45"/>
    </row>
    <row r="69" spans="1:9" ht="18" x14ac:dyDescent="0.2">
      <c r="A69" s="9" t="s">
        <v>49</v>
      </c>
      <c r="C69" s="19"/>
      <c r="D69" s="18"/>
      <c r="E69" s="47"/>
      <c r="F69" s="18"/>
    </row>
    <row r="70" spans="1:9" x14ac:dyDescent="0.15">
      <c r="C70" s="19"/>
      <c r="D70" s="18"/>
      <c r="E70" s="47"/>
      <c r="F70" s="18"/>
    </row>
    <row r="71" spans="1:9" x14ac:dyDescent="0.15">
      <c r="A71" s="1" t="s">
        <v>50</v>
      </c>
      <c r="C71" s="19">
        <v>4506795</v>
      </c>
      <c r="D71" s="18">
        <v>9006579</v>
      </c>
      <c r="E71" s="47">
        <v>20578810</v>
      </c>
      <c r="F71" s="18">
        <v>43293576</v>
      </c>
      <c r="G71" s="45">
        <f>F71*2</f>
        <v>86587152</v>
      </c>
    </row>
    <row r="72" spans="1:9" ht="15" thickBot="1" x14ac:dyDescent="0.2">
      <c r="A72" s="11" t="s">
        <v>51</v>
      </c>
      <c r="C72" s="28">
        <f t="shared" ref="C72:D72" si="6">SUM(C71)</f>
        <v>4506795</v>
      </c>
      <c r="D72" s="24">
        <f t="shared" si="6"/>
        <v>9006579</v>
      </c>
      <c r="E72" s="28">
        <f>SUM(E71)</f>
        <v>20578810</v>
      </c>
      <c r="F72" s="24">
        <f>SUM(F71)</f>
        <v>43293576</v>
      </c>
      <c r="G72" s="57">
        <f>SUM(G71)</f>
        <v>86587152</v>
      </c>
      <c r="H72" s="3"/>
      <c r="I72" s="45"/>
    </row>
    <row r="73" spans="1:9" ht="15" thickTop="1" x14ac:dyDescent="0.15"/>
    <row r="74" spans="1:9" x14ac:dyDescent="0.15">
      <c r="A74" s="1" t="s">
        <v>52</v>
      </c>
      <c r="C74" s="19">
        <v>5366825</v>
      </c>
      <c r="D74" s="17">
        <v>5620353</v>
      </c>
      <c r="E74" s="19">
        <v>13777770</v>
      </c>
      <c r="F74" s="18">
        <v>41736284</v>
      </c>
      <c r="G74" s="45">
        <f>F74*2</f>
        <v>83472568</v>
      </c>
      <c r="H74" s="3"/>
      <c r="I74" s="45"/>
    </row>
    <row r="75" spans="1:9" x14ac:dyDescent="0.15">
      <c r="A75" s="1" t="s">
        <v>53</v>
      </c>
      <c r="C75" s="19">
        <v>0</v>
      </c>
      <c r="D75" s="18">
        <v>0</v>
      </c>
      <c r="E75" s="19">
        <v>8955891</v>
      </c>
      <c r="F75" s="18">
        <v>3468862</v>
      </c>
      <c r="G75" s="60">
        <v>0</v>
      </c>
    </row>
    <row r="76" spans="1:9" x14ac:dyDescent="0.15">
      <c r="A76" s="1" t="s">
        <v>54</v>
      </c>
      <c r="C76" s="19">
        <v>0</v>
      </c>
      <c r="D76" s="17">
        <v>9585967</v>
      </c>
      <c r="E76" s="19">
        <v>3314908</v>
      </c>
      <c r="F76" s="18">
        <v>21734900</v>
      </c>
      <c r="G76" s="45">
        <v>21734900</v>
      </c>
      <c r="H76" s="3"/>
    </row>
    <row r="77" spans="1:9" x14ac:dyDescent="0.15">
      <c r="A77" s="1" t="s">
        <v>46</v>
      </c>
      <c r="C77" s="19">
        <v>6914798</v>
      </c>
      <c r="D77" s="17">
        <v>20664440</v>
      </c>
      <c r="E77" s="19">
        <v>6110701</v>
      </c>
      <c r="F77" s="18">
        <v>143965922</v>
      </c>
      <c r="G77" s="45">
        <f>(F77-((G61-F61)+(G55-F55)+(G72-F72))+335356721)</f>
        <v>323923147</v>
      </c>
      <c r="I77" s="45"/>
    </row>
    <row r="78" spans="1:9" x14ac:dyDescent="0.15">
      <c r="A78" s="1" t="s">
        <v>55</v>
      </c>
      <c r="C78" s="19">
        <v>1617388</v>
      </c>
      <c r="D78" s="17">
        <v>621375</v>
      </c>
      <c r="E78" s="19">
        <v>3309615</v>
      </c>
      <c r="F78" s="18">
        <v>8739303</v>
      </c>
      <c r="G78" s="45">
        <f>(F78*2)</f>
        <v>17478606</v>
      </c>
      <c r="H78" s="3"/>
    </row>
    <row r="79" spans="1:9" ht="15" thickBot="1" x14ac:dyDescent="0.2">
      <c r="A79" s="11" t="s">
        <v>56</v>
      </c>
      <c r="C79" s="28">
        <f>C74+C75+C76+C77+C78</f>
        <v>13899011</v>
      </c>
      <c r="D79" s="24">
        <f>D74+D75+D76+D77+D78</f>
        <v>36492135</v>
      </c>
      <c r="E79" s="28">
        <f>E74+E75+E76+E77+E78</f>
        <v>35468885</v>
      </c>
      <c r="F79" s="24">
        <f>F74+F75+F76+F77+F78</f>
        <v>219645271</v>
      </c>
      <c r="G79" s="50">
        <f>G74+G75+G76+G77+G78</f>
        <v>446609221</v>
      </c>
    </row>
    <row r="80" spans="1:9" ht="15" thickTop="1" x14ac:dyDescent="0.15">
      <c r="C80" s="19"/>
      <c r="D80" s="18"/>
      <c r="E80" s="19"/>
      <c r="F80" s="18"/>
      <c r="H80" s="3"/>
    </row>
    <row r="81" spans="1:10" ht="15" thickBot="1" x14ac:dyDescent="0.2">
      <c r="A81" s="11" t="s">
        <v>57</v>
      </c>
      <c r="C81" s="28">
        <v>347478</v>
      </c>
      <c r="D81" s="24">
        <v>18103151</v>
      </c>
      <c r="E81" s="28">
        <v>91948626</v>
      </c>
      <c r="F81" s="24">
        <v>29430361</v>
      </c>
      <c r="G81" s="53">
        <f>15000000</f>
        <v>15000000</v>
      </c>
    </row>
    <row r="82" spans="1:10" ht="15" thickTop="1" x14ac:dyDescent="0.15">
      <c r="C82" s="19"/>
      <c r="D82" s="18"/>
      <c r="E82" s="19"/>
      <c r="F82" s="18"/>
      <c r="H82" s="65"/>
    </row>
    <row r="83" spans="1:10" ht="15" thickBot="1" x14ac:dyDescent="0.2">
      <c r="A83" s="12" t="s">
        <v>58</v>
      </c>
      <c r="C83" s="20">
        <f t="shared" ref="C83" si="7">C72+C79+C81</f>
        <v>18753284</v>
      </c>
      <c r="D83" s="21">
        <f>D72+D79+D81</f>
        <v>63601865</v>
      </c>
      <c r="E83" s="20">
        <f>E72+E79+E81</f>
        <v>147996321</v>
      </c>
      <c r="F83" s="21">
        <f>F72+F79+F81</f>
        <v>292369208</v>
      </c>
      <c r="G83" s="25">
        <f>G72+G79+G81</f>
        <v>548196373</v>
      </c>
      <c r="H83" s="64"/>
      <c r="I83" s="45"/>
    </row>
    <row r="84" spans="1:10" ht="15" thickTop="1" x14ac:dyDescent="0.15">
      <c r="C84" s="19"/>
      <c r="D84" s="18"/>
      <c r="E84" s="19"/>
      <c r="F84" s="18"/>
      <c r="I84" s="45"/>
    </row>
    <row r="85" spans="1:10" ht="19" thickBot="1" x14ac:dyDescent="0.25">
      <c r="A85" s="13" t="s">
        <v>59</v>
      </c>
      <c r="C85" s="26">
        <f>C67+C83</f>
        <v>38951057</v>
      </c>
      <c r="D85" s="27">
        <f t="shared" ref="D85" si="8">D67+D83</f>
        <v>155707982</v>
      </c>
      <c r="E85" s="26">
        <f>E67+E83</f>
        <v>270548720</v>
      </c>
      <c r="F85" s="27">
        <f>F67+F83</f>
        <v>513257035</v>
      </c>
      <c r="G85" s="51">
        <f>G67+G83</f>
        <v>908450759</v>
      </c>
      <c r="I85" s="45"/>
      <c r="J85" s="45"/>
    </row>
    <row r="86" spans="1:10" ht="15" thickTop="1" x14ac:dyDescent="0.15">
      <c r="C86" s="19"/>
      <c r="D86" s="18"/>
      <c r="E86" s="19"/>
      <c r="F86" s="18"/>
      <c r="I86" s="45"/>
    </row>
    <row r="87" spans="1:10" ht="18" x14ac:dyDescent="0.2">
      <c r="A87" s="9" t="s">
        <v>60</v>
      </c>
      <c r="C87" s="19"/>
      <c r="D87" s="18"/>
      <c r="E87" s="19"/>
      <c r="F87" s="18"/>
      <c r="H87" s="45"/>
    </row>
    <row r="88" spans="1:10" x14ac:dyDescent="0.15">
      <c r="C88" s="19"/>
      <c r="D88" s="18"/>
      <c r="E88" s="19"/>
      <c r="F88" s="18"/>
    </row>
    <row r="89" spans="1:10" x14ac:dyDescent="0.15">
      <c r="A89" s="2" t="s">
        <v>61</v>
      </c>
      <c r="C89" s="19"/>
      <c r="D89" s="18"/>
      <c r="E89" s="19"/>
      <c r="F89" s="18"/>
    </row>
    <row r="90" spans="1:10" x14ac:dyDescent="0.15">
      <c r="C90" s="19"/>
      <c r="D90" s="18"/>
      <c r="E90" s="47"/>
      <c r="F90" s="18"/>
    </row>
    <row r="91" spans="1:10" x14ac:dyDescent="0.15">
      <c r="A91" s="1" t="s">
        <v>62</v>
      </c>
      <c r="C91" s="19">
        <v>16306000</v>
      </c>
      <c r="D91" s="17">
        <f>C93</f>
        <v>18806000</v>
      </c>
      <c r="E91" s="3">
        <f>D93</f>
        <v>30556000</v>
      </c>
      <c r="F91" s="17">
        <f>E93</f>
        <v>40556000</v>
      </c>
      <c r="G91" s="47">
        <v>65556000</v>
      </c>
    </row>
    <row r="92" spans="1:10" x14ac:dyDescent="0.15">
      <c r="A92" s="1" t="s">
        <v>63</v>
      </c>
      <c r="C92" s="3">
        <v>2500000</v>
      </c>
      <c r="D92" s="17">
        <v>11750000</v>
      </c>
      <c r="E92" s="47">
        <v>10000000</v>
      </c>
      <c r="F92" s="18">
        <v>25000000</v>
      </c>
      <c r="G92" s="3">
        <v>30000000</v>
      </c>
    </row>
    <row r="93" spans="1:10" ht="15" thickBot="1" x14ac:dyDescent="0.2">
      <c r="A93" s="11" t="s">
        <v>64</v>
      </c>
      <c r="B93" s="11"/>
      <c r="C93" s="55">
        <f>C91+C92</f>
        <v>18806000</v>
      </c>
      <c r="D93" s="59">
        <f t="shared" ref="D93:G93" si="9">D91+D92</f>
        <v>30556000</v>
      </c>
      <c r="E93" s="55">
        <f t="shared" si="9"/>
        <v>40556000</v>
      </c>
      <c r="F93" s="59">
        <f t="shared" si="9"/>
        <v>65556000</v>
      </c>
      <c r="G93" s="55">
        <f t="shared" si="9"/>
        <v>95556000</v>
      </c>
      <c r="H93" s="45"/>
      <c r="I93" s="45"/>
    </row>
    <row r="94" spans="1:10" ht="15" thickTop="1" x14ac:dyDescent="0.15">
      <c r="F94" s="56"/>
    </row>
    <row r="95" spans="1:10" ht="15" thickBot="1" x14ac:dyDescent="0.2">
      <c r="A95" s="11" t="s">
        <v>65</v>
      </c>
      <c r="B95" s="11"/>
      <c r="C95" s="28">
        <v>8474950</v>
      </c>
      <c r="D95" s="24">
        <f>C95+D33</f>
        <v>15835197</v>
      </c>
      <c r="E95" s="57">
        <f>D95+E33</f>
        <v>25627038</v>
      </c>
      <c r="F95" s="24">
        <f>E95+F33</f>
        <v>36570274</v>
      </c>
      <c r="G95" s="57">
        <f>F95+G33</f>
        <v>48570274</v>
      </c>
    </row>
    <row r="96" spans="1:10" ht="15" thickTop="1" x14ac:dyDescent="0.15"/>
    <row r="97" spans="1:11" x14ac:dyDescent="0.15">
      <c r="A97" s="1" t="s">
        <v>66</v>
      </c>
      <c r="C97" s="19">
        <v>-8266913</v>
      </c>
      <c r="D97" s="56">
        <f>C101</f>
        <v>-9198709</v>
      </c>
      <c r="E97" s="45">
        <f>67236523</f>
        <v>67236523</v>
      </c>
      <c r="F97" s="56">
        <f>E101</f>
        <v>127723228</v>
      </c>
      <c r="G97" s="45">
        <f>F101</f>
        <v>328904240</v>
      </c>
    </row>
    <row r="98" spans="1:11" x14ac:dyDescent="0.15">
      <c r="A98" s="1" t="s">
        <v>67</v>
      </c>
      <c r="C98" s="47">
        <f>C34</f>
        <v>-23431796</v>
      </c>
      <c r="D98" s="18">
        <f>D34</f>
        <v>-25835639</v>
      </c>
      <c r="E98" s="47">
        <f>E34</f>
        <v>-29198482</v>
      </c>
      <c r="F98" s="18">
        <f>F34</f>
        <v>-23693575</v>
      </c>
      <c r="G98" s="47">
        <f>G34</f>
        <v>-29032797.142857179</v>
      </c>
    </row>
    <row r="99" spans="1:11" x14ac:dyDescent="0.15">
      <c r="A99" s="1" t="s">
        <v>68</v>
      </c>
      <c r="C99" s="19">
        <v>22500000</v>
      </c>
      <c r="D99" s="18">
        <v>105750000</v>
      </c>
      <c r="E99" s="47">
        <v>90000000</v>
      </c>
      <c r="F99" s="18">
        <v>225000000</v>
      </c>
      <c r="G99" s="47">
        <v>300000000</v>
      </c>
    </row>
    <row r="100" spans="1:11" x14ac:dyDescent="0.15">
      <c r="A100" s="1" t="s">
        <v>69</v>
      </c>
      <c r="C100" s="19">
        <v>0</v>
      </c>
      <c r="D100" s="18">
        <v>0</v>
      </c>
      <c r="E100" s="47">
        <v>-314813</v>
      </c>
      <c r="F100" s="18">
        <v>-125413</v>
      </c>
      <c r="G100" s="58"/>
    </row>
    <row r="101" spans="1:11" ht="15" thickBot="1" x14ac:dyDescent="0.2">
      <c r="A101" s="11" t="s">
        <v>70</v>
      </c>
      <c r="B101" s="11"/>
      <c r="C101" s="28">
        <f>SUM(C97:C100)</f>
        <v>-9198709</v>
      </c>
      <c r="D101" s="24">
        <f>SUM(D97:D100)</f>
        <v>70715652</v>
      </c>
      <c r="E101" s="57">
        <f>SUM(E97:E100)</f>
        <v>127723228</v>
      </c>
      <c r="F101" s="24">
        <f>SUM(F97:F100)</f>
        <v>328904240</v>
      </c>
      <c r="G101" s="57">
        <f>SUM(G97:G100)</f>
        <v>599871442.85714281</v>
      </c>
      <c r="I101" s="45"/>
    </row>
    <row r="102" spans="1:11" ht="15" thickTop="1" x14ac:dyDescent="0.15">
      <c r="I102" s="45"/>
    </row>
    <row r="103" spans="1:11" ht="15" thickBot="1" x14ac:dyDescent="0.2">
      <c r="A103" s="12" t="s">
        <v>71</v>
      </c>
      <c r="C103" s="20">
        <f>C93+C95+C101</f>
        <v>18082241</v>
      </c>
      <c r="D103" s="21">
        <f>D93+D95+D101</f>
        <v>117106849</v>
      </c>
      <c r="E103" s="49">
        <f>E93+E95+E101</f>
        <v>193906266</v>
      </c>
      <c r="F103" s="21">
        <f>F93+F95+F101</f>
        <v>431030514</v>
      </c>
      <c r="G103" s="49">
        <f>G93+G95+G101</f>
        <v>743997716.85714281</v>
      </c>
      <c r="I103" s="45"/>
    </row>
    <row r="104" spans="1:11" ht="15" thickTop="1" x14ac:dyDescent="0.15">
      <c r="C104" s="19"/>
      <c r="D104" s="18"/>
      <c r="E104" s="19"/>
      <c r="F104" s="18"/>
      <c r="I104" s="45"/>
    </row>
    <row r="105" spans="1:11" x14ac:dyDescent="0.15">
      <c r="A105" s="1" t="s">
        <v>72</v>
      </c>
      <c r="C105" s="19">
        <v>90446</v>
      </c>
      <c r="D105" s="18">
        <v>0</v>
      </c>
      <c r="E105" s="19">
        <v>0</v>
      </c>
      <c r="F105" s="18">
        <v>0</v>
      </c>
      <c r="G105" s="46">
        <v>0</v>
      </c>
      <c r="H105" s="45"/>
    </row>
    <row r="106" spans="1:11" ht="15" thickBot="1" x14ac:dyDescent="0.2">
      <c r="A106" s="12" t="s">
        <v>73</v>
      </c>
      <c r="C106" s="20">
        <f>SUM(C105)</f>
        <v>90446</v>
      </c>
      <c r="D106" s="21">
        <f>SUM(D105)</f>
        <v>0</v>
      </c>
      <c r="E106" s="20">
        <f t="shared" ref="E106:G106" si="10">SUM(E105)</f>
        <v>0</v>
      </c>
      <c r="F106" s="21">
        <f t="shared" si="10"/>
        <v>0</v>
      </c>
      <c r="G106" s="38">
        <f t="shared" si="10"/>
        <v>0</v>
      </c>
    </row>
    <row r="107" spans="1:11" ht="16" thickTop="1" x14ac:dyDescent="0.2">
      <c r="K107" s="52"/>
    </row>
    <row r="108" spans="1:11" x14ac:dyDescent="0.15">
      <c r="A108" s="2" t="s">
        <v>74</v>
      </c>
      <c r="C108" s="19"/>
      <c r="D108" s="18"/>
      <c r="E108" s="19"/>
      <c r="F108" s="18"/>
    </row>
    <row r="109" spans="1:11" ht="15" x14ac:dyDescent="0.2">
      <c r="C109" s="19"/>
      <c r="D109" s="18"/>
      <c r="E109" s="19"/>
      <c r="F109" s="18"/>
      <c r="K109" s="52"/>
    </row>
    <row r="110" spans="1:11" x14ac:dyDescent="0.15">
      <c r="A110" s="1" t="s">
        <v>75</v>
      </c>
      <c r="C110" s="19">
        <v>0</v>
      </c>
      <c r="D110" s="18">
        <v>13852811</v>
      </c>
      <c r="E110" s="19">
        <v>41640757</v>
      </c>
      <c r="F110" s="18">
        <v>0</v>
      </c>
      <c r="G110" s="19">
        <v>0</v>
      </c>
    </row>
    <row r="111" spans="1:11" x14ac:dyDescent="0.15">
      <c r="A111" s="1" t="s">
        <v>76</v>
      </c>
      <c r="C111" s="19">
        <v>264612</v>
      </c>
      <c r="D111" s="18">
        <v>803020</v>
      </c>
      <c r="E111" s="19">
        <v>2848964</v>
      </c>
      <c r="F111" s="18">
        <v>0</v>
      </c>
      <c r="G111" s="22">
        <v>0</v>
      </c>
    </row>
    <row r="112" spans="1:11" ht="15" thickBot="1" x14ac:dyDescent="0.2">
      <c r="A112" s="11" t="s">
        <v>77</v>
      </c>
      <c r="C112" s="28">
        <f t="shared" ref="C112:D112" si="11">C111+C110</f>
        <v>264612</v>
      </c>
      <c r="D112" s="24">
        <f t="shared" si="11"/>
        <v>14655831</v>
      </c>
      <c r="E112" s="28">
        <f>E111+E110</f>
        <v>44489721</v>
      </c>
      <c r="F112" s="24">
        <f>F111+F110</f>
        <v>0</v>
      </c>
      <c r="G112" s="28">
        <f>G111+G110</f>
        <v>0</v>
      </c>
    </row>
    <row r="113" spans="1:7" ht="15" thickTop="1" x14ac:dyDescent="0.15">
      <c r="C113" s="19"/>
      <c r="D113" s="18"/>
      <c r="E113" s="19"/>
      <c r="F113" s="18"/>
      <c r="G113" s="22"/>
    </row>
    <row r="114" spans="1:7" x14ac:dyDescent="0.15">
      <c r="A114" s="1" t="s">
        <v>78</v>
      </c>
      <c r="C114" s="19">
        <v>2823499</v>
      </c>
      <c r="D114" s="18">
        <v>0</v>
      </c>
      <c r="E114" s="19">
        <v>0</v>
      </c>
      <c r="F114" s="18">
        <v>0</v>
      </c>
    </row>
    <row r="115" spans="1:7" x14ac:dyDescent="0.15">
      <c r="A115" s="1" t="s">
        <v>79</v>
      </c>
      <c r="C115" s="19">
        <v>10681328</v>
      </c>
      <c r="D115" s="18">
        <v>14648060</v>
      </c>
      <c r="E115" s="19">
        <v>13704203</v>
      </c>
      <c r="F115" s="18">
        <v>34492131</v>
      </c>
      <c r="G115" s="47">
        <f>F115*2</f>
        <v>68984262</v>
      </c>
    </row>
    <row r="116" spans="1:7" x14ac:dyDescent="0.15">
      <c r="A116" s="1" t="s">
        <v>80</v>
      </c>
      <c r="C116" s="19">
        <v>0</v>
      </c>
      <c r="D116" s="18">
        <v>0</v>
      </c>
      <c r="E116" s="19">
        <v>2064315</v>
      </c>
      <c r="F116" s="18">
        <v>0</v>
      </c>
      <c r="G116" s="1">
        <v>0</v>
      </c>
    </row>
    <row r="117" spans="1:7" x14ac:dyDescent="0.15">
      <c r="A117" s="1" t="s">
        <v>76</v>
      </c>
      <c r="C117" s="19">
        <v>2147556</v>
      </c>
      <c r="D117" s="18">
        <v>3147099</v>
      </c>
      <c r="E117" s="19">
        <v>4064096</v>
      </c>
      <c r="F117" s="18">
        <v>20283188</v>
      </c>
      <c r="G117" s="45">
        <f>F117*2</f>
        <v>40566376</v>
      </c>
    </row>
    <row r="118" spans="1:7" x14ac:dyDescent="0.15">
      <c r="A118" s="1" t="s">
        <v>55</v>
      </c>
      <c r="C118" s="19">
        <v>4861375</v>
      </c>
      <c r="D118" s="18">
        <v>6150143</v>
      </c>
      <c r="E118" s="19">
        <v>12320119</v>
      </c>
      <c r="F118" s="18">
        <v>27451202</v>
      </c>
      <c r="G118" s="45">
        <f>F118*2</f>
        <v>54902404</v>
      </c>
    </row>
    <row r="119" spans="1:7" ht="15" thickBot="1" x14ac:dyDescent="0.2">
      <c r="A119" s="11" t="s">
        <v>81</v>
      </c>
      <c r="C119" s="28">
        <f>SUM(C114:C118)</f>
        <v>20513758</v>
      </c>
      <c r="D119" s="24">
        <f>SUM(D114:D118)</f>
        <v>23945302</v>
      </c>
      <c r="E119" s="28">
        <f t="shared" ref="E119:G119" si="12">SUM(E114:E118)</f>
        <v>32152733</v>
      </c>
      <c r="F119" s="24">
        <f t="shared" si="12"/>
        <v>82226521</v>
      </c>
      <c r="G119" s="57">
        <f t="shared" si="12"/>
        <v>164453042</v>
      </c>
    </row>
    <row r="120" spans="1:7" ht="15" thickTop="1" x14ac:dyDescent="0.15">
      <c r="C120" s="19"/>
      <c r="D120" s="18"/>
      <c r="E120" s="19"/>
      <c r="F120" s="18"/>
    </row>
    <row r="121" spans="1:7" ht="15" thickBot="1" x14ac:dyDescent="0.2">
      <c r="A121" s="12" t="s">
        <v>82</v>
      </c>
      <c r="C121" s="20">
        <f>C119+C112</f>
        <v>20778370</v>
      </c>
      <c r="D121" s="21">
        <f t="shared" ref="D121" si="13">D119+D112</f>
        <v>38601133</v>
      </c>
      <c r="E121" s="20">
        <f>E119+E112</f>
        <v>76642454</v>
      </c>
      <c r="F121" s="21">
        <f>F119+F112</f>
        <v>82226521</v>
      </c>
      <c r="G121" s="49">
        <f>G119+G112</f>
        <v>164453042</v>
      </c>
    </row>
    <row r="122" spans="1:7" ht="15" thickTop="1" x14ac:dyDescent="0.15">
      <c r="C122" s="19"/>
      <c r="D122" s="18"/>
      <c r="E122" s="19"/>
      <c r="F122" s="18"/>
    </row>
    <row r="123" spans="1:7" ht="19" thickBot="1" x14ac:dyDescent="0.25">
      <c r="A123" s="13" t="s">
        <v>83</v>
      </c>
      <c r="C123" s="26">
        <f>C121+C103+C106</f>
        <v>38951057</v>
      </c>
      <c r="D123" s="27">
        <f t="shared" ref="D123:E123" si="14">D121+D103+D106</f>
        <v>155707982</v>
      </c>
      <c r="E123" s="26">
        <f t="shared" si="14"/>
        <v>270548720</v>
      </c>
      <c r="F123" s="27">
        <f>F121+F103+F106</f>
        <v>513257035</v>
      </c>
      <c r="G123" s="61">
        <f>G121+G103+G106</f>
        <v>908450758.85714281</v>
      </c>
    </row>
    <row r="124" spans="1:7" ht="15" thickTop="1" x14ac:dyDescent="0.15"/>
    <row r="125" spans="1:7" x14ac:dyDescent="0.15">
      <c r="A125" s="1" t="s">
        <v>84</v>
      </c>
      <c r="C125" s="29">
        <f>C85-C123</f>
        <v>0</v>
      </c>
      <c r="D125" s="54">
        <f>D85-D123</f>
        <v>0</v>
      </c>
      <c r="E125" s="29">
        <f>E85-E123</f>
        <v>0</v>
      </c>
      <c r="F125" s="54">
        <f>F85-F123</f>
        <v>0</v>
      </c>
      <c r="G125" s="29">
        <f>G85-G123</f>
        <v>0.14285719394683838</v>
      </c>
    </row>
    <row r="133" spans="3:7" x14ac:dyDescent="0.15">
      <c r="C133" s="3"/>
      <c r="D133" s="17"/>
      <c r="E133" s="47"/>
      <c r="F133" s="18"/>
      <c r="G133" s="3"/>
    </row>
    <row r="134" spans="3:7" x14ac:dyDescent="0.15">
      <c r="C134" s="19"/>
      <c r="D134" s="18"/>
      <c r="E134" s="47"/>
      <c r="F134" s="18"/>
      <c r="G134" s="47"/>
    </row>
    <row r="135" spans="3:7" x14ac:dyDescent="0.15">
      <c r="C135" s="3"/>
      <c r="D135" s="17"/>
      <c r="E135" s="3"/>
      <c r="F135" s="17"/>
      <c r="G135" s="3"/>
    </row>
  </sheetData>
  <pageMargins left="0.7" right="0.7" top="0.75" bottom="0.75" header="0.3" footer="0.3"/>
  <pageSetup paperSize="9" orientation="portrait" r:id="rId1"/>
  <ignoredErrors>
    <ignoredError sqref="C13:F13" formulaRange="1"/>
    <ignoredError sqref="B1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26C1EB3171643B4CFA19B64F524D5" ma:contentTypeVersion="7" ma:contentTypeDescription="Create a new document." ma:contentTypeScope="" ma:versionID="2faae742f4c91ce63d5768a21f6541ff">
  <xsd:schema xmlns:xsd="http://www.w3.org/2001/XMLSchema" xmlns:xs="http://www.w3.org/2001/XMLSchema" xmlns:p="http://schemas.microsoft.com/office/2006/metadata/properties" xmlns:ns2="d58d4eb3-db76-44f1-8313-db8ca782f353" targetNamespace="http://schemas.microsoft.com/office/2006/metadata/properties" ma:root="true" ma:fieldsID="affca883d8f246f34013bd47b9e12451" ns2:_="">
    <xsd:import namespace="d58d4eb3-db76-44f1-8313-db8ca782f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d4eb3-db76-44f1-8313-db8ca782f3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B9762F-B6E8-43BD-A4C8-26478BFF9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8d4eb3-db76-44f1-8313-db8ca782f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8FC931-2916-467C-BDBE-07E4282A7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56358-AFBB-4D18-B2E0-38D07AEBA0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Buur</cp:lastModifiedBy>
  <cp:revision/>
  <dcterms:created xsi:type="dcterms:W3CDTF">2022-04-07T09:38:40Z</dcterms:created>
  <dcterms:modified xsi:type="dcterms:W3CDTF">2022-04-11T21:46:21Z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0x010100D6E26C1EB3171643B4CFA19B64F524D5</vt:lpwstr>
  </property>
</Properties>
</file>